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ausgov-my.sharepoint.com/personal/joshua_woodbridge_industry_gov_au/Documents/AIS/AIS August 2025 update - Content package/"/>
    </mc:Choice>
  </mc:AlternateContent>
  <xr:revisionPtr revIDLastSave="6810" documentId="8_{8C4B1D0B-3412-47D1-BD40-C21A3E63D2C3}" xr6:coauthVersionLast="47" xr6:coauthVersionMax="47" xr10:uidLastSave="{F33D1043-0801-4A6A-AE1B-4920493A02BA}"/>
  <bookViews>
    <workbookView xWindow="-120" yWindow="-120" windowWidth="29040" windowHeight="15840" xr2:uid="{00000000-000D-0000-FFFF-FFFF00000000}"/>
  </bookViews>
  <sheets>
    <sheet name="Homepage" sheetId="16" r:id="rId1"/>
    <sheet name="Publication" sheetId="15" r:id="rId2"/>
    <sheet name="About SRI" sheetId="12" r:id="rId3"/>
    <sheet name="R&amp;D" sheetId="2" r:id="rId4"/>
    <sheet name="Other SRI" sheetId="3" r:id="rId5"/>
    <sheet name="KT &amp; RC" sheetId="4" r:id="rId6"/>
    <sheet name="AGOR" sheetId="5" r:id="rId7"/>
    <sheet name="Sector" sheetId="1" r:id="rId8"/>
    <sheet name="Portfolio" sheetId="9" r:id="rId9"/>
    <sheet name="Programs" sheetId="8" r:id="rId10"/>
    <sheet name="SEO" sheetId="10" r:id="rId11"/>
    <sheet name="Rural" sheetId="11" r:id="rId12"/>
    <sheet name="Definitions" sheetId="13" r:id="rId13"/>
    <sheet name="Notes" sheetId="14" r:id="rId14"/>
  </sheets>
  <externalReferences>
    <externalReference r:id="rId15"/>
    <externalReference r:id="rId16"/>
    <externalReference r:id="rId17"/>
    <externalReference r:id="rId18"/>
  </externalReferences>
  <definedNames>
    <definedName name="_xlnm._FilterDatabase" localSheetId="6" hidden="1">AGOR!$A$4:$E$4</definedName>
    <definedName name="_xlnm._FilterDatabase" localSheetId="5" hidden="1">'KT &amp; RC'!$A$4:$Q$128</definedName>
    <definedName name="_xlnm._FilterDatabase" localSheetId="4" hidden="1">'Other SRI'!$A$6:$AV$6</definedName>
    <definedName name="_xlnm._FilterDatabase" localSheetId="3" hidden="1">'R&amp;D'!$A$4:$BS$666</definedName>
    <definedName name="A2298668K" localSheetId="2">#REF!,#REF!</definedName>
    <definedName name="A2298668K" localSheetId="12">#REF!,#REF!</definedName>
    <definedName name="A2298668K" localSheetId="0">#REF!,#REF!</definedName>
    <definedName name="A2298668K" localSheetId="13">#REF!,#REF!</definedName>
    <definedName name="A2298668K" localSheetId="1">#REF!,#REF!</definedName>
    <definedName name="A2298668K">#REF!,#REF!</definedName>
    <definedName name="A2298668K_Data" localSheetId="2">#REF!</definedName>
    <definedName name="A2298668K_Data" localSheetId="12">#REF!</definedName>
    <definedName name="A2298668K_Data" localSheetId="0">#REF!</definedName>
    <definedName name="A2298668K_Data" localSheetId="13">#REF!</definedName>
    <definedName name="A2298668K_Data" localSheetId="1">#REF!</definedName>
    <definedName name="A2298668K_Data">#REF!</definedName>
    <definedName name="A2298668K_Latest" localSheetId="2">#REF!</definedName>
    <definedName name="A2298668K_Latest" localSheetId="12">#REF!</definedName>
    <definedName name="A2298668K_Latest" localSheetId="0">#REF!</definedName>
    <definedName name="A2298668K_Latest" localSheetId="13">#REF!</definedName>
    <definedName name="A2298668K_Latest" localSheetId="1">#REF!</definedName>
    <definedName name="A2298668K_Latest">#REF!</definedName>
    <definedName name="A2302453L" localSheetId="2">#REF!,#REF!</definedName>
    <definedName name="A2302453L" localSheetId="12">#REF!,#REF!</definedName>
    <definedName name="A2302453L" localSheetId="0">#REF!,#REF!</definedName>
    <definedName name="A2302453L" localSheetId="13">#REF!,#REF!</definedName>
    <definedName name="A2302453L" localSheetId="1">#REF!,#REF!</definedName>
    <definedName name="A2302453L">#REF!,#REF!</definedName>
    <definedName name="A2302453L_Data" localSheetId="2">#REF!</definedName>
    <definedName name="A2302453L_Data" localSheetId="12">#REF!</definedName>
    <definedName name="A2302453L_Data" localSheetId="0">#REF!</definedName>
    <definedName name="A2302453L_Data" localSheetId="13">#REF!</definedName>
    <definedName name="A2302453L_Data" localSheetId="1">#REF!</definedName>
    <definedName name="A2302453L_Data">#REF!</definedName>
    <definedName name="A2302453L_Latest" localSheetId="2">#REF!</definedName>
    <definedName name="A2302453L_Latest" localSheetId="12">#REF!</definedName>
    <definedName name="A2302453L_Latest" localSheetId="0">#REF!</definedName>
    <definedName name="A2302453L_Latest" localSheetId="13">#REF!</definedName>
    <definedName name="A2302453L_Latest" localSheetId="1">#REF!</definedName>
    <definedName name="A2302453L_Latest">#REF!</definedName>
    <definedName name="A2302454R" localSheetId="2">#REF!,#REF!</definedName>
    <definedName name="A2302454R" localSheetId="12">#REF!,#REF!</definedName>
    <definedName name="A2302454R" localSheetId="0">#REF!,#REF!</definedName>
    <definedName name="A2302454R" localSheetId="13">#REF!,#REF!</definedName>
    <definedName name="A2302454R" localSheetId="1">#REF!,#REF!</definedName>
    <definedName name="A2302454R">#REF!,#REF!</definedName>
    <definedName name="A2302454R_Data" localSheetId="2">#REF!</definedName>
    <definedName name="A2302454R_Data" localSheetId="12">#REF!</definedName>
    <definedName name="A2302454R_Data" localSheetId="0">#REF!</definedName>
    <definedName name="A2302454R_Data" localSheetId="13">#REF!</definedName>
    <definedName name="A2302454R_Data" localSheetId="1">#REF!</definedName>
    <definedName name="A2302454R_Data">#REF!</definedName>
    <definedName name="A2302454R_Latest" localSheetId="2">#REF!</definedName>
    <definedName name="A2302454R_Latest" localSheetId="12">#REF!</definedName>
    <definedName name="A2302454R_Latest" localSheetId="0">#REF!</definedName>
    <definedName name="A2302454R_Latest" localSheetId="13">#REF!</definedName>
    <definedName name="A2302454R_Latest" localSheetId="1">#REF!</definedName>
    <definedName name="A2302454R_Latest">#REF!</definedName>
    <definedName name="A2302455T" localSheetId="2">#REF!,#REF!</definedName>
    <definedName name="A2302455T" localSheetId="12">#REF!,#REF!</definedName>
    <definedName name="A2302455T" localSheetId="0">#REF!,#REF!</definedName>
    <definedName name="A2302455T" localSheetId="13">#REF!,#REF!</definedName>
    <definedName name="A2302455T" localSheetId="1">#REF!,#REF!</definedName>
    <definedName name="A2302455T">#REF!,#REF!</definedName>
    <definedName name="A2302455T_Data" localSheetId="2">#REF!</definedName>
    <definedName name="A2302455T_Data" localSheetId="12">#REF!</definedName>
    <definedName name="A2302455T_Data" localSheetId="0">#REF!</definedName>
    <definedName name="A2302455T_Data" localSheetId="13">#REF!</definedName>
    <definedName name="A2302455T_Data" localSheetId="1">#REF!</definedName>
    <definedName name="A2302455T_Data">#REF!</definedName>
    <definedName name="A2302455T_Latest" localSheetId="2">#REF!</definedName>
    <definedName name="A2302455T_Latest" localSheetId="12">#REF!</definedName>
    <definedName name="A2302455T_Latest" localSheetId="0">#REF!</definedName>
    <definedName name="A2302455T_Latest" localSheetId="13">#REF!</definedName>
    <definedName name="A2302455T_Latest" localSheetId="1">#REF!</definedName>
    <definedName name="A2302455T_Latest">#REF!</definedName>
    <definedName name="A2302456V" localSheetId="2">#REF!,#REF!</definedName>
    <definedName name="A2302456V" localSheetId="12">#REF!,#REF!</definedName>
    <definedName name="A2302456V" localSheetId="0">#REF!,#REF!</definedName>
    <definedName name="A2302456V" localSheetId="13">#REF!,#REF!</definedName>
    <definedName name="A2302456V" localSheetId="1">#REF!,#REF!</definedName>
    <definedName name="A2302456V">#REF!,#REF!</definedName>
    <definedName name="A2302456V_Data" localSheetId="2">#REF!</definedName>
    <definedName name="A2302456V_Data" localSheetId="12">#REF!</definedName>
    <definedName name="A2302456V_Data" localSheetId="0">#REF!</definedName>
    <definedName name="A2302456V_Data" localSheetId="13">#REF!</definedName>
    <definedName name="A2302456V_Data" localSheetId="1">#REF!</definedName>
    <definedName name="A2302456V_Data">#REF!</definedName>
    <definedName name="A2302456V_Latest" localSheetId="2">#REF!</definedName>
    <definedName name="A2302456V_Latest" localSheetId="12">#REF!</definedName>
    <definedName name="A2302456V_Latest" localSheetId="0">#REF!</definedName>
    <definedName name="A2302456V_Latest" localSheetId="13">#REF!</definedName>
    <definedName name="A2302456V_Latest" localSheetId="1">#REF!</definedName>
    <definedName name="A2302456V_Latest">#REF!</definedName>
    <definedName name="A2302457W" localSheetId="2">#REF!,#REF!</definedName>
    <definedName name="A2302457W" localSheetId="12">#REF!,#REF!</definedName>
    <definedName name="A2302457W" localSheetId="0">#REF!,#REF!</definedName>
    <definedName name="A2302457W" localSheetId="13">#REF!,#REF!</definedName>
    <definedName name="A2302457W" localSheetId="1">#REF!,#REF!</definedName>
    <definedName name="A2302457W">#REF!,#REF!</definedName>
    <definedName name="A2302457W_Data" localSheetId="2">#REF!</definedName>
    <definedName name="A2302457W_Data" localSheetId="12">#REF!</definedName>
    <definedName name="A2302457W_Data" localSheetId="0">#REF!</definedName>
    <definedName name="A2302457W_Data" localSheetId="13">#REF!</definedName>
    <definedName name="A2302457W_Data" localSheetId="1">#REF!</definedName>
    <definedName name="A2302457W_Data">#REF!</definedName>
    <definedName name="A2302457W_Latest" localSheetId="2">#REF!</definedName>
    <definedName name="A2302457W_Latest" localSheetId="12">#REF!</definedName>
    <definedName name="A2302457W_Latest" localSheetId="0">#REF!</definedName>
    <definedName name="A2302457W_Latest" localSheetId="13">#REF!</definedName>
    <definedName name="A2302457W_Latest" localSheetId="1">#REF!</definedName>
    <definedName name="A2302457W_Latest">#REF!</definedName>
    <definedName name="A2302458X" localSheetId="2">#REF!,#REF!</definedName>
    <definedName name="A2302458X" localSheetId="12">#REF!,#REF!</definedName>
    <definedName name="A2302458X" localSheetId="0">#REF!,#REF!</definedName>
    <definedName name="A2302458X" localSheetId="13">#REF!,#REF!</definedName>
    <definedName name="A2302458X" localSheetId="1">#REF!,#REF!</definedName>
    <definedName name="A2302458X">#REF!,#REF!</definedName>
    <definedName name="A2302458X_Data" localSheetId="2">#REF!</definedName>
    <definedName name="A2302458X_Data" localSheetId="12">#REF!</definedName>
    <definedName name="A2302458X_Data" localSheetId="0">#REF!</definedName>
    <definedName name="A2302458X_Data" localSheetId="13">#REF!</definedName>
    <definedName name="A2302458X_Data" localSheetId="1">#REF!</definedName>
    <definedName name="A2302458X_Data">#REF!</definedName>
    <definedName name="A2302458X_Latest" localSheetId="2">#REF!</definedName>
    <definedName name="A2302458X_Latest" localSheetId="12">#REF!</definedName>
    <definedName name="A2302458X_Latest" localSheetId="0">#REF!</definedName>
    <definedName name="A2302458X_Latest" localSheetId="13">#REF!</definedName>
    <definedName name="A2302458X_Latest" localSheetId="1">#REF!</definedName>
    <definedName name="A2302458X_Latest">#REF!</definedName>
    <definedName name="A2302459A" localSheetId="2">#REF!,#REF!</definedName>
    <definedName name="A2302459A" localSheetId="12">#REF!,#REF!</definedName>
    <definedName name="A2302459A" localSheetId="0">#REF!,#REF!</definedName>
    <definedName name="A2302459A" localSheetId="13">#REF!,#REF!</definedName>
    <definedName name="A2302459A" localSheetId="1">#REF!,#REF!</definedName>
    <definedName name="A2302459A">#REF!,#REF!</definedName>
    <definedName name="A2302459A_Data" localSheetId="2">#REF!</definedName>
    <definedName name="A2302459A_Data" localSheetId="12">#REF!</definedName>
    <definedName name="A2302459A_Data" localSheetId="0">#REF!</definedName>
    <definedName name="A2302459A_Data" localSheetId="13">#REF!</definedName>
    <definedName name="A2302459A_Data" localSheetId="1">#REF!</definedName>
    <definedName name="A2302459A_Data">#REF!</definedName>
    <definedName name="A2302459A_Latest" localSheetId="2">#REF!</definedName>
    <definedName name="A2302459A_Latest" localSheetId="12">#REF!</definedName>
    <definedName name="A2302459A_Latest" localSheetId="0">#REF!</definedName>
    <definedName name="A2302459A_Latest" localSheetId="13">#REF!</definedName>
    <definedName name="A2302459A_Latest" localSheetId="1">#REF!</definedName>
    <definedName name="A2302459A_Latest">#REF!</definedName>
    <definedName name="A2302460K" localSheetId="2">#REF!,#REF!</definedName>
    <definedName name="A2302460K" localSheetId="12">#REF!,#REF!</definedName>
    <definedName name="A2302460K" localSheetId="0">#REF!,#REF!</definedName>
    <definedName name="A2302460K" localSheetId="13">#REF!,#REF!</definedName>
    <definedName name="A2302460K" localSheetId="1">#REF!,#REF!</definedName>
    <definedName name="A2302460K">#REF!,#REF!</definedName>
    <definedName name="A2302460K_Data" localSheetId="2">#REF!</definedName>
    <definedName name="A2302460K_Data" localSheetId="12">#REF!</definedName>
    <definedName name="A2302460K_Data" localSheetId="0">#REF!</definedName>
    <definedName name="A2302460K_Data" localSheetId="13">#REF!</definedName>
    <definedName name="A2302460K_Data" localSheetId="1">#REF!</definedName>
    <definedName name="A2302460K_Data">#REF!</definedName>
    <definedName name="A2302460K_Latest" localSheetId="2">#REF!</definedName>
    <definedName name="A2302460K_Latest" localSheetId="12">#REF!</definedName>
    <definedName name="A2302460K_Latest" localSheetId="0">#REF!</definedName>
    <definedName name="A2302460K_Latest" localSheetId="13">#REF!</definedName>
    <definedName name="A2302460K_Latest" localSheetId="1">#REF!</definedName>
    <definedName name="A2302460K_Latest">#REF!</definedName>
    <definedName name="A2302461L" localSheetId="2">#REF!,#REF!</definedName>
    <definedName name="A2302461L" localSheetId="12">#REF!,#REF!</definedName>
    <definedName name="A2302461L" localSheetId="0">#REF!,#REF!</definedName>
    <definedName name="A2302461L" localSheetId="13">#REF!,#REF!</definedName>
    <definedName name="A2302461L" localSheetId="1">#REF!,#REF!</definedName>
    <definedName name="A2302461L">#REF!,#REF!</definedName>
    <definedName name="A2302461L_Data" localSheetId="2">#REF!</definedName>
    <definedName name="A2302461L_Data" localSheetId="12">#REF!</definedName>
    <definedName name="A2302461L_Data" localSheetId="0">#REF!</definedName>
    <definedName name="A2302461L_Data" localSheetId="13">#REF!</definedName>
    <definedName name="A2302461L_Data" localSheetId="1">#REF!</definedName>
    <definedName name="A2302461L_Data">#REF!</definedName>
    <definedName name="A2302461L_Latest" localSheetId="2">#REF!</definedName>
    <definedName name="A2302461L_Latest" localSheetId="12">#REF!</definedName>
    <definedName name="A2302461L_Latest" localSheetId="0">#REF!</definedName>
    <definedName name="A2302461L_Latest" localSheetId="13">#REF!</definedName>
    <definedName name="A2302461L_Latest" localSheetId="1">#REF!</definedName>
    <definedName name="A2302461L_Latest">#REF!</definedName>
    <definedName name="A2302462R" localSheetId="2">#REF!,#REF!</definedName>
    <definedName name="A2302462R" localSheetId="12">#REF!,#REF!</definedName>
    <definedName name="A2302462R" localSheetId="0">#REF!,#REF!</definedName>
    <definedName name="A2302462R" localSheetId="13">#REF!,#REF!</definedName>
    <definedName name="A2302462R" localSheetId="1">#REF!,#REF!</definedName>
    <definedName name="A2302462R">#REF!,#REF!</definedName>
    <definedName name="A2302462R_Data" localSheetId="2">#REF!</definedName>
    <definedName name="A2302462R_Data" localSheetId="12">#REF!</definedName>
    <definedName name="A2302462R_Data" localSheetId="0">#REF!</definedName>
    <definedName name="A2302462R_Data" localSheetId="13">#REF!</definedName>
    <definedName name="A2302462R_Data" localSheetId="1">#REF!</definedName>
    <definedName name="A2302462R_Data">#REF!</definedName>
    <definedName name="A2302462R_Latest" localSheetId="2">#REF!</definedName>
    <definedName name="A2302462R_Latest" localSheetId="12">#REF!</definedName>
    <definedName name="A2302462R_Latest" localSheetId="0">#REF!</definedName>
    <definedName name="A2302462R_Latest" localSheetId="13">#REF!</definedName>
    <definedName name="A2302462R_Latest" localSheetId="1">#REF!</definedName>
    <definedName name="A2302462R_Latest">#REF!</definedName>
    <definedName name="A2302463T" localSheetId="2">#REF!,#REF!</definedName>
    <definedName name="A2302463T" localSheetId="12">#REF!,#REF!</definedName>
    <definedName name="A2302463T" localSheetId="0">#REF!,#REF!</definedName>
    <definedName name="A2302463T" localSheetId="13">#REF!,#REF!</definedName>
    <definedName name="A2302463T" localSheetId="1">#REF!,#REF!</definedName>
    <definedName name="A2302463T">#REF!,#REF!</definedName>
    <definedName name="A2302463T_Data" localSheetId="2">#REF!</definedName>
    <definedName name="A2302463T_Data" localSheetId="12">#REF!</definedName>
    <definedName name="A2302463T_Data" localSheetId="0">#REF!</definedName>
    <definedName name="A2302463T_Data" localSheetId="13">#REF!</definedName>
    <definedName name="A2302463T_Data" localSheetId="1">#REF!</definedName>
    <definedName name="A2302463T_Data">#REF!</definedName>
    <definedName name="A2302463T_Latest" localSheetId="2">#REF!</definedName>
    <definedName name="A2302463T_Latest" localSheetId="12">#REF!</definedName>
    <definedName name="A2302463T_Latest" localSheetId="0">#REF!</definedName>
    <definedName name="A2302463T_Latest" localSheetId="13">#REF!</definedName>
    <definedName name="A2302463T_Latest" localSheetId="1">#REF!</definedName>
    <definedName name="A2302463T_Latest">#REF!</definedName>
    <definedName name="A2302464V" localSheetId="2">#REF!,#REF!</definedName>
    <definedName name="A2302464V" localSheetId="12">#REF!,#REF!</definedName>
    <definedName name="A2302464V" localSheetId="0">#REF!,#REF!</definedName>
    <definedName name="A2302464V" localSheetId="13">#REF!,#REF!</definedName>
    <definedName name="A2302464V" localSheetId="1">#REF!,#REF!</definedName>
    <definedName name="A2302464V">#REF!,#REF!</definedName>
    <definedName name="A2302464V_Data" localSheetId="2">#REF!</definedName>
    <definedName name="A2302464V_Data" localSheetId="12">#REF!</definedName>
    <definedName name="A2302464V_Data" localSheetId="0">#REF!</definedName>
    <definedName name="A2302464V_Data" localSheetId="13">#REF!</definedName>
    <definedName name="A2302464V_Data" localSheetId="1">#REF!</definedName>
    <definedName name="A2302464V_Data">#REF!</definedName>
    <definedName name="A2302464V_Latest" localSheetId="2">#REF!</definedName>
    <definedName name="A2302464V_Latest" localSheetId="12">#REF!</definedName>
    <definedName name="A2302464V_Latest" localSheetId="0">#REF!</definedName>
    <definedName name="A2302464V_Latest" localSheetId="13">#REF!</definedName>
    <definedName name="A2302464V_Latest" localSheetId="1">#REF!</definedName>
    <definedName name="A2302464V_Latest">#REF!</definedName>
    <definedName name="A2302465W" localSheetId="2">#REF!,#REF!</definedName>
    <definedName name="A2302465W" localSheetId="12">#REF!,#REF!</definedName>
    <definedName name="A2302465W" localSheetId="0">#REF!,#REF!</definedName>
    <definedName name="A2302465W" localSheetId="13">#REF!,#REF!</definedName>
    <definedName name="A2302465W" localSheetId="1">#REF!,#REF!</definedName>
    <definedName name="A2302465W">#REF!,#REF!</definedName>
    <definedName name="A2302465W_Data" localSheetId="2">#REF!</definedName>
    <definedName name="A2302465W_Data" localSheetId="12">#REF!</definedName>
    <definedName name="A2302465W_Data" localSheetId="0">#REF!</definedName>
    <definedName name="A2302465W_Data" localSheetId="13">#REF!</definedName>
    <definedName name="A2302465W_Data" localSheetId="1">#REF!</definedName>
    <definedName name="A2302465W_Data">#REF!</definedName>
    <definedName name="A2302465W_Latest" localSheetId="2">#REF!</definedName>
    <definedName name="A2302465W_Latest" localSheetId="12">#REF!</definedName>
    <definedName name="A2302465W_Latest" localSheetId="0">#REF!</definedName>
    <definedName name="A2302465W_Latest" localSheetId="13">#REF!</definedName>
    <definedName name="A2302465W_Latest" localSheetId="1">#REF!</definedName>
    <definedName name="A2302465W_Latest">#REF!</definedName>
    <definedName name="A2302466X" localSheetId="2">#REF!,#REF!</definedName>
    <definedName name="A2302466X" localSheetId="12">#REF!,#REF!</definedName>
    <definedName name="A2302466X" localSheetId="0">#REF!,#REF!</definedName>
    <definedName name="A2302466X" localSheetId="13">#REF!,#REF!</definedName>
    <definedName name="A2302466X" localSheetId="1">#REF!,#REF!</definedName>
    <definedName name="A2302466X">#REF!,#REF!</definedName>
    <definedName name="A2302466X_Data" localSheetId="2">#REF!</definedName>
    <definedName name="A2302466X_Data" localSheetId="12">#REF!</definedName>
    <definedName name="A2302466X_Data" localSheetId="0">#REF!</definedName>
    <definedName name="A2302466X_Data" localSheetId="13">#REF!</definedName>
    <definedName name="A2302466X_Data" localSheetId="1">#REF!</definedName>
    <definedName name="A2302466X_Data">#REF!</definedName>
    <definedName name="A2302466X_Latest" localSheetId="2">#REF!</definedName>
    <definedName name="A2302466X_Latest" localSheetId="12">#REF!</definedName>
    <definedName name="A2302466X_Latest" localSheetId="0">#REF!</definedName>
    <definedName name="A2302466X_Latest" localSheetId="13">#REF!</definedName>
    <definedName name="A2302466X_Latest" localSheetId="1">#REF!</definedName>
    <definedName name="A2302466X_Latest">#REF!</definedName>
    <definedName name="A2302467A" localSheetId="2">#REF!,#REF!</definedName>
    <definedName name="A2302467A" localSheetId="12">#REF!,#REF!</definedName>
    <definedName name="A2302467A" localSheetId="0">#REF!,#REF!</definedName>
    <definedName name="A2302467A" localSheetId="13">#REF!,#REF!</definedName>
    <definedName name="A2302467A" localSheetId="1">#REF!,#REF!</definedName>
    <definedName name="A2302467A">#REF!,#REF!</definedName>
    <definedName name="A2302467A_Data" localSheetId="2">#REF!</definedName>
    <definedName name="A2302467A_Data" localSheetId="12">#REF!</definedName>
    <definedName name="A2302467A_Data" localSheetId="0">#REF!</definedName>
    <definedName name="A2302467A_Data" localSheetId="13">#REF!</definedName>
    <definedName name="A2302467A_Data" localSheetId="1">#REF!</definedName>
    <definedName name="A2302467A_Data">#REF!</definedName>
    <definedName name="A2302467A_Latest" localSheetId="2">#REF!</definedName>
    <definedName name="A2302467A_Latest" localSheetId="12">#REF!</definedName>
    <definedName name="A2302467A_Latest" localSheetId="0">#REF!</definedName>
    <definedName name="A2302467A_Latest" localSheetId="13">#REF!</definedName>
    <definedName name="A2302467A_Latest" localSheetId="1">#REF!</definedName>
    <definedName name="A2302467A_Latest">#REF!</definedName>
    <definedName name="A2302468C" localSheetId="2">#REF!,#REF!</definedName>
    <definedName name="A2302468C" localSheetId="12">#REF!,#REF!</definedName>
    <definedName name="A2302468C" localSheetId="0">#REF!,#REF!</definedName>
    <definedName name="A2302468C" localSheetId="13">#REF!,#REF!</definedName>
    <definedName name="A2302468C" localSheetId="1">#REF!,#REF!</definedName>
    <definedName name="A2302468C">#REF!,#REF!</definedName>
    <definedName name="A2302468C_Data" localSheetId="2">#REF!</definedName>
    <definedName name="A2302468C_Data" localSheetId="12">#REF!</definedName>
    <definedName name="A2302468C_Data" localSheetId="0">#REF!</definedName>
    <definedName name="A2302468C_Data" localSheetId="13">#REF!</definedName>
    <definedName name="A2302468C_Data" localSheetId="1">#REF!</definedName>
    <definedName name="A2302468C_Data">#REF!</definedName>
    <definedName name="A2302468C_Latest" localSheetId="2">#REF!</definedName>
    <definedName name="A2302468C_Latest" localSheetId="12">#REF!</definedName>
    <definedName name="A2302468C_Latest" localSheetId="0">#REF!</definedName>
    <definedName name="A2302468C_Latest" localSheetId="13">#REF!</definedName>
    <definedName name="A2302468C_Latest" localSheetId="1">#REF!</definedName>
    <definedName name="A2302468C_Latest">#REF!</definedName>
    <definedName name="A2302469F" localSheetId="2">#REF!,#REF!</definedName>
    <definedName name="A2302469F" localSheetId="12">#REF!,#REF!</definedName>
    <definedName name="A2302469F" localSheetId="0">#REF!,#REF!</definedName>
    <definedName name="A2302469F" localSheetId="13">#REF!,#REF!</definedName>
    <definedName name="A2302469F" localSheetId="1">#REF!,#REF!</definedName>
    <definedName name="A2302469F">#REF!,#REF!</definedName>
    <definedName name="A2302469F_Data" localSheetId="2">#REF!</definedName>
    <definedName name="A2302469F_Data" localSheetId="12">#REF!</definedName>
    <definedName name="A2302469F_Data" localSheetId="0">#REF!</definedName>
    <definedName name="A2302469F_Data" localSheetId="13">#REF!</definedName>
    <definedName name="A2302469F_Data" localSheetId="1">#REF!</definedName>
    <definedName name="A2302469F_Data">#REF!</definedName>
    <definedName name="A2302469F_Latest" localSheetId="2">#REF!</definedName>
    <definedName name="A2302469F_Latest" localSheetId="12">#REF!</definedName>
    <definedName name="A2302469F_Latest" localSheetId="0">#REF!</definedName>
    <definedName name="A2302469F_Latest" localSheetId="13">#REF!</definedName>
    <definedName name="A2302469F_Latest" localSheetId="1">#REF!</definedName>
    <definedName name="A2302469F_Latest">#REF!</definedName>
    <definedName name="A2302470R" localSheetId="2">#REF!,#REF!</definedName>
    <definedName name="A2302470R" localSheetId="12">#REF!,#REF!</definedName>
    <definedName name="A2302470R" localSheetId="0">#REF!,#REF!</definedName>
    <definedName name="A2302470R" localSheetId="13">#REF!,#REF!</definedName>
    <definedName name="A2302470R" localSheetId="1">#REF!,#REF!</definedName>
    <definedName name="A2302470R">#REF!,#REF!</definedName>
    <definedName name="A2302470R_Data" localSheetId="2">#REF!</definedName>
    <definedName name="A2302470R_Data" localSheetId="12">#REF!</definedName>
    <definedName name="A2302470R_Data" localSheetId="0">#REF!</definedName>
    <definedName name="A2302470R_Data" localSheetId="13">#REF!</definedName>
    <definedName name="A2302470R_Data" localSheetId="1">#REF!</definedName>
    <definedName name="A2302470R_Data">#REF!</definedName>
    <definedName name="A2302470R_Latest" localSheetId="2">#REF!</definedName>
    <definedName name="A2302470R_Latest" localSheetId="12">#REF!</definedName>
    <definedName name="A2302470R_Latest" localSheetId="0">#REF!</definedName>
    <definedName name="A2302470R_Latest" localSheetId="13">#REF!</definedName>
    <definedName name="A2302470R_Latest" localSheetId="1">#REF!</definedName>
    <definedName name="A2302470R_Latest">#REF!</definedName>
    <definedName name="A2302472V" localSheetId="2">#REF!,#REF!</definedName>
    <definedName name="A2302472V" localSheetId="12">#REF!,#REF!</definedName>
    <definedName name="A2302472V" localSheetId="0">#REF!,#REF!</definedName>
    <definedName name="A2302472V" localSheetId="13">#REF!,#REF!</definedName>
    <definedName name="A2302472V" localSheetId="1">#REF!,#REF!</definedName>
    <definedName name="A2302472V">#REF!,#REF!</definedName>
    <definedName name="A2302472V_Data" localSheetId="2">#REF!</definedName>
    <definedName name="A2302472V_Data" localSheetId="12">#REF!</definedName>
    <definedName name="A2302472V_Data" localSheetId="0">#REF!</definedName>
    <definedName name="A2302472V_Data" localSheetId="13">#REF!</definedName>
    <definedName name="A2302472V_Data" localSheetId="1">#REF!</definedName>
    <definedName name="A2302472V_Data">#REF!</definedName>
    <definedName name="A2302472V_Latest" localSheetId="2">#REF!</definedName>
    <definedName name="A2302472V_Latest" localSheetId="12">#REF!</definedName>
    <definedName name="A2302472V_Latest" localSheetId="0">#REF!</definedName>
    <definedName name="A2302472V_Latest" localSheetId="13">#REF!</definedName>
    <definedName name="A2302472V_Latest" localSheetId="1">#REF!</definedName>
    <definedName name="A2302472V_Latest">#REF!</definedName>
    <definedName name="A2302473W" localSheetId="2">#REF!,#REF!</definedName>
    <definedName name="A2302473W" localSheetId="12">#REF!,#REF!</definedName>
    <definedName name="A2302473W" localSheetId="0">#REF!,#REF!</definedName>
    <definedName name="A2302473W" localSheetId="13">#REF!,#REF!</definedName>
    <definedName name="A2302473W" localSheetId="1">#REF!,#REF!</definedName>
    <definedName name="A2302473W">#REF!,#REF!</definedName>
    <definedName name="A2302473W_Data" localSheetId="2">#REF!</definedName>
    <definedName name="A2302473W_Data" localSheetId="12">#REF!</definedName>
    <definedName name="A2302473W_Data" localSheetId="0">#REF!</definedName>
    <definedName name="A2302473W_Data" localSheetId="13">#REF!</definedName>
    <definedName name="A2302473W_Data" localSheetId="1">#REF!</definedName>
    <definedName name="A2302473W_Data">#REF!</definedName>
    <definedName name="A2302473W_Latest" localSheetId="2">#REF!</definedName>
    <definedName name="A2302473W_Latest" localSheetId="12">#REF!</definedName>
    <definedName name="A2302473W_Latest" localSheetId="0">#REF!</definedName>
    <definedName name="A2302473W_Latest" localSheetId="13">#REF!</definedName>
    <definedName name="A2302473W_Latest" localSheetId="1">#REF!</definedName>
    <definedName name="A2302473W_Latest">#REF!</definedName>
    <definedName name="A2302474X" localSheetId="2">#REF!,#REF!</definedName>
    <definedName name="A2302474X" localSheetId="12">#REF!,#REF!</definedName>
    <definedName name="A2302474X" localSheetId="0">#REF!,#REF!</definedName>
    <definedName name="A2302474X" localSheetId="13">#REF!,#REF!</definedName>
    <definedName name="A2302474X" localSheetId="1">#REF!,#REF!</definedName>
    <definedName name="A2302474X">#REF!,#REF!</definedName>
    <definedName name="A2302474X_Data" localSheetId="2">#REF!</definedName>
    <definedName name="A2302474X_Data" localSheetId="12">#REF!</definedName>
    <definedName name="A2302474X_Data" localSheetId="0">#REF!</definedName>
    <definedName name="A2302474X_Data" localSheetId="13">#REF!</definedName>
    <definedName name="A2302474X_Data" localSheetId="1">#REF!</definedName>
    <definedName name="A2302474X_Data">#REF!</definedName>
    <definedName name="A2302474X_Latest" localSheetId="2">#REF!</definedName>
    <definedName name="A2302474X_Latest" localSheetId="12">#REF!</definedName>
    <definedName name="A2302474X_Latest" localSheetId="0">#REF!</definedName>
    <definedName name="A2302474X_Latest" localSheetId="13">#REF!</definedName>
    <definedName name="A2302474X_Latest" localSheetId="1">#REF!</definedName>
    <definedName name="A2302474X_Latest">#REF!</definedName>
    <definedName name="A2302475A" localSheetId="2">#REF!,#REF!</definedName>
    <definedName name="A2302475A" localSheetId="12">#REF!,#REF!</definedName>
    <definedName name="A2302475A" localSheetId="0">#REF!,#REF!</definedName>
    <definedName name="A2302475A" localSheetId="13">#REF!,#REF!</definedName>
    <definedName name="A2302475A" localSheetId="1">#REF!,#REF!</definedName>
    <definedName name="A2302475A">#REF!,#REF!</definedName>
    <definedName name="A2302475A_Data" localSheetId="2">#REF!</definedName>
    <definedName name="A2302475A_Data" localSheetId="12">#REF!</definedName>
    <definedName name="A2302475A_Data" localSheetId="0">#REF!</definedName>
    <definedName name="A2302475A_Data" localSheetId="13">#REF!</definedName>
    <definedName name="A2302475A_Data" localSheetId="1">#REF!</definedName>
    <definedName name="A2302475A_Data">#REF!</definedName>
    <definedName name="A2302475A_Latest" localSheetId="2">#REF!</definedName>
    <definedName name="A2302475A_Latest" localSheetId="12">#REF!</definedName>
    <definedName name="A2302475A_Latest" localSheetId="0">#REF!</definedName>
    <definedName name="A2302475A_Latest" localSheetId="13">#REF!</definedName>
    <definedName name="A2302475A_Latest" localSheetId="1">#REF!</definedName>
    <definedName name="A2302475A_Latest">#REF!</definedName>
    <definedName name="A2302476C" localSheetId="2">#REF!,#REF!</definedName>
    <definedName name="A2302476C" localSheetId="12">#REF!,#REF!</definedName>
    <definedName name="A2302476C" localSheetId="0">#REF!,#REF!</definedName>
    <definedName name="A2302476C" localSheetId="13">#REF!,#REF!</definedName>
    <definedName name="A2302476C" localSheetId="1">#REF!,#REF!</definedName>
    <definedName name="A2302476C">#REF!,#REF!</definedName>
    <definedName name="A2302476C_Data" localSheetId="2">#REF!</definedName>
    <definedName name="A2302476C_Data" localSheetId="12">#REF!</definedName>
    <definedName name="A2302476C_Data" localSheetId="0">#REF!</definedName>
    <definedName name="A2302476C_Data" localSheetId="13">#REF!</definedName>
    <definedName name="A2302476C_Data" localSheetId="1">#REF!</definedName>
    <definedName name="A2302476C_Data">#REF!</definedName>
    <definedName name="A2302476C_Latest" localSheetId="2">#REF!</definedName>
    <definedName name="A2302476C_Latest" localSheetId="12">#REF!</definedName>
    <definedName name="A2302476C_Latest" localSheetId="0">#REF!</definedName>
    <definedName name="A2302476C_Latest" localSheetId="13">#REF!</definedName>
    <definedName name="A2302476C_Latest" localSheetId="1">#REF!</definedName>
    <definedName name="A2302476C_Latest">#REF!</definedName>
    <definedName name="A2302477F" localSheetId="2">#REF!,#REF!</definedName>
    <definedName name="A2302477F" localSheetId="12">#REF!,#REF!</definedName>
    <definedName name="A2302477F" localSheetId="0">#REF!,#REF!</definedName>
    <definedName name="A2302477F" localSheetId="13">#REF!,#REF!</definedName>
    <definedName name="A2302477F" localSheetId="1">#REF!,#REF!</definedName>
    <definedName name="A2302477F">#REF!,#REF!</definedName>
    <definedName name="A2302477F_Data" localSheetId="2">#REF!</definedName>
    <definedName name="A2302477F_Data" localSheetId="12">#REF!</definedName>
    <definedName name="A2302477F_Data" localSheetId="0">#REF!</definedName>
    <definedName name="A2302477F_Data" localSheetId="13">#REF!</definedName>
    <definedName name="A2302477F_Data" localSheetId="1">#REF!</definedName>
    <definedName name="A2302477F_Data">#REF!</definedName>
    <definedName name="A2302477F_Latest" localSheetId="2">#REF!</definedName>
    <definedName name="A2302477F_Latest" localSheetId="12">#REF!</definedName>
    <definedName name="A2302477F_Latest" localSheetId="0">#REF!</definedName>
    <definedName name="A2302477F_Latest" localSheetId="13">#REF!</definedName>
    <definedName name="A2302477F_Latest" localSheetId="1">#REF!</definedName>
    <definedName name="A2302477F_Latest">#REF!</definedName>
    <definedName name="A2302478J" localSheetId="2">#REF!,#REF!</definedName>
    <definedName name="A2302478J" localSheetId="12">#REF!,#REF!</definedName>
    <definedName name="A2302478J" localSheetId="0">#REF!,#REF!</definedName>
    <definedName name="A2302478J" localSheetId="13">#REF!,#REF!</definedName>
    <definedName name="A2302478J" localSheetId="1">#REF!,#REF!</definedName>
    <definedName name="A2302478J">#REF!,#REF!</definedName>
    <definedName name="A2302478J_Data" localSheetId="2">#REF!</definedName>
    <definedName name="A2302478J_Data" localSheetId="12">#REF!</definedName>
    <definedName name="A2302478J_Data" localSheetId="0">#REF!</definedName>
    <definedName name="A2302478J_Data" localSheetId="13">#REF!</definedName>
    <definedName name="A2302478J_Data" localSheetId="1">#REF!</definedName>
    <definedName name="A2302478J_Data">#REF!</definedName>
    <definedName name="A2302478J_Latest" localSheetId="2">#REF!</definedName>
    <definedName name="A2302478J_Latest" localSheetId="12">#REF!</definedName>
    <definedName name="A2302478J_Latest" localSheetId="0">#REF!</definedName>
    <definedName name="A2302478J_Latest" localSheetId="13">#REF!</definedName>
    <definedName name="A2302478J_Latest" localSheetId="1">#REF!</definedName>
    <definedName name="A2302478J_Latest">#REF!</definedName>
    <definedName name="A2302696F" localSheetId="2">#REF!,#REF!</definedName>
    <definedName name="A2302696F" localSheetId="12">#REF!,#REF!</definedName>
    <definedName name="A2302696F" localSheetId="0">#REF!,#REF!</definedName>
    <definedName name="A2302696F" localSheetId="13">#REF!,#REF!</definedName>
    <definedName name="A2302696F" localSheetId="1">#REF!,#REF!</definedName>
    <definedName name="A2302696F">#REF!,#REF!</definedName>
    <definedName name="A2302696F_Data" localSheetId="2">#REF!</definedName>
    <definedName name="A2302696F_Data" localSheetId="12">#REF!</definedName>
    <definedName name="A2302696F_Data" localSheetId="0">#REF!</definedName>
    <definedName name="A2302696F_Data" localSheetId="13">#REF!</definedName>
    <definedName name="A2302696F_Data" localSheetId="1">#REF!</definedName>
    <definedName name="A2302696F_Data">#REF!</definedName>
    <definedName name="A2302696F_Latest" localSheetId="2">#REF!</definedName>
    <definedName name="A2302696F_Latest" localSheetId="12">#REF!</definedName>
    <definedName name="A2302696F_Latest" localSheetId="0">#REF!</definedName>
    <definedName name="A2302696F_Latest" localSheetId="13">#REF!</definedName>
    <definedName name="A2302696F_Latest" localSheetId="1">#REF!</definedName>
    <definedName name="A2302696F_Latest">#REF!</definedName>
    <definedName name="A2302697J" localSheetId="2">#REF!,#REF!</definedName>
    <definedName name="A2302697J" localSheetId="12">#REF!,#REF!</definedName>
    <definedName name="A2302697J" localSheetId="0">#REF!,#REF!</definedName>
    <definedName name="A2302697J" localSheetId="13">#REF!,#REF!</definedName>
    <definedName name="A2302697J" localSheetId="1">#REF!,#REF!</definedName>
    <definedName name="A2302697J">#REF!,#REF!</definedName>
    <definedName name="A2302697J_Data" localSheetId="2">#REF!</definedName>
    <definedName name="A2302697J_Data" localSheetId="12">#REF!</definedName>
    <definedName name="A2302697J_Data" localSheetId="0">#REF!</definedName>
    <definedName name="A2302697J_Data" localSheetId="13">#REF!</definedName>
    <definedName name="A2302697J_Data" localSheetId="1">#REF!</definedName>
    <definedName name="A2302697J_Data">#REF!</definedName>
    <definedName name="A2302697J_Latest" localSheetId="2">#REF!</definedName>
    <definedName name="A2302697J_Latest" localSheetId="12">#REF!</definedName>
    <definedName name="A2302697J_Latest" localSheetId="0">#REF!</definedName>
    <definedName name="A2302697J_Latest" localSheetId="13">#REF!</definedName>
    <definedName name="A2302697J_Latest" localSheetId="1">#REF!</definedName>
    <definedName name="A2302697J_Latest">#REF!</definedName>
    <definedName name="A2302698K" localSheetId="2">#REF!,#REF!</definedName>
    <definedName name="A2302698K" localSheetId="12">#REF!,#REF!</definedName>
    <definedName name="A2302698K" localSheetId="0">#REF!,#REF!</definedName>
    <definedName name="A2302698K" localSheetId="13">#REF!,#REF!</definedName>
    <definedName name="A2302698K" localSheetId="1">#REF!,#REF!</definedName>
    <definedName name="A2302698K">#REF!,#REF!</definedName>
    <definedName name="A2302698K_Data" localSheetId="2">#REF!</definedName>
    <definedName name="A2302698K_Data" localSheetId="12">#REF!</definedName>
    <definedName name="A2302698K_Data" localSheetId="0">#REF!</definedName>
    <definedName name="A2302698K_Data" localSheetId="13">#REF!</definedName>
    <definedName name="A2302698K_Data" localSheetId="1">#REF!</definedName>
    <definedName name="A2302698K_Data">#REF!</definedName>
    <definedName name="A2302698K_Latest" localSheetId="2">#REF!</definedName>
    <definedName name="A2302698K_Latest" localSheetId="12">#REF!</definedName>
    <definedName name="A2302698K_Latest" localSheetId="0">#REF!</definedName>
    <definedName name="A2302698K_Latest" localSheetId="13">#REF!</definedName>
    <definedName name="A2302698K_Latest" localSheetId="1">#REF!</definedName>
    <definedName name="A2302698K_Latest">#REF!</definedName>
    <definedName name="A2302699L" localSheetId="2">#REF!,#REF!</definedName>
    <definedName name="A2302699L" localSheetId="12">#REF!,#REF!</definedName>
    <definedName name="A2302699L" localSheetId="0">#REF!,#REF!</definedName>
    <definedName name="A2302699L" localSheetId="13">#REF!,#REF!</definedName>
    <definedName name="A2302699L" localSheetId="1">#REF!,#REF!</definedName>
    <definedName name="A2302699L">#REF!,#REF!</definedName>
    <definedName name="A2302699L_Data" localSheetId="2">#REF!</definedName>
    <definedName name="A2302699L_Data" localSheetId="12">#REF!</definedName>
    <definedName name="A2302699L_Data" localSheetId="0">#REF!</definedName>
    <definedName name="A2302699L_Data" localSheetId="13">#REF!</definedName>
    <definedName name="A2302699L_Data" localSheetId="1">#REF!</definedName>
    <definedName name="A2302699L_Data">#REF!</definedName>
    <definedName name="A2302699L_Latest" localSheetId="2">#REF!</definedName>
    <definedName name="A2302699L_Latest" localSheetId="12">#REF!</definedName>
    <definedName name="A2302699L_Latest" localSheetId="0">#REF!</definedName>
    <definedName name="A2302699L_Latest" localSheetId="13">#REF!</definedName>
    <definedName name="A2302699L_Latest" localSheetId="1">#REF!</definedName>
    <definedName name="A2302699L_Latest">#REF!</definedName>
    <definedName name="A2302700K" localSheetId="2">#REF!,#REF!</definedName>
    <definedName name="A2302700K" localSheetId="12">#REF!,#REF!</definedName>
    <definedName name="A2302700K" localSheetId="0">#REF!,#REF!</definedName>
    <definedName name="A2302700K" localSheetId="13">#REF!,#REF!</definedName>
    <definedName name="A2302700K" localSheetId="1">#REF!,#REF!</definedName>
    <definedName name="A2302700K">#REF!,#REF!</definedName>
    <definedName name="A2302700K_Data" localSheetId="2">#REF!</definedName>
    <definedName name="A2302700K_Data" localSheetId="12">#REF!</definedName>
    <definedName name="A2302700K_Data" localSheetId="0">#REF!</definedName>
    <definedName name="A2302700K_Data" localSheetId="13">#REF!</definedName>
    <definedName name="A2302700K_Data" localSheetId="1">#REF!</definedName>
    <definedName name="A2302700K_Data">#REF!</definedName>
    <definedName name="A2302700K_Latest" localSheetId="2">#REF!</definedName>
    <definedName name="A2302700K_Latest" localSheetId="12">#REF!</definedName>
    <definedName name="A2302700K_Latest" localSheetId="0">#REF!</definedName>
    <definedName name="A2302700K_Latest" localSheetId="13">#REF!</definedName>
    <definedName name="A2302700K_Latest" localSheetId="1">#REF!</definedName>
    <definedName name="A2302700K_Latest">#REF!</definedName>
    <definedName name="A2302701L" localSheetId="2">#REF!,#REF!</definedName>
    <definedName name="A2302701L" localSheetId="12">#REF!,#REF!</definedName>
    <definedName name="A2302701L" localSheetId="0">#REF!,#REF!</definedName>
    <definedName name="A2302701L" localSheetId="13">#REF!,#REF!</definedName>
    <definedName name="A2302701L" localSheetId="1">#REF!,#REF!</definedName>
    <definedName name="A2302701L">#REF!,#REF!</definedName>
    <definedName name="A2302701L_Data" localSheetId="2">#REF!</definedName>
    <definedName name="A2302701L_Data" localSheetId="12">#REF!</definedName>
    <definedName name="A2302701L_Data" localSheetId="0">#REF!</definedName>
    <definedName name="A2302701L_Data" localSheetId="13">#REF!</definedName>
    <definedName name="A2302701L_Data" localSheetId="1">#REF!</definedName>
    <definedName name="A2302701L_Data">#REF!</definedName>
    <definedName name="A2302701L_Latest" localSheetId="2">#REF!</definedName>
    <definedName name="A2302701L_Latest" localSheetId="12">#REF!</definedName>
    <definedName name="A2302701L_Latest" localSheetId="0">#REF!</definedName>
    <definedName name="A2302701L_Latest" localSheetId="13">#REF!</definedName>
    <definedName name="A2302701L_Latest" localSheetId="1">#REF!</definedName>
    <definedName name="A2302701L_Latest">#REF!</definedName>
    <definedName name="A2302702R" localSheetId="2">#REF!,#REF!</definedName>
    <definedName name="A2302702R" localSheetId="12">#REF!,#REF!</definedName>
    <definedName name="A2302702R" localSheetId="0">#REF!,#REF!</definedName>
    <definedName name="A2302702R" localSheetId="13">#REF!,#REF!</definedName>
    <definedName name="A2302702R" localSheetId="1">#REF!,#REF!</definedName>
    <definedName name="A2302702R">#REF!,#REF!</definedName>
    <definedName name="A2302702R_Data" localSheetId="2">#REF!</definedName>
    <definedName name="A2302702R_Data" localSheetId="12">#REF!</definedName>
    <definedName name="A2302702R_Data" localSheetId="0">#REF!</definedName>
    <definedName name="A2302702R_Data" localSheetId="13">#REF!</definedName>
    <definedName name="A2302702R_Data" localSheetId="1">#REF!</definedName>
    <definedName name="A2302702R_Data">#REF!</definedName>
    <definedName name="A2302702R_Latest" localSheetId="2">#REF!</definedName>
    <definedName name="A2302702R_Latest" localSheetId="12">#REF!</definedName>
    <definedName name="A2302702R_Latest" localSheetId="0">#REF!</definedName>
    <definedName name="A2302702R_Latest" localSheetId="13">#REF!</definedName>
    <definedName name="A2302702R_Latest" localSheetId="1">#REF!</definedName>
    <definedName name="A2302702R_Latest">#REF!</definedName>
    <definedName name="A2302703T" localSheetId="2">#REF!,#REF!</definedName>
    <definedName name="A2302703T" localSheetId="12">#REF!,#REF!</definedName>
    <definedName name="A2302703T" localSheetId="0">#REF!,#REF!</definedName>
    <definedName name="A2302703T" localSheetId="13">#REF!,#REF!</definedName>
    <definedName name="A2302703T" localSheetId="1">#REF!,#REF!</definedName>
    <definedName name="A2302703T">#REF!,#REF!</definedName>
    <definedName name="A2302703T_Data" localSheetId="2">#REF!</definedName>
    <definedName name="A2302703T_Data" localSheetId="12">#REF!</definedName>
    <definedName name="A2302703T_Data" localSheetId="0">#REF!</definedName>
    <definedName name="A2302703T_Data" localSheetId="13">#REF!</definedName>
    <definedName name="A2302703T_Data" localSheetId="1">#REF!</definedName>
    <definedName name="A2302703T_Data">#REF!</definedName>
    <definedName name="A2302703T_Latest" localSheetId="2">#REF!</definedName>
    <definedName name="A2302703T_Latest" localSheetId="12">#REF!</definedName>
    <definedName name="A2302703T_Latest" localSheetId="0">#REF!</definedName>
    <definedName name="A2302703T_Latest" localSheetId="13">#REF!</definedName>
    <definedName name="A2302703T_Latest" localSheetId="1">#REF!</definedName>
    <definedName name="A2302703T_Latest">#REF!</definedName>
    <definedName name="A2302704V" localSheetId="2">#REF!,#REF!</definedName>
    <definedName name="A2302704V" localSheetId="12">#REF!,#REF!</definedName>
    <definedName name="A2302704V" localSheetId="0">#REF!,#REF!</definedName>
    <definedName name="A2302704V" localSheetId="13">#REF!,#REF!</definedName>
    <definedName name="A2302704V" localSheetId="1">#REF!,#REF!</definedName>
    <definedName name="A2302704V">#REF!,#REF!</definedName>
    <definedName name="A2302704V_Data" localSheetId="2">#REF!</definedName>
    <definedName name="A2302704V_Data" localSheetId="12">#REF!</definedName>
    <definedName name="A2302704V_Data" localSheetId="0">#REF!</definedName>
    <definedName name="A2302704V_Data" localSheetId="13">#REF!</definedName>
    <definedName name="A2302704V_Data" localSheetId="1">#REF!</definedName>
    <definedName name="A2302704V_Data">#REF!</definedName>
    <definedName name="A2302704V_Latest" localSheetId="2">#REF!</definedName>
    <definedName name="A2302704V_Latest" localSheetId="12">#REF!</definedName>
    <definedName name="A2302704V_Latest" localSheetId="0">#REF!</definedName>
    <definedName name="A2302704V_Latest" localSheetId="13">#REF!</definedName>
    <definedName name="A2302704V_Latest" localSheetId="1">#REF!</definedName>
    <definedName name="A2302704V_Latest">#REF!</definedName>
    <definedName name="A2302705W" localSheetId="2">#REF!,#REF!</definedName>
    <definedName name="A2302705W" localSheetId="12">#REF!,#REF!</definedName>
    <definedName name="A2302705W" localSheetId="0">#REF!,#REF!</definedName>
    <definedName name="A2302705W" localSheetId="13">#REF!,#REF!</definedName>
    <definedName name="A2302705W" localSheetId="1">#REF!,#REF!</definedName>
    <definedName name="A2302705W">#REF!,#REF!</definedName>
    <definedName name="A2302705W_Data" localSheetId="2">#REF!</definedName>
    <definedName name="A2302705W_Data" localSheetId="12">#REF!</definedName>
    <definedName name="A2302705W_Data" localSheetId="0">#REF!</definedName>
    <definedName name="A2302705W_Data" localSheetId="13">#REF!</definedName>
    <definedName name="A2302705W_Data" localSheetId="1">#REF!</definedName>
    <definedName name="A2302705W_Data">#REF!</definedName>
    <definedName name="A2302705W_Latest" localSheetId="2">#REF!</definedName>
    <definedName name="A2302705W_Latest" localSheetId="12">#REF!</definedName>
    <definedName name="A2302705W_Latest" localSheetId="0">#REF!</definedName>
    <definedName name="A2302705W_Latest" localSheetId="13">#REF!</definedName>
    <definedName name="A2302705W_Latest" localSheetId="1">#REF!</definedName>
    <definedName name="A2302705W_Latest">#REF!</definedName>
    <definedName name="A2304190J" localSheetId="2">#REF!,#REF!</definedName>
    <definedName name="A2304190J" localSheetId="12">#REF!,#REF!</definedName>
    <definedName name="A2304190J" localSheetId="0">#REF!,#REF!</definedName>
    <definedName name="A2304190J" localSheetId="13">#REF!,#REF!</definedName>
    <definedName name="A2304190J" localSheetId="1">#REF!,#REF!</definedName>
    <definedName name="A2304190J">#REF!,#REF!</definedName>
    <definedName name="A2304190J_Data" localSheetId="2">#REF!</definedName>
    <definedName name="A2304190J_Data" localSheetId="12">#REF!</definedName>
    <definedName name="A2304190J_Data" localSheetId="0">#REF!</definedName>
    <definedName name="A2304190J_Data" localSheetId="13">#REF!</definedName>
    <definedName name="A2304190J_Data" localSheetId="1">#REF!</definedName>
    <definedName name="A2304190J_Data">#REF!</definedName>
    <definedName name="A2304190J_Latest" localSheetId="2">#REF!</definedName>
    <definedName name="A2304190J_Latest" localSheetId="12">#REF!</definedName>
    <definedName name="A2304190J_Latest" localSheetId="0">#REF!</definedName>
    <definedName name="A2304190J_Latest" localSheetId="13">#REF!</definedName>
    <definedName name="A2304190J_Latest" localSheetId="1">#REF!</definedName>
    <definedName name="A2304190J_Latest">#REF!</definedName>
    <definedName name="A2304192L" localSheetId="2">#REF!,#REF!</definedName>
    <definedName name="A2304192L" localSheetId="12">#REF!,#REF!</definedName>
    <definedName name="A2304192L" localSheetId="0">#REF!,#REF!</definedName>
    <definedName name="A2304192L" localSheetId="13">#REF!,#REF!</definedName>
    <definedName name="A2304192L" localSheetId="1">#REF!,#REF!</definedName>
    <definedName name="A2304192L">#REF!,#REF!</definedName>
    <definedName name="A2304192L_Data" localSheetId="2">#REF!</definedName>
    <definedName name="A2304192L_Data" localSheetId="12">#REF!</definedName>
    <definedName name="A2304192L_Data" localSheetId="0">#REF!</definedName>
    <definedName name="A2304192L_Data" localSheetId="13">#REF!</definedName>
    <definedName name="A2304192L_Data" localSheetId="1">#REF!</definedName>
    <definedName name="A2304192L_Data">#REF!</definedName>
    <definedName name="A2304192L_Latest" localSheetId="2">#REF!</definedName>
    <definedName name="A2304192L_Latest" localSheetId="12">#REF!</definedName>
    <definedName name="A2304192L_Latest" localSheetId="0">#REF!</definedName>
    <definedName name="A2304192L_Latest" localSheetId="13">#REF!</definedName>
    <definedName name="A2304192L_Latest" localSheetId="1">#REF!</definedName>
    <definedName name="A2304192L_Latest">#REF!</definedName>
    <definedName name="A2304194T" localSheetId="2">#REF!,#REF!</definedName>
    <definedName name="A2304194T" localSheetId="12">#REF!,#REF!</definedName>
    <definedName name="A2304194T" localSheetId="0">#REF!,#REF!</definedName>
    <definedName name="A2304194T" localSheetId="13">#REF!,#REF!</definedName>
    <definedName name="A2304194T" localSheetId="1">#REF!,#REF!</definedName>
    <definedName name="A2304194T">#REF!,#REF!</definedName>
    <definedName name="A2304194T_Data" localSheetId="2">#REF!</definedName>
    <definedName name="A2304194T_Data" localSheetId="12">#REF!</definedName>
    <definedName name="A2304194T_Data" localSheetId="0">#REF!</definedName>
    <definedName name="A2304194T_Data" localSheetId="13">#REF!</definedName>
    <definedName name="A2304194T_Data" localSheetId="1">#REF!</definedName>
    <definedName name="A2304194T_Data">#REF!</definedName>
    <definedName name="A2304194T_Latest" localSheetId="2">#REF!</definedName>
    <definedName name="A2304194T_Latest" localSheetId="12">#REF!</definedName>
    <definedName name="A2304194T_Latest" localSheetId="0">#REF!</definedName>
    <definedName name="A2304194T_Latest" localSheetId="13">#REF!</definedName>
    <definedName name="A2304194T_Latest" localSheetId="1">#REF!</definedName>
    <definedName name="A2304194T_Latest">#REF!</definedName>
    <definedName name="A2304196W" localSheetId="2">#REF!,#REF!</definedName>
    <definedName name="A2304196W" localSheetId="12">#REF!,#REF!</definedName>
    <definedName name="A2304196W" localSheetId="0">#REF!,#REF!</definedName>
    <definedName name="A2304196W" localSheetId="13">#REF!,#REF!</definedName>
    <definedName name="A2304196W" localSheetId="1">#REF!,#REF!</definedName>
    <definedName name="A2304196W">#REF!,#REF!</definedName>
    <definedName name="A2304196W_Data" localSheetId="2">#REF!</definedName>
    <definedName name="A2304196W_Data" localSheetId="12">#REF!</definedName>
    <definedName name="A2304196W_Data" localSheetId="0">#REF!</definedName>
    <definedName name="A2304196W_Data" localSheetId="13">#REF!</definedName>
    <definedName name="A2304196W_Data" localSheetId="1">#REF!</definedName>
    <definedName name="A2304196W_Data">#REF!</definedName>
    <definedName name="A2304196W_Latest" localSheetId="2">#REF!</definedName>
    <definedName name="A2304196W_Latest" localSheetId="12">#REF!</definedName>
    <definedName name="A2304196W_Latest" localSheetId="0">#REF!</definedName>
    <definedName name="A2304196W_Latest" localSheetId="13">#REF!</definedName>
    <definedName name="A2304196W_Latest" localSheetId="1">#REF!</definedName>
    <definedName name="A2304196W_Latest">#REF!</definedName>
    <definedName name="A2304198A" localSheetId="2">#REF!,#REF!</definedName>
    <definedName name="A2304198A" localSheetId="12">#REF!,#REF!</definedName>
    <definedName name="A2304198A" localSheetId="0">#REF!,#REF!</definedName>
    <definedName name="A2304198A" localSheetId="13">#REF!,#REF!</definedName>
    <definedName name="A2304198A" localSheetId="1">#REF!,#REF!</definedName>
    <definedName name="A2304198A">#REF!,#REF!</definedName>
    <definedName name="A2304198A_Data" localSheetId="2">#REF!</definedName>
    <definedName name="A2304198A_Data" localSheetId="12">#REF!</definedName>
    <definedName name="A2304198A_Data" localSheetId="0">#REF!</definedName>
    <definedName name="A2304198A_Data" localSheetId="13">#REF!</definedName>
    <definedName name="A2304198A_Data" localSheetId="1">#REF!</definedName>
    <definedName name="A2304198A_Data">#REF!</definedName>
    <definedName name="A2304198A_Latest" localSheetId="2">#REF!</definedName>
    <definedName name="A2304198A_Latest" localSheetId="12">#REF!</definedName>
    <definedName name="A2304198A_Latest" localSheetId="0">#REF!</definedName>
    <definedName name="A2304198A_Latest" localSheetId="13">#REF!</definedName>
    <definedName name="A2304198A_Latest" localSheetId="1">#REF!</definedName>
    <definedName name="A2304198A_Latest">#REF!</definedName>
    <definedName name="A2304200A" localSheetId="2">#REF!,#REF!</definedName>
    <definedName name="A2304200A" localSheetId="12">#REF!,#REF!</definedName>
    <definedName name="A2304200A" localSheetId="0">#REF!,#REF!</definedName>
    <definedName name="A2304200A" localSheetId="13">#REF!,#REF!</definedName>
    <definedName name="A2304200A" localSheetId="1">#REF!,#REF!</definedName>
    <definedName name="A2304200A">#REF!,#REF!</definedName>
    <definedName name="A2304200A_Data" localSheetId="2">#REF!</definedName>
    <definedName name="A2304200A_Data" localSheetId="12">#REF!</definedName>
    <definedName name="A2304200A_Data" localSheetId="0">#REF!</definedName>
    <definedName name="A2304200A_Data" localSheetId="13">#REF!</definedName>
    <definedName name="A2304200A_Data" localSheetId="1">#REF!</definedName>
    <definedName name="A2304200A_Data">#REF!</definedName>
    <definedName name="A2304200A_Latest" localSheetId="2">#REF!</definedName>
    <definedName name="A2304200A_Latest" localSheetId="12">#REF!</definedName>
    <definedName name="A2304200A_Latest" localSheetId="0">#REF!</definedName>
    <definedName name="A2304200A_Latest" localSheetId="13">#REF!</definedName>
    <definedName name="A2304200A_Latest" localSheetId="1">#REF!</definedName>
    <definedName name="A2304200A_Latest">#REF!</definedName>
    <definedName name="A2304308C" localSheetId="2">#REF!,#REF!</definedName>
    <definedName name="A2304308C" localSheetId="12">#REF!,#REF!</definedName>
    <definedName name="A2304308C" localSheetId="0">#REF!,#REF!</definedName>
    <definedName name="A2304308C" localSheetId="13">#REF!,#REF!</definedName>
    <definedName name="A2304308C" localSheetId="1">#REF!,#REF!</definedName>
    <definedName name="A2304308C">#REF!,#REF!</definedName>
    <definedName name="A2304308C_Data" localSheetId="2">#REF!</definedName>
    <definedName name="A2304308C_Data" localSheetId="12">#REF!</definedName>
    <definedName name="A2304308C_Data" localSheetId="0">#REF!</definedName>
    <definedName name="A2304308C_Data" localSheetId="13">#REF!</definedName>
    <definedName name="A2304308C_Data" localSheetId="1">#REF!</definedName>
    <definedName name="A2304308C_Data">#REF!</definedName>
    <definedName name="A2304308C_Latest" localSheetId="2">#REF!</definedName>
    <definedName name="A2304308C_Latest" localSheetId="12">#REF!</definedName>
    <definedName name="A2304308C_Latest" localSheetId="0">#REF!</definedName>
    <definedName name="A2304308C_Latest" localSheetId="13">#REF!</definedName>
    <definedName name="A2304308C_Latest" localSheetId="1">#REF!</definedName>
    <definedName name="A2304308C_Latest">#REF!</definedName>
    <definedName name="A2304310R" localSheetId="2">#REF!,#REF!</definedName>
    <definedName name="A2304310R" localSheetId="12">#REF!,#REF!</definedName>
    <definedName name="A2304310R" localSheetId="0">#REF!,#REF!</definedName>
    <definedName name="A2304310R" localSheetId="13">#REF!,#REF!</definedName>
    <definedName name="A2304310R" localSheetId="1">#REF!,#REF!</definedName>
    <definedName name="A2304310R">#REF!,#REF!</definedName>
    <definedName name="A2304310R_Data" localSheetId="2">#REF!</definedName>
    <definedName name="A2304310R_Data" localSheetId="12">#REF!</definedName>
    <definedName name="A2304310R_Data" localSheetId="0">#REF!</definedName>
    <definedName name="A2304310R_Data" localSheetId="13">#REF!</definedName>
    <definedName name="A2304310R_Data" localSheetId="1">#REF!</definedName>
    <definedName name="A2304310R_Data">#REF!</definedName>
    <definedName name="A2304310R_Latest" localSheetId="2">#REF!</definedName>
    <definedName name="A2304310R_Latest" localSheetId="12">#REF!</definedName>
    <definedName name="A2304310R_Latest" localSheetId="0">#REF!</definedName>
    <definedName name="A2304310R_Latest" localSheetId="13">#REF!</definedName>
    <definedName name="A2304310R_Latest" localSheetId="1">#REF!</definedName>
    <definedName name="A2304310R_Latest">#REF!</definedName>
    <definedName name="A2304312V" localSheetId="2">#REF!,#REF!</definedName>
    <definedName name="A2304312V" localSheetId="12">#REF!,#REF!</definedName>
    <definedName name="A2304312V" localSheetId="0">#REF!,#REF!</definedName>
    <definedName name="A2304312V" localSheetId="13">#REF!,#REF!</definedName>
    <definedName name="A2304312V" localSheetId="1">#REF!,#REF!</definedName>
    <definedName name="A2304312V">#REF!,#REF!</definedName>
    <definedName name="A2304312V_Data" localSheetId="2">#REF!</definedName>
    <definedName name="A2304312V_Data" localSheetId="12">#REF!</definedName>
    <definedName name="A2304312V_Data" localSheetId="0">#REF!</definedName>
    <definedName name="A2304312V_Data" localSheetId="13">#REF!</definedName>
    <definedName name="A2304312V_Data" localSheetId="1">#REF!</definedName>
    <definedName name="A2304312V_Data">#REF!</definedName>
    <definedName name="A2304312V_Latest" localSheetId="2">#REF!</definedName>
    <definedName name="A2304312V_Latest" localSheetId="12">#REF!</definedName>
    <definedName name="A2304312V_Latest" localSheetId="0">#REF!</definedName>
    <definedName name="A2304312V_Latest" localSheetId="13">#REF!</definedName>
    <definedName name="A2304312V_Latest" localSheetId="1">#REF!</definedName>
    <definedName name="A2304312V_Latest">#REF!</definedName>
    <definedName name="A2304314X" localSheetId="2">#REF!,#REF!</definedName>
    <definedName name="A2304314X" localSheetId="12">#REF!,#REF!</definedName>
    <definedName name="A2304314X" localSheetId="0">#REF!,#REF!</definedName>
    <definedName name="A2304314X" localSheetId="13">#REF!,#REF!</definedName>
    <definedName name="A2304314X" localSheetId="1">#REF!,#REF!</definedName>
    <definedName name="A2304314X">#REF!,#REF!</definedName>
    <definedName name="A2304314X_Data" localSheetId="2">#REF!</definedName>
    <definedName name="A2304314X_Data" localSheetId="12">#REF!</definedName>
    <definedName name="A2304314X_Data" localSheetId="0">#REF!</definedName>
    <definedName name="A2304314X_Data" localSheetId="13">#REF!</definedName>
    <definedName name="A2304314X_Data" localSheetId="1">#REF!</definedName>
    <definedName name="A2304314X_Data">#REF!</definedName>
    <definedName name="A2304314X_Latest" localSheetId="2">#REF!</definedName>
    <definedName name="A2304314X_Latest" localSheetId="12">#REF!</definedName>
    <definedName name="A2304314X_Latest" localSheetId="0">#REF!</definedName>
    <definedName name="A2304314X_Latest" localSheetId="13">#REF!</definedName>
    <definedName name="A2304314X_Latest" localSheetId="1">#REF!</definedName>
    <definedName name="A2304314X_Latest">#REF!</definedName>
    <definedName name="A2304316C" localSheetId="2">#REF!,#REF!</definedName>
    <definedName name="A2304316C" localSheetId="12">#REF!,#REF!</definedName>
    <definedName name="A2304316C" localSheetId="0">#REF!,#REF!</definedName>
    <definedName name="A2304316C" localSheetId="13">#REF!,#REF!</definedName>
    <definedName name="A2304316C" localSheetId="1">#REF!,#REF!</definedName>
    <definedName name="A2304316C">#REF!,#REF!</definedName>
    <definedName name="A2304316C_Data" localSheetId="2">#REF!</definedName>
    <definedName name="A2304316C_Data" localSheetId="12">#REF!</definedName>
    <definedName name="A2304316C_Data" localSheetId="0">#REF!</definedName>
    <definedName name="A2304316C_Data" localSheetId="13">#REF!</definedName>
    <definedName name="A2304316C_Data" localSheetId="1">#REF!</definedName>
    <definedName name="A2304316C_Data">#REF!</definedName>
    <definedName name="A2304316C_Latest" localSheetId="2">#REF!</definedName>
    <definedName name="A2304316C_Latest" localSheetId="12">#REF!</definedName>
    <definedName name="A2304316C_Latest" localSheetId="0">#REF!</definedName>
    <definedName name="A2304316C_Latest" localSheetId="13">#REF!</definedName>
    <definedName name="A2304316C_Latest" localSheetId="1">#REF!</definedName>
    <definedName name="A2304316C_Latest">#REF!</definedName>
    <definedName name="A2304318J" localSheetId="2">#REF!,#REF!</definedName>
    <definedName name="A2304318J" localSheetId="12">#REF!,#REF!</definedName>
    <definedName name="A2304318J" localSheetId="0">#REF!,#REF!</definedName>
    <definedName name="A2304318J" localSheetId="13">#REF!,#REF!</definedName>
    <definedName name="A2304318J" localSheetId="1">#REF!,#REF!</definedName>
    <definedName name="A2304318J">#REF!,#REF!</definedName>
    <definedName name="A2304318J_Data" localSheetId="2">#REF!</definedName>
    <definedName name="A2304318J_Data" localSheetId="12">#REF!</definedName>
    <definedName name="A2304318J_Data" localSheetId="0">#REF!</definedName>
    <definedName name="A2304318J_Data" localSheetId="13">#REF!</definedName>
    <definedName name="A2304318J_Data" localSheetId="1">#REF!</definedName>
    <definedName name="A2304318J_Data">#REF!</definedName>
    <definedName name="A2304318J_Latest" localSheetId="2">#REF!</definedName>
    <definedName name="A2304318J_Latest" localSheetId="12">#REF!</definedName>
    <definedName name="A2304318J_Latest" localSheetId="0">#REF!</definedName>
    <definedName name="A2304318J_Latest" localSheetId="13">#REF!</definedName>
    <definedName name="A2304318J_Latest" localSheetId="1">#REF!</definedName>
    <definedName name="A2304318J_Latest">#REF!</definedName>
    <definedName name="A2304320V" localSheetId="2">#REF!,#REF!</definedName>
    <definedName name="A2304320V" localSheetId="12">#REF!,#REF!</definedName>
    <definedName name="A2304320V" localSheetId="0">#REF!,#REF!</definedName>
    <definedName name="A2304320V" localSheetId="13">#REF!,#REF!</definedName>
    <definedName name="A2304320V" localSheetId="1">#REF!,#REF!</definedName>
    <definedName name="A2304320V">#REF!,#REF!</definedName>
    <definedName name="A2304320V_Data" localSheetId="2">#REF!</definedName>
    <definedName name="A2304320V_Data" localSheetId="12">#REF!</definedName>
    <definedName name="A2304320V_Data" localSheetId="0">#REF!</definedName>
    <definedName name="A2304320V_Data" localSheetId="13">#REF!</definedName>
    <definedName name="A2304320V_Data" localSheetId="1">#REF!</definedName>
    <definedName name="A2304320V_Data">#REF!</definedName>
    <definedName name="A2304320V_Latest" localSheetId="2">#REF!</definedName>
    <definedName name="A2304320V_Latest" localSheetId="12">#REF!</definedName>
    <definedName name="A2304320V_Latest" localSheetId="0">#REF!</definedName>
    <definedName name="A2304320V_Latest" localSheetId="13">#REF!</definedName>
    <definedName name="A2304320V_Latest" localSheetId="1">#REF!</definedName>
    <definedName name="A2304320V_Latest">#REF!</definedName>
    <definedName name="A2304322X" localSheetId="2">#REF!,#REF!</definedName>
    <definedName name="A2304322X" localSheetId="12">#REF!,#REF!</definedName>
    <definedName name="A2304322X" localSheetId="0">#REF!,#REF!</definedName>
    <definedName name="A2304322X" localSheetId="13">#REF!,#REF!</definedName>
    <definedName name="A2304322X" localSheetId="1">#REF!,#REF!</definedName>
    <definedName name="A2304322X">#REF!,#REF!</definedName>
    <definedName name="A2304322X_Data" localSheetId="2">#REF!</definedName>
    <definedName name="A2304322X_Data" localSheetId="12">#REF!</definedName>
    <definedName name="A2304322X_Data" localSheetId="0">#REF!</definedName>
    <definedName name="A2304322X_Data" localSheetId="13">#REF!</definedName>
    <definedName name="A2304322X_Data" localSheetId="1">#REF!</definedName>
    <definedName name="A2304322X_Data">#REF!</definedName>
    <definedName name="A2304322X_Latest" localSheetId="2">#REF!</definedName>
    <definedName name="A2304322X_Latest" localSheetId="12">#REF!</definedName>
    <definedName name="A2304322X_Latest" localSheetId="0">#REF!</definedName>
    <definedName name="A2304322X_Latest" localSheetId="13">#REF!</definedName>
    <definedName name="A2304322X_Latest" localSheetId="1">#REF!</definedName>
    <definedName name="A2304322X_Latest">#REF!</definedName>
    <definedName name="A2304324C" localSheetId="2">#REF!,#REF!</definedName>
    <definedName name="A2304324C" localSheetId="12">#REF!,#REF!</definedName>
    <definedName name="A2304324C" localSheetId="0">#REF!,#REF!</definedName>
    <definedName name="A2304324C" localSheetId="13">#REF!,#REF!</definedName>
    <definedName name="A2304324C" localSheetId="1">#REF!,#REF!</definedName>
    <definedName name="A2304324C">#REF!,#REF!</definedName>
    <definedName name="A2304324C_Data" localSheetId="2">#REF!</definedName>
    <definedName name="A2304324C_Data" localSheetId="12">#REF!</definedName>
    <definedName name="A2304324C_Data" localSheetId="0">#REF!</definedName>
    <definedName name="A2304324C_Data" localSheetId="13">#REF!</definedName>
    <definedName name="A2304324C_Data" localSheetId="1">#REF!</definedName>
    <definedName name="A2304324C_Data">#REF!</definedName>
    <definedName name="A2304324C_Latest" localSheetId="2">#REF!</definedName>
    <definedName name="A2304324C_Latest" localSheetId="12">#REF!</definedName>
    <definedName name="A2304324C_Latest" localSheetId="0">#REF!</definedName>
    <definedName name="A2304324C_Latest" localSheetId="13">#REF!</definedName>
    <definedName name="A2304324C_Latest" localSheetId="1">#REF!</definedName>
    <definedName name="A2304324C_Latest">#REF!</definedName>
    <definedName name="A2304326J" localSheetId="2">#REF!,#REF!</definedName>
    <definedName name="A2304326J" localSheetId="12">#REF!,#REF!</definedName>
    <definedName name="A2304326J" localSheetId="0">#REF!,#REF!</definedName>
    <definedName name="A2304326J" localSheetId="13">#REF!,#REF!</definedName>
    <definedName name="A2304326J" localSheetId="1">#REF!,#REF!</definedName>
    <definedName name="A2304326J">#REF!,#REF!</definedName>
    <definedName name="A2304326J_Data" localSheetId="2">#REF!</definedName>
    <definedName name="A2304326J_Data" localSheetId="12">#REF!</definedName>
    <definedName name="A2304326J_Data" localSheetId="0">#REF!</definedName>
    <definedName name="A2304326J_Data" localSheetId="13">#REF!</definedName>
    <definedName name="A2304326J_Data" localSheetId="1">#REF!</definedName>
    <definedName name="A2304326J_Data">#REF!</definedName>
    <definedName name="A2304326J_Latest" localSheetId="2">#REF!</definedName>
    <definedName name="A2304326J_Latest" localSheetId="12">#REF!</definedName>
    <definedName name="A2304326J_Latest" localSheetId="0">#REF!</definedName>
    <definedName name="A2304326J_Latest" localSheetId="13">#REF!</definedName>
    <definedName name="A2304326J_Latest" localSheetId="1">#REF!</definedName>
    <definedName name="A2304326J_Latest">#REF!</definedName>
    <definedName name="A2304328L" localSheetId="2">#REF!,#REF!</definedName>
    <definedName name="A2304328L" localSheetId="12">#REF!,#REF!</definedName>
    <definedName name="A2304328L" localSheetId="0">#REF!,#REF!</definedName>
    <definedName name="A2304328L" localSheetId="13">#REF!,#REF!</definedName>
    <definedName name="A2304328L" localSheetId="1">#REF!,#REF!</definedName>
    <definedName name="A2304328L">#REF!,#REF!</definedName>
    <definedName name="A2304328L_Data" localSheetId="2">#REF!</definedName>
    <definedName name="A2304328L_Data" localSheetId="12">#REF!</definedName>
    <definedName name="A2304328L_Data" localSheetId="0">#REF!</definedName>
    <definedName name="A2304328L_Data" localSheetId="13">#REF!</definedName>
    <definedName name="A2304328L_Data" localSheetId="1">#REF!</definedName>
    <definedName name="A2304328L_Data">#REF!</definedName>
    <definedName name="A2304328L_Latest" localSheetId="2">#REF!</definedName>
    <definedName name="A2304328L_Latest" localSheetId="12">#REF!</definedName>
    <definedName name="A2304328L_Latest" localSheetId="0">#REF!</definedName>
    <definedName name="A2304328L_Latest" localSheetId="13">#REF!</definedName>
    <definedName name="A2304328L_Latest" localSheetId="1">#REF!</definedName>
    <definedName name="A2304328L_Latest">#REF!</definedName>
    <definedName name="A2304330X" localSheetId="2">#REF!,#REF!</definedName>
    <definedName name="A2304330X" localSheetId="12">#REF!,#REF!</definedName>
    <definedName name="A2304330X" localSheetId="0">#REF!,#REF!</definedName>
    <definedName name="A2304330X" localSheetId="13">#REF!,#REF!</definedName>
    <definedName name="A2304330X" localSheetId="1">#REF!,#REF!</definedName>
    <definedName name="A2304330X">#REF!,#REF!</definedName>
    <definedName name="A2304330X_Data" localSheetId="2">#REF!</definedName>
    <definedName name="A2304330X_Data" localSheetId="12">#REF!</definedName>
    <definedName name="A2304330X_Data" localSheetId="0">#REF!</definedName>
    <definedName name="A2304330X_Data" localSheetId="13">#REF!</definedName>
    <definedName name="A2304330X_Data" localSheetId="1">#REF!</definedName>
    <definedName name="A2304330X_Data">#REF!</definedName>
    <definedName name="A2304330X_Latest" localSheetId="2">#REF!</definedName>
    <definedName name="A2304330X_Latest" localSheetId="12">#REF!</definedName>
    <definedName name="A2304330X_Latest" localSheetId="0">#REF!</definedName>
    <definedName name="A2304330X_Latest" localSheetId="13">#REF!</definedName>
    <definedName name="A2304330X_Latest" localSheetId="1">#REF!</definedName>
    <definedName name="A2304330X_Latest">#REF!</definedName>
    <definedName name="A2304332C" localSheetId="2">#REF!,#REF!</definedName>
    <definedName name="A2304332C" localSheetId="12">#REF!,#REF!</definedName>
    <definedName name="A2304332C" localSheetId="0">#REF!,#REF!</definedName>
    <definedName name="A2304332C" localSheetId="13">#REF!,#REF!</definedName>
    <definedName name="A2304332C" localSheetId="1">#REF!,#REF!</definedName>
    <definedName name="A2304332C">#REF!,#REF!</definedName>
    <definedName name="A2304332C_Data" localSheetId="2">#REF!</definedName>
    <definedName name="A2304332C_Data" localSheetId="12">#REF!</definedName>
    <definedName name="A2304332C_Data" localSheetId="0">#REF!</definedName>
    <definedName name="A2304332C_Data" localSheetId="13">#REF!</definedName>
    <definedName name="A2304332C_Data" localSheetId="1">#REF!</definedName>
    <definedName name="A2304332C_Data">#REF!</definedName>
    <definedName name="A2304332C_Latest" localSheetId="2">#REF!</definedName>
    <definedName name="A2304332C_Latest" localSheetId="12">#REF!</definedName>
    <definedName name="A2304332C_Latest" localSheetId="0">#REF!</definedName>
    <definedName name="A2304332C_Latest" localSheetId="13">#REF!</definedName>
    <definedName name="A2304332C_Latest" localSheetId="1">#REF!</definedName>
    <definedName name="A2304332C_Latest">#REF!</definedName>
    <definedName name="A2304334J" localSheetId="2">#REF!,#REF!</definedName>
    <definedName name="A2304334J" localSheetId="12">#REF!,#REF!</definedName>
    <definedName name="A2304334J" localSheetId="0">#REF!,#REF!</definedName>
    <definedName name="A2304334J" localSheetId="13">#REF!,#REF!</definedName>
    <definedName name="A2304334J" localSheetId="1">#REF!,#REF!</definedName>
    <definedName name="A2304334J">#REF!,#REF!</definedName>
    <definedName name="A2304334J_Data" localSheetId="2">#REF!</definedName>
    <definedName name="A2304334J_Data" localSheetId="12">#REF!</definedName>
    <definedName name="A2304334J_Data" localSheetId="0">#REF!</definedName>
    <definedName name="A2304334J_Data" localSheetId="13">#REF!</definedName>
    <definedName name="A2304334J_Data" localSheetId="1">#REF!</definedName>
    <definedName name="A2304334J_Data">#REF!</definedName>
    <definedName name="A2304334J_Latest" localSheetId="2">#REF!</definedName>
    <definedName name="A2304334J_Latest" localSheetId="12">#REF!</definedName>
    <definedName name="A2304334J_Latest" localSheetId="0">#REF!</definedName>
    <definedName name="A2304334J_Latest" localSheetId="13">#REF!</definedName>
    <definedName name="A2304334J_Latest" localSheetId="1">#REF!</definedName>
    <definedName name="A2304334J_Latest">#REF!</definedName>
    <definedName name="A2304336L" localSheetId="2">#REF!,#REF!</definedName>
    <definedName name="A2304336L" localSheetId="12">#REF!,#REF!</definedName>
    <definedName name="A2304336L" localSheetId="0">#REF!,#REF!</definedName>
    <definedName name="A2304336L" localSheetId="13">#REF!,#REF!</definedName>
    <definedName name="A2304336L" localSheetId="1">#REF!,#REF!</definedName>
    <definedName name="A2304336L">#REF!,#REF!</definedName>
    <definedName name="A2304336L_Data" localSheetId="2">#REF!</definedName>
    <definedName name="A2304336L_Data" localSheetId="12">#REF!</definedName>
    <definedName name="A2304336L_Data" localSheetId="0">#REF!</definedName>
    <definedName name="A2304336L_Data" localSheetId="13">#REF!</definedName>
    <definedName name="A2304336L_Data" localSheetId="1">#REF!</definedName>
    <definedName name="A2304336L_Data">#REF!</definedName>
    <definedName name="A2304336L_Latest" localSheetId="2">#REF!</definedName>
    <definedName name="A2304336L_Latest" localSheetId="12">#REF!</definedName>
    <definedName name="A2304336L_Latest" localSheetId="0">#REF!</definedName>
    <definedName name="A2304336L_Latest" localSheetId="13">#REF!</definedName>
    <definedName name="A2304336L_Latest" localSheetId="1">#REF!</definedName>
    <definedName name="A2304336L_Latest">#REF!</definedName>
    <definedName name="A2304338T" localSheetId="2">#REF!,#REF!</definedName>
    <definedName name="A2304338T" localSheetId="12">#REF!,#REF!</definedName>
    <definedName name="A2304338T" localSheetId="0">#REF!,#REF!</definedName>
    <definedName name="A2304338T" localSheetId="13">#REF!,#REF!</definedName>
    <definedName name="A2304338T" localSheetId="1">#REF!,#REF!</definedName>
    <definedName name="A2304338T">#REF!,#REF!</definedName>
    <definedName name="A2304338T_Data" localSheetId="2">#REF!</definedName>
    <definedName name="A2304338T_Data" localSheetId="12">#REF!</definedName>
    <definedName name="A2304338T_Data" localSheetId="0">#REF!</definedName>
    <definedName name="A2304338T_Data" localSheetId="13">#REF!</definedName>
    <definedName name="A2304338T_Data" localSheetId="1">#REF!</definedName>
    <definedName name="A2304338T_Data">#REF!</definedName>
    <definedName name="A2304338T_Latest" localSheetId="2">#REF!</definedName>
    <definedName name="A2304338T_Latest" localSheetId="12">#REF!</definedName>
    <definedName name="A2304338T_Latest" localSheetId="0">#REF!</definedName>
    <definedName name="A2304338T_Latest" localSheetId="13">#REF!</definedName>
    <definedName name="A2304338T_Latest" localSheetId="1">#REF!</definedName>
    <definedName name="A2304338T_Latest">#REF!</definedName>
    <definedName name="A2304340C" localSheetId="2">#REF!,#REF!</definedName>
    <definedName name="A2304340C" localSheetId="12">#REF!,#REF!</definedName>
    <definedName name="A2304340C" localSheetId="0">#REF!,#REF!</definedName>
    <definedName name="A2304340C" localSheetId="13">#REF!,#REF!</definedName>
    <definedName name="A2304340C" localSheetId="1">#REF!,#REF!</definedName>
    <definedName name="A2304340C">#REF!,#REF!</definedName>
    <definedName name="A2304340C_Data" localSheetId="2">#REF!</definedName>
    <definedName name="A2304340C_Data" localSheetId="12">#REF!</definedName>
    <definedName name="A2304340C_Data" localSheetId="0">#REF!</definedName>
    <definedName name="A2304340C_Data" localSheetId="13">#REF!</definedName>
    <definedName name="A2304340C_Data" localSheetId="1">#REF!</definedName>
    <definedName name="A2304340C_Data">#REF!</definedName>
    <definedName name="A2304340C_Latest" localSheetId="2">#REF!</definedName>
    <definedName name="A2304340C_Latest" localSheetId="12">#REF!</definedName>
    <definedName name="A2304340C_Latest" localSheetId="0">#REF!</definedName>
    <definedName name="A2304340C_Latest" localSheetId="13">#REF!</definedName>
    <definedName name="A2304340C_Latest" localSheetId="1">#REF!</definedName>
    <definedName name="A2304340C_Latest">#REF!</definedName>
    <definedName name="A2304342J" localSheetId="2">#REF!,#REF!</definedName>
    <definedName name="A2304342J" localSheetId="12">#REF!,#REF!</definedName>
    <definedName name="A2304342J" localSheetId="0">#REF!,#REF!</definedName>
    <definedName name="A2304342J" localSheetId="13">#REF!,#REF!</definedName>
    <definedName name="A2304342J" localSheetId="1">#REF!,#REF!</definedName>
    <definedName name="A2304342J">#REF!,#REF!</definedName>
    <definedName name="A2304342J_Data" localSheetId="2">#REF!</definedName>
    <definedName name="A2304342J_Data" localSheetId="12">#REF!</definedName>
    <definedName name="A2304342J_Data" localSheetId="0">#REF!</definedName>
    <definedName name="A2304342J_Data" localSheetId="13">#REF!</definedName>
    <definedName name="A2304342J_Data" localSheetId="1">#REF!</definedName>
    <definedName name="A2304342J_Data">#REF!</definedName>
    <definedName name="A2304342J_Latest" localSheetId="2">#REF!</definedName>
    <definedName name="A2304342J_Latest" localSheetId="12">#REF!</definedName>
    <definedName name="A2304342J_Latest" localSheetId="0">#REF!</definedName>
    <definedName name="A2304342J_Latest" localSheetId="13">#REF!</definedName>
    <definedName name="A2304342J_Latest" localSheetId="1">#REF!</definedName>
    <definedName name="A2304342J_Latest">#REF!</definedName>
    <definedName name="A2304344L" localSheetId="2">#REF!,#REF!</definedName>
    <definedName name="A2304344L" localSheetId="12">#REF!,#REF!</definedName>
    <definedName name="A2304344L" localSheetId="0">#REF!,#REF!</definedName>
    <definedName name="A2304344L" localSheetId="13">#REF!,#REF!</definedName>
    <definedName name="A2304344L" localSheetId="1">#REF!,#REF!</definedName>
    <definedName name="A2304344L">#REF!,#REF!</definedName>
    <definedName name="A2304344L_Data" localSheetId="2">#REF!</definedName>
    <definedName name="A2304344L_Data" localSheetId="12">#REF!</definedName>
    <definedName name="A2304344L_Data" localSheetId="0">#REF!</definedName>
    <definedName name="A2304344L_Data" localSheetId="13">#REF!</definedName>
    <definedName name="A2304344L_Data" localSheetId="1">#REF!</definedName>
    <definedName name="A2304344L_Data">#REF!</definedName>
    <definedName name="A2304344L_Latest" localSheetId="2">#REF!</definedName>
    <definedName name="A2304344L_Latest" localSheetId="12">#REF!</definedName>
    <definedName name="A2304344L_Latest" localSheetId="0">#REF!</definedName>
    <definedName name="A2304344L_Latest" localSheetId="13">#REF!</definedName>
    <definedName name="A2304344L_Latest" localSheetId="1">#REF!</definedName>
    <definedName name="A2304344L_Latest">#REF!</definedName>
    <definedName name="A2304346T" localSheetId="2">#REF!,#REF!</definedName>
    <definedName name="A2304346T" localSheetId="12">#REF!,#REF!</definedName>
    <definedName name="A2304346T" localSheetId="0">#REF!,#REF!</definedName>
    <definedName name="A2304346T" localSheetId="13">#REF!,#REF!</definedName>
    <definedName name="A2304346T" localSheetId="1">#REF!,#REF!</definedName>
    <definedName name="A2304346T">#REF!,#REF!</definedName>
    <definedName name="A2304346T_Data" localSheetId="2">#REF!</definedName>
    <definedName name="A2304346T_Data" localSheetId="12">#REF!</definedName>
    <definedName name="A2304346T_Data" localSheetId="0">#REF!</definedName>
    <definedName name="A2304346T_Data" localSheetId="13">#REF!</definedName>
    <definedName name="A2304346T_Data" localSheetId="1">#REF!</definedName>
    <definedName name="A2304346T_Data">#REF!</definedName>
    <definedName name="A2304346T_Latest" localSheetId="2">#REF!</definedName>
    <definedName name="A2304346T_Latest" localSheetId="12">#REF!</definedName>
    <definedName name="A2304346T_Latest" localSheetId="0">#REF!</definedName>
    <definedName name="A2304346T_Latest" localSheetId="13">#REF!</definedName>
    <definedName name="A2304346T_Latest" localSheetId="1">#REF!</definedName>
    <definedName name="A2304346T_Latest">#REF!</definedName>
    <definedName name="A2304348W" localSheetId="2">#REF!,#REF!</definedName>
    <definedName name="A2304348W" localSheetId="12">#REF!,#REF!</definedName>
    <definedName name="A2304348W" localSheetId="0">#REF!,#REF!</definedName>
    <definedName name="A2304348W" localSheetId="13">#REF!,#REF!</definedName>
    <definedName name="A2304348W" localSheetId="1">#REF!,#REF!</definedName>
    <definedName name="A2304348W">#REF!,#REF!</definedName>
    <definedName name="A2304348W_Data" localSheetId="2">#REF!</definedName>
    <definedName name="A2304348W_Data" localSheetId="12">#REF!</definedName>
    <definedName name="A2304348W_Data" localSheetId="0">#REF!</definedName>
    <definedName name="A2304348W_Data" localSheetId="13">#REF!</definedName>
    <definedName name="A2304348W_Data" localSheetId="1">#REF!</definedName>
    <definedName name="A2304348W_Data">#REF!</definedName>
    <definedName name="A2304348W_Latest" localSheetId="2">#REF!</definedName>
    <definedName name="A2304348W_Latest" localSheetId="12">#REF!</definedName>
    <definedName name="A2304348W_Latest" localSheetId="0">#REF!</definedName>
    <definedName name="A2304348W_Latest" localSheetId="13">#REF!</definedName>
    <definedName name="A2304348W_Latest" localSheetId="1">#REF!</definedName>
    <definedName name="A2304348W_Latest">#REF!</definedName>
    <definedName name="A2304350J" localSheetId="2">#REF!,#REF!</definedName>
    <definedName name="A2304350J" localSheetId="12">#REF!,#REF!</definedName>
    <definedName name="A2304350J" localSheetId="0">#REF!,#REF!</definedName>
    <definedName name="A2304350J" localSheetId="13">#REF!,#REF!</definedName>
    <definedName name="A2304350J" localSheetId="1">#REF!,#REF!</definedName>
    <definedName name="A2304350J">#REF!,#REF!</definedName>
    <definedName name="A2304350J_Data" localSheetId="2">#REF!</definedName>
    <definedName name="A2304350J_Data" localSheetId="12">#REF!</definedName>
    <definedName name="A2304350J_Data" localSheetId="0">#REF!</definedName>
    <definedName name="A2304350J_Data" localSheetId="13">#REF!</definedName>
    <definedName name="A2304350J_Data" localSheetId="1">#REF!</definedName>
    <definedName name="A2304350J_Data">#REF!</definedName>
    <definedName name="A2304350J_Latest" localSheetId="2">#REF!</definedName>
    <definedName name="A2304350J_Latest" localSheetId="12">#REF!</definedName>
    <definedName name="A2304350J_Latest" localSheetId="0">#REF!</definedName>
    <definedName name="A2304350J_Latest" localSheetId="13">#REF!</definedName>
    <definedName name="A2304350J_Latest" localSheetId="1">#REF!</definedName>
    <definedName name="A2304350J_Latest">#REF!</definedName>
    <definedName name="A2304352L" localSheetId="2">#REF!,#REF!</definedName>
    <definedName name="A2304352L" localSheetId="12">#REF!,#REF!</definedName>
    <definedName name="A2304352L" localSheetId="0">#REF!,#REF!</definedName>
    <definedName name="A2304352L" localSheetId="13">#REF!,#REF!</definedName>
    <definedName name="A2304352L" localSheetId="1">#REF!,#REF!</definedName>
    <definedName name="A2304352L">#REF!,#REF!</definedName>
    <definedName name="A2304352L_Data" localSheetId="2">#REF!</definedName>
    <definedName name="A2304352L_Data" localSheetId="12">#REF!</definedName>
    <definedName name="A2304352L_Data" localSheetId="0">#REF!</definedName>
    <definedName name="A2304352L_Data" localSheetId="13">#REF!</definedName>
    <definedName name="A2304352L_Data" localSheetId="1">#REF!</definedName>
    <definedName name="A2304352L_Data">#REF!</definedName>
    <definedName name="A2304352L_Latest" localSheetId="2">#REF!</definedName>
    <definedName name="A2304352L_Latest" localSheetId="12">#REF!</definedName>
    <definedName name="A2304352L_Latest" localSheetId="0">#REF!</definedName>
    <definedName name="A2304352L_Latest" localSheetId="13">#REF!</definedName>
    <definedName name="A2304352L_Latest" localSheetId="1">#REF!</definedName>
    <definedName name="A2304352L_Latest">#REF!</definedName>
    <definedName name="A2304354T" localSheetId="2">#REF!,#REF!</definedName>
    <definedName name="A2304354T" localSheetId="12">#REF!,#REF!</definedName>
    <definedName name="A2304354T" localSheetId="0">#REF!,#REF!</definedName>
    <definedName name="A2304354T" localSheetId="13">#REF!,#REF!</definedName>
    <definedName name="A2304354T" localSheetId="1">#REF!,#REF!</definedName>
    <definedName name="A2304354T">#REF!,#REF!</definedName>
    <definedName name="A2304354T_Data" localSheetId="2">#REF!</definedName>
    <definedName name="A2304354T_Data" localSheetId="12">#REF!</definedName>
    <definedName name="A2304354T_Data" localSheetId="0">#REF!</definedName>
    <definedName name="A2304354T_Data" localSheetId="13">#REF!</definedName>
    <definedName name="A2304354T_Data" localSheetId="1">#REF!</definedName>
    <definedName name="A2304354T_Data">#REF!</definedName>
    <definedName name="A2304354T_Latest" localSheetId="2">#REF!</definedName>
    <definedName name="A2304354T_Latest" localSheetId="12">#REF!</definedName>
    <definedName name="A2304354T_Latest" localSheetId="0">#REF!</definedName>
    <definedName name="A2304354T_Latest" localSheetId="13">#REF!</definedName>
    <definedName name="A2304354T_Latest" localSheetId="1">#REF!</definedName>
    <definedName name="A2304354T_Latest">#REF!</definedName>
    <definedName name="A2304356W" localSheetId="2">#REF!,#REF!</definedName>
    <definedName name="A2304356W" localSheetId="12">#REF!,#REF!</definedName>
    <definedName name="A2304356W" localSheetId="0">#REF!,#REF!</definedName>
    <definedName name="A2304356W" localSheetId="13">#REF!,#REF!</definedName>
    <definedName name="A2304356W" localSheetId="1">#REF!,#REF!</definedName>
    <definedName name="A2304356W">#REF!,#REF!</definedName>
    <definedName name="A2304356W_Data" localSheetId="2">#REF!</definedName>
    <definedName name="A2304356W_Data" localSheetId="12">#REF!</definedName>
    <definedName name="A2304356W_Data" localSheetId="0">#REF!</definedName>
    <definedName name="A2304356W_Data" localSheetId="13">#REF!</definedName>
    <definedName name="A2304356W_Data" localSheetId="1">#REF!</definedName>
    <definedName name="A2304356W_Data">#REF!</definedName>
    <definedName name="A2304356W_Latest" localSheetId="2">#REF!</definedName>
    <definedName name="A2304356W_Latest" localSheetId="12">#REF!</definedName>
    <definedName name="A2304356W_Latest" localSheetId="0">#REF!</definedName>
    <definedName name="A2304356W_Latest" localSheetId="13">#REF!</definedName>
    <definedName name="A2304356W_Latest" localSheetId="1">#REF!</definedName>
    <definedName name="A2304356W_Latest">#REF!</definedName>
    <definedName name="A2304360L" localSheetId="2">#REF!,#REF!</definedName>
    <definedName name="A2304360L" localSheetId="12">#REF!,#REF!</definedName>
    <definedName name="A2304360L" localSheetId="0">#REF!,#REF!</definedName>
    <definedName name="A2304360L" localSheetId="13">#REF!,#REF!</definedName>
    <definedName name="A2304360L" localSheetId="1">#REF!,#REF!</definedName>
    <definedName name="A2304360L">#REF!,#REF!</definedName>
    <definedName name="A2304360L_Data" localSheetId="2">#REF!</definedName>
    <definedName name="A2304360L_Data" localSheetId="12">#REF!</definedName>
    <definedName name="A2304360L_Data" localSheetId="0">#REF!</definedName>
    <definedName name="A2304360L_Data" localSheetId="13">#REF!</definedName>
    <definedName name="A2304360L_Data" localSheetId="1">#REF!</definedName>
    <definedName name="A2304360L_Data">#REF!</definedName>
    <definedName name="A2304360L_Latest" localSheetId="2">#REF!</definedName>
    <definedName name="A2304360L_Latest" localSheetId="12">#REF!</definedName>
    <definedName name="A2304360L_Latest" localSheetId="0">#REF!</definedName>
    <definedName name="A2304360L_Latest" localSheetId="13">#REF!</definedName>
    <definedName name="A2304360L_Latest" localSheetId="1">#REF!</definedName>
    <definedName name="A2304360L_Latest">#REF!</definedName>
    <definedName name="A2304362T" localSheetId="2">#REF!,#REF!</definedName>
    <definedName name="A2304362T" localSheetId="12">#REF!,#REF!</definedName>
    <definedName name="A2304362T" localSheetId="0">#REF!,#REF!</definedName>
    <definedName name="A2304362T" localSheetId="13">#REF!,#REF!</definedName>
    <definedName name="A2304362T" localSheetId="1">#REF!,#REF!</definedName>
    <definedName name="A2304362T">#REF!,#REF!</definedName>
    <definedName name="A2304362T_Data" localSheetId="2">#REF!</definedName>
    <definedName name="A2304362T_Data" localSheetId="12">#REF!</definedName>
    <definedName name="A2304362T_Data" localSheetId="0">#REF!</definedName>
    <definedName name="A2304362T_Data" localSheetId="13">#REF!</definedName>
    <definedName name="A2304362T_Data" localSheetId="1">#REF!</definedName>
    <definedName name="A2304362T_Data">#REF!</definedName>
    <definedName name="A2304362T_Latest" localSheetId="2">#REF!</definedName>
    <definedName name="A2304362T_Latest" localSheetId="12">#REF!</definedName>
    <definedName name="A2304362T_Latest" localSheetId="0">#REF!</definedName>
    <definedName name="A2304362T_Latest" localSheetId="13">#REF!</definedName>
    <definedName name="A2304362T_Latest" localSheetId="1">#REF!</definedName>
    <definedName name="A2304362T_Latest">#REF!</definedName>
    <definedName name="A2304364W" localSheetId="2">#REF!,#REF!</definedName>
    <definedName name="A2304364W" localSheetId="12">#REF!,#REF!</definedName>
    <definedName name="A2304364W" localSheetId="0">#REF!,#REF!</definedName>
    <definedName name="A2304364W" localSheetId="13">#REF!,#REF!</definedName>
    <definedName name="A2304364W" localSheetId="1">#REF!,#REF!</definedName>
    <definedName name="A2304364W">#REF!,#REF!</definedName>
    <definedName name="A2304364W_Data" localSheetId="2">#REF!</definedName>
    <definedName name="A2304364W_Data" localSheetId="12">#REF!</definedName>
    <definedName name="A2304364W_Data" localSheetId="0">#REF!</definedName>
    <definedName name="A2304364W_Data" localSheetId="13">#REF!</definedName>
    <definedName name="A2304364W_Data" localSheetId="1">#REF!</definedName>
    <definedName name="A2304364W_Data">#REF!</definedName>
    <definedName name="A2304364W_Latest" localSheetId="2">#REF!</definedName>
    <definedName name="A2304364W_Latest" localSheetId="12">#REF!</definedName>
    <definedName name="A2304364W_Latest" localSheetId="0">#REF!</definedName>
    <definedName name="A2304364W_Latest" localSheetId="13">#REF!</definedName>
    <definedName name="A2304364W_Latest" localSheetId="1">#REF!</definedName>
    <definedName name="A2304364W_Latest">#REF!</definedName>
    <definedName name="A2304366A" localSheetId="2">#REF!,#REF!</definedName>
    <definedName name="A2304366A" localSheetId="12">#REF!,#REF!</definedName>
    <definedName name="A2304366A" localSheetId="0">#REF!,#REF!</definedName>
    <definedName name="A2304366A" localSheetId="13">#REF!,#REF!</definedName>
    <definedName name="A2304366A" localSheetId="1">#REF!,#REF!</definedName>
    <definedName name="A2304366A">#REF!,#REF!</definedName>
    <definedName name="A2304366A_Data" localSheetId="2">#REF!</definedName>
    <definedName name="A2304366A_Data" localSheetId="12">#REF!</definedName>
    <definedName name="A2304366A_Data" localSheetId="0">#REF!</definedName>
    <definedName name="A2304366A_Data" localSheetId="13">#REF!</definedName>
    <definedName name="A2304366A_Data" localSheetId="1">#REF!</definedName>
    <definedName name="A2304366A_Data">#REF!</definedName>
    <definedName name="A2304366A_Latest" localSheetId="2">#REF!</definedName>
    <definedName name="A2304366A_Latest" localSheetId="12">#REF!</definedName>
    <definedName name="A2304366A_Latest" localSheetId="0">#REF!</definedName>
    <definedName name="A2304366A_Latest" localSheetId="13">#REF!</definedName>
    <definedName name="A2304366A_Latest" localSheetId="1">#REF!</definedName>
    <definedName name="A2304366A_Latest">#REF!</definedName>
    <definedName name="A2304368F" localSheetId="2">#REF!,#REF!</definedName>
    <definedName name="A2304368F" localSheetId="12">#REF!,#REF!</definedName>
    <definedName name="A2304368F" localSheetId="0">#REF!,#REF!</definedName>
    <definedName name="A2304368F" localSheetId="13">#REF!,#REF!</definedName>
    <definedName name="A2304368F" localSheetId="1">#REF!,#REF!</definedName>
    <definedName name="A2304368F">#REF!,#REF!</definedName>
    <definedName name="A2304368F_Data" localSheetId="2">#REF!</definedName>
    <definedName name="A2304368F_Data" localSheetId="12">#REF!</definedName>
    <definedName name="A2304368F_Data" localSheetId="0">#REF!</definedName>
    <definedName name="A2304368F_Data" localSheetId="13">#REF!</definedName>
    <definedName name="A2304368F_Data" localSheetId="1">#REF!</definedName>
    <definedName name="A2304368F_Data">#REF!</definedName>
    <definedName name="A2304368F_Latest" localSheetId="2">#REF!</definedName>
    <definedName name="A2304368F_Latest" localSheetId="12">#REF!</definedName>
    <definedName name="A2304368F_Latest" localSheetId="0">#REF!</definedName>
    <definedName name="A2304368F_Latest" localSheetId="13">#REF!</definedName>
    <definedName name="A2304368F_Latest" localSheetId="1">#REF!</definedName>
    <definedName name="A2304368F_Latest">#REF!</definedName>
    <definedName name="A2304370T" localSheetId="2">#REF!,#REF!</definedName>
    <definedName name="A2304370T" localSheetId="12">#REF!,#REF!</definedName>
    <definedName name="A2304370T" localSheetId="0">#REF!,#REF!</definedName>
    <definedName name="A2304370T" localSheetId="13">#REF!,#REF!</definedName>
    <definedName name="A2304370T" localSheetId="1">#REF!,#REF!</definedName>
    <definedName name="A2304370T">#REF!,#REF!</definedName>
    <definedName name="A2304370T_Data" localSheetId="2">#REF!</definedName>
    <definedName name="A2304370T_Data" localSheetId="12">#REF!</definedName>
    <definedName name="A2304370T_Data" localSheetId="0">#REF!</definedName>
    <definedName name="A2304370T_Data" localSheetId="13">#REF!</definedName>
    <definedName name="A2304370T_Data" localSheetId="1">#REF!</definedName>
    <definedName name="A2304370T_Data">#REF!</definedName>
    <definedName name="A2304370T_Latest" localSheetId="2">#REF!</definedName>
    <definedName name="A2304370T_Latest" localSheetId="12">#REF!</definedName>
    <definedName name="A2304370T_Latest" localSheetId="0">#REF!</definedName>
    <definedName name="A2304370T_Latest" localSheetId="13">#REF!</definedName>
    <definedName name="A2304370T_Latest" localSheetId="1">#REF!</definedName>
    <definedName name="A2304370T_Latest">#REF!</definedName>
    <definedName name="A2304372W" localSheetId="2">#REF!,#REF!</definedName>
    <definedName name="A2304372W" localSheetId="12">#REF!,#REF!</definedName>
    <definedName name="A2304372W" localSheetId="0">#REF!,#REF!</definedName>
    <definedName name="A2304372W" localSheetId="13">#REF!,#REF!</definedName>
    <definedName name="A2304372W" localSheetId="1">#REF!,#REF!</definedName>
    <definedName name="A2304372W">#REF!,#REF!</definedName>
    <definedName name="A2304372W_Data" localSheetId="2">#REF!</definedName>
    <definedName name="A2304372W_Data" localSheetId="12">#REF!</definedName>
    <definedName name="A2304372W_Data" localSheetId="0">#REF!</definedName>
    <definedName name="A2304372W_Data" localSheetId="13">#REF!</definedName>
    <definedName name="A2304372W_Data" localSheetId="1">#REF!</definedName>
    <definedName name="A2304372W_Data">#REF!</definedName>
    <definedName name="A2304372W_Latest" localSheetId="2">#REF!</definedName>
    <definedName name="A2304372W_Latest" localSheetId="12">#REF!</definedName>
    <definedName name="A2304372W_Latest" localSheetId="0">#REF!</definedName>
    <definedName name="A2304372W_Latest" localSheetId="13">#REF!</definedName>
    <definedName name="A2304372W_Latest" localSheetId="1">#REF!</definedName>
    <definedName name="A2304372W_Latest">#REF!</definedName>
    <definedName name="A2304374A" localSheetId="2">#REF!,#REF!</definedName>
    <definedName name="A2304374A" localSheetId="12">#REF!,#REF!</definedName>
    <definedName name="A2304374A" localSheetId="0">#REF!,#REF!</definedName>
    <definedName name="A2304374A" localSheetId="13">#REF!,#REF!</definedName>
    <definedName name="A2304374A" localSheetId="1">#REF!,#REF!</definedName>
    <definedName name="A2304374A">#REF!,#REF!</definedName>
    <definedName name="A2304374A_Data" localSheetId="2">#REF!</definedName>
    <definedName name="A2304374A_Data" localSheetId="12">#REF!</definedName>
    <definedName name="A2304374A_Data" localSheetId="0">#REF!</definedName>
    <definedName name="A2304374A_Data" localSheetId="13">#REF!</definedName>
    <definedName name="A2304374A_Data" localSheetId="1">#REF!</definedName>
    <definedName name="A2304374A_Data">#REF!</definedName>
    <definedName name="A2304374A_Latest" localSheetId="2">#REF!</definedName>
    <definedName name="A2304374A_Latest" localSheetId="12">#REF!</definedName>
    <definedName name="A2304374A_Latest" localSheetId="0">#REF!</definedName>
    <definedName name="A2304374A_Latest" localSheetId="13">#REF!</definedName>
    <definedName name="A2304374A_Latest" localSheetId="1">#REF!</definedName>
    <definedName name="A2304374A_Latest">#REF!</definedName>
    <definedName name="A2304376F" localSheetId="2">#REF!,#REF!</definedName>
    <definedName name="A2304376F" localSheetId="12">#REF!,#REF!</definedName>
    <definedName name="A2304376F" localSheetId="0">#REF!,#REF!</definedName>
    <definedName name="A2304376F" localSheetId="13">#REF!,#REF!</definedName>
    <definedName name="A2304376F" localSheetId="1">#REF!,#REF!</definedName>
    <definedName name="A2304376F">#REF!,#REF!</definedName>
    <definedName name="A2304376F_Data" localSheetId="2">#REF!</definedName>
    <definedName name="A2304376F_Data" localSheetId="12">#REF!</definedName>
    <definedName name="A2304376F_Data" localSheetId="0">#REF!</definedName>
    <definedName name="A2304376F_Data" localSheetId="13">#REF!</definedName>
    <definedName name="A2304376F_Data" localSheetId="1">#REF!</definedName>
    <definedName name="A2304376F_Data">#REF!</definedName>
    <definedName name="A2304376F_Latest" localSheetId="2">#REF!</definedName>
    <definedName name="A2304376F_Latest" localSheetId="12">#REF!</definedName>
    <definedName name="A2304376F_Latest" localSheetId="0">#REF!</definedName>
    <definedName name="A2304376F_Latest" localSheetId="13">#REF!</definedName>
    <definedName name="A2304376F_Latest" localSheetId="1">#REF!</definedName>
    <definedName name="A2304376F_Latest">#REF!</definedName>
    <definedName name="A2304378K" localSheetId="2">#REF!,#REF!</definedName>
    <definedName name="A2304378K" localSheetId="12">#REF!,#REF!</definedName>
    <definedName name="A2304378K" localSheetId="0">#REF!,#REF!</definedName>
    <definedName name="A2304378K" localSheetId="13">#REF!,#REF!</definedName>
    <definedName name="A2304378K" localSheetId="1">#REF!,#REF!</definedName>
    <definedName name="A2304378K">#REF!,#REF!</definedName>
    <definedName name="A2304378K_Data" localSheetId="2">#REF!</definedName>
    <definedName name="A2304378K_Data" localSheetId="12">#REF!</definedName>
    <definedName name="A2304378K_Data" localSheetId="0">#REF!</definedName>
    <definedName name="A2304378K_Data" localSheetId="13">#REF!</definedName>
    <definedName name="A2304378K_Data" localSheetId="1">#REF!</definedName>
    <definedName name="A2304378K_Data">#REF!</definedName>
    <definedName name="A2304378K_Latest" localSheetId="2">#REF!</definedName>
    <definedName name="A2304378K_Latest" localSheetId="12">#REF!</definedName>
    <definedName name="A2304378K_Latest" localSheetId="0">#REF!</definedName>
    <definedName name="A2304378K_Latest" localSheetId="13">#REF!</definedName>
    <definedName name="A2304378K_Latest" localSheetId="1">#REF!</definedName>
    <definedName name="A2304378K_Latest">#REF!</definedName>
    <definedName name="A2304380W" localSheetId="2">#REF!,#REF!</definedName>
    <definedName name="A2304380W" localSheetId="12">#REF!,#REF!</definedName>
    <definedName name="A2304380W" localSheetId="0">#REF!,#REF!</definedName>
    <definedName name="A2304380W" localSheetId="13">#REF!,#REF!</definedName>
    <definedName name="A2304380W" localSheetId="1">#REF!,#REF!</definedName>
    <definedName name="A2304380W">#REF!,#REF!</definedName>
    <definedName name="A2304380W_Data" localSheetId="2">#REF!</definedName>
    <definedName name="A2304380W_Data" localSheetId="12">#REF!</definedName>
    <definedName name="A2304380W_Data" localSheetId="0">#REF!</definedName>
    <definedName name="A2304380W_Data" localSheetId="13">#REF!</definedName>
    <definedName name="A2304380W_Data" localSheetId="1">#REF!</definedName>
    <definedName name="A2304380W_Data">#REF!</definedName>
    <definedName name="A2304380W_Latest" localSheetId="2">#REF!</definedName>
    <definedName name="A2304380W_Latest" localSheetId="12">#REF!</definedName>
    <definedName name="A2304380W_Latest" localSheetId="0">#REF!</definedName>
    <definedName name="A2304380W_Latest" localSheetId="13">#REF!</definedName>
    <definedName name="A2304380W_Latest" localSheetId="1">#REF!</definedName>
    <definedName name="A2304380W_Latest">#REF!</definedName>
    <definedName name="A2304382A" localSheetId="2">#REF!,#REF!</definedName>
    <definedName name="A2304382A" localSheetId="12">#REF!,#REF!</definedName>
    <definedName name="A2304382A" localSheetId="0">#REF!,#REF!</definedName>
    <definedName name="A2304382A" localSheetId="13">#REF!,#REF!</definedName>
    <definedName name="A2304382A" localSheetId="1">#REF!,#REF!</definedName>
    <definedName name="A2304382A">#REF!,#REF!</definedName>
    <definedName name="A2304382A_Data" localSheetId="2">#REF!</definedName>
    <definedName name="A2304382A_Data" localSheetId="12">#REF!</definedName>
    <definedName name="A2304382A_Data" localSheetId="0">#REF!</definedName>
    <definedName name="A2304382A_Data" localSheetId="13">#REF!</definedName>
    <definedName name="A2304382A_Data" localSheetId="1">#REF!</definedName>
    <definedName name="A2304382A_Data">#REF!</definedName>
    <definedName name="A2304382A_Latest" localSheetId="2">#REF!</definedName>
    <definedName name="A2304382A_Latest" localSheetId="12">#REF!</definedName>
    <definedName name="A2304382A_Latest" localSheetId="0">#REF!</definedName>
    <definedName name="A2304382A_Latest" localSheetId="13">#REF!</definedName>
    <definedName name="A2304382A_Latest" localSheetId="1">#REF!</definedName>
    <definedName name="A2304382A_Latest">#REF!</definedName>
    <definedName name="A2304384F" localSheetId="2">#REF!,#REF!</definedName>
    <definedName name="A2304384F" localSheetId="12">#REF!,#REF!</definedName>
    <definedName name="A2304384F" localSheetId="0">#REF!,#REF!</definedName>
    <definedName name="A2304384F" localSheetId="13">#REF!,#REF!</definedName>
    <definedName name="A2304384F" localSheetId="1">#REF!,#REF!</definedName>
    <definedName name="A2304384F">#REF!,#REF!</definedName>
    <definedName name="A2304384F_Data" localSheetId="2">#REF!</definedName>
    <definedName name="A2304384F_Data" localSheetId="12">#REF!</definedName>
    <definedName name="A2304384F_Data" localSheetId="0">#REF!</definedName>
    <definedName name="A2304384F_Data" localSheetId="13">#REF!</definedName>
    <definedName name="A2304384F_Data" localSheetId="1">#REF!</definedName>
    <definedName name="A2304384F_Data">#REF!</definedName>
    <definedName name="A2304384F_Latest" localSheetId="2">#REF!</definedName>
    <definedName name="A2304384F_Latest" localSheetId="12">#REF!</definedName>
    <definedName name="A2304384F_Latest" localSheetId="0">#REF!</definedName>
    <definedName name="A2304384F_Latest" localSheetId="13">#REF!</definedName>
    <definedName name="A2304384F_Latest" localSheetId="1">#REF!</definedName>
    <definedName name="A2304384F_Latest">#REF!</definedName>
    <definedName name="A2304386K" localSheetId="2">#REF!,#REF!</definedName>
    <definedName name="A2304386K" localSheetId="12">#REF!,#REF!</definedName>
    <definedName name="A2304386K" localSheetId="0">#REF!,#REF!</definedName>
    <definedName name="A2304386K" localSheetId="13">#REF!,#REF!</definedName>
    <definedName name="A2304386K" localSheetId="1">#REF!,#REF!</definedName>
    <definedName name="A2304386K">#REF!,#REF!</definedName>
    <definedName name="A2304386K_Data" localSheetId="2">#REF!</definedName>
    <definedName name="A2304386K_Data" localSheetId="12">#REF!</definedName>
    <definedName name="A2304386K_Data" localSheetId="0">#REF!</definedName>
    <definedName name="A2304386K_Data" localSheetId="13">#REF!</definedName>
    <definedName name="A2304386K_Data" localSheetId="1">#REF!</definedName>
    <definedName name="A2304386K_Data">#REF!</definedName>
    <definedName name="A2304386K_Latest" localSheetId="2">#REF!</definedName>
    <definedName name="A2304386K_Latest" localSheetId="12">#REF!</definedName>
    <definedName name="A2304386K_Latest" localSheetId="0">#REF!</definedName>
    <definedName name="A2304386K_Latest" localSheetId="13">#REF!</definedName>
    <definedName name="A2304386K_Latest" localSheetId="1">#REF!</definedName>
    <definedName name="A2304386K_Latest">#REF!</definedName>
    <definedName name="A2304388R" localSheetId="2">#REF!,#REF!</definedName>
    <definedName name="A2304388R" localSheetId="12">#REF!,#REF!</definedName>
    <definedName name="A2304388R" localSheetId="0">#REF!,#REF!</definedName>
    <definedName name="A2304388R" localSheetId="13">#REF!,#REF!</definedName>
    <definedName name="A2304388R" localSheetId="1">#REF!,#REF!</definedName>
    <definedName name="A2304388R">#REF!,#REF!</definedName>
    <definedName name="A2304388R_Data" localSheetId="2">#REF!</definedName>
    <definedName name="A2304388R_Data" localSheetId="12">#REF!</definedName>
    <definedName name="A2304388R_Data" localSheetId="0">#REF!</definedName>
    <definedName name="A2304388R_Data" localSheetId="13">#REF!</definedName>
    <definedName name="A2304388R_Data" localSheetId="1">#REF!</definedName>
    <definedName name="A2304388R_Data">#REF!</definedName>
    <definedName name="A2304388R_Latest" localSheetId="2">#REF!</definedName>
    <definedName name="A2304388R_Latest" localSheetId="12">#REF!</definedName>
    <definedName name="A2304388R_Latest" localSheetId="0">#REF!</definedName>
    <definedName name="A2304388R_Latest" localSheetId="13">#REF!</definedName>
    <definedName name="A2304388R_Latest" localSheetId="1">#REF!</definedName>
    <definedName name="A2304388R_Latest">#REF!</definedName>
    <definedName name="A2304390A" localSheetId="2">#REF!,#REF!</definedName>
    <definedName name="A2304390A" localSheetId="12">#REF!,#REF!</definedName>
    <definedName name="A2304390A" localSheetId="0">#REF!,#REF!</definedName>
    <definedName name="A2304390A" localSheetId="13">#REF!,#REF!</definedName>
    <definedName name="A2304390A" localSheetId="1">#REF!,#REF!</definedName>
    <definedName name="A2304390A">#REF!,#REF!</definedName>
    <definedName name="A2304390A_Data" localSheetId="2">#REF!</definedName>
    <definedName name="A2304390A_Data" localSheetId="12">#REF!</definedName>
    <definedName name="A2304390A_Data" localSheetId="0">#REF!</definedName>
    <definedName name="A2304390A_Data" localSheetId="13">#REF!</definedName>
    <definedName name="A2304390A_Data" localSheetId="1">#REF!</definedName>
    <definedName name="A2304390A_Data">#REF!</definedName>
    <definedName name="A2304390A_Latest" localSheetId="2">#REF!</definedName>
    <definedName name="A2304390A_Latest" localSheetId="12">#REF!</definedName>
    <definedName name="A2304390A_Latest" localSheetId="0">#REF!</definedName>
    <definedName name="A2304390A_Latest" localSheetId="13">#REF!</definedName>
    <definedName name="A2304390A_Latest" localSheetId="1">#REF!</definedName>
    <definedName name="A2304390A_Latest">#REF!</definedName>
    <definedName name="A2304392F" localSheetId="2">#REF!,#REF!</definedName>
    <definedName name="A2304392F" localSheetId="12">#REF!,#REF!</definedName>
    <definedName name="A2304392F" localSheetId="0">#REF!,#REF!</definedName>
    <definedName name="A2304392F" localSheetId="13">#REF!,#REF!</definedName>
    <definedName name="A2304392F" localSheetId="1">#REF!,#REF!</definedName>
    <definedName name="A2304392F">#REF!,#REF!</definedName>
    <definedName name="A2304392F_Data" localSheetId="2">#REF!</definedName>
    <definedName name="A2304392F_Data" localSheetId="12">#REF!</definedName>
    <definedName name="A2304392F_Data" localSheetId="0">#REF!</definedName>
    <definedName name="A2304392F_Data" localSheetId="13">#REF!</definedName>
    <definedName name="A2304392F_Data" localSheetId="1">#REF!</definedName>
    <definedName name="A2304392F_Data">#REF!</definedName>
    <definedName name="A2304392F_Latest" localSheetId="2">#REF!</definedName>
    <definedName name="A2304392F_Latest" localSheetId="12">#REF!</definedName>
    <definedName name="A2304392F_Latest" localSheetId="0">#REF!</definedName>
    <definedName name="A2304392F_Latest" localSheetId="13">#REF!</definedName>
    <definedName name="A2304392F_Latest" localSheetId="1">#REF!</definedName>
    <definedName name="A2304392F_Latest">#REF!</definedName>
    <definedName name="A2304394K" localSheetId="2">#REF!,#REF!</definedName>
    <definedName name="A2304394K" localSheetId="12">#REF!,#REF!</definedName>
    <definedName name="A2304394K" localSheetId="0">#REF!,#REF!</definedName>
    <definedName name="A2304394K" localSheetId="13">#REF!,#REF!</definedName>
    <definedName name="A2304394K" localSheetId="1">#REF!,#REF!</definedName>
    <definedName name="A2304394K">#REF!,#REF!</definedName>
    <definedName name="A2304394K_Data" localSheetId="2">#REF!</definedName>
    <definedName name="A2304394K_Data" localSheetId="12">#REF!</definedName>
    <definedName name="A2304394K_Data" localSheetId="0">#REF!</definedName>
    <definedName name="A2304394K_Data" localSheetId="13">#REF!</definedName>
    <definedName name="A2304394K_Data" localSheetId="1">#REF!</definedName>
    <definedName name="A2304394K_Data">#REF!</definedName>
    <definedName name="A2304394K_Latest" localSheetId="2">#REF!</definedName>
    <definedName name="A2304394K_Latest" localSheetId="12">#REF!</definedName>
    <definedName name="A2304394K_Latest" localSheetId="0">#REF!</definedName>
    <definedName name="A2304394K_Latest" localSheetId="13">#REF!</definedName>
    <definedName name="A2304394K_Latest" localSheetId="1">#REF!</definedName>
    <definedName name="A2304394K_Latest">#REF!</definedName>
    <definedName name="A2304396R" localSheetId="2">#REF!,#REF!</definedName>
    <definedName name="A2304396R" localSheetId="12">#REF!,#REF!</definedName>
    <definedName name="A2304396R" localSheetId="0">#REF!,#REF!</definedName>
    <definedName name="A2304396R" localSheetId="13">#REF!,#REF!</definedName>
    <definedName name="A2304396R" localSheetId="1">#REF!,#REF!</definedName>
    <definedName name="A2304396R">#REF!,#REF!</definedName>
    <definedName name="A2304396R_Data" localSheetId="2">#REF!</definedName>
    <definedName name="A2304396R_Data" localSheetId="12">#REF!</definedName>
    <definedName name="A2304396R_Data" localSheetId="0">#REF!</definedName>
    <definedName name="A2304396R_Data" localSheetId="13">#REF!</definedName>
    <definedName name="A2304396R_Data" localSheetId="1">#REF!</definedName>
    <definedName name="A2304396R_Data">#REF!</definedName>
    <definedName name="A2304396R_Latest" localSheetId="2">#REF!</definedName>
    <definedName name="A2304396R_Latest" localSheetId="12">#REF!</definedName>
    <definedName name="A2304396R_Latest" localSheetId="0">#REF!</definedName>
    <definedName name="A2304396R_Latest" localSheetId="13">#REF!</definedName>
    <definedName name="A2304396R_Latest" localSheetId="1">#REF!</definedName>
    <definedName name="A2304396R_Latest">#REF!</definedName>
    <definedName name="A2304398V" localSheetId="2">#REF!,#REF!</definedName>
    <definedName name="A2304398V" localSheetId="12">#REF!,#REF!</definedName>
    <definedName name="A2304398V" localSheetId="0">#REF!,#REF!</definedName>
    <definedName name="A2304398V" localSheetId="13">#REF!,#REF!</definedName>
    <definedName name="A2304398V" localSheetId="1">#REF!,#REF!</definedName>
    <definedName name="A2304398V">#REF!,#REF!</definedName>
    <definedName name="A2304398V_Data" localSheetId="2">#REF!</definedName>
    <definedName name="A2304398V_Data" localSheetId="12">#REF!</definedName>
    <definedName name="A2304398V_Data" localSheetId="0">#REF!</definedName>
    <definedName name="A2304398V_Data" localSheetId="13">#REF!</definedName>
    <definedName name="A2304398V_Data" localSheetId="1">#REF!</definedName>
    <definedName name="A2304398V_Data">#REF!</definedName>
    <definedName name="A2304398V_Latest" localSheetId="2">#REF!</definedName>
    <definedName name="A2304398V_Latest" localSheetId="12">#REF!</definedName>
    <definedName name="A2304398V_Latest" localSheetId="0">#REF!</definedName>
    <definedName name="A2304398V_Latest" localSheetId="13">#REF!</definedName>
    <definedName name="A2304398V_Latest" localSheetId="1">#REF!</definedName>
    <definedName name="A2304398V_Latest">#REF!</definedName>
    <definedName name="A2304400V" localSheetId="2">#REF!,#REF!</definedName>
    <definedName name="A2304400V" localSheetId="12">#REF!,#REF!</definedName>
    <definedName name="A2304400V" localSheetId="0">#REF!,#REF!</definedName>
    <definedName name="A2304400V" localSheetId="13">#REF!,#REF!</definedName>
    <definedName name="A2304400V" localSheetId="1">#REF!,#REF!</definedName>
    <definedName name="A2304400V">#REF!,#REF!</definedName>
    <definedName name="A2304400V_Data" localSheetId="2">#REF!</definedName>
    <definedName name="A2304400V_Data" localSheetId="12">#REF!</definedName>
    <definedName name="A2304400V_Data" localSheetId="0">#REF!</definedName>
    <definedName name="A2304400V_Data" localSheetId="13">#REF!</definedName>
    <definedName name="A2304400V_Data" localSheetId="1">#REF!</definedName>
    <definedName name="A2304400V_Data">#REF!</definedName>
    <definedName name="A2304400V_Latest" localSheetId="2">#REF!</definedName>
    <definedName name="A2304400V_Latest" localSheetId="12">#REF!</definedName>
    <definedName name="A2304400V_Latest" localSheetId="0">#REF!</definedName>
    <definedName name="A2304400V_Latest" localSheetId="13">#REF!</definedName>
    <definedName name="A2304400V_Latest" localSheetId="1">#REF!</definedName>
    <definedName name="A2304400V_Latest">#REF!</definedName>
    <definedName name="A2304402X" localSheetId="2">#REF!,#REF!</definedName>
    <definedName name="A2304402X" localSheetId="12">#REF!,#REF!</definedName>
    <definedName name="A2304402X" localSheetId="0">#REF!,#REF!</definedName>
    <definedName name="A2304402X" localSheetId="13">#REF!,#REF!</definedName>
    <definedName name="A2304402X" localSheetId="1">#REF!,#REF!</definedName>
    <definedName name="A2304402X">#REF!,#REF!</definedName>
    <definedName name="A2304402X_Data" localSheetId="2">#REF!</definedName>
    <definedName name="A2304402X_Data" localSheetId="12">#REF!</definedName>
    <definedName name="A2304402X_Data" localSheetId="0">#REF!</definedName>
    <definedName name="A2304402X_Data" localSheetId="13">#REF!</definedName>
    <definedName name="A2304402X_Data" localSheetId="1">#REF!</definedName>
    <definedName name="A2304402X_Data">#REF!</definedName>
    <definedName name="A2304402X_Latest" localSheetId="2">#REF!</definedName>
    <definedName name="A2304402X_Latest" localSheetId="12">#REF!</definedName>
    <definedName name="A2304402X_Latest" localSheetId="0">#REF!</definedName>
    <definedName name="A2304402X_Latest" localSheetId="13">#REF!</definedName>
    <definedName name="A2304402X_Latest" localSheetId="1">#REF!</definedName>
    <definedName name="A2304402X_Latest">#REF!</definedName>
    <definedName name="A2304404C" localSheetId="2">#REF!,#REF!</definedName>
    <definedName name="A2304404C" localSheetId="12">#REF!,#REF!</definedName>
    <definedName name="A2304404C" localSheetId="0">#REF!,#REF!</definedName>
    <definedName name="A2304404C" localSheetId="13">#REF!,#REF!</definedName>
    <definedName name="A2304404C" localSheetId="1">#REF!,#REF!</definedName>
    <definedName name="A2304404C">#REF!,#REF!</definedName>
    <definedName name="A2304404C_Data" localSheetId="2">#REF!</definedName>
    <definedName name="A2304404C_Data" localSheetId="12">#REF!</definedName>
    <definedName name="A2304404C_Data" localSheetId="0">#REF!</definedName>
    <definedName name="A2304404C_Data" localSheetId="13">#REF!</definedName>
    <definedName name="A2304404C_Data" localSheetId="1">#REF!</definedName>
    <definedName name="A2304404C_Data">#REF!</definedName>
    <definedName name="A2304404C_Latest" localSheetId="2">#REF!</definedName>
    <definedName name="A2304404C_Latest" localSheetId="12">#REF!</definedName>
    <definedName name="A2304404C_Latest" localSheetId="0">#REF!</definedName>
    <definedName name="A2304404C_Latest" localSheetId="13">#REF!</definedName>
    <definedName name="A2304404C_Latest" localSheetId="1">#REF!</definedName>
    <definedName name="A2304404C_Latest">#REF!</definedName>
    <definedName name="A2304406J" localSheetId="2">#REF!,#REF!</definedName>
    <definedName name="A2304406J" localSheetId="12">#REF!,#REF!</definedName>
    <definedName name="A2304406J" localSheetId="0">#REF!,#REF!</definedName>
    <definedName name="A2304406J" localSheetId="13">#REF!,#REF!</definedName>
    <definedName name="A2304406J" localSheetId="1">#REF!,#REF!</definedName>
    <definedName name="A2304406J">#REF!,#REF!</definedName>
    <definedName name="A2304406J_Data" localSheetId="2">#REF!</definedName>
    <definedName name="A2304406J_Data" localSheetId="12">#REF!</definedName>
    <definedName name="A2304406J_Data" localSheetId="0">#REF!</definedName>
    <definedName name="A2304406J_Data" localSheetId="13">#REF!</definedName>
    <definedName name="A2304406J_Data" localSheetId="1">#REF!</definedName>
    <definedName name="A2304406J_Data">#REF!</definedName>
    <definedName name="A2304406J_Latest" localSheetId="2">#REF!</definedName>
    <definedName name="A2304406J_Latest" localSheetId="12">#REF!</definedName>
    <definedName name="A2304406J_Latest" localSheetId="0">#REF!</definedName>
    <definedName name="A2304406J_Latest" localSheetId="13">#REF!</definedName>
    <definedName name="A2304406J_Latest" localSheetId="1">#REF!</definedName>
    <definedName name="A2304406J_Latest">#REF!</definedName>
    <definedName name="A2304408L" localSheetId="2">#REF!,#REF!</definedName>
    <definedName name="A2304408L" localSheetId="12">#REF!,#REF!</definedName>
    <definedName name="A2304408L" localSheetId="0">#REF!,#REF!</definedName>
    <definedName name="A2304408L" localSheetId="13">#REF!,#REF!</definedName>
    <definedName name="A2304408L" localSheetId="1">#REF!,#REF!</definedName>
    <definedName name="A2304408L">#REF!,#REF!</definedName>
    <definedName name="A2304408L_Data" localSheetId="2">#REF!</definedName>
    <definedName name="A2304408L_Data" localSheetId="12">#REF!</definedName>
    <definedName name="A2304408L_Data" localSheetId="0">#REF!</definedName>
    <definedName name="A2304408L_Data" localSheetId="13">#REF!</definedName>
    <definedName name="A2304408L_Data" localSheetId="1">#REF!</definedName>
    <definedName name="A2304408L_Data">#REF!</definedName>
    <definedName name="A2304408L_Latest" localSheetId="2">#REF!</definedName>
    <definedName name="A2304408L_Latest" localSheetId="12">#REF!</definedName>
    <definedName name="A2304408L_Latest" localSheetId="0">#REF!</definedName>
    <definedName name="A2304408L_Latest" localSheetId="13">#REF!</definedName>
    <definedName name="A2304408L_Latest" localSheetId="1">#REF!</definedName>
    <definedName name="A2304408L_Latest">#REF!</definedName>
    <definedName name="A2304410X" localSheetId="2">#REF!,#REF!</definedName>
    <definedName name="A2304410X" localSheetId="12">#REF!,#REF!</definedName>
    <definedName name="A2304410X" localSheetId="0">#REF!,#REF!</definedName>
    <definedName name="A2304410X" localSheetId="13">#REF!,#REF!</definedName>
    <definedName name="A2304410X" localSheetId="1">#REF!,#REF!</definedName>
    <definedName name="A2304410X">#REF!,#REF!</definedName>
    <definedName name="A2304410X_Data" localSheetId="2">#REF!</definedName>
    <definedName name="A2304410X_Data" localSheetId="12">#REF!</definedName>
    <definedName name="A2304410X_Data" localSheetId="0">#REF!</definedName>
    <definedName name="A2304410X_Data" localSheetId="13">#REF!</definedName>
    <definedName name="A2304410X_Data" localSheetId="1">#REF!</definedName>
    <definedName name="A2304410X_Data">#REF!</definedName>
    <definedName name="A2304410X_Latest" localSheetId="2">#REF!</definedName>
    <definedName name="A2304410X_Latest" localSheetId="12">#REF!</definedName>
    <definedName name="A2304410X_Latest" localSheetId="0">#REF!</definedName>
    <definedName name="A2304410X_Latest" localSheetId="13">#REF!</definedName>
    <definedName name="A2304410X_Latest" localSheetId="1">#REF!</definedName>
    <definedName name="A2304410X_Latest">#REF!</definedName>
    <definedName name="A2304412C" localSheetId="2">#REF!,#REF!</definedName>
    <definedName name="A2304412C" localSheetId="12">#REF!,#REF!</definedName>
    <definedName name="A2304412C" localSheetId="0">#REF!,#REF!</definedName>
    <definedName name="A2304412C" localSheetId="13">#REF!,#REF!</definedName>
    <definedName name="A2304412C" localSheetId="1">#REF!,#REF!</definedName>
    <definedName name="A2304412C">#REF!,#REF!</definedName>
    <definedName name="A2304412C_Data" localSheetId="2">#REF!</definedName>
    <definedName name="A2304412C_Data" localSheetId="12">#REF!</definedName>
    <definedName name="A2304412C_Data" localSheetId="0">#REF!</definedName>
    <definedName name="A2304412C_Data" localSheetId="13">#REF!</definedName>
    <definedName name="A2304412C_Data" localSheetId="1">#REF!</definedName>
    <definedName name="A2304412C_Data">#REF!</definedName>
    <definedName name="A2304412C_Latest" localSheetId="2">#REF!</definedName>
    <definedName name="A2304412C_Latest" localSheetId="12">#REF!</definedName>
    <definedName name="A2304412C_Latest" localSheetId="0">#REF!</definedName>
    <definedName name="A2304412C_Latest" localSheetId="13">#REF!</definedName>
    <definedName name="A2304412C_Latest" localSheetId="1">#REF!</definedName>
    <definedName name="A2304412C_Latest">#REF!</definedName>
    <definedName name="A2304414J" localSheetId="2">#REF!,#REF!</definedName>
    <definedName name="A2304414J" localSheetId="12">#REF!,#REF!</definedName>
    <definedName name="A2304414J" localSheetId="0">#REF!,#REF!</definedName>
    <definedName name="A2304414J" localSheetId="13">#REF!,#REF!</definedName>
    <definedName name="A2304414J" localSheetId="1">#REF!,#REF!</definedName>
    <definedName name="A2304414J">#REF!,#REF!</definedName>
    <definedName name="A2304414J_Data" localSheetId="2">#REF!</definedName>
    <definedName name="A2304414J_Data" localSheetId="12">#REF!</definedName>
    <definedName name="A2304414J_Data" localSheetId="0">#REF!</definedName>
    <definedName name="A2304414J_Data" localSheetId="13">#REF!</definedName>
    <definedName name="A2304414J_Data" localSheetId="1">#REF!</definedName>
    <definedName name="A2304414J_Data">#REF!</definedName>
    <definedName name="A2304414J_Latest" localSheetId="2">#REF!</definedName>
    <definedName name="A2304414J_Latest" localSheetId="12">#REF!</definedName>
    <definedName name="A2304414J_Latest" localSheetId="0">#REF!</definedName>
    <definedName name="A2304414J_Latest" localSheetId="13">#REF!</definedName>
    <definedName name="A2304414J_Latest" localSheetId="1">#REF!</definedName>
    <definedName name="A2304414J_Latest">#REF!</definedName>
    <definedName name="A2304416L" localSheetId="2">#REF!,#REF!</definedName>
    <definedName name="A2304416L" localSheetId="12">#REF!,#REF!</definedName>
    <definedName name="A2304416L" localSheetId="0">#REF!,#REF!</definedName>
    <definedName name="A2304416L" localSheetId="13">#REF!,#REF!</definedName>
    <definedName name="A2304416L" localSheetId="1">#REF!,#REF!</definedName>
    <definedName name="A2304416L">#REF!,#REF!</definedName>
    <definedName name="A2304416L_Data" localSheetId="2">#REF!</definedName>
    <definedName name="A2304416L_Data" localSheetId="12">#REF!</definedName>
    <definedName name="A2304416L_Data" localSheetId="0">#REF!</definedName>
    <definedName name="A2304416L_Data" localSheetId="13">#REF!</definedName>
    <definedName name="A2304416L_Data" localSheetId="1">#REF!</definedName>
    <definedName name="A2304416L_Data">#REF!</definedName>
    <definedName name="A2304416L_Latest" localSheetId="2">#REF!</definedName>
    <definedName name="A2304416L_Latest" localSheetId="12">#REF!</definedName>
    <definedName name="A2304416L_Latest" localSheetId="0">#REF!</definedName>
    <definedName name="A2304416L_Latest" localSheetId="13">#REF!</definedName>
    <definedName name="A2304416L_Latest" localSheetId="1">#REF!</definedName>
    <definedName name="A2304416L_Latest">#REF!</definedName>
    <definedName name="A2304418T" localSheetId="2">#REF!,#REF!</definedName>
    <definedName name="A2304418T" localSheetId="12">#REF!,#REF!</definedName>
    <definedName name="A2304418T" localSheetId="0">#REF!,#REF!</definedName>
    <definedName name="A2304418T" localSheetId="13">#REF!,#REF!</definedName>
    <definedName name="A2304418T" localSheetId="1">#REF!,#REF!</definedName>
    <definedName name="A2304418T">#REF!,#REF!</definedName>
    <definedName name="A2304418T_Data" localSheetId="2">#REF!</definedName>
    <definedName name="A2304418T_Data" localSheetId="12">#REF!</definedName>
    <definedName name="A2304418T_Data" localSheetId="0">#REF!</definedName>
    <definedName name="A2304418T_Data" localSheetId="13">#REF!</definedName>
    <definedName name="A2304418T_Data" localSheetId="1">#REF!</definedName>
    <definedName name="A2304418T_Data">#REF!</definedName>
    <definedName name="A2304418T_Latest" localSheetId="2">#REF!</definedName>
    <definedName name="A2304418T_Latest" localSheetId="12">#REF!</definedName>
    <definedName name="A2304418T_Latest" localSheetId="0">#REF!</definedName>
    <definedName name="A2304418T_Latest" localSheetId="13">#REF!</definedName>
    <definedName name="A2304418T_Latest" localSheetId="1">#REF!</definedName>
    <definedName name="A2304418T_Latest">#REF!</definedName>
    <definedName name="A2304420C" localSheetId="2">#REF!,#REF!</definedName>
    <definedName name="A2304420C" localSheetId="12">#REF!,#REF!</definedName>
    <definedName name="A2304420C" localSheetId="0">#REF!,#REF!</definedName>
    <definedName name="A2304420C" localSheetId="13">#REF!,#REF!</definedName>
    <definedName name="A2304420C" localSheetId="1">#REF!,#REF!</definedName>
    <definedName name="A2304420C">#REF!,#REF!</definedName>
    <definedName name="A2304420C_Data" localSheetId="2">#REF!</definedName>
    <definedName name="A2304420C_Data" localSheetId="12">#REF!</definedName>
    <definedName name="A2304420C_Data" localSheetId="0">#REF!</definedName>
    <definedName name="A2304420C_Data" localSheetId="13">#REF!</definedName>
    <definedName name="A2304420C_Data" localSheetId="1">#REF!</definedName>
    <definedName name="A2304420C_Data">#REF!</definedName>
    <definedName name="A2304420C_Latest" localSheetId="2">#REF!</definedName>
    <definedName name="A2304420C_Latest" localSheetId="12">#REF!</definedName>
    <definedName name="A2304420C_Latest" localSheetId="0">#REF!</definedName>
    <definedName name="A2304420C_Latest" localSheetId="13">#REF!</definedName>
    <definedName name="A2304420C_Latest" localSheetId="1">#REF!</definedName>
    <definedName name="A2304420C_Latest">#REF!</definedName>
    <definedName name="A2304422J" localSheetId="2">#REF!,#REF!</definedName>
    <definedName name="A2304422J" localSheetId="12">#REF!,#REF!</definedName>
    <definedName name="A2304422J" localSheetId="0">#REF!,#REF!</definedName>
    <definedName name="A2304422J" localSheetId="13">#REF!,#REF!</definedName>
    <definedName name="A2304422J" localSheetId="1">#REF!,#REF!</definedName>
    <definedName name="A2304422J">#REF!,#REF!</definedName>
    <definedName name="A2304422J_Data" localSheetId="2">#REF!</definedName>
    <definedName name="A2304422J_Data" localSheetId="12">#REF!</definedName>
    <definedName name="A2304422J_Data" localSheetId="0">#REF!</definedName>
    <definedName name="A2304422J_Data" localSheetId="13">#REF!</definedName>
    <definedName name="A2304422J_Data" localSheetId="1">#REF!</definedName>
    <definedName name="A2304422J_Data">#REF!</definedName>
    <definedName name="A2304422J_Latest" localSheetId="2">#REF!</definedName>
    <definedName name="A2304422J_Latest" localSheetId="12">#REF!</definedName>
    <definedName name="A2304422J_Latest" localSheetId="0">#REF!</definedName>
    <definedName name="A2304422J_Latest" localSheetId="13">#REF!</definedName>
    <definedName name="A2304422J_Latest" localSheetId="1">#REF!</definedName>
    <definedName name="A2304422J_Latest">#REF!</definedName>
    <definedName name="A2304424L" localSheetId="2">#REF!,#REF!</definedName>
    <definedName name="A2304424L" localSheetId="12">#REF!,#REF!</definedName>
    <definedName name="A2304424L" localSheetId="0">#REF!,#REF!</definedName>
    <definedName name="A2304424L" localSheetId="13">#REF!,#REF!</definedName>
    <definedName name="A2304424L" localSheetId="1">#REF!,#REF!</definedName>
    <definedName name="A2304424L">#REF!,#REF!</definedName>
    <definedName name="A2304424L_Data" localSheetId="2">#REF!</definedName>
    <definedName name="A2304424L_Data" localSheetId="12">#REF!</definedName>
    <definedName name="A2304424L_Data" localSheetId="0">#REF!</definedName>
    <definedName name="A2304424L_Data" localSheetId="13">#REF!</definedName>
    <definedName name="A2304424L_Data" localSheetId="1">#REF!</definedName>
    <definedName name="A2304424L_Data">#REF!</definedName>
    <definedName name="A2304424L_Latest" localSheetId="2">#REF!</definedName>
    <definedName name="A2304424L_Latest" localSheetId="12">#REF!</definedName>
    <definedName name="A2304424L_Latest" localSheetId="0">#REF!</definedName>
    <definedName name="A2304424L_Latest" localSheetId="13">#REF!</definedName>
    <definedName name="A2304424L_Latest" localSheetId="1">#REF!</definedName>
    <definedName name="A2304424L_Latest">#REF!</definedName>
    <definedName name="A2304428W" localSheetId="2">#REF!,#REF!</definedName>
    <definedName name="A2304428W" localSheetId="12">#REF!,#REF!</definedName>
    <definedName name="A2304428W" localSheetId="0">#REF!,#REF!</definedName>
    <definedName name="A2304428W" localSheetId="13">#REF!,#REF!</definedName>
    <definedName name="A2304428W" localSheetId="1">#REF!,#REF!</definedName>
    <definedName name="A2304428W">#REF!,#REF!</definedName>
    <definedName name="A2304428W_Data" localSheetId="2">#REF!</definedName>
    <definedName name="A2304428W_Data" localSheetId="12">#REF!</definedName>
    <definedName name="A2304428W_Data" localSheetId="0">#REF!</definedName>
    <definedName name="A2304428W_Data" localSheetId="13">#REF!</definedName>
    <definedName name="A2304428W_Data" localSheetId="1">#REF!</definedName>
    <definedName name="A2304428W_Data">#REF!</definedName>
    <definedName name="A2304428W_Latest" localSheetId="2">#REF!</definedName>
    <definedName name="A2304428W_Latest" localSheetId="12">#REF!</definedName>
    <definedName name="A2304428W_Latest" localSheetId="0">#REF!</definedName>
    <definedName name="A2304428W_Latest" localSheetId="13">#REF!</definedName>
    <definedName name="A2304428W_Latest" localSheetId="1">#REF!</definedName>
    <definedName name="A2304428W_Latest">#REF!</definedName>
    <definedName name="A2323381C" localSheetId="2">#REF!,#REF!</definedName>
    <definedName name="A2323381C" localSheetId="12">#REF!,#REF!</definedName>
    <definedName name="A2323381C" localSheetId="0">#REF!,#REF!</definedName>
    <definedName name="A2323381C" localSheetId="13">#REF!,#REF!</definedName>
    <definedName name="A2323381C" localSheetId="1">#REF!,#REF!</definedName>
    <definedName name="A2323381C">#REF!,#REF!</definedName>
    <definedName name="A2323381C_Data" localSheetId="2">#REF!</definedName>
    <definedName name="A2323381C_Data" localSheetId="12">#REF!</definedName>
    <definedName name="A2323381C_Data" localSheetId="0">#REF!</definedName>
    <definedName name="A2323381C_Data" localSheetId="13">#REF!</definedName>
    <definedName name="A2323381C_Data" localSheetId="1">#REF!</definedName>
    <definedName name="A2323381C_Data">#REF!</definedName>
    <definedName name="A2323381C_Latest" localSheetId="2">#REF!</definedName>
    <definedName name="A2323381C_Latest" localSheetId="12">#REF!</definedName>
    <definedName name="A2323381C_Latest" localSheetId="0">#REF!</definedName>
    <definedName name="A2323381C_Latest" localSheetId="13">#REF!</definedName>
    <definedName name="A2323381C_Latest" localSheetId="1">#REF!</definedName>
    <definedName name="A2323381C_Latest">#REF!</definedName>
    <definedName name="A2323382F" localSheetId="2">#REF!,#REF!</definedName>
    <definedName name="A2323382F" localSheetId="12">#REF!,#REF!</definedName>
    <definedName name="A2323382F" localSheetId="0">#REF!,#REF!</definedName>
    <definedName name="A2323382F" localSheetId="13">#REF!,#REF!</definedName>
    <definedName name="A2323382F" localSheetId="1">#REF!,#REF!</definedName>
    <definedName name="A2323382F">#REF!,#REF!</definedName>
    <definedName name="A2323382F_Data" localSheetId="2">#REF!</definedName>
    <definedName name="A2323382F_Data" localSheetId="12">#REF!</definedName>
    <definedName name="A2323382F_Data" localSheetId="0">#REF!</definedName>
    <definedName name="A2323382F_Data" localSheetId="13">#REF!</definedName>
    <definedName name="A2323382F_Data" localSheetId="1">#REF!</definedName>
    <definedName name="A2323382F_Data">#REF!</definedName>
    <definedName name="A2323382F_Latest" localSheetId="2">#REF!</definedName>
    <definedName name="A2323382F_Latest" localSheetId="12">#REF!</definedName>
    <definedName name="A2323382F_Latest" localSheetId="0">#REF!</definedName>
    <definedName name="A2323382F_Latest" localSheetId="13">#REF!</definedName>
    <definedName name="A2323382F_Latest" localSheetId="1">#REF!</definedName>
    <definedName name="A2323382F_Latest">#REF!</definedName>
    <definedName name="A2323384K" localSheetId="2">#REF!,#REF!</definedName>
    <definedName name="A2323384K" localSheetId="12">#REF!,#REF!</definedName>
    <definedName name="A2323384K" localSheetId="0">#REF!,#REF!</definedName>
    <definedName name="A2323384K" localSheetId="13">#REF!,#REF!</definedName>
    <definedName name="A2323384K" localSheetId="1">#REF!,#REF!</definedName>
    <definedName name="A2323384K">#REF!,#REF!</definedName>
    <definedName name="A2323384K_Data" localSheetId="2">#REF!</definedName>
    <definedName name="A2323384K_Data" localSheetId="12">#REF!</definedName>
    <definedName name="A2323384K_Data" localSheetId="0">#REF!</definedName>
    <definedName name="A2323384K_Data" localSheetId="13">#REF!</definedName>
    <definedName name="A2323384K_Data" localSheetId="1">#REF!</definedName>
    <definedName name="A2323384K_Data">#REF!</definedName>
    <definedName name="A2323384K_Latest" localSheetId="2">#REF!</definedName>
    <definedName name="A2323384K_Latest" localSheetId="12">#REF!</definedName>
    <definedName name="A2323384K_Latest" localSheetId="0">#REF!</definedName>
    <definedName name="A2323384K_Latest" localSheetId="13">#REF!</definedName>
    <definedName name="A2323384K_Latest" localSheetId="1">#REF!</definedName>
    <definedName name="A2323384K_Latest">#REF!</definedName>
    <definedName name="A2432928L" localSheetId="2">#REF!,#REF!</definedName>
    <definedName name="A2432928L" localSheetId="12">#REF!,#REF!</definedName>
    <definedName name="A2432928L" localSheetId="0">#REF!,#REF!</definedName>
    <definedName name="A2432928L" localSheetId="13">#REF!,#REF!</definedName>
    <definedName name="A2432928L" localSheetId="1">#REF!,#REF!</definedName>
    <definedName name="A2432928L">#REF!,#REF!</definedName>
    <definedName name="A2432928L_Data" localSheetId="2">#REF!</definedName>
    <definedName name="A2432928L_Data" localSheetId="12">#REF!</definedName>
    <definedName name="A2432928L_Data" localSheetId="0">#REF!</definedName>
    <definedName name="A2432928L_Data" localSheetId="13">#REF!</definedName>
    <definedName name="A2432928L_Data" localSheetId="1">#REF!</definedName>
    <definedName name="A2432928L_Data">#REF!</definedName>
    <definedName name="A2432928L_Latest" localSheetId="2">#REF!</definedName>
    <definedName name="A2432928L_Latest" localSheetId="12">#REF!</definedName>
    <definedName name="A2432928L_Latest" localSheetId="0">#REF!</definedName>
    <definedName name="A2432928L_Latest" localSheetId="13">#REF!</definedName>
    <definedName name="A2432928L_Latest" localSheetId="1">#REF!</definedName>
    <definedName name="A2432928L_Latest">#REF!</definedName>
    <definedName name="A2432930X" localSheetId="2">#REF!,#REF!</definedName>
    <definedName name="A2432930X" localSheetId="12">#REF!,#REF!</definedName>
    <definedName name="A2432930X" localSheetId="0">#REF!,#REF!</definedName>
    <definedName name="A2432930X" localSheetId="13">#REF!,#REF!</definedName>
    <definedName name="A2432930X" localSheetId="1">#REF!,#REF!</definedName>
    <definedName name="A2432930X">#REF!,#REF!</definedName>
    <definedName name="A2432930X_Data" localSheetId="2">#REF!</definedName>
    <definedName name="A2432930X_Data" localSheetId="12">#REF!</definedName>
    <definedName name="A2432930X_Data" localSheetId="0">#REF!</definedName>
    <definedName name="A2432930X_Data" localSheetId="13">#REF!</definedName>
    <definedName name="A2432930X_Data" localSheetId="1">#REF!</definedName>
    <definedName name="A2432930X_Data">#REF!</definedName>
    <definedName name="A2432930X_Latest" localSheetId="2">#REF!</definedName>
    <definedName name="A2432930X_Latest" localSheetId="12">#REF!</definedName>
    <definedName name="A2432930X_Latest" localSheetId="0">#REF!</definedName>
    <definedName name="A2432930X_Latest" localSheetId="13">#REF!</definedName>
    <definedName name="A2432930X_Latest" localSheetId="1">#REF!</definedName>
    <definedName name="A2432930X_Latest">#REF!</definedName>
    <definedName name="A2435266T" localSheetId="2">#REF!,#REF!</definedName>
    <definedName name="A2435266T" localSheetId="12">#REF!,#REF!</definedName>
    <definedName name="A2435266T" localSheetId="0">#REF!,#REF!</definedName>
    <definedName name="A2435266T" localSheetId="13">#REF!,#REF!</definedName>
    <definedName name="A2435266T" localSheetId="1">#REF!,#REF!</definedName>
    <definedName name="A2435266T">#REF!,#REF!</definedName>
    <definedName name="A2435266T_Data" localSheetId="2">#REF!</definedName>
    <definedName name="A2435266T_Data" localSheetId="12">#REF!</definedName>
    <definedName name="A2435266T_Data" localSheetId="0">#REF!</definedName>
    <definedName name="A2435266T_Data" localSheetId="13">#REF!</definedName>
    <definedName name="A2435266T_Data" localSheetId="1">#REF!</definedName>
    <definedName name="A2435266T_Data">#REF!</definedName>
    <definedName name="A2435266T_Latest" localSheetId="2">#REF!</definedName>
    <definedName name="A2435266T_Latest" localSheetId="12">#REF!</definedName>
    <definedName name="A2435266T_Latest" localSheetId="0">#REF!</definedName>
    <definedName name="A2435266T_Latest" localSheetId="13">#REF!</definedName>
    <definedName name="A2435266T_Latest" localSheetId="1">#REF!</definedName>
    <definedName name="A2435266T_Latest">#REF!</definedName>
    <definedName name="A2435282T" localSheetId="2">#REF!,#REF!</definedName>
    <definedName name="A2435282T" localSheetId="12">#REF!,#REF!</definedName>
    <definedName name="A2435282T" localSheetId="0">#REF!,#REF!</definedName>
    <definedName name="A2435282T" localSheetId="13">#REF!,#REF!</definedName>
    <definedName name="A2435282T" localSheetId="1">#REF!,#REF!</definedName>
    <definedName name="A2435282T">#REF!,#REF!</definedName>
    <definedName name="A2435282T_Data" localSheetId="2">#REF!</definedName>
    <definedName name="A2435282T_Data" localSheetId="12">#REF!</definedName>
    <definedName name="A2435282T_Data" localSheetId="0">#REF!</definedName>
    <definedName name="A2435282T_Data" localSheetId="13">#REF!</definedName>
    <definedName name="A2435282T_Data" localSheetId="1">#REF!</definedName>
    <definedName name="A2435282T_Data">#REF!</definedName>
    <definedName name="A2435282T_Latest" localSheetId="2">#REF!</definedName>
    <definedName name="A2435282T_Latest" localSheetId="12">#REF!</definedName>
    <definedName name="A2435282T_Latest" localSheetId="0">#REF!</definedName>
    <definedName name="A2435282T_Latest" localSheetId="13">#REF!</definedName>
    <definedName name="A2435282T_Latest" localSheetId="1">#REF!</definedName>
    <definedName name="A2435282T_Latest">#REF!</definedName>
    <definedName name="A3606044K" localSheetId="2">#REF!,#REF!</definedName>
    <definedName name="A3606044K" localSheetId="12">#REF!,#REF!</definedName>
    <definedName name="A3606044K" localSheetId="0">#REF!,#REF!</definedName>
    <definedName name="A3606044K" localSheetId="13">#REF!,#REF!</definedName>
    <definedName name="A3606044K" localSheetId="1">#REF!,#REF!</definedName>
    <definedName name="A3606044K">#REF!,#REF!</definedName>
    <definedName name="A3606044K_Data" localSheetId="2">#REF!</definedName>
    <definedName name="A3606044K_Data" localSheetId="12">#REF!</definedName>
    <definedName name="A3606044K_Data" localSheetId="0">#REF!</definedName>
    <definedName name="A3606044K_Data" localSheetId="13">#REF!</definedName>
    <definedName name="A3606044K_Data" localSheetId="1">#REF!</definedName>
    <definedName name="A3606044K_Data">#REF!</definedName>
    <definedName name="A3606044K_Latest" localSheetId="2">#REF!</definedName>
    <definedName name="A3606044K_Latest" localSheetId="12">#REF!</definedName>
    <definedName name="A3606044K_Latest" localSheetId="0">#REF!</definedName>
    <definedName name="A3606044K_Latest" localSheetId="13">#REF!</definedName>
    <definedName name="A3606044K_Latest" localSheetId="1">#REF!</definedName>
    <definedName name="A3606044K_Latest">#REF!</definedName>
    <definedName name="A3606046R" localSheetId="2">#REF!,#REF!</definedName>
    <definedName name="A3606046R" localSheetId="12">#REF!,#REF!</definedName>
    <definedName name="A3606046R" localSheetId="0">#REF!,#REF!</definedName>
    <definedName name="A3606046R" localSheetId="13">#REF!,#REF!</definedName>
    <definedName name="A3606046R" localSheetId="1">#REF!,#REF!</definedName>
    <definedName name="A3606046R">#REF!,#REF!</definedName>
    <definedName name="A3606046R_Data" localSheetId="2">#REF!</definedName>
    <definedName name="A3606046R_Data" localSheetId="12">#REF!</definedName>
    <definedName name="A3606046R_Data" localSheetId="0">#REF!</definedName>
    <definedName name="A3606046R_Data" localSheetId="13">#REF!</definedName>
    <definedName name="A3606046R_Data" localSheetId="1">#REF!</definedName>
    <definedName name="A3606046R_Data">#REF!</definedName>
    <definedName name="A3606046R_Latest" localSheetId="2">#REF!</definedName>
    <definedName name="A3606046R_Latest" localSheetId="12">#REF!</definedName>
    <definedName name="A3606046R_Latest" localSheetId="0">#REF!</definedName>
    <definedName name="A3606046R_Latest" localSheetId="13">#REF!</definedName>
    <definedName name="A3606046R_Latest" localSheetId="1">#REF!</definedName>
    <definedName name="A3606046R_Latest">#REF!</definedName>
    <definedName name="A3606048V" localSheetId="2">#REF!,#REF!</definedName>
    <definedName name="A3606048V" localSheetId="12">#REF!,#REF!</definedName>
    <definedName name="A3606048V" localSheetId="0">#REF!,#REF!</definedName>
    <definedName name="A3606048V" localSheetId="13">#REF!,#REF!</definedName>
    <definedName name="A3606048V" localSheetId="1">#REF!,#REF!</definedName>
    <definedName name="A3606048V">#REF!,#REF!</definedName>
    <definedName name="A3606048V_Data" localSheetId="2">#REF!</definedName>
    <definedName name="A3606048V_Data" localSheetId="12">#REF!</definedName>
    <definedName name="A3606048V_Data" localSheetId="0">#REF!</definedName>
    <definedName name="A3606048V_Data" localSheetId="13">#REF!</definedName>
    <definedName name="A3606048V_Data" localSheetId="1">#REF!</definedName>
    <definedName name="A3606048V_Data">#REF!</definedName>
    <definedName name="A3606048V_Latest" localSheetId="2">#REF!</definedName>
    <definedName name="A3606048V_Latest" localSheetId="12">#REF!</definedName>
    <definedName name="A3606048V_Latest" localSheetId="0">#REF!</definedName>
    <definedName name="A3606048V_Latest" localSheetId="13">#REF!</definedName>
    <definedName name="A3606048V_Latest" localSheetId="1">#REF!</definedName>
    <definedName name="A3606048V_Latest">#REF!</definedName>
    <definedName name="A3606050F" localSheetId="2">#REF!,#REF!</definedName>
    <definedName name="A3606050F" localSheetId="12">#REF!,#REF!</definedName>
    <definedName name="A3606050F" localSheetId="0">#REF!,#REF!</definedName>
    <definedName name="A3606050F" localSheetId="13">#REF!,#REF!</definedName>
    <definedName name="A3606050F" localSheetId="1">#REF!,#REF!</definedName>
    <definedName name="A3606050F">#REF!,#REF!</definedName>
    <definedName name="A3606050F_Data" localSheetId="2">#REF!</definedName>
    <definedName name="A3606050F_Data" localSheetId="12">#REF!</definedName>
    <definedName name="A3606050F_Data" localSheetId="0">#REF!</definedName>
    <definedName name="A3606050F_Data" localSheetId="13">#REF!</definedName>
    <definedName name="A3606050F_Data" localSheetId="1">#REF!</definedName>
    <definedName name="A3606050F_Data">#REF!</definedName>
    <definedName name="A3606050F_Latest" localSheetId="2">#REF!</definedName>
    <definedName name="A3606050F_Latest" localSheetId="12">#REF!</definedName>
    <definedName name="A3606050F_Latest" localSheetId="0">#REF!</definedName>
    <definedName name="A3606050F_Latest" localSheetId="13">#REF!</definedName>
    <definedName name="A3606050F_Latest" localSheetId="1">#REF!</definedName>
    <definedName name="A3606050F_Latest">#REF!</definedName>
    <definedName name="A3606052K" localSheetId="2">#REF!,#REF!</definedName>
    <definedName name="A3606052K" localSheetId="12">#REF!,#REF!</definedName>
    <definedName name="A3606052K" localSheetId="0">#REF!,#REF!</definedName>
    <definedName name="A3606052K" localSheetId="13">#REF!,#REF!</definedName>
    <definedName name="A3606052K" localSheetId="1">#REF!,#REF!</definedName>
    <definedName name="A3606052K">#REF!,#REF!</definedName>
    <definedName name="A3606052K_Data" localSheetId="2">#REF!</definedName>
    <definedName name="A3606052K_Data" localSheetId="12">#REF!</definedName>
    <definedName name="A3606052K_Data" localSheetId="0">#REF!</definedName>
    <definedName name="A3606052K_Data" localSheetId="13">#REF!</definedName>
    <definedName name="A3606052K_Data" localSheetId="1">#REF!</definedName>
    <definedName name="A3606052K_Data">#REF!</definedName>
    <definedName name="A3606052K_Latest" localSheetId="2">#REF!</definedName>
    <definedName name="A3606052K_Latest" localSheetId="12">#REF!</definedName>
    <definedName name="A3606052K_Latest" localSheetId="0">#REF!</definedName>
    <definedName name="A3606052K_Latest" localSheetId="13">#REF!</definedName>
    <definedName name="A3606052K_Latest" localSheetId="1">#REF!</definedName>
    <definedName name="A3606052K_Latest">#REF!</definedName>
    <definedName name="A3606054R" localSheetId="2">#REF!,#REF!</definedName>
    <definedName name="A3606054R" localSheetId="12">#REF!,#REF!</definedName>
    <definedName name="A3606054R" localSheetId="0">#REF!,#REF!</definedName>
    <definedName name="A3606054R" localSheetId="13">#REF!,#REF!</definedName>
    <definedName name="A3606054R" localSheetId="1">#REF!,#REF!</definedName>
    <definedName name="A3606054R">#REF!,#REF!</definedName>
    <definedName name="A3606054R_Data" localSheetId="2">#REF!</definedName>
    <definedName name="A3606054R_Data" localSheetId="12">#REF!</definedName>
    <definedName name="A3606054R_Data" localSheetId="0">#REF!</definedName>
    <definedName name="A3606054R_Data" localSheetId="13">#REF!</definedName>
    <definedName name="A3606054R_Data" localSheetId="1">#REF!</definedName>
    <definedName name="A3606054R_Data">#REF!</definedName>
    <definedName name="A3606054R_Latest" localSheetId="2">#REF!</definedName>
    <definedName name="A3606054R_Latest" localSheetId="12">#REF!</definedName>
    <definedName name="A3606054R_Latest" localSheetId="0">#REF!</definedName>
    <definedName name="A3606054R_Latest" localSheetId="13">#REF!</definedName>
    <definedName name="A3606054R_Latest" localSheetId="1">#REF!</definedName>
    <definedName name="A3606054R_Latest">#REF!</definedName>
    <definedName name="A3606056V" localSheetId="2">#REF!,#REF!</definedName>
    <definedName name="A3606056V" localSheetId="12">#REF!,#REF!</definedName>
    <definedName name="A3606056V" localSheetId="0">#REF!,#REF!</definedName>
    <definedName name="A3606056V" localSheetId="13">#REF!,#REF!</definedName>
    <definedName name="A3606056V" localSheetId="1">#REF!,#REF!</definedName>
    <definedName name="A3606056V">#REF!,#REF!</definedName>
    <definedName name="A3606056V_Data" localSheetId="2">#REF!</definedName>
    <definedName name="A3606056V_Data" localSheetId="12">#REF!</definedName>
    <definedName name="A3606056V_Data" localSheetId="0">#REF!</definedName>
    <definedName name="A3606056V_Data" localSheetId="13">#REF!</definedName>
    <definedName name="A3606056V_Data" localSheetId="1">#REF!</definedName>
    <definedName name="A3606056V_Data">#REF!</definedName>
    <definedName name="A3606056V_Latest" localSheetId="2">#REF!</definedName>
    <definedName name="A3606056V_Latest" localSheetId="12">#REF!</definedName>
    <definedName name="A3606056V_Latest" localSheetId="0">#REF!</definedName>
    <definedName name="A3606056V_Latest" localSheetId="13">#REF!</definedName>
    <definedName name="A3606056V_Latest" localSheetId="1">#REF!</definedName>
    <definedName name="A3606056V_Latest">#REF!</definedName>
    <definedName name="A3606058X" localSheetId="2">#REF!,#REF!</definedName>
    <definedName name="A3606058X" localSheetId="12">#REF!,#REF!</definedName>
    <definedName name="A3606058X" localSheetId="0">#REF!,#REF!</definedName>
    <definedName name="A3606058X" localSheetId="13">#REF!,#REF!</definedName>
    <definedName name="A3606058X" localSheetId="1">#REF!,#REF!</definedName>
    <definedName name="A3606058X">#REF!,#REF!</definedName>
    <definedName name="A3606058X_Data" localSheetId="2">#REF!</definedName>
    <definedName name="A3606058X_Data" localSheetId="12">#REF!</definedName>
    <definedName name="A3606058X_Data" localSheetId="0">#REF!</definedName>
    <definedName name="A3606058X_Data" localSheetId="13">#REF!</definedName>
    <definedName name="A3606058X_Data" localSheetId="1">#REF!</definedName>
    <definedName name="A3606058X_Data">#REF!</definedName>
    <definedName name="A3606058X_Latest" localSheetId="2">#REF!</definedName>
    <definedName name="A3606058X_Latest" localSheetId="12">#REF!</definedName>
    <definedName name="A3606058X_Latest" localSheetId="0">#REF!</definedName>
    <definedName name="A3606058X_Latest" localSheetId="13">#REF!</definedName>
    <definedName name="A3606058X_Latest" localSheetId="1">#REF!</definedName>
    <definedName name="A3606058X_Latest">#REF!</definedName>
    <definedName name="A3606060K" localSheetId="2">#REF!,#REF!</definedName>
    <definedName name="A3606060K" localSheetId="12">#REF!,#REF!</definedName>
    <definedName name="A3606060K" localSheetId="0">#REF!,#REF!</definedName>
    <definedName name="A3606060K" localSheetId="13">#REF!,#REF!</definedName>
    <definedName name="A3606060K" localSheetId="1">#REF!,#REF!</definedName>
    <definedName name="A3606060K">#REF!,#REF!</definedName>
    <definedName name="A3606060K_Data" localSheetId="2">#REF!</definedName>
    <definedName name="A3606060K_Data" localSheetId="12">#REF!</definedName>
    <definedName name="A3606060K_Data" localSheetId="0">#REF!</definedName>
    <definedName name="A3606060K_Data" localSheetId="13">#REF!</definedName>
    <definedName name="A3606060K_Data" localSheetId="1">#REF!</definedName>
    <definedName name="A3606060K_Data">#REF!</definedName>
    <definedName name="A3606060K_Latest" localSheetId="2">#REF!</definedName>
    <definedName name="A3606060K_Latest" localSheetId="12">#REF!</definedName>
    <definedName name="A3606060K_Latest" localSheetId="0">#REF!</definedName>
    <definedName name="A3606060K_Latest" localSheetId="13">#REF!</definedName>
    <definedName name="A3606060K_Latest" localSheetId="1">#REF!</definedName>
    <definedName name="A3606060K_Latest">#REF!</definedName>
    <definedName name="A3606061L" localSheetId="2">#REF!,#REF!</definedName>
    <definedName name="A3606061L" localSheetId="12">#REF!,#REF!</definedName>
    <definedName name="A3606061L" localSheetId="0">#REF!,#REF!</definedName>
    <definedName name="A3606061L" localSheetId="13">#REF!,#REF!</definedName>
    <definedName name="A3606061L" localSheetId="1">#REF!,#REF!</definedName>
    <definedName name="A3606061L">#REF!,#REF!</definedName>
    <definedName name="A3606061L_Data" localSheetId="2">#REF!</definedName>
    <definedName name="A3606061L_Data" localSheetId="12">#REF!</definedName>
    <definedName name="A3606061L_Data" localSheetId="0">#REF!</definedName>
    <definedName name="A3606061L_Data" localSheetId="13">#REF!</definedName>
    <definedName name="A3606061L_Data" localSheetId="1">#REF!</definedName>
    <definedName name="A3606061L_Data">#REF!</definedName>
    <definedName name="A3606061L_Latest" localSheetId="2">#REF!</definedName>
    <definedName name="A3606061L_Latest" localSheetId="12">#REF!</definedName>
    <definedName name="A3606061L_Latest" localSheetId="0">#REF!</definedName>
    <definedName name="A3606061L_Latest" localSheetId="13">#REF!</definedName>
    <definedName name="A3606061L_Latest" localSheetId="1">#REF!</definedName>
    <definedName name="A3606061L_Latest">#REF!</definedName>
    <definedName name="A3606062R" localSheetId="2">#REF!,#REF!</definedName>
    <definedName name="A3606062R" localSheetId="12">#REF!,#REF!</definedName>
    <definedName name="A3606062R" localSheetId="0">#REF!,#REF!</definedName>
    <definedName name="A3606062R" localSheetId="13">#REF!,#REF!</definedName>
    <definedName name="A3606062R" localSheetId="1">#REF!,#REF!</definedName>
    <definedName name="A3606062R">#REF!,#REF!</definedName>
    <definedName name="A3606062R_Data" localSheetId="2">#REF!</definedName>
    <definedName name="A3606062R_Data" localSheetId="12">#REF!</definedName>
    <definedName name="A3606062R_Data" localSheetId="0">#REF!</definedName>
    <definedName name="A3606062R_Data" localSheetId="13">#REF!</definedName>
    <definedName name="A3606062R_Data" localSheetId="1">#REF!</definedName>
    <definedName name="A3606062R_Data">#REF!</definedName>
    <definedName name="A3606062R_Latest" localSheetId="2">#REF!</definedName>
    <definedName name="A3606062R_Latest" localSheetId="12">#REF!</definedName>
    <definedName name="A3606062R_Latest" localSheetId="0">#REF!</definedName>
    <definedName name="A3606062R_Latest" localSheetId="13">#REF!</definedName>
    <definedName name="A3606062R_Latest" localSheetId="1">#REF!</definedName>
    <definedName name="A3606062R_Latest">#REF!</definedName>
    <definedName name="A3606063T" localSheetId="2">#REF!,#REF!</definedName>
    <definedName name="A3606063T" localSheetId="12">#REF!,#REF!</definedName>
    <definedName name="A3606063T" localSheetId="0">#REF!,#REF!</definedName>
    <definedName name="A3606063T" localSheetId="13">#REF!,#REF!</definedName>
    <definedName name="A3606063T" localSheetId="1">#REF!,#REF!</definedName>
    <definedName name="A3606063T">#REF!,#REF!</definedName>
    <definedName name="A3606063T_Data" localSheetId="2">#REF!</definedName>
    <definedName name="A3606063T_Data" localSheetId="12">#REF!</definedName>
    <definedName name="A3606063T_Data" localSheetId="0">#REF!</definedName>
    <definedName name="A3606063T_Data" localSheetId="13">#REF!</definedName>
    <definedName name="A3606063T_Data" localSheetId="1">#REF!</definedName>
    <definedName name="A3606063T_Data">#REF!</definedName>
    <definedName name="A3606063T_Latest" localSheetId="2">#REF!</definedName>
    <definedName name="A3606063T_Latest" localSheetId="12">#REF!</definedName>
    <definedName name="A3606063T_Latest" localSheetId="0">#REF!</definedName>
    <definedName name="A3606063T_Latest" localSheetId="13">#REF!</definedName>
    <definedName name="A3606063T_Latest" localSheetId="1">#REF!</definedName>
    <definedName name="A3606063T_Latest">#REF!</definedName>
    <definedName name="Classification" localSheetId="6">'[1]Class.InterDependencies'!$A$5:$A$10</definedName>
    <definedName name="Classification">'[2]Class.InterDependencies'!$A$5:$A$10</definedName>
    <definedName name="d" localSheetId="2">#REF!</definedName>
    <definedName name="d" localSheetId="12">#REF!</definedName>
    <definedName name="d" localSheetId="0">#REF!</definedName>
    <definedName name="d" localSheetId="13">#REF!</definedName>
    <definedName name="d" localSheetId="1">#REF!</definedName>
    <definedName name="d">#REF!</definedName>
    <definedName name="Date_Range" localSheetId="2">#REF!,#REF!</definedName>
    <definedName name="Date_Range" localSheetId="12">#REF!,#REF!</definedName>
    <definedName name="Date_Range" localSheetId="0">#REF!,#REF!</definedName>
    <definedName name="Date_Range" localSheetId="13">#REF!,#REF!</definedName>
    <definedName name="Date_Range" localSheetId="1">#REF!,#REF!</definedName>
    <definedName name="Date_Range">#REF!,#REF!</definedName>
    <definedName name="Date_Range_Data" localSheetId="2">#REF!</definedName>
    <definedName name="Date_Range_Data" localSheetId="12">#REF!</definedName>
    <definedName name="Date_Range_Data" localSheetId="0">#REF!</definedName>
    <definedName name="Date_Range_Data" localSheetId="13">#REF!</definedName>
    <definedName name="Date_Range_Data" localSheetId="1">#REF!</definedName>
    <definedName name="Date_Range_Data">#REF!</definedName>
    <definedName name="InterJurisdictional" localSheetId="0" hidden="1">'[3]Class.InterDependancies'!$N$2:$N$3</definedName>
    <definedName name="InterJurisdictional" localSheetId="1" hidden="1">'[3]Class.InterDependancies'!$N$2:$N$3</definedName>
    <definedName name="InterJurisdictional" hidden="1">'[4]Class.InterDependancies'!$N$2:$N$3</definedName>
    <definedName name="_xlnm.Print_Area" localSheetId="2">'About SRI'!$B$1:$B$1</definedName>
    <definedName name="_xlnm.Print_Area" localSheetId="12">Definitions!$B$1:$G$151</definedName>
    <definedName name="rr" localSheetId="2">#REF!,#REF!</definedName>
    <definedName name="rr" localSheetId="12">#REF!,#REF!</definedName>
    <definedName name="rr" localSheetId="0">#REF!,#REF!</definedName>
    <definedName name="rr" localSheetId="13">#REF!,#REF!</definedName>
    <definedName name="rr" localSheetId="1">#REF!,#REF!</definedName>
    <definedName name="rr">#REF!,#REF!</definedName>
    <definedName name="s" localSheetId="2">#REF!</definedName>
    <definedName name="s" localSheetId="12">#REF!</definedName>
    <definedName name="s" localSheetId="0">#REF!</definedName>
    <definedName name="s" localSheetId="13">#REF!</definedName>
    <definedName name="s" localSheetId="1">#REF!</definedName>
    <definedName name="s">#REF!</definedName>
    <definedName name="Search_terms" localSheetId="2">OFFSET(#REF!,0,0,COUNTA(#REF!),1)</definedName>
    <definedName name="Search_terms" localSheetId="12">OFFSET(#REF!,0,0,COUNTA(#REF!),1)</definedName>
    <definedName name="Search_terms" localSheetId="0">OFFSET(#REF!,0,0,COUNTA(#REF!),1)</definedName>
    <definedName name="Search_terms" localSheetId="13">OFFSET(#REF!,0,0,COUNTA(#REF!),1)</definedName>
    <definedName name="Search_terms" localSheetId="1">OFFSET(#REF!,0,0,COUNTA(#REF!),1)</definedName>
    <definedName name="Search_terms">OFFSET(#REF!,0,0,COUNTA(#REF!),1)</definedName>
    <definedName name="Summary" localSheetId="2">OFFSET(#REF!,0,0,COUNTA(#REF!),1)</definedName>
    <definedName name="Summary" localSheetId="12">OFFSET(#REF!,0,0,COUNTA(#REF!),1)</definedName>
    <definedName name="Summary" localSheetId="0">OFFSET(#REF!,0,0,COUNTA(#REF!),1)</definedName>
    <definedName name="Summary" localSheetId="13">OFFSET(#REF!,0,0,COUNTA(#REF!),1)</definedName>
    <definedName name="Summary" localSheetId="1">OFFSET(#REF!,0,0,COUNTA(#REF!),1)</definedName>
    <definedName name="Summary">OFFSET(#REF!,0,0,COUNTA(#REF!),1)</definedName>
    <definedName name="Test" localSheetId="2">#REF!,#REF!</definedName>
    <definedName name="Test" localSheetId="12">#REF!,#REF!</definedName>
    <definedName name="Test" localSheetId="0">#REF!,#REF!</definedName>
    <definedName name="Test" localSheetId="13">#REF!,#REF!</definedName>
    <definedName name="Test" localSheetId="1">#REF!,#REF!</definedName>
    <definedName name="Test">#REF!,#REF!</definedName>
    <definedName name="Z_05C9F304_B468_43CA_A36D_29D1AEAA92CC_.wvu.Cols" localSheetId="12" hidden="1">Definitions!$H:$XFD</definedName>
    <definedName name="Z_05C9F304_B468_43CA_A36D_29D1AEAA92CC_.wvu.PrintArea" localSheetId="12" hidden="1">Definitions!$B$1:$G$151</definedName>
    <definedName name="Z_05C9F304_B468_43CA_A36D_29D1AEAA92CC_.wvu.Rows" localSheetId="12" hidden="1">Definitions!$130:$133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77" i="1" l="1"/>
  <c r="AM203" i="3"/>
  <c r="AN203" i="3"/>
  <c r="AO203" i="3"/>
  <c r="AP203" i="3"/>
  <c r="AQ203" i="3"/>
  <c r="AL203" i="3"/>
  <c r="BJ666" i="2"/>
  <c r="BK666" i="2"/>
  <c r="BL666" i="2"/>
  <c r="BM666" i="2"/>
  <c r="BN666" i="2"/>
  <c r="BI666" i="2"/>
  <c r="S204" i="10"/>
  <c r="BD5" i="2"/>
  <c r="BE5" i="2" s="1"/>
  <c r="BD6" i="2"/>
  <c r="BE6" i="2" s="1"/>
  <c r="BD7" i="2"/>
  <c r="BE7" i="2" s="1"/>
  <c r="BD8" i="2"/>
  <c r="BE8" i="2" s="1"/>
  <c r="BD9" i="2"/>
  <c r="BE9" i="2" s="1"/>
  <c r="BD10" i="2"/>
  <c r="BE10" i="2" s="1"/>
  <c r="BD11" i="2"/>
  <c r="BE11" i="2" s="1"/>
  <c r="BD12" i="2"/>
  <c r="BE12" i="2" s="1"/>
  <c r="BD13" i="2"/>
  <c r="BE13" i="2" s="1"/>
  <c r="BD14" i="2"/>
  <c r="BE14" i="2" s="1"/>
  <c r="BD15" i="2"/>
  <c r="BE15" i="2" s="1"/>
  <c r="BD16" i="2"/>
  <c r="BE16" i="2" s="1"/>
  <c r="BD17" i="2"/>
  <c r="BE17" i="2" s="1"/>
  <c r="BD18" i="2"/>
  <c r="BE18" i="2" s="1"/>
  <c r="BD19" i="2"/>
  <c r="BE19" i="2" s="1"/>
  <c r="BD20" i="2"/>
  <c r="BE20" i="2" s="1"/>
  <c r="BD21" i="2"/>
  <c r="BE21" i="2" s="1"/>
  <c r="BD22" i="2"/>
  <c r="BE22" i="2" s="1"/>
  <c r="BD23" i="2"/>
  <c r="BE23" i="2" s="1"/>
  <c r="BD24" i="2"/>
  <c r="BE24" i="2" s="1"/>
  <c r="BD25" i="2"/>
  <c r="BE25" i="2" s="1"/>
  <c r="BD26" i="2"/>
  <c r="BE26" i="2" s="1"/>
  <c r="BD27" i="2"/>
  <c r="BE27" i="2" s="1"/>
  <c r="BD28" i="2"/>
  <c r="BE28" i="2" s="1"/>
  <c r="BD29" i="2"/>
  <c r="BE29" i="2" s="1"/>
  <c r="BD30" i="2"/>
  <c r="BE30" i="2" s="1"/>
  <c r="BD31" i="2"/>
  <c r="BE31" i="2" s="1"/>
  <c r="BD32" i="2"/>
  <c r="BE32" i="2" s="1"/>
  <c r="BD33" i="2"/>
  <c r="BE33" i="2" s="1"/>
  <c r="BD34" i="2"/>
  <c r="BE34" i="2" s="1"/>
  <c r="BD35" i="2"/>
  <c r="BE35" i="2" s="1"/>
  <c r="BD36" i="2"/>
  <c r="BE36" i="2" s="1"/>
  <c r="BD37" i="2"/>
  <c r="BE37" i="2" s="1"/>
  <c r="BD38" i="2"/>
  <c r="BE38" i="2" s="1"/>
  <c r="BD39" i="2"/>
  <c r="BE39" i="2" s="1"/>
  <c r="BD40" i="2"/>
  <c r="BE40" i="2" s="1"/>
  <c r="BD41" i="2"/>
  <c r="BE41" i="2" s="1"/>
  <c r="BD42" i="2"/>
  <c r="BE42" i="2" s="1"/>
  <c r="BD43" i="2"/>
  <c r="BE43" i="2" s="1"/>
  <c r="BD44" i="2"/>
  <c r="BE44" i="2" s="1"/>
  <c r="BD45" i="2"/>
  <c r="BE45" i="2" s="1"/>
  <c r="BD46" i="2"/>
  <c r="BE46" i="2" s="1"/>
  <c r="BD47" i="2"/>
  <c r="BE47" i="2" s="1"/>
  <c r="BD48" i="2"/>
  <c r="BE48" i="2" s="1"/>
  <c r="BD49" i="2"/>
  <c r="BE49" i="2" s="1"/>
  <c r="BD50" i="2"/>
  <c r="BE50" i="2" s="1"/>
  <c r="BD51" i="2"/>
  <c r="BE51" i="2" s="1"/>
  <c r="BD52" i="2"/>
  <c r="BE52" i="2" s="1"/>
  <c r="BD53" i="2"/>
  <c r="BE53" i="2" s="1"/>
  <c r="BD54" i="2"/>
  <c r="BE54" i="2" s="1"/>
  <c r="BD55" i="2"/>
  <c r="BE55" i="2" s="1"/>
  <c r="BD56" i="2"/>
  <c r="BE56" i="2" s="1"/>
  <c r="BD57" i="2"/>
  <c r="BE57" i="2" s="1"/>
  <c r="BD58" i="2"/>
  <c r="BE58" i="2" s="1"/>
  <c r="BD59" i="2"/>
  <c r="BE59" i="2" s="1"/>
  <c r="BD60" i="2"/>
  <c r="BE60" i="2" s="1"/>
  <c r="BD61" i="2"/>
  <c r="BE61" i="2" s="1"/>
  <c r="BD62" i="2"/>
  <c r="BE62" i="2" s="1"/>
  <c r="BD63" i="2"/>
  <c r="BE63" i="2" s="1"/>
  <c r="BD64" i="2"/>
  <c r="BE64" i="2" s="1"/>
  <c r="BD65" i="2"/>
  <c r="BE65" i="2" s="1"/>
  <c r="BD66" i="2"/>
  <c r="BE66" i="2" s="1"/>
  <c r="BD67" i="2"/>
  <c r="BE67" i="2" s="1"/>
  <c r="BD68" i="2"/>
  <c r="BE68" i="2" s="1"/>
  <c r="BD69" i="2"/>
  <c r="BE69" i="2" s="1"/>
  <c r="BD70" i="2"/>
  <c r="BE70" i="2" s="1"/>
  <c r="BD71" i="2"/>
  <c r="BE71" i="2" s="1"/>
  <c r="BD72" i="2"/>
  <c r="BE72" i="2" s="1"/>
  <c r="BD73" i="2"/>
  <c r="BE73" i="2" s="1"/>
  <c r="BD74" i="2"/>
  <c r="BE74" i="2" s="1"/>
  <c r="BD75" i="2"/>
  <c r="BE75" i="2" s="1"/>
  <c r="BD76" i="2"/>
  <c r="BE76" i="2" s="1"/>
  <c r="BD77" i="2"/>
  <c r="BE77" i="2" s="1"/>
  <c r="BD78" i="2"/>
  <c r="BE78" i="2" s="1"/>
  <c r="BD79" i="2"/>
  <c r="BE79" i="2" s="1"/>
  <c r="BD80" i="2"/>
  <c r="BE80" i="2" s="1"/>
  <c r="BD81" i="2"/>
  <c r="BE81" i="2" s="1"/>
  <c r="BD82" i="2"/>
  <c r="BE82" i="2" s="1"/>
  <c r="BD83" i="2"/>
  <c r="BE83" i="2" s="1"/>
  <c r="BD84" i="2"/>
  <c r="BE84" i="2" s="1"/>
  <c r="BD85" i="2"/>
  <c r="BE85" i="2" s="1"/>
  <c r="BD86" i="2"/>
  <c r="BE86" i="2" s="1"/>
  <c r="BD87" i="2"/>
  <c r="BE87" i="2" s="1"/>
  <c r="BD88" i="2"/>
  <c r="BE88" i="2" s="1"/>
  <c r="BD89" i="2"/>
  <c r="BE89" i="2" s="1"/>
  <c r="BD90" i="2"/>
  <c r="BE90" i="2" s="1"/>
  <c r="BD91" i="2"/>
  <c r="BE91" i="2" s="1"/>
  <c r="BD92" i="2"/>
  <c r="BE92" i="2" s="1"/>
  <c r="BD93" i="2"/>
  <c r="BE93" i="2" s="1"/>
  <c r="BD94" i="2"/>
  <c r="BE94" i="2" s="1"/>
  <c r="BD95" i="2"/>
  <c r="BE95" i="2" s="1"/>
  <c r="BD96" i="2"/>
  <c r="BE96" i="2" s="1"/>
  <c r="BD97" i="2"/>
  <c r="BE97" i="2" s="1"/>
  <c r="BD98" i="2"/>
  <c r="BE98" i="2" s="1"/>
  <c r="BD99" i="2"/>
  <c r="BE99" i="2" s="1"/>
  <c r="BD100" i="2"/>
  <c r="BE100" i="2" s="1"/>
  <c r="BD101" i="2"/>
  <c r="BE101" i="2" s="1"/>
  <c r="BD102" i="2"/>
  <c r="BE102" i="2" s="1"/>
  <c r="BD103" i="2"/>
  <c r="BE103" i="2" s="1"/>
  <c r="BD104" i="2"/>
  <c r="BE104" i="2" s="1"/>
  <c r="BD105" i="2"/>
  <c r="BE105" i="2" s="1"/>
  <c r="BD106" i="2"/>
  <c r="BE106" i="2" s="1"/>
  <c r="BD107" i="2"/>
  <c r="BE107" i="2" s="1"/>
  <c r="BD108" i="2"/>
  <c r="BE108" i="2" s="1"/>
  <c r="BD109" i="2"/>
  <c r="BE109" i="2" s="1"/>
  <c r="BD110" i="2"/>
  <c r="BE110" i="2" s="1"/>
  <c r="BD111" i="2"/>
  <c r="BE111" i="2" s="1"/>
  <c r="BD112" i="2"/>
  <c r="BE112" i="2" s="1"/>
  <c r="BD113" i="2"/>
  <c r="BE113" i="2" s="1"/>
  <c r="BD114" i="2"/>
  <c r="BE114" i="2" s="1"/>
  <c r="BD115" i="2"/>
  <c r="BE115" i="2" s="1"/>
  <c r="BD116" i="2"/>
  <c r="BE116" i="2" s="1"/>
  <c r="BD117" i="2"/>
  <c r="BE117" i="2" s="1"/>
  <c r="BD118" i="2"/>
  <c r="BE118" i="2" s="1"/>
  <c r="BD119" i="2"/>
  <c r="BE119" i="2" s="1"/>
  <c r="BD120" i="2"/>
  <c r="BE120" i="2" s="1"/>
  <c r="BD121" i="2"/>
  <c r="BE121" i="2" s="1"/>
  <c r="BD122" i="2"/>
  <c r="BE122" i="2" s="1"/>
  <c r="BD123" i="2"/>
  <c r="BE123" i="2" s="1"/>
  <c r="BD124" i="2"/>
  <c r="BE124" i="2" s="1"/>
  <c r="BD125" i="2"/>
  <c r="BE125" i="2" s="1"/>
  <c r="BD126" i="2"/>
  <c r="BE126" i="2" s="1"/>
  <c r="BD127" i="2"/>
  <c r="BE127" i="2" s="1"/>
  <c r="BD128" i="2"/>
  <c r="BE128" i="2" s="1"/>
  <c r="BD129" i="2"/>
  <c r="BE129" i="2" s="1"/>
  <c r="BD130" i="2"/>
  <c r="BE130" i="2" s="1"/>
  <c r="BD131" i="2"/>
  <c r="BE131" i="2" s="1"/>
  <c r="BD132" i="2"/>
  <c r="BE132" i="2" s="1"/>
  <c r="BD133" i="2"/>
  <c r="BE133" i="2" s="1"/>
  <c r="BD134" i="2"/>
  <c r="BE134" i="2" s="1"/>
  <c r="BD135" i="2"/>
  <c r="BE135" i="2" s="1"/>
  <c r="BD136" i="2"/>
  <c r="BE136" i="2" s="1"/>
  <c r="BD137" i="2"/>
  <c r="BE137" i="2" s="1"/>
  <c r="BD138" i="2"/>
  <c r="BE138" i="2" s="1"/>
  <c r="BD139" i="2"/>
  <c r="BE139" i="2" s="1"/>
  <c r="BD140" i="2"/>
  <c r="BE140" i="2" s="1"/>
  <c r="BD141" i="2"/>
  <c r="BE141" i="2" s="1"/>
  <c r="BD142" i="2"/>
  <c r="BE142" i="2" s="1"/>
  <c r="BD143" i="2"/>
  <c r="BE143" i="2" s="1"/>
  <c r="BD144" i="2"/>
  <c r="BE144" i="2" s="1"/>
  <c r="BD145" i="2"/>
  <c r="BE145" i="2" s="1"/>
  <c r="BD146" i="2"/>
  <c r="BE146" i="2" s="1"/>
  <c r="BD147" i="2"/>
  <c r="BE147" i="2" s="1"/>
  <c r="BD148" i="2"/>
  <c r="BE148" i="2" s="1"/>
  <c r="BD149" i="2"/>
  <c r="BE149" i="2" s="1"/>
  <c r="BD150" i="2"/>
  <c r="BE150" i="2" s="1"/>
  <c r="BD151" i="2"/>
  <c r="BE151" i="2" s="1"/>
  <c r="BD152" i="2"/>
  <c r="BE152" i="2" s="1"/>
  <c r="BD153" i="2"/>
  <c r="BE153" i="2" s="1"/>
  <c r="BD154" i="2"/>
  <c r="BE154" i="2" s="1"/>
  <c r="BD155" i="2"/>
  <c r="BE155" i="2" s="1"/>
  <c r="BD156" i="2"/>
  <c r="BE156" i="2" s="1"/>
  <c r="BD157" i="2"/>
  <c r="BE157" i="2" s="1"/>
  <c r="BD158" i="2"/>
  <c r="BE158" i="2" s="1"/>
  <c r="BD159" i="2"/>
  <c r="BE159" i="2" s="1"/>
  <c r="BD160" i="2"/>
  <c r="BE160" i="2" s="1"/>
  <c r="BD161" i="2"/>
  <c r="BE161" i="2" s="1"/>
  <c r="BD162" i="2"/>
  <c r="BE162" i="2" s="1"/>
  <c r="BD163" i="2"/>
  <c r="BE163" i="2" s="1"/>
  <c r="BD164" i="2"/>
  <c r="BE164" i="2" s="1"/>
  <c r="BD165" i="2"/>
  <c r="BE165" i="2" s="1"/>
  <c r="BD166" i="2"/>
  <c r="BE166" i="2" s="1"/>
  <c r="BD167" i="2"/>
  <c r="BE167" i="2" s="1"/>
  <c r="BD168" i="2"/>
  <c r="BE168" i="2" s="1"/>
  <c r="BD169" i="2"/>
  <c r="BE169" i="2" s="1"/>
  <c r="BD170" i="2"/>
  <c r="BE170" i="2" s="1"/>
  <c r="BD171" i="2"/>
  <c r="BE171" i="2" s="1"/>
  <c r="BD172" i="2"/>
  <c r="BE172" i="2" s="1"/>
  <c r="BD173" i="2"/>
  <c r="BE173" i="2" s="1"/>
  <c r="BD174" i="2"/>
  <c r="BE174" i="2" s="1"/>
  <c r="BD175" i="2"/>
  <c r="BE175" i="2" s="1"/>
  <c r="BD176" i="2"/>
  <c r="BE176" i="2" s="1"/>
  <c r="BD177" i="2"/>
  <c r="BE177" i="2" s="1"/>
  <c r="BD178" i="2"/>
  <c r="BE178" i="2" s="1"/>
  <c r="BD179" i="2"/>
  <c r="BE179" i="2" s="1"/>
  <c r="BD180" i="2"/>
  <c r="BE180" i="2" s="1"/>
  <c r="BD181" i="2"/>
  <c r="BE181" i="2" s="1"/>
  <c r="BD182" i="2"/>
  <c r="BE182" i="2" s="1"/>
  <c r="BD183" i="2"/>
  <c r="BE183" i="2" s="1"/>
  <c r="BD184" i="2"/>
  <c r="BE184" i="2" s="1"/>
  <c r="BD185" i="2"/>
  <c r="BE185" i="2" s="1"/>
  <c r="BD186" i="2"/>
  <c r="BE186" i="2" s="1"/>
  <c r="BD187" i="2"/>
  <c r="BE187" i="2" s="1"/>
  <c r="BD188" i="2"/>
  <c r="BE188" i="2" s="1"/>
  <c r="BD189" i="2"/>
  <c r="BE189" i="2" s="1"/>
  <c r="BD190" i="2"/>
  <c r="BE190" i="2" s="1"/>
  <c r="BD191" i="2"/>
  <c r="BE191" i="2" s="1"/>
  <c r="BD192" i="2"/>
  <c r="BE192" i="2" s="1"/>
  <c r="BD193" i="2"/>
  <c r="BE193" i="2" s="1"/>
  <c r="BD194" i="2"/>
  <c r="BE194" i="2" s="1"/>
  <c r="BD195" i="2"/>
  <c r="BE195" i="2" s="1"/>
  <c r="BD196" i="2"/>
  <c r="BE196" i="2" s="1"/>
  <c r="BD197" i="2"/>
  <c r="BE197" i="2" s="1"/>
  <c r="BD198" i="2"/>
  <c r="BE198" i="2" s="1"/>
  <c r="BD199" i="2"/>
  <c r="BE199" i="2" s="1"/>
  <c r="BD200" i="2"/>
  <c r="BE200" i="2" s="1"/>
  <c r="BD201" i="2"/>
  <c r="BE201" i="2" s="1"/>
  <c r="BD202" i="2"/>
  <c r="BE202" i="2" s="1"/>
  <c r="BD203" i="2"/>
  <c r="BE203" i="2" s="1"/>
  <c r="BD204" i="2"/>
  <c r="BE204" i="2" s="1"/>
  <c r="BD205" i="2"/>
  <c r="BE205" i="2" s="1"/>
  <c r="BD206" i="2"/>
  <c r="BE206" i="2" s="1"/>
  <c r="BD207" i="2"/>
  <c r="BE207" i="2" s="1"/>
  <c r="BD208" i="2"/>
  <c r="BE208" i="2" s="1"/>
  <c r="BD209" i="2"/>
  <c r="BE209" i="2" s="1"/>
  <c r="BD210" i="2"/>
  <c r="BE210" i="2" s="1"/>
  <c r="BD211" i="2"/>
  <c r="BE211" i="2" s="1"/>
  <c r="BD212" i="2"/>
  <c r="BE212" i="2" s="1"/>
  <c r="BD213" i="2"/>
  <c r="BE213" i="2" s="1"/>
  <c r="BD214" i="2"/>
  <c r="BE214" i="2" s="1"/>
  <c r="BD215" i="2"/>
  <c r="BE215" i="2" s="1"/>
  <c r="BD216" i="2"/>
  <c r="BE216" i="2" s="1"/>
  <c r="BD217" i="2"/>
  <c r="BE217" i="2" s="1"/>
  <c r="BD218" i="2"/>
  <c r="BE218" i="2" s="1"/>
  <c r="BD219" i="2"/>
  <c r="BE219" i="2" s="1"/>
  <c r="BD220" i="2"/>
  <c r="BE220" i="2" s="1"/>
  <c r="BD221" i="2"/>
  <c r="BE221" i="2" s="1"/>
  <c r="BD222" i="2"/>
  <c r="BE222" i="2" s="1"/>
  <c r="BD223" i="2"/>
  <c r="BE223" i="2" s="1"/>
  <c r="BD224" i="2"/>
  <c r="BE224" i="2" s="1"/>
  <c r="BD225" i="2"/>
  <c r="BE225" i="2" s="1"/>
  <c r="BD226" i="2"/>
  <c r="BE226" i="2" s="1"/>
  <c r="BD227" i="2"/>
  <c r="BE227" i="2" s="1"/>
  <c r="BD228" i="2"/>
  <c r="BE228" i="2" s="1"/>
  <c r="BD229" i="2"/>
  <c r="BE229" i="2" s="1"/>
  <c r="BD230" i="2"/>
  <c r="BE230" i="2" s="1"/>
  <c r="BD231" i="2"/>
  <c r="BE231" i="2" s="1"/>
  <c r="BD232" i="2"/>
  <c r="BE232" i="2" s="1"/>
  <c r="BD233" i="2"/>
  <c r="BE233" i="2" s="1"/>
  <c r="BD234" i="2"/>
  <c r="BE234" i="2" s="1"/>
  <c r="BD235" i="2"/>
  <c r="BE235" i="2" s="1"/>
  <c r="BD236" i="2"/>
  <c r="BE236" i="2" s="1"/>
  <c r="BD237" i="2"/>
  <c r="BE237" i="2" s="1"/>
  <c r="BD238" i="2"/>
  <c r="BE238" i="2" s="1"/>
  <c r="BD239" i="2"/>
  <c r="BE239" i="2" s="1"/>
  <c r="BD240" i="2"/>
  <c r="BE240" i="2" s="1"/>
  <c r="BD241" i="2"/>
  <c r="BE241" i="2" s="1"/>
  <c r="BD242" i="2"/>
  <c r="BE242" i="2" s="1"/>
  <c r="BD243" i="2"/>
  <c r="BE243" i="2" s="1"/>
  <c r="BD244" i="2"/>
  <c r="BE244" i="2" s="1"/>
  <c r="BD245" i="2"/>
  <c r="BE245" i="2" s="1"/>
  <c r="BD246" i="2"/>
  <c r="BE246" i="2" s="1"/>
  <c r="BD247" i="2"/>
  <c r="BE247" i="2" s="1"/>
  <c r="BD248" i="2"/>
  <c r="BE248" i="2" s="1"/>
  <c r="BD249" i="2"/>
  <c r="BE249" i="2" s="1"/>
  <c r="BD250" i="2"/>
  <c r="BE250" i="2" s="1"/>
  <c r="BD251" i="2"/>
  <c r="BE251" i="2" s="1"/>
  <c r="BD252" i="2"/>
  <c r="BE252" i="2" s="1"/>
  <c r="BD253" i="2"/>
  <c r="BE253" i="2" s="1"/>
  <c r="BD254" i="2"/>
  <c r="BE254" i="2" s="1"/>
  <c r="BD255" i="2"/>
  <c r="BE255" i="2" s="1"/>
  <c r="BD256" i="2"/>
  <c r="BE256" i="2" s="1"/>
  <c r="BD257" i="2"/>
  <c r="BE257" i="2" s="1"/>
  <c r="BD258" i="2"/>
  <c r="BE258" i="2" s="1"/>
  <c r="BD259" i="2"/>
  <c r="BE259" i="2" s="1"/>
  <c r="BD260" i="2"/>
  <c r="BE260" i="2" s="1"/>
  <c r="BD261" i="2"/>
  <c r="BE261" i="2" s="1"/>
  <c r="BD262" i="2"/>
  <c r="BE262" i="2" s="1"/>
  <c r="BD263" i="2"/>
  <c r="BE263" i="2" s="1"/>
  <c r="BD264" i="2"/>
  <c r="BE264" i="2" s="1"/>
  <c r="BD265" i="2"/>
  <c r="BE265" i="2" s="1"/>
  <c r="BD266" i="2"/>
  <c r="BE266" i="2" s="1"/>
  <c r="BD267" i="2"/>
  <c r="BE267" i="2" s="1"/>
  <c r="BD268" i="2"/>
  <c r="BE268" i="2" s="1"/>
  <c r="BD269" i="2"/>
  <c r="BE269" i="2" s="1"/>
  <c r="BD270" i="2"/>
  <c r="BE270" i="2" s="1"/>
  <c r="BD271" i="2"/>
  <c r="BE271" i="2" s="1"/>
  <c r="BD272" i="2"/>
  <c r="BE272" i="2" s="1"/>
  <c r="BD273" i="2"/>
  <c r="BE273" i="2" s="1"/>
  <c r="BD274" i="2"/>
  <c r="BE274" i="2" s="1"/>
  <c r="BD275" i="2"/>
  <c r="BE275" i="2" s="1"/>
  <c r="BD276" i="2"/>
  <c r="BE276" i="2" s="1"/>
  <c r="BD277" i="2"/>
  <c r="BE277" i="2" s="1"/>
  <c r="BD278" i="2"/>
  <c r="BE278" i="2" s="1"/>
  <c r="BD279" i="2"/>
  <c r="BE279" i="2" s="1"/>
  <c r="BD280" i="2"/>
  <c r="BE280" i="2" s="1"/>
  <c r="BD281" i="2"/>
  <c r="BE281" i="2" s="1"/>
  <c r="BD282" i="2"/>
  <c r="BE282" i="2" s="1"/>
  <c r="BD283" i="2"/>
  <c r="BE283" i="2" s="1"/>
  <c r="BD284" i="2"/>
  <c r="BE284" i="2" s="1"/>
  <c r="BD285" i="2"/>
  <c r="BE285" i="2" s="1"/>
  <c r="BD286" i="2"/>
  <c r="BE286" i="2" s="1"/>
  <c r="BD287" i="2"/>
  <c r="BE287" i="2" s="1"/>
  <c r="BD288" i="2"/>
  <c r="BE288" i="2" s="1"/>
  <c r="BD289" i="2"/>
  <c r="BE289" i="2" s="1"/>
  <c r="BD290" i="2"/>
  <c r="BE290" i="2" s="1"/>
  <c r="BD291" i="2"/>
  <c r="BE291" i="2" s="1"/>
  <c r="BD292" i="2"/>
  <c r="BE292" i="2" s="1"/>
  <c r="BD293" i="2"/>
  <c r="BE293" i="2" s="1"/>
  <c r="BD294" i="2"/>
  <c r="BE294" i="2" s="1"/>
  <c r="BD295" i="2"/>
  <c r="BE295" i="2" s="1"/>
  <c r="BD296" i="2"/>
  <c r="BE296" i="2" s="1"/>
  <c r="BD297" i="2"/>
  <c r="BE297" i="2" s="1"/>
  <c r="BD298" i="2"/>
  <c r="BE298" i="2" s="1"/>
  <c r="BD299" i="2"/>
  <c r="BE299" i="2" s="1"/>
  <c r="BD300" i="2"/>
  <c r="BE300" i="2" s="1"/>
  <c r="BD301" i="2"/>
  <c r="BE301" i="2" s="1"/>
  <c r="BD302" i="2"/>
  <c r="BE302" i="2" s="1"/>
  <c r="BD303" i="2"/>
  <c r="BE303" i="2" s="1"/>
  <c r="BD304" i="2"/>
  <c r="BE304" i="2" s="1"/>
  <c r="BD305" i="2"/>
  <c r="BE305" i="2" s="1"/>
  <c r="BD306" i="2"/>
  <c r="BE306" i="2" s="1"/>
  <c r="BD307" i="2"/>
  <c r="BE307" i="2" s="1"/>
  <c r="BD308" i="2"/>
  <c r="BE308" i="2" s="1"/>
  <c r="BD309" i="2"/>
  <c r="BE309" i="2" s="1"/>
  <c r="BD310" i="2"/>
  <c r="BE310" i="2" s="1"/>
  <c r="BD311" i="2"/>
  <c r="BE311" i="2" s="1"/>
  <c r="BD312" i="2"/>
  <c r="BE312" i="2" s="1"/>
  <c r="BD313" i="2"/>
  <c r="BE313" i="2" s="1"/>
  <c r="BD314" i="2"/>
  <c r="BE314" i="2" s="1"/>
  <c r="BD315" i="2"/>
  <c r="BE315" i="2" s="1"/>
  <c r="BD316" i="2"/>
  <c r="BE316" i="2" s="1"/>
  <c r="BD317" i="2"/>
  <c r="BE317" i="2" s="1"/>
  <c r="BD318" i="2"/>
  <c r="BE318" i="2" s="1"/>
  <c r="BD319" i="2"/>
  <c r="BE319" i="2" s="1"/>
  <c r="BD320" i="2"/>
  <c r="BE320" i="2" s="1"/>
  <c r="BD321" i="2"/>
  <c r="BE321" i="2" s="1"/>
  <c r="BD322" i="2"/>
  <c r="BE322" i="2" s="1"/>
  <c r="BD323" i="2"/>
  <c r="BE323" i="2" s="1"/>
  <c r="BD324" i="2"/>
  <c r="BE324" i="2" s="1"/>
  <c r="BD325" i="2"/>
  <c r="BE325" i="2" s="1"/>
  <c r="BD326" i="2"/>
  <c r="BE326" i="2" s="1"/>
  <c r="BD327" i="2"/>
  <c r="BE327" i="2" s="1"/>
  <c r="BD328" i="2"/>
  <c r="BE328" i="2" s="1"/>
  <c r="BD329" i="2"/>
  <c r="BE329" i="2" s="1"/>
  <c r="BD330" i="2"/>
  <c r="BE330" i="2" s="1"/>
  <c r="BD331" i="2"/>
  <c r="BE331" i="2" s="1"/>
  <c r="BD332" i="2"/>
  <c r="BE332" i="2" s="1"/>
  <c r="BD333" i="2"/>
  <c r="BE333" i="2" s="1"/>
  <c r="BD334" i="2"/>
  <c r="BE334" i="2" s="1"/>
  <c r="BD335" i="2"/>
  <c r="BE335" i="2" s="1"/>
  <c r="BD336" i="2"/>
  <c r="BE336" i="2" s="1"/>
  <c r="BD337" i="2"/>
  <c r="BE337" i="2" s="1"/>
  <c r="BD338" i="2"/>
  <c r="BE338" i="2" s="1"/>
  <c r="BD339" i="2"/>
  <c r="BE339" i="2" s="1"/>
  <c r="BD340" i="2"/>
  <c r="BE340" i="2" s="1"/>
  <c r="BD341" i="2"/>
  <c r="BE341" i="2" s="1"/>
  <c r="BD342" i="2"/>
  <c r="BE342" i="2" s="1"/>
  <c r="BD343" i="2"/>
  <c r="BE343" i="2" s="1"/>
  <c r="BD344" i="2"/>
  <c r="BE344" i="2" s="1"/>
  <c r="BD345" i="2"/>
  <c r="BE345" i="2" s="1"/>
  <c r="BD346" i="2"/>
  <c r="BE346" i="2" s="1"/>
  <c r="BD347" i="2"/>
  <c r="BE347" i="2" s="1"/>
  <c r="BD348" i="2"/>
  <c r="BE348" i="2" s="1"/>
  <c r="BD349" i="2"/>
  <c r="BE349" i="2" s="1"/>
  <c r="BD350" i="2"/>
  <c r="BE350" i="2" s="1"/>
  <c r="BD351" i="2"/>
  <c r="BE351" i="2" s="1"/>
  <c r="BD352" i="2"/>
  <c r="BE352" i="2" s="1"/>
  <c r="BD353" i="2"/>
  <c r="BE353" i="2" s="1"/>
  <c r="BD354" i="2"/>
  <c r="BE354" i="2" s="1"/>
  <c r="BD355" i="2"/>
  <c r="BE355" i="2" s="1"/>
  <c r="BD356" i="2"/>
  <c r="BE356" i="2" s="1"/>
  <c r="BD357" i="2"/>
  <c r="BE357" i="2" s="1"/>
  <c r="BD358" i="2"/>
  <c r="BE358" i="2" s="1"/>
  <c r="BD359" i="2"/>
  <c r="BE359" i="2" s="1"/>
  <c r="BD360" i="2"/>
  <c r="BE360" i="2" s="1"/>
  <c r="BD361" i="2"/>
  <c r="BE361" i="2" s="1"/>
  <c r="BD362" i="2"/>
  <c r="BE362" i="2" s="1"/>
  <c r="BD363" i="2"/>
  <c r="BE363" i="2" s="1"/>
  <c r="BD364" i="2"/>
  <c r="BE364" i="2" s="1"/>
  <c r="BD365" i="2"/>
  <c r="BE365" i="2" s="1"/>
  <c r="BD366" i="2"/>
  <c r="BE366" i="2" s="1"/>
  <c r="BD367" i="2"/>
  <c r="BE367" i="2" s="1"/>
  <c r="BD368" i="2"/>
  <c r="BE368" i="2" s="1"/>
  <c r="BD369" i="2"/>
  <c r="BE369" i="2" s="1"/>
  <c r="BD370" i="2"/>
  <c r="BE370" i="2" s="1"/>
  <c r="BD371" i="2"/>
  <c r="BE371" i="2" s="1"/>
  <c r="BD372" i="2"/>
  <c r="BE372" i="2" s="1"/>
  <c r="BD373" i="2"/>
  <c r="BE373" i="2" s="1"/>
  <c r="BD374" i="2"/>
  <c r="BE374" i="2" s="1"/>
  <c r="BD375" i="2"/>
  <c r="BE375" i="2" s="1"/>
  <c r="BD376" i="2"/>
  <c r="BE376" i="2" s="1"/>
  <c r="BD377" i="2"/>
  <c r="BE377" i="2" s="1"/>
  <c r="BD378" i="2"/>
  <c r="BE378" i="2" s="1"/>
  <c r="BD379" i="2"/>
  <c r="BE379" i="2" s="1"/>
  <c r="BD380" i="2"/>
  <c r="BE380" i="2" s="1"/>
  <c r="BD381" i="2"/>
  <c r="BE381" i="2" s="1"/>
  <c r="BD382" i="2"/>
  <c r="BE382" i="2" s="1"/>
  <c r="BD383" i="2"/>
  <c r="BE383" i="2" s="1"/>
  <c r="BD384" i="2"/>
  <c r="BE384" i="2" s="1"/>
  <c r="BD385" i="2"/>
  <c r="BE385" i="2" s="1"/>
  <c r="BD386" i="2"/>
  <c r="BE386" i="2" s="1"/>
  <c r="BD387" i="2"/>
  <c r="BE387" i="2" s="1"/>
  <c r="BD388" i="2"/>
  <c r="BE388" i="2" s="1"/>
  <c r="BD389" i="2"/>
  <c r="BE389" i="2" s="1"/>
  <c r="BD390" i="2"/>
  <c r="BE390" i="2" s="1"/>
  <c r="BD391" i="2"/>
  <c r="BE391" i="2" s="1"/>
  <c r="BD392" i="2"/>
  <c r="BE392" i="2" s="1"/>
  <c r="BD393" i="2"/>
  <c r="BE393" i="2" s="1"/>
  <c r="BD394" i="2"/>
  <c r="BE394" i="2" s="1"/>
  <c r="BD395" i="2"/>
  <c r="BE395" i="2" s="1"/>
  <c r="BD396" i="2"/>
  <c r="BE396" i="2" s="1"/>
  <c r="BD397" i="2"/>
  <c r="BE397" i="2" s="1"/>
  <c r="BD398" i="2"/>
  <c r="BE398" i="2" s="1"/>
  <c r="BD399" i="2"/>
  <c r="BE399" i="2" s="1"/>
  <c r="BD400" i="2"/>
  <c r="BE400" i="2" s="1"/>
  <c r="BD401" i="2"/>
  <c r="BE401" i="2" s="1"/>
  <c r="BD402" i="2"/>
  <c r="BE402" i="2" s="1"/>
  <c r="BD403" i="2"/>
  <c r="BE403" i="2" s="1"/>
  <c r="BD404" i="2"/>
  <c r="BE404" i="2" s="1"/>
  <c r="BD405" i="2"/>
  <c r="BE405" i="2" s="1"/>
  <c r="BD406" i="2"/>
  <c r="BE406" i="2" s="1"/>
  <c r="BD407" i="2"/>
  <c r="BE407" i="2" s="1"/>
  <c r="BD408" i="2"/>
  <c r="BE408" i="2" s="1"/>
  <c r="BD409" i="2"/>
  <c r="BE409" i="2" s="1"/>
  <c r="BD410" i="2"/>
  <c r="BE410" i="2" s="1"/>
  <c r="BD411" i="2"/>
  <c r="BE411" i="2" s="1"/>
  <c r="BD412" i="2"/>
  <c r="BE412" i="2" s="1"/>
  <c r="BD413" i="2"/>
  <c r="BE413" i="2" s="1"/>
  <c r="BD414" i="2"/>
  <c r="BE414" i="2" s="1"/>
  <c r="BD415" i="2"/>
  <c r="BE415" i="2" s="1"/>
  <c r="BD416" i="2"/>
  <c r="BE416" i="2" s="1"/>
  <c r="BD417" i="2"/>
  <c r="BE417" i="2" s="1"/>
  <c r="BD418" i="2"/>
  <c r="BE418" i="2" s="1"/>
  <c r="BD419" i="2"/>
  <c r="BE419" i="2" s="1"/>
  <c r="BD420" i="2"/>
  <c r="BE420" i="2" s="1"/>
  <c r="BD421" i="2"/>
  <c r="BE421" i="2" s="1"/>
  <c r="BD422" i="2"/>
  <c r="BE422" i="2" s="1"/>
  <c r="BD423" i="2"/>
  <c r="BE423" i="2" s="1"/>
  <c r="BD424" i="2"/>
  <c r="BE424" i="2" s="1"/>
  <c r="BD425" i="2"/>
  <c r="BE425" i="2" s="1"/>
  <c r="BD426" i="2"/>
  <c r="BE426" i="2" s="1"/>
  <c r="BD427" i="2"/>
  <c r="BE427" i="2" s="1"/>
  <c r="BD428" i="2"/>
  <c r="BE428" i="2" s="1"/>
  <c r="BD429" i="2"/>
  <c r="BE429" i="2" s="1"/>
  <c r="BD430" i="2"/>
  <c r="BE430" i="2" s="1"/>
  <c r="BD431" i="2"/>
  <c r="BE431" i="2" s="1"/>
  <c r="BD432" i="2"/>
  <c r="BE432" i="2" s="1"/>
  <c r="BD433" i="2"/>
  <c r="BE433" i="2" s="1"/>
  <c r="BD434" i="2"/>
  <c r="BE434" i="2" s="1"/>
  <c r="BD435" i="2"/>
  <c r="BE435" i="2" s="1"/>
  <c r="BD436" i="2"/>
  <c r="BE436" i="2" s="1"/>
  <c r="BD437" i="2"/>
  <c r="BE437" i="2" s="1"/>
  <c r="BD438" i="2"/>
  <c r="BE438" i="2" s="1"/>
  <c r="BD439" i="2"/>
  <c r="BE439" i="2" s="1"/>
  <c r="BD440" i="2"/>
  <c r="BE440" i="2" s="1"/>
  <c r="BD441" i="2"/>
  <c r="BE441" i="2" s="1"/>
  <c r="BD442" i="2"/>
  <c r="BE442" i="2" s="1"/>
  <c r="BD443" i="2"/>
  <c r="BE443" i="2" s="1"/>
  <c r="BD444" i="2"/>
  <c r="BE444" i="2" s="1"/>
  <c r="BD445" i="2"/>
  <c r="BE445" i="2" s="1"/>
  <c r="BD446" i="2"/>
  <c r="BE446" i="2" s="1"/>
  <c r="BD447" i="2"/>
  <c r="BE447" i="2" s="1"/>
  <c r="BD448" i="2"/>
  <c r="BE448" i="2" s="1"/>
  <c r="BD449" i="2"/>
  <c r="BE449" i="2" s="1"/>
  <c r="BD450" i="2"/>
  <c r="BE450" i="2" s="1"/>
  <c r="BD451" i="2"/>
  <c r="BE451" i="2" s="1"/>
  <c r="BD452" i="2"/>
  <c r="BE452" i="2" s="1"/>
  <c r="BD453" i="2"/>
  <c r="BE453" i="2" s="1"/>
  <c r="BD454" i="2"/>
  <c r="BE454" i="2" s="1"/>
  <c r="BD455" i="2"/>
  <c r="BE455" i="2" s="1"/>
  <c r="BD456" i="2"/>
  <c r="BE456" i="2" s="1"/>
  <c r="BD457" i="2"/>
  <c r="BE457" i="2" s="1"/>
  <c r="BD458" i="2"/>
  <c r="BE458" i="2" s="1"/>
  <c r="BD459" i="2"/>
  <c r="BE459" i="2" s="1"/>
  <c r="BD460" i="2"/>
  <c r="BE460" i="2" s="1"/>
  <c r="BD461" i="2"/>
  <c r="BE461" i="2" s="1"/>
  <c r="BD462" i="2"/>
  <c r="BE462" i="2" s="1"/>
  <c r="BD463" i="2"/>
  <c r="BE463" i="2" s="1"/>
  <c r="BD464" i="2"/>
  <c r="BE464" i="2" s="1"/>
  <c r="BD465" i="2"/>
  <c r="BE465" i="2" s="1"/>
  <c r="BD466" i="2"/>
  <c r="BE466" i="2" s="1"/>
  <c r="BD467" i="2"/>
  <c r="BE467" i="2" s="1"/>
  <c r="BD468" i="2"/>
  <c r="BE468" i="2" s="1"/>
  <c r="BD469" i="2"/>
  <c r="BE469" i="2" s="1"/>
  <c r="BD470" i="2"/>
  <c r="BE470" i="2" s="1"/>
  <c r="BD471" i="2"/>
  <c r="BE471" i="2" s="1"/>
  <c r="BD472" i="2"/>
  <c r="BE472" i="2" s="1"/>
  <c r="BD473" i="2"/>
  <c r="BE473" i="2" s="1"/>
  <c r="BD474" i="2"/>
  <c r="BE474" i="2" s="1"/>
  <c r="BD475" i="2"/>
  <c r="BE475" i="2" s="1"/>
  <c r="BD476" i="2"/>
  <c r="BE476" i="2" s="1"/>
  <c r="BD477" i="2"/>
  <c r="BE477" i="2" s="1"/>
  <c r="BD478" i="2"/>
  <c r="BE478" i="2" s="1"/>
  <c r="BD479" i="2"/>
  <c r="BE479" i="2" s="1"/>
  <c r="BD480" i="2"/>
  <c r="BE480" i="2" s="1"/>
  <c r="BD481" i="2"/>
  <c r="BE481" i="2" s="1"/>
  <c r="BD482" i="2"/>
  <c r="BE482" i="2" s="1"/>
  <c r="BD483" i="2"/>
  <c r="BE483" i="2" s="1"/>
  <c r="BD484" i="2"/>
  <c r="BE484" i="2" s="1"/>
  <c r="BD485" i="2"/>
  <c r="BE485" i="2" s="1"/>
  <c r="BD486" i="2"/>
  <c r="BE486" i="2" s="1"/>
  <c r="BD487" i="2"/>
  <c r="BE487" i="2" s="1"/>
  <c r="BD488" i="2"/>
  <c r="BE488" i="2" s="1"/>
  <c r="BD489" i="2"/>
  <c r="BE489" i="2" s="1"/>
  <c r="BD490" i="2"/>
  <c r="BE490" i="2" s="1"/>
  <c r="BD491" i="2"/>
  <c r="BE491" i="2" s="1"/>
  <c r="BD492" i="2"/>
  <c r="BE492" i="2" s="1"/>
  <c r="BD493" i="2"/>
  <c r="BE493" i="2" s="1"/>
  <c r="BD494" i="2"/>
  <c r="BE494" i="2" s="1"/>
  <c r="BD495" i="2"/>
  <c r="BE495" i="2" s="1"/>
  <c r="BD496" i="2"/>
  <c r="BE496" i="2" s="1"/>
  <c r="BD497" i="2"/>
  <c r="BE497" i="2" s="1"/>
  <c r="BD498" i="2"/>
  <c r="BE498" i="2" s="1"/>
  <c r="BD499" i="2"/>
  <c r="BE499" i="2" s="1"/>
  <c r="BD500" i="2"/>
  <c r="BE500" i="2" s="1"/>
  <c r="BD501" i="2"/>
  <c r="BE501" i="2" s="1"/>
  <c r="BD502" i="2"/>
  <c r="BE502" i="2" s="1"/>
  <c r="BD503" i="2"/>
  <c r="BE503" i="2" s="1"/>
  <c r="BD504" i="2"/>
  <c r="BE504" i="2" s="1"/>
  <c r="BD505" i="2"/>
  <c r="BE505" i="2" s="1"/>
  <c r="BD506" i="2"/>
  <c r="BE506" i="2" s="1"/>
  <c r="BD507" i="2"/>
  <c r="BE507" i="2" s="1"/>
  <c r="BD508" i="2"/>
  <c r="BE508" i="2" s="1"/>
  <c r="BD509" i="2"/>
  <c r="BE509" i="2" s="1"/>
  <c r="BD510" i="2"/>
  <c r="BE510" i="2" s="1"/>
  <c r="BD511" i="2"/>
  <c r="BE511" i="2" s="1"/>
  <c r="BD512" i="2"/>
  <c r="BE512" i="2" s="1"/>
  <c r="BD513" i="2"/>
  <c r="BE513" i="2" s="1"/>
  <c r="BD514" i="2"/>
  <c r="BE514" i="2" s="1"/>
  <c r="BD515" i="2"/>
  <c r="BE515" i="2" s="1"/>
  <c r="BD516" i="2"/>
  <c r="BE516" i="2" s="1"/>
  <c r="BD517" i="2"/>
  <c r="BE517" i="2" s="1"/>
  <c r="BD518" i="2"/>
  <c r="BE518" i="2" s="1"/>
  <c r="BD519" i="2"/>
  <c r="BE519" i="2" s="1"/>
  <c r="BD520" i="2"/>
  <c r="BE520" i="2" s="1"/>
  <c r="BD521" i="2"/>
  <c r="BE521" i="2" s="1"/>
  <c r="BD522" i="2"/>
  <c r="BE522" i="2" s="1"/>
  <c r="BD523" i="2"/>
  <c r="BE523" i="2" s="1"/>
  <c r="BD524" i="2"/>
  <c r="BE524" i="2" s="1"/>
  <c r="BD525" i="2"/>
  <c r="BE525" i="2" s="1"/>
  <c r="BD526" i="2"/>
  <c r="BE526" i="2" s="1"/>
  <c r="BD527" i="2"/>
  <c r="BE527" i="2" s="1"/>
  <c r="BD528" i="2"/>
  <c r="BE528" i="2" s="1"/>
  <c r="BD529" i="2"/>
  <c r="BE529" i="2" s="1"/>
  <c r="BD530" i="2"/>
  <c r="BE530" i="2" s="1"/>
  <c r="BD531" i="2"/>
  <c r="BE531" i="2" s="1"/>
  <c r="BD532" i="2"/>
  <c r="BE532" i="2" s="1"/>
  <c r="BD533" i="2"/>
  <c r="BE533" i="2" s="1"/>
  <c r="BD534" i="2"/>
  <c r="BE534" i="2" s="1"/>
  <c r="BD535" i="2"/>
  <c r="BE535" i="2" s="1"/>
  <c r="BD536" i="2"/>
  <c r="BE536" i="2" s="1"/>
  <c r="BD537" i="2"/>
  <c r="BE537" i="2" s="1"/>
  <c r="BD538" i="2"/>
  <c r="BE538" i="2" s="1"/>
  <c r="BD539" i="2"/>
  <c r="BE539" i="2" s="1"/>
  <c r="BD540" i="2"/>
  <c r="BE540" i="2" s="1"/>
  <c r="BD541" i="2"/>
  <c r="BE541" i="2" s="1"/>
  <c r="BD542" i="2"/>
  <c r="BE542" i="2" s="1"/>
  <c r="BD543" i="2"/>
  <c r="BE543" i="2" s="1"/>
  <c r="BD544" i="2"/>
  <c r="BE544" i="2" s="1"/>
  <c r="BD545" i="2"/>
  <c r="BE545" i="2" s="1"/>
  <c r="BD546" i="2"/>
  <c r="BE546" i="2" s="1"/>
  <c r="BD547" i="2"/>
  <c r="BE547" i="2" s="1"/>
  <c r="BD548" i="2"/>
  <c r="BE548" i="2" s="1"/>
  <c r="BD549" i="2"/>
  <c r="BE549" i="2" s="1"/>
  <c r="BD550" i="2"/>
  <c r="BE550" i="2" s="1"/>
  <c r="BD551" i="2"/>
  <c r="BE551" i="2" s="1"/>
  <c r="BD552" i="2"/>
  <c r="BE552" i="2" s="1"/>
  <c r="BD553" i="2"/>
  <c r="BE553" i="2" s="1"/>
  <c r="BD554" i="2"/>
  <c r="BE554" i="2" s="1"/>
  <c r="BD555" i="2"/>
  <c r="BE555" i="2" s="1"/>
  <c r="BD556" i="2"/>
  <c r="BE556" i="2" s="1"/>
  <c r="BD557" i="2"/>
  <c r="BE557" i="2" s="1"/>
  <c r="BD558" i="2"/>
  <c r="BE558" i="2" s="1"/>
  <c r="BD559" i="2"/>
  <c r="BE559" i="2" s="1"/>
  <c r="BD560" i="2"/>
  <c r="BE560" i="2" s="1"/>
  <c r="BD561" i="2"/>
  <c r="BE561" i="2" s="1"/>
  <c r="BD562" i="2"/>
  <c r="BE562" i="2" s="1"/>
  <c r="BD563" i="2"/>
  <c r="BE563" i="2" s="1"/>
  <c r="BD564" i="2"/>
  <c r="BE564" i="2" s="1"/>
  <c r="BD565" i="2"/>
  <c r="BE565" i="2" s="1"/>
  <c r="BD566" i="2"/>
  <c r="BE566" i="2" s="1"/>
  <c r="BD567" i="2"/>
  <c r="BE567" i="2" s="1"/>
  <c r="BD568" i="2"/>
  <c r="BE568" i="2" s="1"/>
  <c r="BD569" i="2"/>
  <c r="BE569" i="2" s="1"/>
  <c r="BD570" i="2"/>
  <c r="BE570" i="2" s="1"/>
  <c r="BD571" i="2"/>
  <c r="BE571" i="2" s="1"/>
  <c r="BD572" i="2"/>
  <c r="BE572" i="2" s="1"/>
  <c r="BD573" i="2"/>
  <c r="BE573" i="2" s="1"/>
  <c r="BD574" i="2"/>
  <c r="BE574" i="2" s="1"/>
  <c r="BD575" i="2"/>
  <c r="BE575" i="2" s="1"/>
  <c r="BD576" i="2"/>
  <c r="BE576" i="2" s="1"/>
  <c r="BD577" i="2"/>
  <c r="BE577" i="2" s="1"/>
  <c r="BD578" i="2"/>
  <c r="BE578" i="2" s="1"/>
  <c r="BD579" i="2"/>
  <c r="BE579" i="2" s="1"/>
  <c r="BD580" i="2"/>
  <c r="BE580" i="2" s="1"/>
  <c r="BD581" i="2"/>
  <c r="BE581" i="2" s="1"/>
  <c r="BD582" i="2"/>
  <c r="BE582" i="2" s="1"/>
  <c r="BD583" i="2"/>
  <c r="BE583" i="2" s="1"/>
  <c r="BD584" i="2"/>
  <c r="BE584" i="2" s="1"/>
  <c r="BD585" i="2"/>
  <c r="BE585" i="2" s="1"/>
  <c r="BD586" i="2"/>
  <c r="BE586" i="2" s="1"/>
  <c r="BD587" i="2"/>
  <c r="BE587" i="2" s="1"/>
  <c r="BD588" i="2"/>
  <c r="BE588" i="2" s="1"/>
  <c r="BD589" i="2"/>
  <c r="BE589" i="2" s="1"/>
  <c r="BD590" i="2"/>
  <c r="BE590" i="2" s="1"/>
  <c r="BD591" i="2"/>
  <c r="BE591" i="2" s="1"/>
  <c r="BD592" i="2"/>
  <c r="BE592" i="2" s="1"/>
  <c r="BD593" i="2"/>
  <c r="BE593" i="2" s="1"/>
  <c r="BD594" i="2"/>
  <c r="BE594" i="2" s="1"/>
  <c r="BD595" i="2"/>
  <c r="BE595" i="2" s="1"/>
  <c r="BD596" i="2"/>
  <c r="BE596" i="2" s="1"/>
  <c r="BD597" i="2"/>
  <c r="BE597" i="2" s="1"/>
  <c r="BD598" i="2"/>
  <c r="BE598" i="2" s="1"/>
  <c r="BD599" i="2"/>
  <c r="BE599" i="2" s="1"/>
  <c r="BD600" i="2"/>
  <c r="BE600" i="2" s="1"/>
  <c r="BD601" i="2"/>
  <c r="BE601" i="2" s="1"/>
  <c r="BD602" i="2"/>
  <c r="BE602" i="2" s="1"/>
  <c r="BD603" i="2"/>
  <c r="BE603" i="2" s="1"/>
  <c r="BD604" i="2"/>
  <c r="BE604" i="2" s="1"/>
  <c r="BD605" i="2"/>
  <c r="BE605" i="2" s="1"/>
  <c r="BD606" i="2"/>
  <c r="BE606" i="2" s="1"/>
  <c r="BD607" i="2"/>
  <c r="BE607" i="2" s="1"/>
  <c r="BD608" i="2"/>
  <c r="BE608" i="2" s="1"/>
  <c r="BD609" i="2"/>
  <c r="BE609" i="2" s="1"/>
  <c r="BD610" i="2"/>
  <c r="BE610" i="2" s="1"/>
  <c r="BD611" i="2"/>
  <c r="BE611" i="2" s="1"/>
  <c r="BD612" i="2"/>
  <c r="BE612" i="2" s="1"/>
  <c r="BD613" i="2"/>
  <c r="BE613" i="2" s="1"/>
  <c r="BD614" i="2"/>
  <c r="BE614" i="2" s="1"/>
  <c r="BD615" i="2"/>
  <c r="BE615" i="2" s="1"/>
  <c r="BD616" i="2"/>
  <c r="BE616" i="2" s="1"/>
  <c r="BD617" i="2"/>
  <c r="BE617" i="2" s="1"/>
  <c r="BD618" i="2"/>
  <c r="BE618" i="2" s="1"/>
  <c r="BD619" i="2"/>
  <c r="BE619" i="2" s="1"/>
  <c r="BD620" i="2"/>
  <c r="BE620" i="2" s="1"/>
  <c r="BD621" i="2"/>
  <c r="BE621" i="2" s="1"/>
  <c r="BD622" i="2"/>
  <c r="BE622" i="2" s="1"/>
  <c r="BD623" i="2"/>
  <c r="BE623" i="2" s="1"/>
  <c r="BD624" i="2"/>
  <c r="BE624" i="2" s="1"/>
  <c r="BD625" i="2"/>
  <c r="BE625" i="2" s="1"/>
  <c r="BD626" i="2"/>
  <c r="BE626" i="2" s="1"/>
  <c r="BD627" i="2"/>
  <c r="BE627" i="2" s="1"/>
  <c r="BD628" i="2"/>
  <c r="BE628" i="2" s="1"/>
  <c r="BD629" i="2"/>
  <c r="BE629" i="2" s="1"/>
  <c r="BD630" i="2"/>
  <c r="BE630" i="2" s="1"/>
  <c r="BD631" i="2"/>
  <c r="BE631" i="2" s="1"/>
  <c r="BD632" i="2"/>
  <c r="BE632" i="2" s="1"/>
  <c r="BD633" i="2"/>
  <c r="BE633" i="2" s="1"/>
  <c r="BD634" i="2"/>
  <c r="BE634" i="2" s="1"/>
  <c r="BD635" i="2"/>
  <c r="BE635" i="2" s="1"/>
  <c r="BD636" i="2"/>
  <c r="BE636" i="2" s="1"/>
  <c r="BD637" i="2"/>
  <c r="BE637" i="2" s="1"/>
  <c r="BD638" i="2"/>
  <c r="BE638" i="2" s="1"/>
  <c r="BD639" i="2"/>
  <c r="BE639" i="2" s="1"/>
  <c r="BD640" i="2"/>
  <c r="BE640" i="2" s="1"/>
  <c r="BD641" i="2"/>
  <c r="BE641" i="2" s="1"/>
  <c r="BD642" i="2"/>
  <c r="BE642" i="2" s="1"/>
  <c r="BD643" i="2"/>
  <c r="BE643" i="2" s="1"/>
  <c r="BD644" i="2"/>
  <c r="BE644" i="2" s="1"/>
  <c r="BD645" i="2"/>
  <c r="BE645" i="2" s="1"/>
  <c r="BD646" i="2"/>
  <c r="BE646" i="2" s="1"/>
  <c r="BD647" i="2"/>
  <c r="BE647" i="2" s="1"/>
  <c r="BD648" i="2"/>
  <c r="BE648" i="2" s="1"/>
  <c r="BD649" i="2"/>
  <c r="BE649" i="2" s="1"/>
  <c r="BD650" i="2"/>
  <c r="BE650" i="2" s="1"/>
  <c r="BD651" i="2"/>
  <c r="BE651" i="2" s="1"/>
  <c r="BD652" i="2"/>
  <c r="BE652" i="2" s="1"/>
  <c r="BD653" i="2"/>
  <c r="BE653" i="2" s="1"/>
  <c r="BD654" i="2"/>
  <c r="BE654" i="2" s="1"/>
  <c r="BD655" i="2"/>
  <c r="BE655" i="2" s="1"/>
  <c r="BD656" i="2"/>
  <c r="BE656" i="2" s="1"/>
  <c r="BD657" i="2"/>
  <c r="BE657" i="2" s="1"/>
  <c r="BD658" i="2"/>
  <c r="BE658" i="2" s="1"/>
  <c r="BD659" i="2"/>
  <c r="BE659" i="2" s="1"/>
  <c r="BD660" i="2"/>
  <c r="BE660" i="2" s="1"/>
  <c r="BD661" i="2"/>
  <c r="BE661" i="2" s="1"/>
  <c r="BD662" i="2"/>
  <c r="BE662" i="2" s="1"/>
  <c r="BD663" i="2"/>
  <c r="BE663" i="2" s="1"/>
  <c r="BD664" i="2"/>
  <c r="BE664" i="2" s="1"/>
  <c r="BD665" i="2"/>
  <c r="BE665" i="2" s="1"/>
  <c r="BC5" i="2" a="1"/>
  <c r="BC5" i="2" s="1"/>
  <c r="BC6" i="2" a="1"/>
  <c r="BC6" i="2" s="1"/>
  <c r="BC7" i="2" a="1"/>
  <c r="BC7" i="2" s="1"/>
  <c r="BC8" i="2" a="1"/>
  <c r="BC8" i="2" s="1"/>
  <c r="BC9" i="2" a="1"/>
  <c r="BC9" i="2" s="1"/>
  <c r="BC10" i="2" a="1"/>
  <c r="BC10" i="2" s="1"/>
  <c r="BC11" i="2" a="1"/>
  <c r="BC11" i="2" s="1"/>
  <c r="BC12" i="2" a="1"/>
  <c r="BC12" i="2" s="1"/>
  <c r="BC13" i="2" a="1"/>
  <c r="BC13" i="2" s="1"/>
  <c r="BC14" i="2" a="1"/>
  <c r="BC14" i="2" s="1"/>
  <c r="BC15" i="2" a="1"/>
  <c r="BC15" i="2" s="1"/>
  <c r="BC16" i="2" a="1"/>
  <c r="BC16" i="2" s="1"/>
  <c r="BC17" i="2" a="1"/>
  <c r="BC17" i="2" s="1"/>
  <c r="BC18" i="2" a="1"/>
  <c r="BC18" i="2" s="1"/>
  <c r="BC19" i="2" a="1"/>
  <c r="BC19" i="2" s="1"/>
  <c r="BC20" i="2" a="1"/>
  <c r="BC20" i="2" s="1"/>
  <c r="BC21" i="2" a="1"/>
  <c r="BC21" i="2" s="1"/>
  <c r="BC22" i="2" a="1"/>
  <c r="BC22" i="2" s="1"/>
  <c r="BC23" i="2" a="1"/>
  <c r="BC23" i="2" s="1"/>
  <c r="BC24" i="2" a="1"/>
  <c r="BC24" i="2" s="1"/>
  <c r="BC25" i="2" a="1"/>
  <c r="BC25" i="2" s="1"/>
  <c r="BC26" i="2" a="1"/>
  <c r="BC26" i="2" s="1"/>
  <c r="BC27" i="2" a="1"/>
  <c r="BC27" i="2" s="1"/>
  <c r="BC28" i="2" a="1"/>
  <c r="BC28" i="2" s="1"/>
  <c r="BC29" i="2" a="1"/>
  <c r="BC29" i="2" s="1"/>
  <c r="BC30" i="2" a="1"/>
  <c r="BC30" i="2" s="1"/>
  <c r="BC31" i="2" a="1"/>
  <c r="BC31" i="2" s="1"/>
  <c r="BC32" i="2" a="1"/>
  <c r="BC32" i="2" s="1"/>
  <c r="BC33" i="2" a="1"/>
  <c r="BC33" i="2" s="1"/>
  <c r="BC34" i="2" a="1"/>
  <c r="BC34" i="2" s="1"/>
  <c r="BC35" i="2" a="1"/>
  <c r="BC35" i="2" s="1"/>
  <c r="BC36" i="2" a="1"/>
  <c r="BC36" i="2" s="1"/>
  <c r="BC37" i="2" a="1"/>
  <c r="BC37" i="2" s="1"/>
  <c r="BC38" i="2" a="1"/>
  <c r="BC38" i="2" s="1"/>
  <c r="BC39" i="2" a="1"/>
  <c r="BC39" i="2" s="1"/>
  <c r="BC40" i="2" a="1"/>
  <c r="BC40" i="2" s="1"/>
  <c r="BC41" i="2" a="1"/>
  <c r="BC41" i="2" s="1"/>
  <c r="BC42" i="2" a="1"/>
  <c r="BC42" i="2" s="1"/>
  <c r="BC43" i="2" a="1"/>
  <c r="BC43" i="2" s="1"/>
  <c r="BC44" i="2" a="1"/>
  <c r="BC44" i="2" s="1"/>
  <c r="BC45" i="2" a="1"/>
  <c r="BC45" i="2" s="1"/>
  <c r="BC46" i="2" a="1"/>
  <c r="BC46" i="2" s="1"/>
  <c r="BC47" i="2" a="1"/>
  <c r="BC47" i="2" s="1"/>
  <c r="BC48" i="2" a="1"/>
  <c r="BC48" i="2" s="1"/>
  <c r="BC49" i="2" a="1"/>
  <c r="BC49" i="2" s="1"/>
  <c r="BC50" i="2" a="1"/>
  <c r="BC50" i="2" s="1"/>
  <c r="BC51" i="2" a="1"/>
  <c r="BC51" i="2" s="1"/>
  <c r="BC52" i="2" a="1"/>
  <c r="BC52" i="2" s="1"/>
  <c r="BC53" i="2" a="1"/>
  <c r="BC53" i="2" s="1"/>
  <c r="BC54" i="2" a="1"/>
  <c r="BC54" i="2" s="1"/>
  <c r="BC55" i="2" a="1"/>
  <c r="BC55" i="2" s="1"/>
  <c r="BC56" i="2" a="1"/>
  <c r="BC56" i="2" s="1"/>
  <c r="BC57" i="2" a="1"/>
  <c r="BC57" i="2" s="1"/>
  <c r="BC58" i="2" a="1"/>
  <c r="BC58" i="2" s="1"/>
  <c r="BC59" i="2" a="1"/>
  <c r="BC59" i="2" s="1"/>
  <c r="BC60" i="2" a="1"/>
  <c r="BC60" i="2" s="1"/>
  <c r="BC61" i="2" a="1"/>
  <c r="BC61" i="2" s="1"/>
  <c r="BC62" i="2" a="1"/>
  <c r="BC62" i="2" s="1"/>
  <c r="BC63" i="2" a="1"/>
  <c r="BC63" i="2" s="1"/>
  <c r="BC64" i="2" a="1"/>
  <c r="BC64" i="2" s="1"/>
  <c r="BC65" i="2" a="1"/>
  <c r="BC65" i="2" s="1"/>
  <c r="BC66" i="2" a="1"/>
  <c r="BC66" i="2" s="1"/>
  <c r="BC67" i="2" a="1"/>
  <c r="BC67" i="2" s="1"/>
  <c r="BC68" i="2" a="1"/>
  <c r="BC68" i="2" s="1"/>
  <c r="BC69" i="2" a="1"/>
  <c r="BC69" i="2" s="1"/>
  <c r="BC70" i="2" a="1"/>
  <c r="BC70" i="2" s="1"/>
  <c r="BC71" i="2" a="1"/>
  <c r="BC71" i="2" s="1"/>
  <c r="BC72" i="2" a="1"/>
  <c r="BC72" i="2" s="1"/>
  <c r="BC73" i="2" a="1"/>
  <c r="BC73" i="2" s="1"/>
  <c r="BC74" i="2" a="1"/>
  <c r="BC74" i="2" s="1"/>
  <c r="BC75" i="2" a="1"/>
  <c r="BC75" i="2" s="1"/>
  <c r="BC76" i="2" a="1"/>
  <c r="BC76" i="2" s="1"/>
  <c r="BC77" i="2" a="1"/>
  <c r="BC77" i="2" s="1"/>
  <c r="BC78" i="2" a="1"/>
  <c r="BC78" i="2" s="1"/>
  <c r="BC79" i="2" a="1"/>
  <c r="BC79" i="2" s="1"/>
  <c r="BC80" i="2" a="1"/>
  <c r="BC80" i="2" s="1"/>
  <c r="BC81" i="2" a="1"/>
  <c r="BC81" i="2" s="1"/>
  <c r="BC82" i="2" a="1"/>
  <c r="BC82" i="2" s="1"/>
  <c r="BC83" i="2" a="1"/>
  <c r="BC83" i="2" s="1"/>
  <c r="BC84" i="2" a="1"/>
  <c r="BC84" i="2" s="1"/>
  <c r="BC85" i="2" a="1"/>
  <c r="BC85" i="2" s="1"/>
  <c r="BC86" i="2" a="1"/>
  <c r="BC86" i="2" s="1"/>
  <c r="BC87" i="2" a="1"/>
  <c r="BC87" i="2" s="1"/>
  <c r="BC88" i="2" a="1"/>
  <c r="BC88" i="2" s="1"/>
  <c r="BC89" i="2" a="1"/>
  <c r="BC89" i="2" s="1"/>
  <c r="BC90" i="2" a="1"/>
  <c r="BC90" i="2" s="1"/>
  <c r="BC91" i="2" a="1"/>
  <c r="BC91" i="2" s="1"/>
  <c r="BC92" i="2" a="1"/>
  <c r="BC92" i="2" s="1"/>
  <c r="BC93" i="2" a="1"/>
  <c r="BC93" i="2" s="1"/>
  <c r="BC94" i="2" a="1"/>
  <c r="BC94" i="2" s="1"/>
  <c r="BC95" i="2" a="1"/>
  <c r="BC95" i="2" s="1"/>
  <c r="BC96" i="2" a="1"/>
  <c r="BC96" i="2" s="1"/>
  <c r="BC97" i="2" a="1"/>
  <c r="BC97" i="2" s="1"/>
  <c r="BC98" i="2" a="1"/>
  <c r="BC98" i="2" s="1"/>
  <c r="BC99" i="2" a="1"/>
  <c r="BC99" i="2" s="1"/>
  <c r="BC100" i="2" a="1"/>
  <c r="BC100" i="2" s="1"/>
  <c r="BC101" i="2" a="1"/>
  <c r="BC101" i="2" s="1"/>
  <c r="BC102" i="2" a="1"/>
  <c r="BC102" i="2" s="1"/>
  <c r="BC103" i="2" a="1"/>
  <c r="BC103" i="2" s="1"/>
  <c r="BC104" i="2" a="1"/>
  <c r="BC104" i="2" s="1"/>
  <c r="BC105" i="2" a="1"/>
  <c r="BC105" i="2" s="1"/>
  <c r="BC106" i="2" a="1"/>
  <c r="BC106" i="2" s="1"/>
  <c r="BC107" i="2" a="1"/>
  <c r="BC107" i="2" s="1"/>
  <c r="BC108" i="2" a="1"/>
  <c r="BC108" i="2" s="1"/>
  <c r="BC109" i="2" a="1"/>
  <c r="BC109" i="2" s="1"/>
  <c r="BC110" i="2" a="1"/>
  <c r="BC110" i="2" s="1"/>
  <c r="BC111" i="2" a="1"/>
  <c r="BC111" i="2" s="1"/>
  <c r="BC112" i="2" a="1"/>
  <c r="BC112" i="2" s="1"/>
  <c r="BC113" i="2" a="1"/>
  <c r="BC113" i="2" s="1"/>
  <c r="BC114" i="2" a="1"/>
  <c r="BC114" i="2" s="1"/>
  <c r="BC115" i="2" a="1"/>
  <c r="BC115" i="2" s="1"/>
  <c r="BC116" i="2" a="1"/>
  <c r="BC116" i="2" s="1"/>
  <c r="BC117" i="2" a="1"/>
  <c r="BC117" i="2" s="1"/>
  <c r="BC118" i="2" a="1"/>
  <c r="BC118" i="2" s="1"/>
  <c r="BC119" i="2" a="1"/>
  <c r="BC119" i="2" s="1"/>
  <c r="BC120" i="2" a="1"/>
  <c r="BC120" i="2" s="1"/>
  <c r="BC121" i="2" a="1"/>
  <c r="BC121" i="2" s="1"/>
  <c r="BC122" i="2" a="1"/>
  <c r="BC122" i="2" s="1"/>
  <c r="BC123" i="2" a="1"/>
  <c r="BC123" i="2" s="1"/>
  <c r="BC124" i="2" a="1"/>
  <c r="BC124" i="2" s="1"/>
  <c r="BC125" i="2" a="1"/>
  <c r="BC125" i="2" s="1"/>
  <c r="BC126" i="2" a="1"/>
  <c r="BC126" i="2" s="1"/>
  <c r="BC127" i="2" a="1"/>
  <c r="BC127" i="2" s="1"/>
  <c r="BC128" i="2" a="1"/>
  <c r="BC128" i="2" s="1"/>
  <c r="BC129" i="2" a="1"/>
  <c r="BC129" i="2" s="1"/>
  <c r="BC130" i="2" a="1"/>
  <c r="BC130" i="2" s="1"/>
  <c r="BC131" i="2" a="1"/>
  <c r="BC131" i="2" s="1"/>
  <c r="BC132" i="2" a="1"/>
  <c r="BC132" i="2" s="1"/>
  <c r="BC133" i="2" a="1"/>
  <c r="BC133" i="2" s="1"/>
  <c r="BC134" i="2" a="1"/>
  <c r="BC134" i="2" s="1"/>
  <c r="BC135" i="2" a="1"/>
  <c r="BC135" i="2" s="1"/>
  <c r="BC136" i="2" a="1"/>
  <c r="BC136" i="2" s="1"/>
  <c r="BC137" i="2" a="1"/>
  <c r="BC137" i="2" s="1"/>
  <c r="BC138" i="2" a="1"/>
  <c r="BC138" i="2" s="1"/>
  <c r="BC139" i="2" a="1"/>
  <c r="BC139" i="2" s="1"/>
  <c r="BC140" i="2" a="1"/>
  <c r="BC140" i="2" s="1"/>
  <c r="BC141" i="2" a="1"/>
  <c r="BC141" i="2" s="1"/>
  <c r="BC142" i="2" a="1"/>
  <c r="BC142" i="2" s="1"/>
  <c r="BC143" i="2" a="1"/>
  <c r="BC143" i="2" s="1"/>
  <c r="BC144" i="2" a="1"/>
  <c r="BC144" i="2" s="1"/>
  <c r="BC145" i="2" a="1"/>
  <c r="BC145" i="2" s="1"/>
  <c r="BC146" i="2" a="1"/>
  <c r="BC146" i="2" s="1"/>
  <c r="BC147" i="2" a="1"/>
  <c r="BC147" i="2" s="1"/>
  <c r="BC148" i="2" a="1"/>
  <c r="BC148" i="2" s="1"/>
  <c r="BC149" i="2" a="1"/>
  <c r="BC149" i="2" s="1"/>
  <c r="BC150" i="2" a="1"/>
  <c r="BC150" i="2" s="1"/>
  <c r="BC151" i="2" a="1"/>
  <c r="BC151" i="2" s="1"/>
  <c r="BC152" i="2" a="1"/>
  <c r="BC152" i="2" s="1"/>
  <c r="BC153" i="2" a="1"/>
  <c r="BC153" i="2" s="1"/>
  <c r="BC154" i="2" a="1"/>
  <c r="BC154" i="2" s="1"/>
  <c r="BC155" i="2" a="1"/>
  <c r="BC155" i="2" s="1"/>
  <c r="BC156" i="2" a="1"/>
  <c r="BC156" i="2" s="1"/>
  <c r="BC157" i="2" a="1"/>
  <c r="BC157" i="2" s="1"/>
  <c r="BC158" i="2" a="1"/>
  <c r="BC158" i="2" s="1"/>
  <c r="BC159" i="2" a="1"/>
  <c r="BC159" i="2" s="1"/>
  <c r="BC160" i="2" a="1"/>
  <c r="BC160" i="2" s="1"/>
  <c r="BC161" i="2" a="1"/>
  <c r="BC161" i="2" s="1"/>
  <c r="BC162" i="2" a="1"/>
  <c r="BC162" i="2" s="1"/>
  <c r="BC163" i="2" a="1"/>
  <c r="BC163" i="2" s="1"/>
  <c r="BC164" i="2" a="1"/>
  <c r="BC164" i="2" s="1"/>
  <c r="BC165" i="2" a="1"/>
  <c r="BC165" i="2" s="1"/>
  <c r="BC166" i="2" a="1"/>
  <c r="BC166" i="2" s="1"/>
  <c r="BC167" i="2" a="1"/>
  <c r="BC167" i="2" s="1"/>
  <c r="BC168" i="2" a="1"/>
  <c r="BC168" i="2" s="1"/>
  <c r="BC169" i="2" a="1"/>
  <c r="BC169" i="2" s="1"/>
  <c r="BC170" i="2" a="1"/>
  <c r="BC170" i="2" s="1"/>
  <c r="BC171" i="2" a="1"/>
  <c r="BC171" i="2" s="1"/>
  <c r="BC172" i="2" a="1"/>
  <c r="BC172" i="2" s="1"/>
  <c r="BC173" i="2" a="1"/>
  <c r="BC173" i="2" s="1"/>
  <c r="BC174" i="2" a="1"/>
  <c r="BC174" i="2" s="1"/>
  <c r="BC175" i="2" a="1"/>
  <c r="BC175" i="2" s="1"/>
  <c r="BC176" i="2" a="1"/>
  <c r="BC176" i="2" s="1"/>
  <c r="BC177" i="2" a="1"/>
  <c r="BC177" i="2" s="1"/>
  <c r="BC178" i="2" a="1"/>
  <c r="BC178" i="2" s="1"/>
  <c r="BC179" i="2" a="1"/>
  <c r="BC179" i="2" s="1"/>
  <c r="BC180" i="2" a="1"/>
  <c r="BC180" i="2" s="1"/>
  <c r="BC181" i="2" a="1"/>
  <c r="BC181" i="2" s="1"/>
  <c r="BC182" i="2" a="1"/>
  <c r="BC182" i="2" s="1"/>
  <c r="BC183" i="2" a="1"/>
  <c r="BC183" i="2" s="1"/>
  <c r="BC184" i="2" a="1"/>
  <c r="BC184" i="2" s="1"/>
  <c r="BC185" i="2" a="1"/>
  <c r="BC185" i="2" s="1"/>
  <c r="BC186" i="2" a="1"/>
  <c r="BC186" i="2" s="1"/>
  <c r="BC187" i="2" a="1"/>
  <c r="BC187" i="2" s="1"/>
  <c r="BC188" i="2" a="1"/>
  <c r="BC188" i="2" s="1"/>
  <c r="BC189" i="2" a="1"/>
  <c r="BC189" i="2" s="1"/>
  <c r="BC190" i="2" a="1"/>
  <c r="BC190" i="2" s="1"/>
  <c r="BC191" i="2" a="1"/>
  <c r="BC191" i="2" s="1"/>
  <c r="BC192" i="2" a="1"/>
  <c r="BC192" i="2" s="1"/>
  <c r="BC193" i="2" a="1"/>
  <c r="BC193" i="2" s="1"/>
  <c r="BC194" i="2" a="1"/>
  <c r="BC194" i="2" s="1"/>
  <c r="BC195" i="2" a="1"/>
  <c r="BC195" i="2" s="1"/>
  <c r="BC196" i="2" a="1"/>
  <c r="BC196" i="2" s="1"/>
  <c r="BC197" i="2" a="1"/>
  <c r="BC197" i="2" s="1"/>
  <c r="BC198" i="2" a="1"/>
  <c r="BC198" i="2" s="1"/>
  <c r="BC199" i="2" a="1"/>
  <c r="BC199" i="2" s="1"/>
  <c r="BC200" i="2" a="1"/>
  <c r="BC200" i="2" s="1"/>
  <c r="BC201" i="2" a="1"/>
  <c r="BC201" i="2" s="1"/>
  <c r="BC202" i="2" a="1"/>
  <c r="BC202" i="2" s="1"/>
  <c r="BC203" i="2" a="1"/>
  <c r="BC203" i="2" s="1"/>
  <c r="BC204" i="2" a="1"/>
  <c r="BC204" i="2" s="1"/>
  <c r="BC205" i="2" a="1"/>
  <c r="BC205" i="2" s="1"/>
  <c r="BC206" i="2" a="1"/>
  <c r="BC206" i="2" s="1"/>
  <c r="BC207" i="2" a="1"/>
  <c r="BC207" i="2" s="1"/>
  <c r="BC208" i="2" a="1"/>
  <c r="BC208" i="2" s="1"/>
  <c r="BC209" i="2" a="1"/>
  <c r="BC209" i="2" s="1"/>
  <c r="BC210" i="2" a="1"/>
  <c r="BC210" i="2" s="1"/>
  <c r="BC211" i="2" a="1"/>
  <c r="BC211" i="2" s="1"/>
  <c r="BC212" i="2" a="1"/>
  <c r="BC212" i="2" s="1"/>
  <c r="BC213" i="2" a="1"/>
  <c r="BC213" i="2" s="1"/>
  <c r="BC214" i="2" a="1"/>
  <c r="BC214" i="2" s="1"/>
  <c r="BC215" i="2" a="1"/>
  <c r="BC215" i="2" s="1"/>
  <c r="BC216" i="2" a="1"/>
  <c r="BC216" i="2" s="1"/>
  <c r="BC217" i="2" a="1"/>
  <c r="BC217" i="2" s="1"/>
  <c r="BC218" i="2" a="1"/>
  <c r="BC218" i="2" s="1"/>
  <c r="BC219" i="2" a="1"/>
  <c r="BC219" i="2" s="1"/>
  <c r="BC220" i="2" a="1"/>
  <c r="BC220" i="2" s="1"/>
  <c r="BC221" i="2" a="1"/>
  <c r="BC221" i="2" s="1"/>
  <c r="BC222" i="2" a="1"/>
  <c r="BC222" i="2" s="1"/>
  <c r="BC223" i="2" a="1"/>
  <c r="BC223" i="2" s="1"/>
  <c r="BC224" i="2" a="1"/>
  <c r="BC224" i="2" s="1"/>
  <c r="BC225" i="2" a="1"/>
  <c r="BC225" i="2" s="1"/>
  <c r="BC226" i="2" a="1"/>
  <c r="BC226" i="2" s="1"/>
  <c r="BC227" i="2" a="1"/>
  <c r="BC227" i="2" s="1"/>
  <c r="BC228" i="2" a="1"/>
  <c r="BC228" i="2" s="1"/>
  <c r="BC229" i="2" a="1"/>
  <c r="BC229" i="2" s="1"/>
  <c r="BC230" i="2" a="1"/>
  <c r="BC230" i="2" s="1"/>
  <c r="BC231" i="2" a="1"/>
  <c r="BC231" i="2" s="1"/>
  <c r="BC232" i="2" a="1"/>
  <c r="BC232" i="2" s="1"/>
  <c r="BC233" i="2" a="1"/>
  <c r="BC233" i="2" s="1"/>
  <c r="BC234" i="2" a="1"/>
  <c r="BC234" i="2" s="1"/>
  <c r="BC235" i="2" a="1"/>
  <c r="BC235" i="2" s="1"/>
  <c r="BC236" i="2" a="1"/>
  <c r="BC236" i="2" s="1"/>
  <c r="BC237" i="2" a="1"/>
  <c r="BC237" i="2" s="1"/>
  <c r="BC238" i="2" a="1"/>
  <c r="BC238" i="2" s="1"/>
  <c r="BC239" i="2" a="1"/>
  <c r="BC239" i="2" s="1"/>
  <c r="BC240" i="2" a="1"/>
  <c r="BC240" i="2" s="1"/>
  <c r="BC241" i="2" a="1"/>
  <c r="BC241" i="2" s="1"/>
  <c r="BC242" i="2" a="1"/>
  <c r="BC242" i="2" s="1"/>
  <c r="BC243" i="2" a="1"/>
  <c r="BC243" i="2" s="1"/>
  <c r="BC244" i="2" a="1"/>
  <c r="BC244" i="2" s="1"/>
  <c r="BC245" i="2" a="1"/>
  <c r="BC245" i="2" s="1"/>
  <c r="BC246" i="2" a="1"/>
  <c r="BC246" i="2" s="1"/>
  <c r="BC247" i="2" a="1"/>
  <c r="BC247" i="2" s="1"/>
  <c r="BC248" i="2" a="1"/>
  <c r="BC248" i="2" s="1"/>
  <c r="BC249" i="2" a="1"/>
  <c r="BC249" i="2" s="1"/>
  <c r="BC250" i="2" a="1"/>
  <c r="BC250" i="2" s="1"/>
  <c r="BC251" i="2" a="1"/>
  <c r="BC251" i="2" s="1"/>
  <c r="BC252" i="2" a="1"/>
  <c r="BC252" i="2" s="1"/>
  <c r="BC253" i="2" a="1"/>
  <c r="BC253" i="2" s="1"/>
  <c r="BC254" i="2" a="1"/>
  <c r="BC254" i="2" s="1"/>
  <c r="BC255" i="2" a="1"/>
  <c r="BC255" i="2" s="1"/>
  <c r="BC256" i="2" a="1"/>
  <c r="BC256" i="2" s="1"/>
  <c r="BC257" i="2" a="1"/>
  <c r="BC257" i="2" s="1"/>
  <c r="BC258" i="2" a="1"/>
  <c r="BC258" i="2" s="1"/>
  <c r="BC259" i="2" a="1"/>
  <c r="BC259" i="2" s="1"/>
  <c r="BC260" i="2" a="1"/>
  <c r="BC260" i="2" s="1"/>
  <c r="BC261" i="2" a="1"/>
  <c r="BC261" i="2" s="1"/>
  <c r="BC262" i="2" a="1"/>
  <c r="BC262" i="2" s="1"/>
  <c r="BC263" i="2" a="1"/>
  <c r="BC263" i="2" s="1"/>
  <c r="BC264" i="2" a="1"/>
  <c r="BC264" i="2" s="1"/>
  <c r="BC265" i="2" a="1"/>
  <c r="BC265" i="2" s="1"/>
  <c r="BC266" i="2" a="1"/>
  <c r="BC266" i="2" s="1"/>
  <c r="BC267" i="2" a="1"/>
  <c r="BC267" i="2" s="1"/>
  <c r="BC268" i="2" a="1"/>
  <c r="BC268" i="2" s="1"/>
  <c r="BC269" i="2" a="1"/>
  <c r="BC269" i="2" s="1"/>
  <c r="BC270" i="2" a="1"/>
  <c r="BC270" i="2" s="1"/>
  <c r="BC271" i="2" a="1"/>
  <c r="BC271" i="2" s="1"/>
  <c r="BC272" i="2" a="1"/>
  <c r="BC272" i="2" s="1"/>
  <c r="BC273" i="2" a="1"/>
  <c r="BC273" i="2" s="1"/>
  <c r="BC274" i="2" a="1"/>
  <c r="BC274" i="2" s="1"/>
  <c r="BC275" i="2" a="1"/>
  <c r="BC275" i="2" s="1"/>
  <c r="BC276" i="2" a="1"/>
  <c r="BC276" i="2" s="1"/>
  <c r="BC277" i="2" a="1"/>
  <c r="BC277" i="2" s="1"/>
  <c r="BC278" i="2" a="1"/>
  <c r="BC278" i="2" s="1"/>
  <c r="BC279" i="2" a="1"/>
  <c r="BC279" i="2" s="1"/>
  <c r="BC280" i="2" a="1"/>
  <c r="BC280" i="2" s="1"/>
  <c r="BC281" i="2" a="1"/>
  <c r="BC281" i="2" s="1"/>
  <c r="BC282" i="2" a="1"/>
  <c r="BC282" i="2" s="1"/>
  <c r="BC283" i="2" a="1"/>
  <c r="BC283" i="2" s="1"/>
  <c r="BC284" i="2" a="1"/>
  <c r="BC284" i="2" s="1"/>
  <c r="BC285" i="2" a="1"/>
  <c r="BC285" i="2" s="1"/>
  <c r="BC286" i="2" a="1"/>
  <c r="BC286" i="2" s="1"/>
  <c r="BC287" i="2" a="1"/>
  <c r="BC287" i="2" s="1"/>
  <c r="BC288" i="2" a="1"/>
  <c r="BC288" i="2" s="1"/>
  <c r="BC289" i="2" a="1"/>
  <c r="BC289" i="2" s="1"/>
  <c r="BC290" i="2" a="1"/>
  <c r="BC290" i="2" s="1"/>
  <c r="BC291" i="2" a="1"/>
  <c r="BC291" i="2" s="1"/>
  <c r="BC292" i="2" a="1"/>
  <c r="BC292" i="2" s="1"/>
  <c r="BC293" i="2" a="1"/>
  <c r="BC293" i="2" s="1"/>
  <c r="BC294" i="2" a="1"/>
  <c r="BC294" i="2" s="1"/>
  <c r="BC295" i="2" a="1"/>
  <c r="BC295" i="2" s="1"/>
  <c r="BC296" i="2" a="1"/>
  <c r="BC296" i="2" s="1"/>
  <c r="BC297" i="2" a="1"/>
  <c r="BC297" i="2" s="1"/>
  <c r="BC298" i="2" a="1"/>
  <c r="BC298" i="2" s="1"/>
  <c r="BC299" i="2" a="1"/>
  <c r="BC299" i="2" s="1"/>
  <c r="BC300" i="2" a="1"/>
  <c r="BC300" i="2" s="1"/>
  <c r="BC301" i="2" a="1"/>
  <c r="BC301" i="2" s="1"/>
  <c r="BC302" i="2" a="1"/>
  <c r="BC302" i="2" s="1"/>
  <c r="BC303" i="2" a="1"/>
  <c r="BC303" i="2" s="1"/>
  <c r="BC304" i="2" a="1"/>
  <c r="BC304" i="2" s="1"/>
  <c r="BC305" i="2" a="1"/>
  <c r="BC305" i="2" s="1"/>
  <c r="BC306" i="2" a="1"/>
  <c r="BC306" i="2" s="1"/>
  <c r="BC307" i="2" a="1"/>
  <c r="BC307" i="2" s="1"/>
  <c r="BC308" i="2" a="1"/>
  <c r="BC308" i="2" s="1"/>
  <c r="BC309" i="2" a="1"/>
  <c r="BC309" i="2" s="1"/>
  <c r="BC310" i="2" a="1"/>
  <c r="BC310" i="2" s="1"/>
  <c r="BC311" i="2" a="1"/>
  <c r="BC311" i="2" s="1"/>
  <c r="BC312" i="2" a="1"/>
  <c r="BC312" i="2" s="1"/>
  <c r="BC313" i="2" a="1"/>
  <c r="BC313" i="2" s="1"/>
  <c r="BC314" i="2" a="1"/>
  <c r="BC314" i="2" s="1"/>
  <c r="BC315" i="2" a="1"/>
  <c r="BC315" i="2" s="1"/>
  <c r="BC316" i="2" a="1"/>
  <c r="BC316" i="2" s="1"/>
  <c r="BC317" i="2" a="1"/>
  <c r="BC317" i="2" s="1"/>
  <c r="BC318" i="2" a="1"/>
  <c r="BC318" i="2" s="1"/>
  <c r="BC319" i="2" a="1"/>
  <c r="BC319" i="2" s="1"/>
  <c r="BC320" i="2" a="1"/>
  <c r="BC320" i="2" s="1"/>
  <c r="BC321" i="2" a="1"/>
  <c r="BC321" i="2" s="1"/>
  <c r="BC322" i="2" a="1"/>
  <c r="BC322" i="2" s="1"/>
  <c r="BC323" i="2" a="1"/>
  <c r="BC323" i="2" s="1"/>
  <c r="BC324" i="2" a="1"/>
  <c r="BC324" i="2" s="1"/>
  <c r="BC325" i="2" a="1"/>
  <c r="BC325" i="2" s="1"/>
  <c r="BC326" i="2" a="1"/>
  <c r="BC326" i="2" s="1"/>
  <c r="BC327" i="2" a="1"/>
  <c r="BC327" i="2" s="1"/>
  <c r="BC328" i="2" a="1"/>
  <c r="BC328" i="2" s="1"/>
  <c r="BC329" i="2" a="1"/>
  <c r="BC329" i="2" s="1"/>
  <c r="BC330" i="2" a="1"/>
  <c r="BC330" i="2" s="1"/>
  <c r="BC331" i="2" a="1"/>
  <c r="BC331" i="2" s="1"/>
  <c r="BC332" i="2" a="1"/>
  <c r="BC332" i="2" s="1"/>
  <c r="BC333" i="2" a="1"/>
  <c r="BC333" i="2" s="1"/>
  <c r="BC334" i="2" a="1"/>
  <c r="BC334" i="2" s="1"/>
  <c r="BC335" i="2" a="1"/>
  <c r="BC335" i="2" s="1"/>
  <c r="BC336" i="2" a="1"/>
  <c r="BC336" i="2" s="1"/>
  <c r="BC337" i="2" a="1"/>
  <c r="BC337" i="2" s="1"/>
  <c r="BC338" i="2" a="1"/>
  <c r="BC338" i="2" s="1"/>
  <c r="BC339" i="2" a="1"/>
  <c r="BC339" i="2" s="1"/>
  <c r="BC340" i="2" a="1"/>
  <c r="BC340" i="2" s="1"/>
  <c r="BC341" i="2" a="1"/>
  <c r="BC341" i="2" s="1"/>
  <c r="BC342" i="2" a="1"/>
  <c r="BC342" i="2" s="1"/>
  <c r="BC343" i="2" a="1"/>
  <c r="BC343" i="2" s="1"/>
  <c r="BC344" i="2" a="1"/>
  <c r="BC344" i="2" s="1"/>
  <c r="BC345" i="2" a="1"/>
  <c r="BC345" i="2" s="1"/>
  <c r="BC346" i="2" a="1"/>
  <c r="BC346" i="2" s="1"/>
  <c r="BC347" i="2" a="1"/>
  <c r="BC347" i="2" s="1"/>
  <c r="BC348" i="2" a="1"/>
  <c r="BC348" i="2" s="1"/>
  <c r="BC349" i="2" a="1"/>
  <c r="BC349" i="2" s="1"/>
  <c r="BC350" i="2" a="1"/>
  <c r="BC350" i="2" s="1"/>
  <c r="BC351" i="2" a="1"/>
  <c r="BC351" i="2" s="1"/>
  <c r="BC352" i="2" a="1"/>
  <c r="BC352" i="2" s="1"/>
  <c r="BC353" i="2" a="1"/>
  <c r="BC353" i="2" s="1"/>
  <c r="BC354" i="2" a="1"/>
  <c r="BC354" i="2" s="1"/>
  <c r="BC355" i="2" a="1"/>
  <c r="BC355" i="2" s="1"/>
  <c r="BC356" i="2" a="1"/>
  <c r="BC356" i="2" s="1"/>
  <c r="BC357" i="2" a="1"/>
  <c r="BC357" i="2" s="1"/>
  <c r="BC358" i="2" a="1"/>
  <c r="BC358" i="2" s="1"/>
  <c r="BC359" i="2" a="1"/>
  <c r="BC359" i="2" s="1"/>
  <c r="BC360" i="2" a="1"/>
  <c r="BC360" i="2" s="1"/>
  <c r="BC361" i="2" a="1"/>
  <c r="BC361" i="2" s="1"/>
  <c r="BC362" i="2" a="1"/>
  <c r="BC362" i="2" s="1"/>
  <c r="BC363" i="2" a="1"/>
  <c r="BC363" i="2" s="1"/>
  <c r="BC364" i="2" a="1"/>
  <c r="BC364" i="2" s="1"/>
  <c r="BC365" i="2" a="1"/>
  <c r="BC365" i="2" s="1"/>
  <c r="BC366" i="2" a="1"/>
  <c r="BC366" i="2" s="1"/>
  <c r="BC367" i="2" a="1"/>
  <c r="BC367" i="2" s="1"/>
  <c r="BC368" i="2" a="1"/>
  <c r="BC368" i="2" s="1"/>
  <c r="BC369" i="2" a="1"/>
  <c r="BC369" i="2" s="1"/>
  <c r="BC370" i="2" a="1"/>
  <c r="BC370" i="2" s="1"/>
  <c r="BC371" i="2" a="1"/>
  <c r="BC371" i="2" s="1"/>
  <c r="BC372" i="2" a="1"/>
  <c r="BC372" i="2" s="1"/>
  <c r="BC373" i="2" a="1"/>
  <c r="BC373" i="2" s="1"/>
  <c r="BC374" i="2" a="1"/>
  <c r="BC374" i="2" s="1"/>
  <c r="BC375" i="2" a="1"/>
  <c r="BC375" i="2" s="1"/>
  <c r="BC376" i="2" a="1"/>
  <c r="BC376" i="2" s="1"/>
  <c r="BC377" i="2" a="1"/>
  <c r="BC377" i="2" s="1"/>
  <c r="BC378" i="2" a="1"/>
  <c r="BC378" i="2" s="1"/>
  <c r="BC379" i="2" a="1"/>
  <c r="BC379" i="2" s="1"/>
  <c r="BC380" i="2" a="1"/>
  <c r="BC380" i="2" s="1"/>
  <c r="BC381" i="2" a="1"/>
  <c r="BC381" i="2" s="1"/>
  <c r="BC382" i="2" a="1"/>
  <c r="BC382" i="2" s="1"/>
  <c r="BC383" i="2" a="1"/>
  <c r="BC383" i="2" s="1"/>
  <c r="BC384" i="2" a="1"/>
  <c r="BC384" i="2" s="1"/>
  <c r="BC385" i="2" a="1"/>
  <c r="BC385" i="2" s="1"/>
  <c r="BC386" i="2" a="1"/>
  <c r="BC386" i="2" s="1"/>
  <c r="BC387" i="2" a="1"/>
  <c r="BC387" i="2" s="1"/>
  <c r="BC388" i="2" a="1"/>
  <c r="BC388" i="2" s="1"/>
  <c r="BC389" i="2" a="1"/>
  <c r="BC389" i="2" s="1"/>
  <c r="BC390" i="2" a="1"/>
  <c r="BC390" i="2" s="1"/>
  <c r="BC391" i="2" a="1"/>
  <c r="BC391" i="2" s="1"/>
  <c r="BC392" i="2" a="1"/>
  <c r="BC392" i="2" s="1"/>
  <c r="BC393" i="2" a="1"/>
  <c r="BC393" i="2" s="1"/>
  <c r="BC394" i="2" a="1"/>
  <c r="BC394" i="2" s="1"/>
  <c r="BC395" i="2" a="1"/>
  <c r="BC395" i="2" s="1"/>
  <c r="BC396" i="2" a="1"/>
  <c r="BC396" i="2" s="1"/>
  <c r="BC397" i="2" a="1"/>
  <c r="BC397" i="2" s="1"/>
  <c r="BC398" i="2" a="1"/>
  <c r="BC398" i="2" s="1"/>
  <c r="BC399" i="2" a="1"/>
  <c r="BC399" i="2" s="1"/>
  <c r="BC400" i="2" a="1"/>
  <c r="BC400" i="2" s="1"/>
  <c r="BC401" i="2" a="1"/>
  <c r="BC401" i="2" s="1"/>
  <c r="BC402" i="2" a="1"/>
  <c r="BC402" i="2" s="1"/>
  <c r="BC403" i="2" a="1"/>
  <c r="BC403" i="2" s="1"/>
  <c r="BC404" i="2" a="1"/>
  <c r="BC404" i="2" s="1"/>
  <c r="BC405" i="2" a="1"/>
  <c r="BC405" i="2" s="1"/>
  <c r="BC406" i="2" a="1"/>
  <c r="BC406" i="2" s="1"/>
  <c r="BC407" i="2" a="1"/>
  <c r="BC407" i="2" s="1"/>
  <c r="BC408" i="2" a="1"/>
  <c r="BC408" i="2" s="1"/>
  <c r="BC409" i="2" a="1"/>
  <c r="BC409" i="2" s="1"/>
  <c r="BC410" i="2" a="1"/>
  <c r="BC410" i="2" s="1"/>
  <c r="BC411" i="2" a="1"/>
  <c r="BC411" i="2" s="1"/>
  <c r="BC412" i="2" a="1"/>
  <c r="BC412" i="2" s="1"/>
  <c r="BC413" i="2" a="1"/>
  <c r="BC413" i="2" s="1"/>
  <c r="BC414" i="2" a="1"/>
  <c r="BC414" i="2" s="1"/>
  <c r="BC415" i="2" a="1"/>
  <c r="BC415" i="2" s="1"/>
  <c r="BC416" i="2" a="1"/>
  <c r="BC416" i="2" s="1"/>
  <c r="BC417" i="2" a="1"/>
  <c r="BC417" i="2" s="1"/>
  <c r="BC418" i="2" a="1"/>
  <c r="BC418" i="2" s="1"/>
  <c r="BC419" i="2" a="1"/>
  <c r="BC419" i="2" s="1"/>
  <c r="BC420" i="2" a="1"/>
  <c r="BC420" i="2" s="1"/>
  <c r="BC421" i="2" a="1"/>
  <c r="BC421" i="2" s="1"/>
  <c r="BC422" i="2" a="1"/>
  <c r="BC422" i="2" s="1"/>
  <c r="BC423" i="2" a="1"/>
  <c r="BC423" i="2" s="1"/>
  <c r="BC424" i="2" a="1"/>
  <c r="BC424" i="2" s="1"/>
  <c r="BC425" i="2" a="1"/>
  <c r="BC425" i="2" s="1"/>
  <c r="BC426" i="2" a="1"/>
  <c r="BC426" i="2" s="1"/>
  <c r="BC427" i="2" a="1"/>
  <c r="BC427" i="2" s="1"/>
  <c r="BC428" i="2" a="1"/>
  <c r="BC428" i="2" s="1"/>
  <c r="BC429" i="2" a="1"/>
  <c r="BC429" i="2" s="1"/>
  <c r="BC430" i="2" a="1"/>
  <c r="BC430" i="2" s="1"/>
  <c r="BC431" i="2" a="1"/>
  <c r="BC431" i="2" s="1"/>
  <c r="BC432" i="2" a="1"/>
  <c r="BC432" i="2" s="1"/>
  <c r="BC433" i="2" a="1"/>
  <c r="BC433" i="2" s="1"/>
  <c r="BC434" i="2" a="1"/>
  <c r="BC434" i="2" s="1"/>
  <c r="BC435" i="2" a="1"/>
  <c r="BC435" i="2" s="1"/>
  <c r="BC436" i="2" a="1"/>
  <c r="BC436" i="2" s="1"/>
  <c r="BC437" i="2" a="1"/>
  <c r="BC437" i="2" s="1"/>
  <c r="BC438" i="2" a="1"/>
  <c r="BC438" i="2" s="1"/>
  <c r="BC439" i="2" a="1"/>
  <c r="BC439" i="2" s="1"/>
  <c r="BC440" i="2" a="1"/>
  <c r="BC440" i="2" s="1"/>
  <c r="BC441" i="2" a="1"/>
  <c r="BC441" i="2" s="1"/>
  <c r="BC442" i="2" a="1"/>
  <c r="BC442" i="2" s="1"/>
  <c r="BC443" i="2" a="1"/>
  <c r="BC443" i="2" s="1"/>
  <c r="BC444" i="2" a="1"/>
  <c r="BC444" i="2" s="1"/>
  <c r="BC445" i="2" a="1"/>
  <c r="BC445" i="2" s="1"/>
  <c r="BC446" i="2" a="1"/>
  <c r="BC446" i="2" s="1"/>
  <c r="BC447" i="2" a="1"/>
  <c r="BC447" i="2" s="1"/>
  <c r="BC448" i="2" a="1"/>
  <c r="BC448" i="2" s="1"/>
  <c r="BC449" i="2" a="1"/>
  <c r="BC449" i="2" s="1"/>
  <c r="BC450" i="2" a="1"/>
  <c r="BC450" i="2" s="1"/>
  <c r="BC451" i="2" a="1"/>
  <c r="BC451" i="2" s="1"/>
  <c r="BC452" i="2" a="1"/>
  <c r="BC452" i="2" s="1"/>
  <c r="BC453" i="2" a="1"/>
  <c r="BC453" i="2" s="1"/>
  <c r="BC454" i="2" a="1"/>
  <c r="BC454" i="2" s="1"/>
  <c r="BC455" i="2" a="1"/>
  <c r="BC455" i="2" s="1"/>
  <c r="BC456" i="2" a="1"/>
  <c r="BC456" i="2" s="1"/>
  <c r="BC457" i="2" a="1"/>
  <c r="BC457" i="2" s="1"/>
  <c r="BC458" i="2" a="1"/>
  <c r="BC458" i="2" s="1"/>
  <c r="BC459" i="2" a="1"/>
  <c r="BC459" i="2" s="1"/>
  <c r="BC460" i="2" a="1"/>
  <c r="BC460" i="2" s="1"/>
  <c r="BC461" i="2" a="1"/>
  <c r="BC461" i="2" s="1"/>
  <c r="BC462" i="2" a="1"/>
  <c r="BC462" i="2" s="1"/>
  <c r="BC463" i="2" a="1"/>
  <c r="BC463" i="2" s="1"/>
  <c r="BC464" i="2" a="1"/>
  <c r="BC464" i="2" s="1"/>
  <c r="BC465" i="2" a="1"/>
  <c r="BC465" i="2" s="1"/>
  <c r="BC466" i="2" a="1"/>
  <c r="BC466" i="2" s="1"/>
  <c r="BC467" i="2" a="1"/>
  <c r="BC467" i="2" s="1"/>
  <c r="BC468" i="2" a="1"/>
  <c r="BC468" i="2" s="1"/>
  <c r="BC469" i="2" a="1"/>
  <c r="BC469" i="2" s="1"/>
  <c r="BC470" i="2" a="1"/>
  <c r="BC470" i="2" s="1"/>
  <c r="BC471" i="2" a="1"/>
  <c r="BC471" i="2" s="1"/>
  <c r="BC472" i="2" a="1"/>
  <c r="BC472" i="2" s="1"/>
  <c r="BC473" i="2" a="1"/>
  <c r="BC473" i="2" s="1"/>
  <c r="BC474" i="2" a="1"/>
  <c r="BC474" i="2" s="1"/>
  <c r="BC475" i="2" a="1"/>
  <c r="BC475" i="2" s="1"/>
  <c r="BC476" i="2" a="1"/>
  <c r="BC476" i="2" s="1"/>
  <c r="BC477" i="2" a="1"/>
  <c r="BC477" i="2" s="1"/>
  <c r="BC478" i="2" a="1"/>
  <c r="BC478" i="2" s="1"/>
  <c r="BC479" i="2" a="1"/>
  <c r="BC479" i="2" s="1"/>
  <c r="BC480" i="2" a="1"/>
  <c r="BC480" i="2" s="1"/>
  <c r="BC481" i="2" a="1"/>
  <c r="BC481" i="2" s="1"/>
  <c r="BC482" i="2" a="1"/>
  <c r="BC482" i="2" s="1"/>
  <c r="BC483" i="2" a="1"/>
  <c r="BC483" i="2" s="1"/>
  <c r="BC484" i="2" a="1"/>
  <c r="BC484" i="2" s="1"/>
  <c r="BC485" i="2" a="1"/>
  <c r="BC485" i="2" s="1"/>
  <c r="BC486" i="2" a="1"/>
  <c r="BC486" i="2" s="1"/>
  <c r="BC487" i="2" a="1"/>
  <c r="BC487" i="2" s="1"/>
  <c r="BC488" i="2" a="1"/>
  <c r="BC488" i="2" s="1"/>
  <c r="BC489" i="2" a="1"/>
  <c r="BC489" i="2" s="1"/>
  <c r="BC490" i="2" a="1"/>
  <c r="BC490" i="2" s="1"/>
  <c r="BC491" i="2" a="1"/>
  <c r="BC491" i="2" s="1"/>
  <c r="BC492" i="2" a="1"/>
  <c r="BC492" i="2" s="1"/>
  <c r="BC493" i="2" a="1"/>
  <c r="BC493" i="2" s="1"/>
  <c r="BC494" i="2" a="1"/>
  <c r="BC494" i="2" s="1"/>
  <c r="BC495" i="2" a="1"/>
  <c r="BC495" i="2" s="1"/>
  <c r="BC496" i="2" a="1"/>
  <c r="BC496" i="2" s="1"/>
  <c r="BC497" i="2" a="1"/>
  <c r="BC497" i="2" s="1"/>
  <c r="BC498" i="2" a="1"/>
  <c r="BC498" i="2" s="1"/>
  <c r="BC499" i="2" a="1"/>
  <c r="BC499" i="2" s="1"/>
  <c r="BC500" i="2" a="1"/>
  <c r="BC500" i="2" s="1"/>
  <c r="BC501" i="2" a="1"/>
  <c r="BC501" i="2" s="1"/>
  <c r="BC502" i="2" a="1"/>
  <c r="BC502" i="2" s="1"/>
  <c r="BC503" i="2" a="1"/>
  <c r="BC503" i="2" s="1"/>
  <c r="BC504" i="2" a="1"/>
  <c r="BC504" i="2" s="1"/>
  <c r="BC505" i="2" a="1"/>
  <c r="BC505" i="2" s="1"/>
  <c r="BC506" i="2" a="1"/>
  <c r="BC506" i="2" s="1"/>
  <c r="BC507" i="2" a="1"/>
  <c r="BC507" i="2" s="1"/>
  <c r="BC508" i="2" a="1"/>
  <c r="BC508" i="2" s="1"/>
  <c r="BC509" i="2" a="1"/>
  <c r="BC509" i="2" s="1"/>
  <c r="BC510" i="2" a="1"/>
  <c r="BC510" i="2" s="1"/>
  <c r="BC511" i="2" a="1"/>
  <c r="BC511" i="2" s="1"/>
  <c r="BC512" i="2" a="1"/>
  <c r="BC512" i="2" s="1"/>
  <c r="BC513" i="2" a="1"/>
  <c r="BC513" i="2" s="1"/>
  <c r="BC514" i="2" a="1"/>
  <c r="BC514" i="2" s="1"/>
  <c r="BC515" i="2" a="1"/>
  <c r="BC515" i="2" s="1"/>
  <c r="BC516" i="2" a="1"/>
  <c r="BC516" i="2" s="1"/>
  <c r="BC517" i="2" a="1"/>
  <c r="BC517" i="2" s="1"/>
  <c r="BC518" i="2" a="1"/>
  <c r="BC518" i="2" s="1"/>
  <c r="BC519" i="2" a="1"/>
  <c r="BC519" i="2" s="1"/>
  <c r="BC520" i="2" a="1"/>
  <c r="BC520" i="2" s="1"/>
  <c r="BC521" i="2" a="1"/>
  <c r="BC521" i="2" s="1"/>
  <c r="BC522" i="2" a="1"/>
  <c r="BC522" i="2" s="1"/>
  <c r="BC523" i="2" a="1"/>
  <c r="BC523" i="2" s="1"/>
  <c r="BC524" i="2" a="1"/>
  <c r="BC524" i="2" s="1"/>
  <c r="BC525" i="2" a="1"/>
  <c r="BC525" i="2" s="1"/>
  <c r="BC526" i="2" a="1"/>
  <c r="BC526" i="2" s="1"/>
  <c r="BC527" i="2" a="1"/>
  <c r="BC527" i="2" s="1"/>
  <c r="BC528" i="2" a="1"/>
  <c r="BC528" i="2" s="1"/>
  <c r="BC529" i="2" a="1"/>
  <c r="BC529" i="2" s="1"/>
  <c r="BC530" i="2" a="1"/>
  <c r="BC530" i="2" s="1"/>
  <c r="BC531" i="2" a="1"/>
  <c r="BC531" i="2" s="1"/>
  <c r="BC532" i="2" a="1"/>
  <c r="BC532" i="2" s="1"/>
  <c r="BC533" i="2" a="1"/>
  <c r="BC533" i="2" s="1"/>
  <c r="BC534" i="2" a="1"/>
  <c r="BC534" i="2" s="1"/>
  <c r="BC535" i="2" a="1"/>
  <c r="BC535" i="2" s="1"/>
  <c r="BC536" i="2" a="1"/>
  <c r="BC536" i="2" s="1"/>
  <c r="BC537" i="2" a="1"/>
  <c r="BC537" i="2" s="1"/>
  <c r="BC538" i="2" a="1"/>
  <c r="BC538" i="2" s="1"/>
  <c r="BC539" i="2" a="1"/>
  <c r="BC539" i="2" s="1"/>
  <c r="BC540" i="2" a="1"/>
  <c r="BC540" i="2" s="1"/>
  <c r="BC541" i="2" a="1"/>
  <c r="BC541" i="2" s="1"/>
  <c r="BC542" i="2" a="1"/>
  <c r="BC542" i="2" s="1"/>
  <c r="BC543" i="2" a="1"/>
  <c r="BC543" i="2" s="1"/>
  <c r="BC544" i="2" a="1"/>
  <c r="BC544" i="2" s="1"/>
  <c r="BC545" i="2" a="1"/>
  <c r="BC545" i="2" s="1"/>
  <c r="BC546" i="2" a="1"/>
  <c r="BC546" i="2" s="1"/>
  <c r="BC547" i="2" a="1"/>
  <c r="BC547" i="2" s="1"/>
  <c r="BC548" i="2" a="1"/>
  <c r="BC548" i="2" s="1"/>
  <c r="BC549" i="2" a="1"/>
  <c r="BC549" i="2" s="1"/>
  <c r="BC550" i="2" a="1"/>
  <c r="BC550" i="2" s="1"/>
  <c r="BC551" i="2" a="1"/>
  <c r="BC551" i="2" s="1"/>
  <c r="BC552" i="2" a="1"/>
  <c r="BC552" i="2" s="1"/>
  <c r="BC553" i="2" a="1"/>
  <c r="BC553" i="2" s="1"/>
  <c r="BC554" i="2" a="1"/>
  <c r="BC554" i="2" s="1"/>
  <c r="BC555" i="2" a="1"/>
  <c r="BC555" i="2" s="1"/>
  <c r="BC556" i="2" a="1"/>
  <c r="BC556" i="2" s="1"/>
  <c r="BC557" i="2" a="1"/>
  <c r="BC557" i="2" s="1"/>
  <c r="BC558" i="2" a="1"/>
  <c r="BC558" i="2" s="1"/>
  <c r="BC559" i="2" a="1"/>
  <c r="BC559" i="2" s="1"/>
  <c r="BC560" i="2" a="1"/>
  <c r="BC560" i="2" s="1"/>
  <c r="BC561" i="2" a="1"/>
  <c r="BC561" i="2" s="1"/>
  <c r="BC562" i="2" a="1"/>
  <c r="BC562" i="2" s="1"/>
  <c r="BC563" i="2" a="1"/>
  <c r="BC563" i="2" s="1"/>
  <c r="BC564" i="2" a="1"/>
  <c r="BC564" i="2" s="1"/>
  <c r="BC565" i="2" a="1"/>
  <c r="BC565" i="2" s="1"/>
  <c r="BC566" i="2" a="1"/>
  <c r="BC566" i="2" s="1"/>
  <c r="BC567" i="2" a="1"/>
  <c r="BC567" i="2" s="1"/>
  <c r="BC568" i="2" a="1"/>
  <c r="BC568" i="2" s="1"/>
  <c r="BC569" i="2" a="1"/>
  <c r="BC569" i="2" s="1"/>
  <c r="BC570" i="2" a="1"/>
  <c r="BC570" i="2" s="1"/>
  <c r="BC571" i="2" a="1"/>
  <c r="BC571" i="2" s="1"/>
  <c r="BC572" i="2" a="1"/>
  <c r="BC572" i="2" s="1"/>
  <c r="BC573" i="2" a="1"/>
  <c r="BC573" i="2" s="1"/>
  <c r="BC574" i="2" a="1"/>
  <c r="BC574" i="2" s="1"/>
  <c r="BC575" i="2" a="1"/>
  <c r="BC575" i="2" s="1"/>
  <c r="BC576" i="2" a="1"/>
  <c r="BC576" i="2" s="1"/>
  <c r="BC577" i="2" a="1"/>
  <c r="BC577" i="2" s="1"/>
  <c r="BC578" i="2" a="1"/>
  <c r="BC578" i="2" s="1"/>
  <c r="BC579" i="2" a="1"/>
  <c r="BC579" i="2" s="1"/>
  <c r="BC580" i="2" a="1"/>
  <c r="BC580" i="2" s="1"/>
  <c r="BC581" i="2" a="1"/>
  <c r="BC581" i="2" s="1"/>
  <c r="BC582" i="2" a="1"/>
  <c r="BC582" i="2" s="1"/>
  <c r="BC583" i="2" a="1"/>
  <c r="BC583" i="2" s="1"/>
  <c r="BC584" i="2" a="1"/>
  <c r="BC584" i="2" s="1"/>
  <c r="BC585" i="2" a="1"/>
  <c r="BC585" i="2" s="1"/>
  <c r="BC586" i="2" a="1"/>
  <c r="BC586" i="2" s="1"/>
  <c r="BC587" i="2" a="1"/>
  <c r="BC587" i="2" s="1"/>
  <c r="BC588" i="2" a="1"/>
  <c r="BC588" i="2" s="1"/>
  <c r="BC589" i="2" a="1"/>
  <c r="BC589" i="2" s="1"/>
  <c r="BC590" i="2" a="1"/>
  <c r="BC590" i="2" s="1"/>
  <c r="BC591" i="2" a="1"/>
  <c r="BC591" i="2" s="1"/>
  <c r="BC592" i="2" a="1"/>
  <c r="BC592" i="2" s="1"/>
  <c r="BC593" i="2" a="1"/>
  <c r="BC593" i="2" s="1"/>
  <c r="BC594" i="2" a="1"/>
  <c r="BC594" i="2" s="1"/>
  <c r="BC595" i="2" a="1"/>
  <c r="BC595" i="2" s="1"/>
  <c r="BC596" i="2" a="1"/>
  <c r="BC596" i="2" s="1"/>
  <c r="BC597" i="2" a="1"/>
  <c r="BC597" i="2" s="1"/>
  <c r="BC598" i="2" a="1"/>
  <c r="BC598" i="2" s="1"/>
  <c r="BC599" i="2" a="1"/>
  <c r="BC599" i="2" s="1"/>
  <c r="BC600" i="2" a="1"/>
  <c r="BC600" i="2" s="1"/>
  <c r="BC601" i="2" a="1"/>
  <c r="BC601" i="2" s="1"/>
  <c r="BC602" i="2" a="1"/>
  <c r="BC602" i="2" s="1"/>
  <c r="BC603" i="2" a="1"/>
  <c r="BC603" i="2" s="1"/>
  <c r="BC604" i="2" a="1"/>
  <c r="BC604" i="2" s="1"/>
  <c r="BC605" i="2" a="1"/>
  <c r="BC605" i="2" s="1"/>
  <c r="BC606" i="2" a="1"/>
  <c r="BC606" i="2" s="1"/>
  <c r="BC607" i="2" a="1"/>
  <c r="BC607" i="2" s="1"/>
  <c r="BC608" i="2" a="1"/>
  <c r="BC608" i="2" s="1"/>
  <c r="BC609" i="2" a="1"/>
  <c r="BC609" i="2" s="1"/>
  <c r="BC610" i="2" a="1"/>
  <c r="BC610" i="2" s="1"/>
  <c r="BC611" i="2" a="1"/>
  <c r="BC611" i="2" s="1"/>
  <c r="BC612" i="2" a="1"/>
  <c r="BC612" i="2" s="1"/>
  <c r="BC613" i="2" a="1"/>
  <c r="BC613" i="2" s="1"/>
  <c r="BC614" i="2" a="1"/>
  <c r="BC614" i="2" s="1"/>
  <c r="BC615" i="2" a="1"/>
  <c r="BC615" i="2" s="1"/>
  <c r="BC616" i="2" a="1"/>
  <c r="BC616" i="2" s="1"/>
  <c r="BC617" i="2" a="1"/>
  <c r="BC617" i="2" s="1"/>
  <c r="BC618" i="2" a="1"/>
  <c r="BC618" i="2" s="1"/>
  <c r="BC619" i="2" a="1"/>
  <c r="BC619" i="2" s="1"/>
  <c r="BC620" i="2" a="1"/>
  <c r="BC620" i="2" s="1"/>
  <c r="BC621" i="2" a="1"/>
  <c r="BC621" i="2" s="1"/>
  <c r="BC622" i="2" a="1"/>
  <c r="BC622" i="2" s="1"/>
  <c r="BC623" i="2" a="1"/>
  <c r="BC623" i="2" s="1"/>
  <c r="BC624" i="2" a="1"/>
  <c r="BC624" i="2" s="1"/>
  <c r="BC625" i="2" a="1"/>
  <c r="BC625" i="2" s="1"/>
  <c r="BC626" i="2" a="1"/>
  <c r="BC626" i="2" s="1"/>
  <c r="BC627" i="2" a="1"/>
  <c r="BC627" i="2" s="1"/>
  <c r="BC628" i="2" a="1"/>
  <c r="BC628" i="2" s="1"/>
  <c r="BC629" i="2" a="1"/>
  <c r="BC629" i="2" s="1"/>
  <c r="BC630" i="2" a="1"/>
  <c r="BC630" i="2" s="1"/>
  <c r="BC631" i="2" a="1"/>
  <c r="BC631" i="2" s="1"/>
  <c r="BC632" i="2" a="1"/>
  <c r="BC632" i="2" s="1"/>
  <c r="BC633" i="2" a="1"/>
  <c r="BC633" i="2" s="1"/>
  <c r="BC634" i="2" a="1"/>
  <c r="BC634" i="2" s="1"/>
  <c r="BC635" i="2" a="1"/>
  <c r="BC635" i="2" s="1"/>
  <c r="BC636" i="2" a="1"/>
  <c r="BC636" i="2" s="1"/>
  <c r="BC637" i="2" a="1"/>
  <c r="BC637" i="2" s="1"/>
  <c r="BC638" i="2" a="1"/>
  <c r="BC638" i="2" s="1"/>
  <c r="BC639" i="2" a="1"/>
  <c r="BC639" i="2" s="1"/>
  <c r="BC640" i="2" a="1"/>
  <c r="BC640" i="2" s="1"/>
  <c r="BC641" i="2" a="1"/>
  <c r="BC641" i="2" s="1"/>
  <c r="BC642" i="2" a="1"/>
  <c r="BC642" i="2" s="1"/>
  <c r="BC643" i="2" a="1"/>
  <c r="BC643" i="2" s="1"/>
  <c r="BC644" i="2" a="1"/>
  <c r="BC644" i="2" s="1"/>
  <c r="BC645" i="2" a="1"/>
  <c r="BC645" i="2" s="1"/>
  <c r="BC646" i="2" a="1"/>
  <c r="BC646" i="2" s="1"/>
  <c r="BC647" i="2" a="1"/>
  <c r="BC647" i="2" s="1"/>
  <c r="BC648" i="2" a="1"/>
  <c r="BC648" i="2" s="1"/>
  <c r="BC649" i="2" a="1"/>
  <c r="BC649" i="2" s="1"/>
  <c r="BC650" i="2" a="1"/>
  <c r="BC650" i="2" s="1"/>
  <c r="BC651" i="2" a="1"/>
  <c r="BC651" i="2" s="1"/>
  <c r="BC652" i="2" a="1"/>
  <c r="BC652" i="2" s="1"/>
  <c r="BC653" i="2" a="1"/>
  <c r="BC653" i="2" s="1"/>
  <c r="BC654" i="2" a="1"/>
  <c r="BC654" i="2" s="1"/>
  <c r="BC655" i="2" a="1"/>
  <c r="BC655" i="2" s="1"/>
  <c r="BC656" i="2" a="1"/>
  <c r="BC656" i="2" s="1"/>
  <c r="BC657" i="2" a="1"/>
  <c r="BC657" i="2" s="1"/>
  <c r="BC658" i="2" a="1"/>
  <c r="BC658" i="2" s="1"/>
  <c r="BC659" i="2" a="1"/>
  <c r="BC659" i="2" s="1"/>
  <c r="BC660" i="2" a="1"/>
  <c r="BC660" i="2" s="1"/>
  <c r="BC661" i="2" a="1"/>
  <c r="BC661" i="2" s="1"/>
  <c r="BC662" i="2" a="1"/>
  <c r="BC662" i="2" s="1"/>
  <c r="BC663" i="2" a="1"/>
  <c r="BC663" i="2" s="1"/>
  <c r="BC664" i="2" a="1"/>
  <c r="BC664" i="2" s="1"/>
  <c r="BC665" i="2" a="1"/>
  <c r="BC665" i="2" s="1"/>
  <c r="BB5" i="2" a="1"/>
  <c r="BB5" i="2" s="1"/>
  <c r="BB6" i="2" a="1"/>
  <c r="BB6" i="2" s="1"/>
  <c r="BB7" i="2" a="1"/>
  <c r="BB7" i="2" s="1"/>
  <c r="BB8" i="2" a="1"/>
  <c r="BB8" i="2" s="1"/>
  <c r="BB9" i="2" a="1"/>
  <c r="BB9" i="2" s="1"/>
  <c r="BB10" i="2" a="1"/>
  <c r="BB10" i="2" s="1"/>
  <c r="BB11" i="2" a="1"/>
  <c r="BB11" i="2" s="1"/>
  <c r="BB12" i="2" a="1"/>
  <c r="BB12" i="2" s="1"/>
  <c r="BB13" i="2" a="1"/>
  <c r="BB13" i="2" s="1"/>
  <c r="BB14" i="2" a="1"/>
  <c r="BB14" i="2" s="1"/>
  <c r="BB15" i="2" a="1"/>
  <c r="BB15" i="2" s="1"/>
  <c r="BB16" i="2" a="1"/>
  <c r="BB16" i="2" s="1"/>
  <c r="BB17" i="2" a="1"/>
  <c r="BB17" i="2" s="1"/>
  <c r="BB18" i="2" a="1"/>
  <c r="BB18" i="2" s="1"/>
  <c r="BB19" i="2" a="1"/>
  <c r="BB19" i="2" s="1"/>
  <c r="BB20" i="2" a="1"/>
  <c r="BB20" i="2" s="1"/>
  <c r="BB21" i="2" a="1"/>
  <c r="BB21" i="2" s="1"/>
  <c r="BB22" i="2" a="1"/>
  <c r="BB22" i="2" s="1"/>
  <c r="BB23" i="2" a="1"/>
  <c r="BB23" i="2" s="1"/>
  <c r="BB24" i="2" a="1"/>
  <c r="BB24" i="2" s="1"/>
  <c r="BB25" i="2" a="1"/>
  <c r="BB25" i="2" s="1"/>
  <c r="BB26" i="2" a="1"/>
  <c r="BB26" i="2" s="1"/>
  <c r="BB27" i="2" a="1"/>
  <c r="BB27" i="2" s="1"/>
  <c r="BB28" i="2" a="1"/>
  <c r="BB28" i="2" s="1"/>
  <c r="BB29" i="2" a="1"/>
  <c r="BB29" i="2" s="1"/>
  <c r="BB30" i="2" a="1"/>
  <c r="BB30" i="2" s="1"/>
  <c r="BB31" i="2" a="1"/>
  <c r="BB31" i="2" s="1"/>
  <c r="BB32" i="2" a="1"/>
  <c r="BB32" i="2" s="1"/>
  <c r="BB33" i="2" a="1"/>
  <c r="BB33" i="2" s="1"/>
  <c r="BB34" i="2" a="1"/>
  <c r="BB34" i="2" s="1"/>
  <c r="BB35" i="2" a="1"/>
  <c r="BB35" i="2" s="1"/>
  <c r="BB36" i="2" a="1"/>
  <c r="BB36" i="2" s="1"/>
  <c r="BB37" i="2" a="1"/>
  <c r="BB37" i="2" s="1"/>
  <c r="BB38" i="2" a="1"/>
  <c r="BB38" i="2" s="1"/>
  <c r="BB39" i="2" a="1"/>
  <c r="BB39" i="2" s="1"/>
  <c r="BB40" i="2" a="1"/>
  <c r="BB40" i="2" s="1"/>
  <c r="BB41" i="2" a="1"/>
  <c r="BB41" i="2" s="1"/>
  <c r="BB42" i="2" a="1"/>
  <c r="BB42" i="2" s="1"/>
  <c r="BB43" i="2" a="1"/>
  <c r="BB43" i="2" s="1"/>
  <c r="BB44" i="2" a="1"/>
  <c r="BB44" i="2" s="1"/>
  <c r="BB45" i="2" a="1"/>
  <c r="BB45" i="2" s="1"/>
  <c r="BB46" i="2" a="1"/>
  <c r="BB46" i="2" s="1"/>
  <c r="BB47" i="2" a="1"/>
  <c r="BB47" i="2" s="1"/>
  <c r="BB48" i="2" a="1"/>
  <c r="BB48" i="2" s="1"/>
  <c r="BB49" i="2" a="1"/>
  <c r="BB49" i="2" s="1"/>
  <c r="BB50" i="2" a="1"/>
  <c r="BB50" i="2" s="1"/>
  <c r="BB51" i="2" a="1"/>
  <c r="BB51" i="2" s="1"/>
  <c r="BB52" i="2" a="1"/>
  <c r="BB52" i="2" s="1"/>
  <c r="BB53" i="2" a="1"/>
  <c r="BB53" i="2" s="1"/>
  <c r="BB54" i="2" a="1"/>
  <c r="BB54" i="2" s="1"/>
  <c r="BB55" i="2" a="1"/>
  <c r="BB55" i="2" s="1"/>
  <c r="BB56" i="2" a="1"/>
  <c r="BB56" i="2" s="1"/>
  <c r="BB57" i="2" a="1"/>
  <c r="BB57" i="2" s="1"/>
  <c r="BB58" i="2" a="1"/>
  <c r="BB58" i="2" s="1"/>
  <c r="BB59" i="2" a="1"/>
  <c r="BB59" i="2" s="1"/>
  <c r="BB60" i="2" a="1"/>
  <c r="BB60" i="2" s="1"/>
  <c r="BB61" i="2" a="1"/>
  <c r="BB61" i="2" s="1"/>
  <c r="BB62" i="2" a="1"/>
  <c r="BB62" i="2" s="1"/>
  <c r="BB63" i="2" a="1"/>
  <c r="BB63" i="2" s="1"/>
  <c r="BB64" i="2" a="1"/>
  <c r="BB64" i="2" s="1"/>
  <c r="BB65" i="2" a="1"/>
  <c r="BB65" i="2" s="1"/>
  <c r="BB66" i="2" a="1"/>
  <c r="BB66" i="2" s="1"/>
  <c r="BB67" i="2" a="1"/>
  <c r="BB67" i="2" s="1"/>
  <c r="BB68" i="2" a="1"/>
  <c r="BB68" i="2" s="1"/>
  <c r="BB69" i="2" a="1"/>
  <c r="BB69" i="2" s="1"/>
  <c r="BB70" i="2" a="1"/>
  <c r="BB70" i="2" s="1"/>
  <c r="BB71" i="2" a="1"/>
  <c r="BB71" i="2" s="1"/>
  <c r="BB72" i="2" a="1"/>
  <c r="BB72" i="2" s="1"/>
  <c r="BB73" i="2" a="1"/>
  <c r="BB73" i="2" s="1"/>
  <c r="BB74" i="2" a="1"/>
  <c r="BB74" i="2" s="1"/>
  <c r="BB75" i="2" a="1"/>
  <c r="BB75" i="2" s="1"/>
  <c r="BB76" i="2" a="1"/>
  <c r="BB76" i="2" s="1"/>
  <c r="BB77" i="2" a="1"/>
  <c r="BB77" i="2" s="1"/>
  <c r="BB78" i="2" a="1"/>
  <c r="BB78" i="2" s="1"/>
  <c r="BB79" i="2" a="1"/>
  <c r="BB79" i="2" s="1"/>
  <c r="BB80" i="2" a="1"/>
  <c r="BB80" i="2" s="1"/>
  <c r="BB81" i="2" a="1"/>
  <c r="BB81" i="2" s="1"/>
  <c r="BB82" i="2" a="1"/>
  <c r="BB82" i="2" s="1"/>
  <c r="BB83" i="2" a="1"/>
  <c r="BB83" i="2" s="1"/>
  <c r="BB84" i="2" a="1"/>
  <c r="BB84" i="2" s="1"/>
  <c r="BB85" i="2" a="1"/>
  <c r="BB85" i="2" s="1"/>
  <c r="BB86" i="2" a="1"/>
  <c r="BB86" i="2" s="1"/>
  <c r="BB87" i="2" a="1"/>
  <c r="BB87" i="2" s="1"/>
  <c r="BB88" i="2" a="1"/>
  <c r="BB88" i="2" s="1"/>
  <c r="BB89" i="2" a="1"/>
  <c r="BB89" i="2" s="1"/>
  <c r="BB90" i="2" a="1"/>
  <c r="BB90" i="2" s="1"/>
  <c r="BB91" i="2" a="1"/>
  <c r="BB91" i="2" s="1"/>
  <c r="BB92" i="2" a="1"/>
  <c r="BB92" i="2" s="1"/>
  <c r="BB93" i="2" a="1"/>
  <c r="BB93" i="2" s="1"/>
  <c r="BB94" i="2" a="1"/>
  <c r="BB94" i="2" s="1"/>
  <c r="BB95" i="2" a="1"/>
  <c r="BB95" i="2" s="1"/>
  <c r="BB96" i="2" a="1"/>
  <c r="BB96" i="2" s="1"/>
  <c r="BB97" i="2" a="1"/>
  <c r="BB97" i="2" s="1"/>
  <c r="BB98" i="2" a="1"/>
  <c r="BB98" i="2" s="1"/>
  <c r="BB99" i="2" a="1"/>
  <c r="BB99" i="2" s="1"/>
  <c r="BB100" i="2" a="1"/>
  <c r="BB100" i="2" s="1"/>
  <c r="BB101" i="2" a="1"/>
  <c r="BB101" i="2" s="1"/>
  <c r="BB102" i="2" a="1"/>
  <c r="BB102" i="2" s="1"/>
  <c r="BB103" i="2" a="1"/>
  <c r="BB103" i="2" s="1"/>
  <c r="BB104" i="2" a="1"/>
  <c r="BB104" i="2" s="1"/>
  <c r="BB105" i="2" a="1"/>
  <c r="BB105" i="2" s="1"/>
  <c r="BB106" i="2" a="1"/>
  <c r="BB106" i="2" s="1"/>
  <c r="BB107" i="2" a="1"/>
  <c r="BB107" i="2" s="1"/>
  <c r="BB108" i="2" a="1"/>
  <c r="BB108" i="2" s="1"/>
  <c r="BB109" i="2" a="1"/>
  <c r="BB109" i="2" s="1"/>
  <c r="BB110" i="2" a="1"/>
  <c r="BB110" i="2" s="1"/>
  <c r="BB111" i="2" a="1"/>
  <c r="BB111" i="2" s="1"/>
  <c r="BB112" i="2" a="1"/>
  <c r="BB112" i="2" s="1"/>
  <c r="BB113" i="2" a="1"/>
  <c r="BB113" i="2" s="1"/>
  <c r="BB114" i="2" a="1"/>
  <c r="BB114" i="2" s="1"/>
  <c r="BB115" i="2" a="1"/>
  <c r="BB115" i="2" s="1"/>
  <c r="BB116" i="2" a="1"/>
  <c r="BB116" i="2" s="1"/>
  <c r="BB117" i="2" a="1"/>
  <c r="BB117" i="2" s="1"/>
  <c r="BB118" i="2" a="1"/>
  <c r="BB118" i="2" s="1"/>
  <c r="BB119" i="2" a="1"/>
  <c r="BB119" i="2" s="1"/>
  <c r="BB120" i="2" a="1"/>
  <c r="BB120" i="2" s="1"/>
  <c r="BB121" i="2" a="1"/>
  <c r="BB121" i="2" s="1"/>
  <c r="BB122" i="2" a="1"/>
  <c r="BB122" i="2" s="1"/>
  <c r="BB123" i="2" a="1"/>
  <c r="BB123" i="2" s="1"/>
  <c r="BB124" i="2" a="1"/>
  <c r="BB124" i="2" s="1"/>
  <c r="BB125" i="2" a="1"/>
  <c r="BB125" i="2" s="1"/>
  <c r="BB126" i="2" a="1"/>
  <c r="BB126" i="2" s="1"/>
  <c r="BB127" i="2" a="1"/>
  <c r="BB127" i="2" s="1"/>
  <c r="BB128" i="2" a="1"/>
  <c r="BB128" i="2" s="1"/>
  <c r="BB129" i="2" a="1"/>
  <c r="BB129" i="2" s="1"/>
  <c r="BB130" i="2" a="1"/>
  <c r="BB130" i="2" s="1"/>
  <c r="BB131" i="2" a="1"/>
  <c r="BB131" i="2" s="1"/>
  <c r="BB132" i="2" a="1"/>
  <c r="BB132" i="2" s="1"/>
  <c r="BB133" i="2" a="1"/>
  <c r="BB133" i="2" s="1"/>
  <c r="BB134" i="2" a="1"/>
  <c r="BB134" i="2" s="1"/>
  <c r="BB135" i="2" a="1"/>
  <c r="BB135" i="2" s="1"/>
  <c r="BB136" i="2" a="1"/>
  <c r="BB136" i="2" s="1"/>
  <c r="BB137" i="2" a="1"/>
  <c r="BB137" i="2" s="1"/>
  <c r="BB138" i="2" a="1"/>
  <c r="BB138" i="2" s="1"/>
  <c r="BB139" i="2" a="1"/>
  <c r="BB139" i="2" s="1"/>
  <c r="BB140" i="2" a="1"/>
  <c r="BB140" i="2" s="1"/>
  <c r="BB141" i="2" a="1"/>
  <c r="BB141" i="2" s="1"/>
  <c r="BB142" i="2" a="1"/>
  <c r="BB142" i="2" s="1"/>
  <c r="BB143" i="2" a="1"/>
  <c r="BB143" i="2" s="1"/>
  <c r="BB144" i="2" a="1"/>
  <c r="BB144" i="2" s="1"/>
  <c r="BB145" i="2" a="1"/>
  <c r="BB145" i="2" s="1"/>
  <c r="BB146" i="2" a="1"/>
  <c r="BB146" i="2" s="1"/>
  <c r="BB147" i="2" a="1"/>
  <c r="BB147" i="2" s="1"/>
  <c r="BB148" i="2" a="1"/>
  <c r="BB148" i="2" s="1"/>
  <c r="BB149" i="2" a="1"/>
  <c r="BB149" i="2" s="1"/>
  <c r="BB150" i="2" a="1"/>
  <c r="BB150" i="2" s="1"/>
  <c r="BB151" i="2" a="1"/>
  <c r="BB151" i="2" s="1"/>
  <c r="BB152" i="2" a="1"/>
  <c r="BB152" i="2" s="1"/>
  <c r="BB153" i="2" a="1"/>
  <c r="BB153" i="2" s="1"/>
  <c r="BB154" i="2" a="1"/>
  <c r="BB154" i="2" s="1"/>
  <c r="BB155" i="2" a="1"/>
  <c r="BB155" i="2" s="1"/>
  <c r="BB156" i="2" a="1"/>
  <c r="BB156" i="2" s="1"/>
  <c r="BB157" i="2" a="1"/>
  <c r="BB157" i="2" s="1"/>
  <c r="BB158" i="2" a="1"/>
  <c r="BB158" i="2" s="1"/>
  <c r="BB159" i="2" a="1"/>
  <c r="BB159" i="2" s="1"/>
  <c r="BB160" i="2" a="1"/>
  <c r="BB160" i="2" s="1"/>
  <c r="BB161" i="2" a="1"/>
  <c r="BB161" i="2" s="1"/>
  <c r="BB162" i="2" a="1"/>
  <c r="BB162" i="2" s="1"/>
  <c r="BB163" i="2" a="1"/>
  <c r="BB163" i="2" s="1"/>
  <c r="BB164" i="2" a="1"/>
  <c r="BB164" i="2" s="1"/>
  <c r="BB165" i="2" a="1"/>
  <c r="BB165" i="2" s="1"/>
  <c r="BB166" i="2" a="1"/>
  <c r="BB166" i="2" s="1"/>
  <c r="BB167" i="2" a="1"/>
  <c r="BB167" i="2" s="1"/>
  <c r="BB168" i="2" a="1"/>
  <c r="BB168" i="2" s="1"/>
  <c r="BB169" i="2" a="1"/>
  <c r="BB169" i="2" s="1"/>
  <c r="BB170" i="2" a="1"/>
  <c r="BB170" i="2" s="1"/>
  <c r="BB171" i="2" a="1"/>
  <c r="BB171" i="2" s="1"/>
  <c r="BB172" i="2" a="1"/>
  <c r="BB172" i="2" s="1"/>
  <c r="BB173" i="2" a="1"/>
  <c r="BB173" i="2" s="1"/>
  <c r="BB174" i="2" a="1"/>
  <c r="BB174" i="2" s="1"/>
  <c r="BB175" i="2" a="1"/>
  <c r="BB175" i="2" s="1"/>
  <c r="BB176" i="2" a="1"/>
  <c r="BB176" i="2" s="1"/>
  <c r="BB177" i="2" a="1"/>
  <c r="BB177" i="2" s="1"/>
  <c r="BB178" i="2" a="1"/>
  <c r="BB178" i="2" s="1"/>
  <c r="BB179" i="2" a="1"/>
  <c r="BB179" i="2" s="1"/>
  <c r="BB180" i="2" a="1"/>
  <c r="BB180" i="2" s="1"/>
  <c r="BB181" i="2" a="1"/>
  <c r="BB181" i="2" s="1"/>
  <c r="BB182" i="2" a="1"/>
  <c r="BB182" i="2" s="1"/>
  <c r="BB183" i="2" a="1"/>
  <c r="BB183" i="2" s="1"/>
  <c r="BB184" i="2" a="1"/>
  <c r="BB184" i="2" s="1"/>
  <c r="BB185" i="2" a="1"/>
  <c r="BB185" i="2" s="1"/>
  <c r="BB186" i="2" a="1"/>
  <c r="BB186" i="2" s="1"/>
  <c r="BB187" i="2" a="1"/>
  <c r="BB187" i="2" s="1"/>
  <c r="BB188" i="2" a="1"/>
  <c r="BB188" i="2" s="1"/>
  <c r="BB189" i="2" a="1"/>
  <c r="BB189" i="2" s="1"/>
  <c r="BB190" i="2" a="1"/>
  <c r="BB190" i="2" s="1"/>
  <c r="BB191" i="2" a="1"/>
  <c r="BB191" i="2" s="1"/>
  <c r="BB192" i="2" a="1"/>
  <c r="BB192" i="2" s="1"/>
  <c r="BB193" i="2" a="1"/>
  <c r="BB193" i="2" s="1"/>
  <c r="BB194" i="2" a="1"/>
  <c r="BB194" i="2" s="1"/>
  <c r="BB195" i="2" a="1"/>
  <c r="BB195" i="2" s="1"/>
  <c r="BB196" i="2" a="1"/>
  <c r="BB196" i="2" s="1"/>
  <c r="BB197" i="2" a="1"/>
  <c r="BB197" i="2" s="1"/>
  <c r="BB198" i="2" a="1"/>
  <c r="BB198" i="2" s="1"/>
  <c r="BB199" i="2" a="1"/>
  <c r="BB199" i="2" s="1"/>
  <c r="BB200" i="2" a="1"/>
  <c r="BB200" i="2" s="1"/>
  <c r="BB201" i="2" a="1"/>
  <c r="BB201" i="2" s="1"/>
  <c r="BB202" i="2" a="1"/>
  <c r="BB202" i="2" s="1"/>
  <c r="BB203" i="2" a="1"/>
  <c r="BB203" i="2" s="1"/>
  <c r="BB204" i="2" a="1"/>
  <c r="BB204" i="2" s="1"/>
  <c r="BB205" i="2" a="1"/>
  <c r="BB205" i="2" s="1"/>
  <c r="BB206" i="2" a="1"/>
  <c r="BB206" i="2" s="1"/>
  <c r="BB207" i="2" a="1"/>
  <c r="BB207" i="2" s="1"/>
  <c r="BB208" i="2" a="1"/>
  <c r="BB208" i="2" s="1"/>
  <c r="BB209" i="2" a="1"/>
  <c r="BB209" i="2" s="1"/>
  <c r="BB210" i="2" a="1"/>
  <c r="BB210" i="2" s="1"/>
  <c r="BB211" i="2" a="1"/>
  <c r="BB211" i="2" s="1"/>
  <c r="BB212" i="2" a="1"/>
  <c r="BB212" i="2" s="1"/>
  <c r="BB213" i="2" a="1"/>
  <c r="BB213" i="2" s="1"/>
  <c r="BB214" i="2" a="1"/>
  <c r="BB214" i="2" s="1"/>
  <c r="BB215" i="2" a="1"/>
  <c r="BB215" i="2" s="1"/>
  <c r="BB216" i="2" a="1"/>
  <c r="BB216" i="2" s="1"/>
  <c r="BB217" i="2" a="1"/>
  <c r="BB217" i="2" s="1"/>
  <c r="BB218" i="2" a="1"/>
  <c r="BB218" i="2" s="1"/>
  <c r="BB219" i="2" a="1"/>
  <c r="BB219" i="2" s="1"/>
  <c r="BB220" i="2" a="1"/>
  <c r="BB220" i="2" s="1"/>
  <c r="BB221" i="2" a="1"/>
  <c r="BB221" i="2" s="1"/>
  <c r="BB222" i="2" a="1"/>
  <c r="BB222" i="2" s="1"/>
  <c r="BB223" i="2" a="1"/>
  <c r="BB223" i="2" s="1"/>
  <c r="BB224" i="2" a="1"/>
  <c r="BB224" i="2" s="1"/>
  <c r="BB225" i="2" a="1"/>
  <c r="BB225" i="2" s="1"/>
  <c r="BB226" i="2" a="1"/>
  <c r="BB226" i="2" s="1"/>
  <c r="BB227" i="2" a="1"/>
  <c r="BB227" i="2" s="1"/>
  <c r="BB228" i="2" a="1"/>
  <c r="BB228" i="2" s="1"/>
  <c r="BB229" i="2" a="1"/>
  <c r="BB229" i="2" s="1"/>
  <c r="BB230" i="2" a="1"/>
  <c r="BB230" i="2" s="1"/>
  <c r="BB231" i="2" a="1"/>
  <c r="BB231" i="2" s="1"/>
  <c r="BB232" i="2" a="1"/>
  <c r="BB232" i="2" s="1"/>
  <c r="BB233" i="2" a="1"/>
  <c r="BB233" i="2" s="1"/>
  <c r="BB234" i="2" a="1"/>
  <c r="BB234" i="2" s="1"/>
  <c r="BB235" i="2" a="1"/>
  <c r="BB235" i="2" s="1"/>
  <c r="BB236" i="2" a="1"/>
  <c r="BB236" i="2" s="1"/>
  <c r="BB237" i="2" a="1"/>
  <c r="BB237" i="2" s="1"/>
  <c r="BB238" i="2" a="1"/>
  <c r="BB238" i="2" s="1"/>
  <c r="BB239" i="2" a="1"/>
  <c r="BB239" i="2" s="1"/>
  <c r="BB240" i="2" a="1"/>
  <c r="BB240" i="2" s="1"/>
  <c r="BB241" i="2" a="1"/>
  <c r="BB241" i="2" s="1"/>
  <c r="BB242" i="2" a="1"/>
  <c r="BB242" i="2" s="1"/>
  <c r="BB243" i="2" a="1"/>
  <c r="BB243" i="2" s="1"/>
  <c r="BB244" i="2" a="1"/>
  <c r="BB244" i="2" s="1"/>
  <c r="BB245" i="2" a="1"/>
  <c r="BB245" i="2" s="1"/>
  <c r="BB246" i="2" a="1"/>
  <c r="BB246" i="2" s="1"/>
  <c r="BB247" i="2" a="1"/>
  <c r="BB247" i="2" s="1"/>
  <c r="BB248" i="2" a="1"/>
  <c r="BB248" i="2" s="1"/>
  <c r="BB249" i="2" a="1"/>
  <c r="BB249" i="2" s="1"/>
  <c r="BB250" i="2" a="1"/>
  <c r="BB250" i="2" s="1"/>
  <c r="BB251" i="2" a="1"/>
  <c r="BB251" i="2" s="1"/>
  <c r="BB252" i="2" a="1"/>
  <c r="BB252" i="2" s="1"/>
  <c r="BB253" i="2" a="1"/>
  <c r="BB253" i="2" s="1"/>
  <c r="BB254" i="2" a="1"/>
  <c r="BB254" i="2" s="1"/>
  <c r="BB255" i="2" a="1"/>
  <c r="BB255" i="2" s="1"/>
  <c r="BB256" i="2" a="1"/>
  <c r="BB256" i="2" s="1"/>
  <c r="BB257" i="2" a="1"/>
  <c r="BB257" i="2" s="1"/>
  <c r="BB258" i="2" a="1"/>
  <c r="BB258" i="2" s="1"/>
  <c r="BB259" i="2" a="1"/>
  <c r="BB259" i="2" s="1"/>
  <c r="BB260" i="2" a="1"/>
  <c r="BB260" i="2" s="1"/>
  <c r="BB261" i="2" a="1"/>
  <c r="BB261" i="2" s="1"/>
  <c r="BB262" i="2" a="1"/>
  <c r="BB262" i="2" s="1"/>
  <c r="BB263" i="2" a="1"/>
  <c r="BB263" i="2" s="1"/>
  <c r="BB264" i="2" a="1"/>
  <c r="BB264" i="2" s="1"/>
  <c r="BB265" i="2" a="1"/>
  <c r="BB265" i="2" s="1"/>
  <c r="BB266" i="2" a="1"/>
  <c r="BB266" i="2" s="1"/>
  <c r="BB267" i="2" a="1"/>
  <c r="BB267" i="2" s="1"/>
  <c r="BB268" i="2" a="1"/>
  <c r="BB268" i="2" s="1"/>
  <c r="BB269" i="2" a="1"/>
  <c r="BB269" i="2" s="1"/>
  <c r="BB270" i="2" a="1"/>
  <c r="BB270" i="2" s="1"/>
  <c r="BB271" i="2" a="1"/>
  <c r="BB271" i="2" s="1"/>
  <c r="BB272" i="2" a="1"/>
  <c r="BB272" i="2" s="1"/>
  <c r="BB273" i="2" a="1"/>
  <c r="BB273" i="2" s="1"/>
  <c r="BB274" i="2" a="1"/>
  <c r="BB274" i="2" s="1"/>
  <c r="BB275" i="2" a="1"/>
  <c r="BB275" i="2" s="1"/>
  <c r="BB276" i="2" a="1"/>
  <c r="BB276" i="2" s="1"/>
  <c r="BB277" i="2" a="1"/>
  <c r="BB277" i="2" s="1"/>
  <c r="BB278" i="2" a="1"/>
  <c r="BB278" i="2" s="1"/>
  <c r="BB279" i="2" a="1"/>
  <c r="BB279" i="2" s="1"/>
  <c r="BB280" i="2" a="1"/>
  <c r="BB280" i="2" s="1"/>
  <c r="BB281" i="2" a="1"/>
  <c r="BB281" i="2" s="1"/>
  <c r="BB282" i="2" a="1"/>
  <c r="BB282" i="2" s="1"/>
  <c r="BB283" i="2" a="1"/>
  <c r="BB283" i="2" s="1"/>
  <c r="BB284" i="2" a="1"/>
  <c r="BB284" i="2" s="1"/>
  <c r="BB285" i="2" a="1"/>
  <c r="BB285" i="2" s="1"/>
  <c r="BB286" i="2" a="1"/>
  <c r="BB286" i="2" s="1"/>
  <c r="BB287" i="2" a="1"/>
  <c r="BB287" i="2" s="1"/>
  <c r="BB288" i="2" a="1"/>
  <c r="BB288" i="2" s="1"/>
  <c r="BB289" i="2" a="1"/>
  <c r="BB289" i="2" s="1"/>
  <c r="BB290" i="2" a="1"/>
  <c r="BB290" i="2" s="1"/>
  <c r="BB291" i="2" a="1"/>
  <c r="BB291" i="2" s="1"/>
  <c r="BB292" i="2" a="1"/>
  <c r="BB292" i="2" s="1"/>
  <c r="BB293" i="2" a="1"/>
  <c r="BB293" i="2" s="1"/>
  <c r="BB294" i="2" a="1"/>
  <c r="BB294" i="2" s="1"/>
  <c r="BB295" i="2" a="1"/>
  <c r="BB295" i="2" s="1"/>
  <c r="BB296" i="2" a="1"/>
  <c r="BB296" i="2" s="1"/>
  <c r="BB297" i="2" a="1"/>
  <c r="BB297" i="2" s="1"/>
  <c r="BB298" i="2" a="1"/>
  <c r="BB298" i="2" s="1"/>
  <c r="BB299" i="2" a="1"/>
  <c r="BB299" i="2" s="1"/>
  <c r="BB300" i="2" a="1"/>
  <c r="BB300" i="2" s="1"/>
  <c r="BB301" i="2" a="1"/>
  <c r="BB301" i="2" s="1"/>
  <c r="BB302" i="2" a="1"/>
  <c r="BB302" i="2" s="1"/>
  <c r="BB303" i="2" a="1"/>
  <c r="BB303" i="2" s="1"/>
  <c r="BB304" i="2" a="1"/>
  <c r="BB304" i="2" s="1"/>
  <c r="BB305" i="2" a="1"/>
  <c r="BB305" i="2" s="1"/>
  <c r="BB306" i="2" a="1"/>
  <c r="BB306" i="2" s="1"/>
  <c r="BB307" i="2" a="1"/>
  <c r="BB307" i="2" s="1"/>
  <c r="BB308" i="2" a="1"/>
  <c r="BB308" i="2" s="1"/>
  <c r="BB309" i="2" a="1"/>
  <c r="BB309" i="2" s="1"/>
  <c r="BB310" i="2" a="1"/>
  <c r="BB310" i="2" s="1"/>
  <c r="BB311" i="2" a="1"/>
  <c r="BB311" i="2" s="1"/>
  <c r="BB312" i="2" a="1"/>
  <c r="BB312" i="2" s="1"/>
  <c r="BB313" i="2" a="1"/>
  <c r="BB313" i="2" s="1"/>
  <c r="BB314" i="2" a="1"/>
  <c r="BB314" i="2" s="1"/>
  <c r="BB315" i="2" a="1"/>
  <c r="BB315" i="2" s="1"/>
  <c r="BB316" i="2" a="1"/>
  <c r="BB316" i="2" s="1"/>
  <c r="BB317" i="2" a="1"/>
  <c r="BB317" i="2" s="1"/>
  <c r="BB318" i="2" a="1"/>
  <c r="BB318" i="2" s="1"/>
  <c r="BB319" i="2" a="1"/>
  <c r="BB319" i="2" s="1"/>
  <c r="BB320" i="2" a="1"/>
  <c r="BB320" i="2" s="1"/>
  <c r="BB321" i="2" a="1"/>
  <c r="BB321" i="2" s="1"/>
  <c r="BB322" i="2" a="1"/>
  <c r="BB322" i="2" s="1"/>
  <c r="BB323" i="2" a="1"/>
  <c r="BB323" i="2" s="1"/>
  <c r="BB324" i="2" a="1"/>
  <c r="BB324" i="2" s="1"/>
  <c r="BB325" i="2" a="1"/>
  <c r="BB325" i="2" s="1"/>
  <c r="BB326" i="2" a="1"/>
  <c r="BB326" i="2" s="1"/>
  <c r="BB327" i="2" a="1"/>
  <c r="BB327" i="2" s="1"/>
  <c r="BB328" i="2" a="1"/>
  <c r="BB328" i="2" s="1"/>
  <c r="BB329" i="2" a="1"/>
  <c r="BB329" i="2" s="1"/>
  <c r="BB330" i="2" a="1"/>
  <c r="BB330" i="2" s="1"/>
  <c r="BB331" i="2" a="1"/>
  <c r="BB331" i="2" s="1"/>
  <c r="BB332" i="2" a="1"/>
  <c r="BB332" i="2" s="1"/>
  <c r="BB333" i="2" a="1"/>
  <c r="BB333" i="2" s="1"/>
  <c r="BB334" i="2" a="1"/>
  <c r="BB334" i="2" s="1"/>
  <c r="BB335" i="2" a="1"/>
  <c r="BB335" i="2" s="1"/>
  <c r="BB336" i="2" a="1"/>
  <c r="BB336" i="2" s="1"/>
  <c r="BB337" i="2" a="1"/>
  <c r="BB337" i="2" s="1"/>
  <c r="BB338" i="2" a="1"/>
  <c r="BB338" i="2" s="1"/>
  <c r="BB339" i="2" a="1"/>
  <c r="BB339" i="2" s="1"/>
  <c r="BB340" i="2" a="1"/>
  <c r="BB340" i="2" s="1"/>
  <c r="BB341" i="2" a="1"/>
  <c r="BB341" i="2" s="1"/>
  <c r="BB342" i="2" a="1"/>
  <c r="BB342" i="2" s="1"/>
  <c r="BB343" i="2" a="1"/>
  <c r="BB343" i="2" s="1"/>
  <c r="BB344" i="2" a="1"/>
  <c r="BB344" i="2" s="1"/>
  <c r="BB345" i="2" a="1"/>
  <c r="BB345" i="2" s="1"/>
  <c r="BB346" i="2" a="1"/>
  <c r="BB346" i="2" s="1"/>
  <c r="BB347" i="2" a="1"/>
  <c r="BB347" i="2" s="1"/>
  <c r="BB348" i="2" a="1"/>
  <c r="BB348" i="2" s="1"/>
  <c r="BB349" i="2" a="1"/>
  <c r="BB349" i="2" s="1"/>
  <c r="BB350" i="2" a="1"/>
  <c r="BB350" i="2" s="1"/>
  <c r="BB351" i="2" a="1"/>
  <c r="BB351" i="2" s="1"/>
  <c r="BB352" i="2" a="1"/>
  <c r="BB352" i="2" s="1"/>
  <c r="BB353" i="2" a="1"/>
  <c r="BB353" i="2" s="1"/>
  <c r="BB354" i="2" a="1"/>
  <c r="BB354" i="2" s="1"/>
  <c r="BB355" i="2" a="1"/>
  <c r="BB355" i="2" s="1"/>
  <c r="BB356" i="2" a="1"/>
  <c r="BB356" i="2" s="1"/>
  <c r="BB357" i="2" a="1"/>
  <c r="BB357" i="2" s="1"/>
  <c r="BB358" i="2" a="1"/>
  <c r="BB358" i="2" s="1"/>
  <c r="BB359" i="2" a="1"/>
  <c r="BB359" i="2" s="1"/>
  <c r="BB360" i="2" a="1"/>
  <c r="BB360" i="2" s="1"/>
  <c r="BB361" i="2" a="1"/>
  <c r="BB361" i="2" s="1"/>
  <c r="BB362" i="2" a="1"/>
  <c r="BB362" i="2" s="1"/>
  <c r="BB363" i="2" a="1"/>
  <c r="BB363" i="2" s="1"/>
  <c r="BB364" i="2" a="1"/>
  <c r="BB364" i="2" s="1"/>
  <c r="BB365" i="2" a="1"/>
  <c r="BB365" i="2" s="1"/>
  <c r="BB366" i="2" a="1"/>
  <c r="BB366" i="2" s="1"/>
  <c r="BB367" i="2" a="1"/>
  <c r="BB367" i="2" s="1"/>
  <c r="BB368" i="2" a="1"/>
  <c r="BB368" i="2" s="1"/>
  <c r="BB369" i="2" a="1"/>
  <c r="BB369" i="2" s="1"/>
  <c r="BB370" i="2" a="1"/>
  <c r="BB370" i="2" s="1"/>
  <c r="BB371" i="2" a="1"/>
  <c r="BB371" i="2" s="1"/>
  <c r="BB372" i="2" a="1"/>
  <c r="BB372" i="2" s="1"/>
  <c r="BB373" i="2" a="1"/>
  <c r="BB373" i="2" s="1"/>
  <c r="BB374" i="2" a="1"/>
  <c r="BB374" i="2" s="1"/>
  <c r="BB375" i="2" a="1"/>
  <c r="BB375" i="2" s="1"/>
  <c r="BB376" i="2" a="1"/>
  <c r="BB376" i="2" s="1"/>
  <c r="BB377" i="2" a="1"/>
  <c r="BB377" i="2" s="1"/>
  <c r="BB378" i="2" a="1"/>
  <c r="BB378" i="2" s="1"/>
  <c r="BB379" i="2" a="1"/>
  <c r="BB379" i="2" s="1"/>
  <c r="BB380" i="2" a="1"/>
  <c r="BB380" i="2" s="1"/>
  <c r="BB381" i="2" a="1"/>
  <c r="BB381" i="2" s="1"/>
  <c r="BB382" i="2" a="1"/>
  <c r="BB382" i="2" s="1"/>
  <c r="BB383" i="2" a="1"/>
  <c r="BB383" i="2" s="1"/>
  <c r="BB384" i="2" a="1"/>
  <c r="BB384" i="2" s="1"/>
  <c r="BB385" i="2" a="1"/>
  <c r="BB385" i="2" s="1"/>
  <c r="BB386" i="2" a="1"/>
  <c r="BB386" i="2" s="1"/>
  <c r="BB387" i="2" a="1"/>
  <c r="BB387" i="2" s="1"/>
  <c r="BB388" i="2" a="1"/>
  <c r="BB388" i="2" s="1"/>
  <c r="BB389" i="2" a="1"/>
  <c r="BB389" i="2" s="1"/>
  <c r="BB390" i="2" a="1"/>
  <c r="BB390" i="2" s="1"/>
  <c r="BB391" i="2" a="1"/>
  <c r="BB391" i="2" s="1"/>
  <c r="BB392" i="2" a="1"/>
  <c r="BB392" i="2" s="1"/>
  <c r="BB393" i="2" a="1"/>
  <c r="BB393" i="2" s="1"/>
  <c r="BB394" i="2" a="1"/>
  <c r="BB394" i="2" s="1"/>
  <c r="BB395" i="2" a="1"/>
  <c r="BB395" i="2" s="1"/>
  <c r="BB396" i="2" a="1"/>
  <c r="BB396" i="2" s="1"/>
  <c r="BB397" i="2" a="1"/>
  <c r="BB397" i="2" s="1"/>
  <c r="BB398" i="2" a="1"/>
  <c r="BB398" i="2" s="1"/>
  <c r="BB399" i="2" a="1"/>
  <c r="BB399" i="2" s="1"/>
  <c r="BB400" i="2" a="1"/>
  <c r="BB400" i="2" s="1"/>
  <c r="BB401" i="2" a="1"/>
  <c r="BB401" i="2" s="1"/>
  <c r="BB402" i="2" a="1"/>
  <c r="BB402" i="2" s="1"/>
  <c r="BB403" i="2" a="1"/>
  <c r="BB403" i="2" s="1"/>
  <c r="BB404" i="2" a="1"/>
  <c r="BB404" i="2" s="1"/>
  <c r="BB405" i="2" a="1"/>
  <c r="BB405" i="2" s="1"/>
  <c r="BB406" i="2" a="1"/>
  <c r="BB406" i="2" s="1"/>
  <c r="BB407" i="2" a="1"/>
  <c r="BB407" i="2" s="1"/>
  <c r="BB408" i="2" a="1"/>
  <c r="BB408" i="2" s="1"/>
  <c r="BB409" i="2" a="1"/>
  <c r="BB409" i="2" s="1"/>
  <c r="BB410" i="2" a="1"/>
  <c r="BB410" i="2" s="1"/>
  <c r="BB411" i="2" a="1"/>
  <c r="BB411" i="2" s="1"/>
  <c r="BB412" i="2" a="1"/>
  <c r="BB412" i="2" s="1"/>
  <c r="BB413" i="2" a="1"/>
  <c r="BB413" i="2" s="1"/>
  <c r="BB414" i="2" a="1"/>
  <c r="BB414" i="2" s="1"/>
  <c r="BB415" i="2" a="1"/>
  <c r="BB415" i="2" s="1"/>
  <c r="BB416" i="2" a="1"/>
  <c r="BB416" i="2" s="1"/>
  <c r="BB417" i="2" a="1"/>
  <c r="BB417" i="2" s="1"/>
  <c r="BB418" i="2" a="1"/>
  <c r="BB418" i="2" s="1"/>
  <c r="BB419" i="2" a="1"/>
  <c r="BB419" i="2" s="1"/>
  <c r="BB420" i="2" a="1"/>
  <c r="BB420" i="2" s="1"/>
  <c r="BB421" i="2" a="1"/>
  <c r="BB421" i="2" s="1"/>
  <c r="BB422" i="2" a="1"/>
  <c r="BB422" i="2" s="1"/>
  <c r="BB423" i="2" a="1"/>
  <c r="BB423" i="2" s="1"/>
  <c r="BB424" i="2" a="1"/>
  <c r="BB424" i="2" s="1"/>
  <c r="BB425" i="2" a="1"/>
  <c r="BB425" i="2" s="1"/>
  <c r="BB426" i="2" a="1"/>
  <c r="BB426" i="2" s="1"/>
  <c r="BB427" i="2" a="1"/>
  <c r="BB427" i="2" s="1"/>
  <c r="BB428" i="2" a="1"/>
  <c r="BB428" i="2" s="1"/>
  <c r="BB429" i="2" a="1"/>
  <c r="BB429" i="2" s="1"/>
  <c r="BB430" i="2" a="1"/>
  <c r="BB430" i="2" s="1"/>
  <c r="BB431" i="2" a="1"/>
  <c r="BB431" i="2" s="1"/>
  <c r="BB432" i="2" a="1"/>
  <c r="BB432" i="2" s="1"/>
  <c r="BB433" i="2" a="1"/>
  <c r="BB433" i="2" s="1"/>
  <c r="BB434" i="2" a="1"/>
  <c r="BB434" i="2" s="1"/>
  <c r="BB435" i="2" a="1"/>
  <c r="BB435" i="2" s="1"/>
  <c r="BB436" i="2" a="1"/>
  <c r="BB436" i="2" s="1"/>
  <c r="BB437" i="2" a="1"/>
  <c r="BB437" i="2" s="1"/>
  <c r="BB438" i="2" a="1"/>
  <c r="BB438" i="2" s="1"/>
  <c r="BB439" i="2" a="1"/>
  <c r="BB439" i="2" s="1"/>
  <c r="BB440" i="2" a="1"/>
  <c r="BB440" i="2" s="1"/>
  <c r="BB441" i="2" a="1"/>
  <c r="BB441" i="2" s="1"/>
  <c r="BB442" i="2" a="1"/>
  <c r="BB442" i="2" s="1"/>
  <c r="BB443" i="2" a="1"/>
  <c r="BB443" i="2" s="1"/>
  <c r="BB444" i="2" a="1"/>
  <c r="BB444" i="2" s="1"/>
  <c r="BB445" i="2" a="1"/>
  <c r="BB445" i="2" s="1"/>
  <c r="BB446" i="2" a="1"/>
  <c r="BB446" i="2" s="1"/>
  <c r="BB447" i="2" a="1"/>
  <c r="BB447" i="2" s="1"/>
  <c r="BB448" i="2" a="1"/>
  <c r="BB448" i="2" s="1"/>
  <c r="BB449" i="2" a="1"/>
  <c r="BB449" i="2" s="1"/>
  <c r="BB450" i="2" a="1"/>
  <c r="BB450" i="2" s="1"/>
  <c r="BB451" i="2" a="1"/>
  <c r="BB451" i="2" s="1"/>
  <c r="BB452" i="2" a="1"/>
  <c r="BB452" i="2" s="1"/>
  <c r="BB453" i="2" a="1"/>
  <c r="BB453" i="2" s="1"/>
  <c r="BB454" i="2" a="1"/>
  <c r="BB454" i="2" s="1"/>
  <c r="BB455" i="2" a="1"/>
  <c r="BB455" i="2" s="1"/>
  <c r="BB456" i="2" a="1"/>
  <c r="BB456" i="2" s="1"/>
  <c r="BB457" i="2" a="1"/>
  <c r="BB457" i="2" s="1"/>
  <c r="BB458" i="2" a="1"/>
  <c r="BB458" i="2" s="1"/>
  <c r="BB459" i="2" a="1"/>
  <c r="BB459" i="2" s="1"/>
  <c r="BB460" i="2" a="1"/>
  <c r="BB460" i="2" s="1"/>
  <c r="BB461" i="2" a="1"/>
  <c r="BB461" i="2" s="1"/>
  <c r="BB462" i="2" a="1"/>
  <c r="BB462" i="2" s="1"/>
  <c r="BB463" i="2" a="1"/>
  <c r="BB463" i="2" s="1"/>
  <c r="BB464" i="2" a="1"/>
  <c r="BB464" i="2" s="1"/>
  <c r="BB465" i="2" a="1"/>
  <c r="BB465" i="2" s="1"/>
  <c r="BB466" i="2" a="1"/>
  <c r="BB466" i="2" s="1"/>
  <c r="BB467" i="2" a="1"/>
  <c r="BB467" i="2" s="1"/>
  <c r="BB468" i="2" a="1"/>
  <c r="BB468" i="2" s="1"/>
  <c r="BB469" i="2" a="1"/>
  <c r="BB469" i="2" s="1"/>
  <c r="BB470" i="2" a="1"/>
  <c r="BB470" i="2" s="1"/>
  <c r="BB471" i="2" a="1"/>
  <c r="BB471" i="2" s="1"/>
  <c r="BB472" i="2" a="1"/>
  <c r="BB472" i="2" s="1"/>
  <c r="BB473" i="2" a="1"/>
  <c r="BB473" i="2" s="1"/>
  <c r="BB474" i="2" a="1"/>
  <c r="BB474" i="2" s="1"/>
  <c r="BB475" i="2" a="1"/>
  <c r="BB475" i="2" s="1"/>
  <c r="BB476" i="2" a="1"/>
  <c r="BB476" i="2" s="1"/>
  <c r="BB477" i="2" a="1"/>
  <c r="BB477" i="2" s="1"/>
  <c r="BB478" i="2" a="1"/>
  <c r="BB478" i="2" s="1"/>
  <c r="BB479" i="2" a="1"/>
  <c r="BB479" i="2" s="1"/>
  <c r="BB480" i="2" a="1"/>
  <c r="BB480" i="2" s="1"/>
  <c r="BB481" i="2" a="1"/>
  <c r="BB481" i="2" s="1"/>
  <c r="BB482" i="2" a="1"/>
  <c r="BB482" i="2" s="1"/>
  <c r="BB483" i="2" a="1"/>
  <c r="BB483" i="2" s="1"/>
  <c r="BB484" i="2" a="1"/>
  <c r="BB484" i="2" s="1"/>
  <c r="BB485" i="2" a="1"/>
  <c r="BB485" i="2" s="1"/>
  <c r="BB486" i="2" a="1"/>
  <c r="BB486" i="2" s="1"/>
  <c r="BB487" i="2" a="1"/>
  <c r="BB487" i="2" s="1"/>
  <c r="BB488" i="2" a="1"/>
  <c r="BB488" i="2" s="1"/>
  <c r="BB489" i="2" a="1"/>
  <c r="BB489" i="2" s="1"/>
  <c r="BB490" i="2" a="1"/>
  <c r="BB490" i="2" s="1"/>
  <c r="BB491" i="2" a="1"/>
  <c r="BB491" i="2" s="1"/>
  <c r="BB492" i="2" a="1"/>
  <c r="BB492" i="2" s="1"/>
  <c r="BB493" i="2" a="1"/>
  <c r="BB493" i="2" s="1"/>
  <c r="BB494" i="2" a="1"/>
  <c r="BB494" i="2" s="1"/>
  <c r="BB495" i="2" a="1"/>
  <c r="BB495" i="2" s="1"/>
  <c r="BB496" i="2" a="1"/>
  <c r="BB496" i="2" s="1"/>
  <c r="BB497" i="2" a="1"/>
  <c r="BB497" i="2" s="1"/>
  <c r="BB498" i="2" a="1"/>
  <c r="BB498" i="2" s="1"/>
  <c r="BB499" i="2" a="1"/>
  <c r="BB499" i="2" s="1"/>
  <c r="BB500" i="2" a="1"/>
  <c r="BB500" i="2" s="1"/>
  <c r="BB501" i="2" a="1"/>
  <c r="BB501" i="2" s="1"/>
  <c r="BB502" i="2" a="1"/>
  <c r="BB502" i="2" s="1"/>
  <c r="BB503" i="2" a="1"/>
  <c r="BB503" i="2" s="1"/>
  <c r="BB504" i="2" a="1"/>
  <c r="BB504" i="2" s="1"/>
  <c r="BB505" i="2" a="1"/>
  <c r="BB505" i="2" s="1"/>
  <c r="BB506" i="2" a="1"/>
  <c r="BB506" i="2" s="1"/>
  <c r="BB507" i="2" a="1"/>
  <c r="BB507" i="2" s="1"/>
  <c r="BB508" i="2" a="1"/>
  <c r="BB508" i="2" s="1"/>
  <c r="BB509" i="2" a="1"/>
  <c r="BB509" i="2" s="1"/>
  <c r="BB510" i="2" a="1"/>
  <c r="BB510" i="2" s="1"/>
  <c r="BB511" i="2" a="1"/>
  <c r="BB511" i="2" s="1"/>
  <c r="BB512" i="2" a="1"/>
  <c r="BB512" i="2" s="1"/>
  <c r="BB513" i="2" a="1"/>
  <c r="BB513" i="2" s="1"/>
  <c r="BB514" i="2" a="1"/>
  <c r="BB514" i="2" s="1"/>
  <c r="BB515" i="2" a="1"/>
  <c r="BB515" i="2" s="1"/>
  <c r="BB516" i="2" a="1"/>
  <c r="BB516" i="2" s="1"/>
  <c r="BB517" i="2" a="1"/>
  <c r="BB517" i="2" s="1"/>
  <c r="BB518" i="2" a="1"/>
  <c r="BB518" i="2" s="1"/>
  <c r="BB519" i="2" a="1"/>
  <c r="BB519" i="2" s="1"/>
  <c r="BB520" i="2" a="1"/>
  <c r="BB520" i="2" s="1"/>
  <c r="BB521" i="2" a="1"/>
  <c r="BB521" i="2" s="1"/>
  <c r="BB522" i="2" a="1"/>
  <c r="BB522" i="2" s="1"/>
  <c r="BB523" i="2" a="1"/>
  <c r="BB523" i="2" s="1"/>
  <c r="BB524" i="2" a="1"/>
  <c r="BB524" i="2" s="1"/>
  <c r="BB525" i="2" a="1"/>
  <c r="BB525" i="2" s="1"/>
  <c r="BB526" i="2" a="1"/>
  <c r="BB526" i="2" s="1"/>
  <c r="BB527" i="2" a="1"/>
  <c r="BB527" i="2" s="1"/>
  <c r="BB528" i="2" a="1"/>
  <c r="BB528" i="2" s="1"/>
  <c r="BB529" i="2" a="1"/>
  <c r="BB529" i="2" s="1"/>
  <c r="BB530" i="2" a="1"/>
  <c r="BB530" i="2" s="1"/>
  <c r="BB531" i="2" a="1"/>
  <c r="BB531" i="2" s="1"/>
  <c r="BB532" i="2" a="1"/>
  <c r="BB532" i="2" s="1"/>
  <c r="BB533" i="2" a="1"/>
  <c r="BB533" i="2" s="1"/>
  <c r="BB534" i="2" a="1"/>
  <c r="BB534" i="2" s="1"/>
  <c r="BB535" i="2" a="1"/>
  <c r="BB535" i="2" s="1"/>
  <c r="BB536" i="2" a="1"/>
  <c r="BB536" i="2" s="1"/>
  <c r="BB537" i="2" a="1"/>
  <c r="BB537" i="2" s="1"/>
  <c r="BB538" i="2" a="1"/>
  <c r="BB538" i="2" s="1"/>
  <c r="BB539" i="2" a="1"/>
  <c r="BB539" i="2" s="1"/>
  <c r="BB540" i="2" a="1"/>
  <c r="BB540" i="2" s="1"/>
  <c r="BB541" i="2" a="1"/>
  <c r="BB541" i="2" s="1"/>
  <c r="BB542" i="2" a="1"/>
  <c r="BB542" i="2" s="1"/>
  <c r="BB543" i="2" a="1"/>
  <c r="BB543" i="2" s="1"/>
  <c r="BB544" i="2" a="1"/>
  <c r="BB544" i="2" s="1"/>
  <c r="BB545" i="2" a="1"/>
  <c r="BB545" i="2" s="1"/>
  <c r="BB546" i="2" a="1"/>
  <c r="BB546" i="2" s="1"/>
  <c r="BB547" i="2" a="1"/>
  <c r="BB547" i="2" s="1"/>
  <c r="BB548" i="2" a="1"/>
  <c r="BB548" i="2" s="1"/>
  <c r="BB549" i="2" a="1"/>
  <c r="BB549" i="2" s="1"/>
  <c r="BB550" i="2" a="1"/>
  <c r="BB550" i="2" s="1"/>
  <c r="BB551" i="2" a="1"/>
  <c r="BB551" i="2" s="1"/>
  <c r="BB552" i="2" a="1"/>
  <c r="BB552" i="2" s="1"/>
  <c r="BB553" i="2" a="1"/>
  <c r="BB553" i="2" s="1"/>
  <c r="BB554" i="2" a="1"/>
  <c r="BB554" i="2" s="1"/>
  <c r="BB555" i="2" a="1"/>
  <c r="BB555" i="2" s="1"/>
  <c r="BB556" i="2" a="1"/>
  <c r="BB556" i="2" s="1"/>
  <c r="BB557" i="2" a="1"/>
  <c r="BB557" i="2" s="1"/>
  <c r="BB558" i="2" a="1"/>
  <c r="BB558" i="2" s="1"/>
  <c r="BB559" i="2" a="1"/>
  <c r="BB559" i="2" s="1"/>
  <c r="BB560" i="2" a="1"/>
  <c r="BB560" i="2" s="1"/>
  <c r="BB561" i="2" a="1"/>
  <c r="BB561" i="2" s="1"/>
  <c r="BB562" i="2" a="1"/>
  <c r="BB562" i="2" s="1"/>
  <c r="BB563" i="2" a="1"/>
  <c r="BB563" i="2" s="1"/>
  <c r="BB564" i="2" a="1"/>
  <c r="BB564" i="2" s="1"/>
  <c r="BB565" i="2" a="1"/>
  <c r="BB565" i="2" s="1"/>
  <c r="BB566" i="2" a="1"/>
  <c r="BB566" i="2" s="1"/>
  <c r="BB567" i="2" a="1"/>
  <c r="BB567" i="2" s="1"/>
  <c r="BB568" i="2" a="1"/>
  <c r="BB568" i="2" s="1"/>
  <c r="BB569" i="2" a="1"/>
  <c r="BB569" i="2" s="1"/>
  <c r="BB570" i="2" a="1"/>
  <c r="BB570" i="2" s="1"/>
  <c r="BB571" i="2" a="1"/>
  <c r="BB571" i="2" s="1"/>
  <c r="BB572" i="2" a="1"/>
  <c r="BB572" i="2" s="1"/>
  <c r="BB573" i="2" a="1"/>
  <c r="BB573" i="2" s="1"/>
  <c r="BB574" i="2" a="1"/>
  <c r="BB574" i="2" s="1"/>
  <c r="BB575" i="2" a="1"/>
  <c r="BB575" i="2" s="1"/>
  <c r="BB576" i="2" a="1"/>
  <c r="BB576" i="2" s="1"/>
  <c r="BB577" i="2" a="1"/>
  <c r="BB577" i="2" s="1"/>
  <c r="BB578" i="2" a="1"/>
  <c r="BB578" i="2" s="1"/>
  <c r="BB579" i="2" a="1"/>
  <c r="BB579" i="2" s="1"/>
  <c r="BB580" i="2" a="1"/>
  <c r="BB580" i="2" s="1"/>
  <c r="BB581" i="2" a="1"/>
  <c r="BB581" i="2" s="1"/>
  <c r="BB582" i="2" a="1"/>
  <c r="BB582" i="2" s="1"/>
  <c r="BB583" i="2" a="1"/>
  <c r="BB583" i="2" s="1"/>
  <c r="BB584" i="2" a="1"/>
  <c r="BB584" i="2" s="1"/>
  <c r="BB585" i="2" a="1"/>
  <c r="BB585" i="2" s="1"/>
  <c r="BB586" i="2" a="1"/>
  <c r="BB586" i="2" s="1"/>
  <c r="BB587" i="2" a="1"/>
  <c r="BB587" i="2" s="1"/>
  <c r="BB588" i="2" a="1"/>
  <c r="BB588" i="2" s="1"/>
  <c r="BB589" i="2" a="1"/>
  <c r="BB589" i="2" s="1"/>
  <c r="BB590" i="2" a="1"/>
  <c r="BB590" i="2" s="1"/>
  <c r="BB591" i="2" a="1"/>
  <c r="BB591" i="2" s="1"/>
  <c r="BB592" i="2" a="1"/>
  <c r="BB592" i="2" s="1"/>
  <c r="BB593" i="2" a="1"/>
  <c r="BB593" i="2" s="1"/>
  <c r="BB594" i="2" a="1"/>
  <c r="BB594" i="2" s="1"/>
  <c r="BB595" i="2" a="1"/>
  <c r="BB595" i="2" s="1"/>
  <c r="BB596" i="2" a="1"/>
  <c r="BB596" i="2" s="1"/>
  <c r="BB597" i="2" a="1"/>
  <c r="BB597" i="2" s="1"/>
  <c r="BB598" i="2" a="1"/>
  <c r="BB598" i="2" s="1"/>
  <c r="BB599" i="2" a="1"/>
  <c r="BB599" i="2" s="1"/>
  <c r="BB600" i="2" a="1"/>
  <c r="BB600" i="2" s="1"/>
  <c r="BB601" i="2" a="1"/>
  <c r="BB601" i="2" s="1"/>
  <c r="BB602" i="2" a="1"/>
  <c r="BB602" i="2" s="1"/>
  <c r="BB603" i="2" a="1"/>
  <c r="BB603" i="2" s="1"/>
  <c r="BB604" i="2" a="1"/>
  <c r="BB604" i="2" s="1"/>
  <c r="BB605" i="2" a="1"/>
  <c r="BB605" i="2" s="1"/>
  <c r="BB606" i="2" a="1"/>
  <c r="BB606" i="2" s="1"/>
  <c r="BB607" i="2" a="1"/>
  <c r="BB607" i="2" s="1"/>
  <c r="BB608" i="2" a="1"/>
  <c r="BB608" i="2" s="1"/>
  <c r="BB609" i="2" a="1"/>
  <c r="BB609" i="2" s="1"/>
  <c r="BB610" i="2" a="1"/>
  <c r="BB610" i="2" s="1"/>
  <c r="BB611" i="2" a="1"/>
  <c r="BB611" i="2" s="1"/>
  <c r="BB612" i="2" a="1"/>
  <c r="BB612" i="2" s="1"/>
  <c r="BB613" i="2" a="1"/>
  <c r="BB613" i="2" s="1"/>
  <c r="BB614" i="2" a="1"/>
  <c r="BB614" i="2" s="1"/>
  <c r="BB615" i="2" a="1"/>
  <c r="BB615" i="2" s="1"/>
  <c r="BB616" i="2" a="1"/>
  <c r="BB616" i="2" s="1"/>
  <c r="BB617" i="2" a="1"/>
  <c r="BB617" i="2" s="1"/>
  <c r="BB618" i="2" a="1"/>
  <c r="BB618" i="2" s="1"/>
  <c r="BB619" i="2" a="1"/>
  <c r="BB619" i="2" s="1"/>
  <c r="BB620" i="2" a="1"/>
  <c r="BB620" i="2" s="1"/>
  <c r="BB621" i="2" a="1"/>
  <c r="BB621" i="2" s="1"/>
  <c r="BB622" i="2" a="1"/>
  <c r="BB622" i="2" s="1"/>
  <c r="BB623" i="2" a="1"/>
  <c r="BB623" i="2" s="1"/>
  <c r="BB624" i="2" a="1"/>
  <c r="BB624" i="2" s="1"/>
  <c r="BB625" i="2" a="1"/>
  <c r="BB625" i="2" s="1"/>
  <c r="BB626" i="2" a="1"/>
  <c r="BB626" i="2" s="1"/>
  <c r="BB627" i="2" a="1"/>
  <c r="BB627" i="2" s="1"/>
  <c r="BB628" i="2" a="1"/>
  <c r="BB628" i="2" s="1"/>
  <c r="BB629" i="2" a="1"/>
  <c r="BB629" i="2" s="1"/>
  <c r="BB630" i="2" a="1"/>
  <c r="BB630" i="2" s="1"/>
  <c r="BB631" i="2" a="1"/>
  <c r="BB631" i="2" s="1"/>
  <c r="BB632" i="2" a="1"/>
  <c r="BB632" i="2" s="1"/>
  <c r="BB633" i="2" a="1"/>
  <c r="BB633" i="2" s="1"/>
  <c r="BB634" i="2" a="1"/>
  <c r="BB634" i="2" s="1"/>
  <c r="BB635" i="2" a="1"/>
  <c r="BB635" i="2" s="1"/>
  <c r="BB636" i="2" a="1"/>
  <c r="BB636" i="2" s="1"/>
  <c r="BB637" i="2" a="1"/>
  <c r="BB637" i="2" s="1"/>
  <c r="BB638" i="2" a="1"/>
  <c r="BB638" i="2" s="1"/>
  <c r="BB639" i="2" a="1"/>
  <c r="BB639" i="2" s="1"/>
  <c r="BB640" i="2" a="1"/>
  <c r="BB640" i="2" s="1"/>
  <c r="BB641" i="2" a="1"/>
  <c r="BB641" i="2" s="1"/>
  <c r="BB642" i="2" a="1"/>
  <c r="BB642" i="2" s="1"/>
  <c r="BB643" i="2" a="1"/>
  <c r="BB643" i="2" s="1"/>
  <c r="BB644" i="2" a="1"/>
  <c r="BB644" i="2" s="1"/>
  <c r="BB645" i="2" a="1"/>
  <c r="BB645" i="2" s="1"/>
  <c r="BB646" i="2" a="1"/>
  <c r="BB646" i="2" s="1"/>
  <c r="BB647" i="2" a="1"/>
  <c r="BB647" i="2" s="1"/>
  <c r="BB648" i="2" a="1"/>
  <c r="BB648" i="2" s="1"/>
  <c r="BB649" i="2" a="1"/>
  <c r="BB649" i="2" s="1"/>
  <c r="BB650" i="2" a="1"/>
  <c r="BB650" i="2" s="1"/>
  <c r="BB651" i="2" a="1"/>
  <c r="BB651" i="2" s="1"/>
  <c r="BB652" i="2" a="1"/>
  <c r="BB652" i="2" s="1"/>
  <c r="BB653" i="2" a="1"/>
  <c r="BB653" i="2" s="1"/>
  <c r="BB654" i="2" a="1"/>
  <c r="BB654" i="2" s="1"/>
  <c r="BB655" i="2" a="1"/>
  <c r="BB655" i="2" s="1"/>
  <c r="BB656" i="2" a="1"/>
  <c r="BB656" i="2" s="1"/>
  <c r="BB657" i="2" a="1"/>
  <c r="BB657" i="2" s="1"/>
  <c r="BB658" i="2" a="1"/>
  <c r="BB658" i="2" s="1"/>
  <c r="BB659" i="2" a="1"/>
  <c r="BB659" i="2" s="1"/>
  <c r="BB660" i="2" a="1"/>
  <c r="BB660" i="2" s="1"/>
  <c r="BB661" i="2" a="1"/>
  <c r="BB661" i="2" s="1"/>
  <c r="BB662" i="2" a="1"/>
  <c r="BB662" i="2" s="1"/>
  <c r="BB663" i="2" a="1"/>
  <c r="BB663" i="2" s="1"/>
  <c r="BB664" i="2" a="1"/>
  <c r="BB664" i="2" s="1"/>
  <c r="BB665" i="2" a="1"/>
  <c r="BB665" i="2" s="1"/>
  <c r="C144" i="4" l="1"/>
  <c r="D686" i="2" l="1"/>
  <c r="E686" i="2"/>
  <c r="F686" i="2"/>
  <c r="G686" i="2"/>
  <c r="H686" i="2"/>
  <c r="I686" i="2"/>
  <c r="J686" i="2"/>
  <c r="K686" i="2"/>
  <c r="L686" i="2"/>
  <c r="M686" i="2"/>
  <c r="N686" i="2"/>
  <c r="O686" i="2"/>
  <c r="P686" i="2"/>
  <c r="Q686" i="2"/>
  <c r="R686" i="2"/>
  <c r="S686" i="2"/>
  <c r="T686" i="2"/>
  <c r="U686" i="2"/>
  <c r="V686" i="2"/>
  <c r="W686" i="2"/>
  <c r="X686" i="2"/>
  <c r="Y686" i="2"/>
  <c r="Z686" i="2"/>
  <c r="AA686" i="2"/>
  <c r="AB686" i="2"/>
  <c r="AC686" i="2"/>
  <c r="AD686" i="2"/>
  <c r="AE686" i="2"/>
  <c r="AF686" i="2"/>
  <c r="AG686" i="2"/>
  <c r="AH686" i="2"/>
  <c r="AI686" i="2"/>
  <c r="AJ686" i="2"/>
  <c r="AK686" i="2"/>
  <c r="AL686" i="2"/>
  <c r="B71" i="8" s="1"/>
  <c r="AM686" i="2"/>
  <c r="C71" i="8" s="1"/>
  <c r="AN686" i="2"/>
  <c r="D71" i="8" s="1"/>
  <c r="AO686" i="2"/>
  <c r="E71" i="8" s="1"/>
  <c r="AP686" i="2"/>
  <c r="F71" i="8" s="1"/>
  <c r="AQ686" i="2"/>
  <c r="G71" i="8" s="1"/>
  <c r="AR686" i="2"/>
  <c r="H71" i="8" s="1"/>
  <c r="AS686" i="2"/>
  <c r="I71" i="8" s="1"/>
  <c r="AT686" i="2"/>
  <c r="J71" i="8" s="1"/>
  <c r="AU686" i="2"/>
  <c r="K71" i="8" s="1"/>
  <c r="AV686" i="2"/>
  <c r="L71" i="8" s="1"/>
  <c r="AW686" i="2"/>
  <c r="M71" i="8" s="1"/>
  <c r="AX686" i="2"/>
  <c r="N71" i="8" s="1"/>
  <c r="C686" i="2"/>
  <c r="D685" i="2"/>
  <c r="E685" i="2"/>
  <c r="F685" i="2"/>
  <c r="G685" i="2"/>
  <c r="H685" i="2"/>
  <c r="I685" i="2"/>
  <c r="J685" i="2"/>
  <c r="K685" i="2"/>
  <c r="L685" i="2"/>
  <c r="M685" i="2"/>
  <c r="N685" i="2"/>
  <c r="O685" i="2"/>
  <c r="P685" i="2"/>
  <c r="Q685" i="2"/>
  <c r="R685" i="2"/>
  <c r="S685" i="2"/>
  <c r="T685" i="2"/>
  <c r="U685" i="2"/>
  <c r="V685" i="2"/>
  <c r="W685" i="2"/>
  <c r="X685" i="2"/>
  <c r="Y685" i="2"/>
  <c r="Z685" i="2"/>
  <c r="AA685" i="2"/>
  <c r="AB685" i="2"/>
  <c r="AC685" i="2"/>
  <c r="AD685" i="2"/>
  <c r="AE685" i="2"/>
  <c r="AF685" i="2"/>
  <c r="AG685" i="2"/>
  <c r="AH685" i="2"/>
  <c r="AI685" i="2"/>
  <c r="AJ685" i="2"/>
  <c r="AK685" i="2"/>
  <c r="AL685" i="2"/>
  <c r="B70" i="8" s="1"/>
  <c r="AM685" i="2"/>
  <c r="C70" i="8" s="1"/>
  <c r="AN685" i="2"/>
  <c r="D70" i="8" s="1"/>
  <c r="AO685" i="2"/>
  <c r="E70" i="8" s="1"/>
  <c r="AP685" i="2"/>
  <c r="F70" i="8" s="1"/>
  <c r="AQ685" i="2"/>
  <c r="G70" i="8" s="1"/>
  <c r="AR685" i="2"/>
  <c r="H70" i="8" s="1"/>
  <c r="AS685" i="2"/>
  <c r="I70" i="8" s="1"/>
  <c r="AT685" i="2"/>
  <c r="J70" i="8" s="1"/>
  <c r="AU685" i="2"/>
  <c r="K70" i="8" s="1"/>
  <c r="AV685" i="2"/>
  <c r="L70" i="8" s="1"/>
  <c r="AW685" i="2"/>
  <c r="M70" i="8" s="1"/>
  <c r="AX685" i="2"/>
  <c r="N70" i="8" s="1"/>
  <c r="C685" i="2"/>
  <c r="D684" i="2"/>
  <c r="E684" i="2"/>
  <c r="F684" i="2"/>
  <c r="G684" i="2"/>
  <c r="H684" i="2"/>
  <c r="I684" i="2"/>
  <c r="J684" i="2"/>
  <c r="K684" i="2"/>
  <c r="L684" i="2"/>
  <c r="M684" i="2"/>
  <c r="N684" i="2"/>
  <c r="O684" i="2"/>
  <c r="P684" i="2"/>
  <c r="Q684" i="2"/>
  <c r="R684" i="2"/>
  <c r="S684" i="2"/>
  <c r="T684" i="2"/>
  <c r="U684" i="2"/>
  <c r="V684" i="2"/>
  <c r="W684" i="2"/>
  <c r="X684" i="2"/>
  <c r="Y684" i="2"/>
  <c r="Z684" i="2"/>
  <c r="AA684" i="2"/>
  <c r="AB684" i="2"/>
  <c r="AC684" i="2"/>
  <c r="AD684" i="2"/>
  <c r="AE684" i="2"/>
  <c r="AF684" i="2"/>
  <c r="AG684" i="2"/>
  <c r="AH684" i="2"/>
  <c r="AI684" i="2"/>
  <c r="AJ684" i="2"/>
  <c r="AK684" i="2"/>
  <c r="AL684" i="2"/>
  <c r="B69" i="8" s="1"/>
  <c r="AM684" i="2"/>
  <c r="C69" i="8" s="1"/>
  <c r="AN684" i="2"/>
  <c r="D69" i="8" s="1"/>
  <c r="AO684" i="2"/>
  <c r="E69" i="8" s="1"/>
  <c r="AP684" i="2"/>
  <c r="F69" i="8" s="1"/>
  <c r="AQ684" i="2"/>
  <c r="G69" i="8" s="1"/>
  <c r="AR684" i="2"/>
  <c r="H69" i="8" s="1"/>
  <c r="AS684" i="2"/>
  <c r="I69" i="8" s="1"/>
  <c r="AT684" i="2"/>
  <c r="J69" i="8" s="1"/>
  <c r="AU684" i="2"/>
  <c r="K69" i="8" s="1"/>
  <c r="AV684" i="2"/>
  <c r="L69" i="8" s="1"/>
  <c r="AW684" i="2"/>
  <c r="M69" i="8" s="1"/>
  <c r="AX684" i="2"/>
  <c r="N69" i="8" s="1"/>
  <c r="C684" i="2"/>
  <c r="D683" i="2"/>
  <c r="E683" i="2"/>
  <c r="F683" i="2"/>
  <c r="G683" i="2"/>
  <c r="H683" i="2"/>
  <c r="I683" i="2"/>
  <c r="J683" i="2"/>
  <c r="K683" i="2"/>
  <c r="L683" i="2"/>
  <c r="M683" i="2"/>
  <c r="N683" i="2"/>
  <c r="O683" i="2"/>
  <c r="P683" i="2"/>
  <c r="Q683" i="2"/>
  <c r="R683" i="2"/>
  <c r="S683" i="2"/>
  <c r="T683" i="2"/>
  <c r="U683" i="2"/>
  <c r="V683" i="2"/>
  <c r="W683" i="2"/>
  <c r="X683" i="2"/>
  <c r="Y683" i="2"/>
  <c r="Z683" i="2"/>
  <c r="AA683" i="2"/>
  <c r="AB683" i="2"/>
  <c r="AC683" i="2"/>
  <c r="AD683" i="2"/>
  <c r="AE683" i="2"/>
  <c r="AF683" i="2"/>
  <c r="AG683" i="2"/>
  <c r="AH683" i="2"/>
  <c r="AI683" i="2"/>
  <c r="AJ683" i="2"/>
  <c r="AK683" i="2"/>
  <c r="AL683" i="2"/>
  <c r="B68" i="8" s="1"/>
  <c r="AM683" i="2"/>
  <c r="C68" i="8" s="1"/>
  <c r="AN683" i="2"/>
  <c r="D68" i="8" s="1"/>
  <c r="AO683" i="2"/>
  <c r="E68" i="8" s="1"/>
  <c r="AP683" i="2"/>
  <c r="F68" i="8" s="1"/>
  <c r="AQ683" i="2"/>
  <c r="G68" i="8" s="1"/>
  <c r="AR683" i="2"/>
  <c r="H68" i="8" s="1"/>
  <c r="AS683" i="2"/>
  <c r="I68" i="8" s="1"/>
  <c r="AT683" i="2"/>
  <c r="J68" i="8" s="1"/>
  <c r="AU683" i="2"/>
  <c r="K68" i="8" s="1"/>
  <c r="AV683" i="2"/>
  <c r="L68" i="8" s="1"/>
  <c r="AW683" i="2"/>
  <c r="M68" i="8" s="1"/>
  <c r="AX683" i="2"/>
  <c r="N68" i="8" s="1"/>
  <c r="C683" i="2"/>
  <c r="D677" i="2"/>
  <c r="E677" i="2"/>
  <c r="F677" i="2"/>
  <c r="G677" i="2"/>
  <c r="H677" i="2"/>
  <c r="I677" i="2"/>
  <c r="J677" i="2"/>
  <c r="K677" i="2"/>
  <c r="L677" i="2"/>
  <c r="M677" i="2"/>
  <c r="N677" i="2"/>
  <c r="O677" i="2"/>
  <c r="P677" i="2"/>
  <c r="Q677" i="2"/>
  <c r="R677" i="2"/>
  <c r="S677" i="2"/>
  <c r="T677" i="2"/>
  <c r="U677" i="2"/>
  <c r="V677" i="2"/>
  <c r="W677" i="2"/>
  <c r="X677" i="2"/>
  <c r="Y677" i="2"/>
  <c r="Z677" i="2"/>
  <c r="AA677" i="2"/>
  <c r="AB677" i="2"/>
  <c r="AC677" i="2"/>
  <c r="AD677" i="2"/>
  <c r="AE677" i="2"/>
  <c r="AF677" i="2"/>
  <c r="AG677" i="2"/>
  <c r="AH677" i="2"/>
  <c r="AI677" i="2"/>
  <c r="AJ677" i="2"/>
  <c r="AK677" i="2"/>
  <c r="AL677" i="2"/>
  <c r="B63" i="8" s="1"/>
  <c r="AM677" i="2"/>
  <c r="C63" i="8" s="1"/>
  <c r="AN677" i="2"/>
  <c r="D63" i="8" s="1"/>
  <c r="AO677" i="2"/>
  <c r="E63" i="8" s="1"/>
  <c r="AP677" i="2"/>
  <c r="F63" i="8" s="1"/>
  <c r="AQ677" i="2"/>
  <c r="G63" i="8" s="1"/>
  <c r="AR677" i="2"/>
  <c r="H63" i="8" s="1"/>
  <c r="AS677" i="2"/>
  <c r="I63" i="8" s="1"/>
  <c r="AT677" i="2"/>
  <c r="J63" i="8" s="1"/>
  <c r="AU677" i="2"/>
  <c r="K63" i="8" s="1"/>
  <c r="AV677" i="2"/>
  <c r="L63" i="8" s="1"/>
  <c r="AW677" i="2"/>
  <c r="M63" i="8" s="1"/>
  <c r="AX677" i="2"/>
  <c r="N63" i="8" s="1"/>
  <c r="C677" i="2"/>
  <c r="D676" i="2"/>
  <c r="E676" i="2"/>
  <c r="F676" i="2"/>
  <c r="G676" i="2"/>
  <c r="H676" i="2"/>
  <c r="I676" i="2"/>
  <c r="J676" i="2"/>
  <c r="K676" i="2"/>
  <c r="L676" i="2"/>
  <c r="M676" i="2"/>
  <c r="N676" i="2"/>
  <c r="O676" i="2"/>
  <c r="P676" i="2"/>
  <c r="Q676" i="2"/>
  <c r="R676" i="2"/>
  <c r="S676" i="2"/>
  <c r="T676" i="2"/>
  <c r="U676" i="2"/>
  <c r="V676" i="2"/>
  <c r="W676" i="2"/>
  <c r="X676" i="2"/>
  <c r="Y676" i="2"/>
  <c r="Z676" i="2"/>
  <c r="AA676" i="2"/>
  <c r="AB676" i="2"/>
  <c r="AC676" i="2"/>
  <c r="AD676" i="2"/>
  <c r="AE676" i="2"/>
  <c r="AF676" i="2"/>
  <c r="AG676" i="2"/>
  <c r="AH676" i="2"/>
  <c r="AI676" i="2"/>
  <c r="AJ676" i="2"/>
  <c r="AK676" i="2"/>
  <c r="AL676" i="2"/>
  <c r="B62" i="8" s="1"/>
  <c r="AM676" i="2"/>
  <c r="C62" i="8" s="1"/>
  <c r="AN676" i="2"/>
  <c r="D62" i="8" s="1"/>
  <c r="AO676" i="2"/>
  <c r="E62" i="8" s="1"/>
  <c r="AP676" i="2"/>
  <c r="F62" i="8" s="1"/>
  <c r="AQ676" i="2"/>
  <c r="G62" i="8" s="1"/>
  <c r="AR676" i="2"/>
  <c r="H62" i="8" s="1"/>
  <c r="AS676" i="2"/>
  <c r="I62" i="8" s="1"/>
  <c r="AT676" i="2"/>
  <c r="J62" i="8" s="1"/>
  <c r="AU676" i="2"/>
  <c r="K62" i="8" s="1"/>
  <c r="AV676" i="2"/>
  <c r="L62" i="8" s="1"/>
  <c r="AW676" i="2"/>
  <c r="M62" i="8" s="1"/>
  <c r="AX676" i="2"/>
  <c r="N62" i="8" s="1"/>
  <c r="C676" i="2"/>
  <c r="D675" i="2"/>
  <c r="E675" i="2"/>
  <c r="F675" i="2"/>
  <c r="G675" i="2"/>
  <c r="H675" i="2"/>
  <c r="I675" i="2"/>
  <c r="J675" i="2"/>
  <c r="K675" i="2"/>
  <c r="L675" i="2"/>
  <c r="M675" i="2"/>
  <c r="N675" i="2"/>
  <c r="O675" i="2"/>
  <c r="P675" i="2"/>
  <c r="Q675" i="2"/>
  <c r="R675" i="2"/>
  <c r="S675" i="2"/>
  <c r="T675" i="2"/>
  <c r="U675" i="2"/>
  <c r="V675" i="2"/>
  <c r="W675" i="2"/>
  <c r="X675" i="2"/>
  <c r="Y675" i="2"/>
  <c r="Z675" i="2"/>
  <c r="AA675" i="2"/>
  <c r="AB675" i="2"/>
  <c r="AC675" i="2"/>
  <c r="AD675" i="2"/>
  <c r="AE675" i="2"/>
  <c r="AF675" i="2"/>
  <c r="AG675" i="2"/>
  <c r="AH675" i="2"/>
  <c r="AI675" i="2"/>
  <c r="AJ675" i="2"/>
  <c r="AK675" i="2"/>
  <c r="AL675" i="2"/>
  <c r="B61" i="8" s="1"/>
  <c r="AM675" i="2"/>
  <c r="C61" i="8" s="1"/>
  <c r="AN675" i="2"/>
  <c r="D61" i="8" s="1"/>
  <c r="AO675" i="2"/>
  <c r="E61" i="8" s="1"/>
  <c r="AP675" i="2"/>
  <c r="F61" i="8" s="1"/>
  <c r="AQ675" i="2"/>
  <c r="G61" i="8" s="1"/>
  <c r="AR675" i="2"/>
  <c r="H61" i="8" s="1"/>
  <c r="AS675" i="2"/>
  <c r="I61" i="8" s="1"/>
  <c r="AT675" i="2"/>
  <c r="J61" i="8" s="1"/>
  <c r="AU675" i="2"/>
  <c r="K61" i="8" s="1"/>
  <c r="AV675" i="2"/>
  <c r="L61" i="8" s="1"/>
  <c r="AW675" i="2"/>
  <c r="M61" i="8" s="1"/>
  <c r="AX675" i="2"/>
  <c r="N61" i="8" s="1"/>
  <c r="C675" i="2"/>
  <c r="D674" i="2"/>
  <c r="E674" i="2"/>
  <c r="F674" i="2"/>
  <c r="G674" i="2"/>
  <c r="H674" i="2"/>
  <c r="I674" i="2"/>
  <c r="J674" i="2"/>
  <c r="K674" i="2"/>
  <c r="L674" i="2"/>
  <c r="M674" i="2"/>
  <c r="N674" i="2"/>
  <c r="O674" i="2"/>
  <c r="P674" i="2"/>
  <c r="Q674" i="2"/>
  <c r="R674" i="2"/>
  <c r="S674" i="2"/>
  <c r="T674" i="2"/>
  <c r="U674" i="2"/>
  <c r="V674" i="2"/>
  <c r="W674" i="2"/>
  <c r="X674" i="2"/>
  <c r="Y674" i="2"/>
  <c r="Z674" i="2"/>
  <c r="AA674" i="2"/>
  <c r="AB674" i="2"/>
  <c r="AC674" i="2"/>
  <c r="AD674" i="2"/>
  <c r="AE674" i="2"/>
  <c r="AF674" i="2"/>
  <c r="AG674" i="2"/>
  <c r="AH674" i="2"/>
  <c r="AI674" i="2"/>
  <c r="AJ674" i="2"/>
  <c r="AK674" i="2"/>
  <c r="AL674" i="2"/>
  <c r="B60" i="8" s="1"/>
  <c r="AM674" i="2"/>
  <c r="C60" i="8" s="1"/>
  <c r="AN674" i="2"/>
  <c r="D60" i="8" s="1"/>
  <c r="AO674" i="2"/>
  <c r="E60" i="8" s="1"/>
  <c r="AP674" i="2"/>
  <c r="F60" i="8" s="1"/>
  <c r="AQ674" i="2"/>
  <c r="G60" i="8" s="1"/>
  <c r="AR674" i="2"/>
  <c r="H60" i="8" s="1"/>
  <c r="AS674" i="2"/>
  <c r="I60" i="8" s="1"/>
  <c r="AT674" i="2"/>
  <c r="J60" i="8" s="1"/>
  <c r="AU674" i="2"/>
  <c r="K60" i="8" s="1"/>
  <c r="AV674" i="2"/>
  <c r="L60" i="8" s="1"/>
  <c r="AW674" i="2"/>
  <c r="M60" i="8" s="1"/>
  <c r="AX674" i="2"/>
  <c r="N60" i="8" s="1"/>
  <c r="C674" i="2"/>
  <c r="Z687" i="2" l="1"/>
  <c r="Z696" i="2" s="1"/>
  <c r="L687" i="2"/>
  <c r="L696" i="2" s="1"/>
  <c r="AK687" i="2"/>
  <c r="AK696" i="2" s="1"/>
  <c r="AJ687" i="2"/>
  <c r="AJ696" i="2" s="1"/>
  <c r="AA687" i="2"/>
  <c r="AA694" i="2" s="1"/>
  <c r="M687" i="2"/>
  <c r="M694" i="2" s="1"/>
  <c r="V687" i="2"/>
  <c r="V696" i="2" s="1"/>
  <c r="C687" i="2"/>
  <c r="C695" i="2" s="1"/>
  <c r="H687" i="2"/>
  <c r="H696" i="2" s="1"/>
  <c r="N687" i="2"/>
  <c r="N694" i="2" s="1"/>
  <c r="AI678" i="2"/>
  <c r="AB678" i="2"/>
  <c r="N678" i="2"/>
  <c r="AH678" i="2"/>
  <c r="T678" i="2"/>
  <c r="F678" i="2"/>
  <c r="AG678" i="2"/>
  <c r="S678" i="2"/>
  <c r="E678" i="2"/>
  <c r="Y687" i="2"/>
  <c r="Y696" i="2" s="1"/>
  <c r="K687" i="2"/>
  <c r="K696" i="2" s="1"/>
  <c r="Z678" i="2"/>
  <c r="L678" i="2"/>
  <c r="AF678" i="2"/>
  <c r="R678" i="2"/>
  <c r="D678" i="2"/>
  <c r="J687" i="2"/>
  <c r="J696" i="2" s="1"/>
  <c r="Y678" i="2"/>
  <c r="K678" i="2"/>
  <c r="AE678" i="2"/>
  <c r="Q678" i="2"/>
  <c r="AL687" i="2"/>
  <c r="AL696" i="2" s="1"/>
  <c r="X678" i="2"/>
  <c r="J678" i="2"/>
  <c r="AD678" i="2"/>
  <c r="P678" i="2"/>
  <c r="O678" i="2"/>
  <c r="AK678" i="2"/>
  <c r="W678" i="2"/>
  <c r="I678" i="2"/>
  <c r="I687" i="2"/>
  <c r="I696" i="2" s="1"/>
  <c r="AA678" i="2"/>
  <c r="AJ678" i="2"/>
  <c r="V678" i="2"/>
  <c r="H678" i="2"/>
  <c r="X687" i="2"/>
  <c r="X696" i="2" s="1"/>
  <c r="AC678" i="2"/>
  <c r="M678" i="2"/>
  <c r="U678" i="2"/>
  <c r="G678" i="2"/>
  <c r="W687" i="2"/>
  <c r="W696" i="2" s="1"/>
  <c r="AR678" i="2"/>
  <c r="AQ678" i="2"/>
  <c r="AT687" i="2"/>
  <c r="AT693" i="2" s="1"/>
  <c r="AF687" i="2"/>
  <c r="AF693" i="2" s="1"/>
  <c r="R687" i="2"/>
  <c r="R696" i="2" s="1"/>
  <c r="D687" i="2"/>
  <c r="D696" i="2" s="1"/>
  <c r="AT678" i="2"/>
  <c r="C678" i="2"/>
  <c r="AI687" i="2"/>
  <c r="AI695" i="2" s="1"/>
  <c r="U687" i="2"/>
  <c r="U695" i="2" s="1"/>
  <c r="G687" i="2"/>
  <c r="G695" i="2" s="1"/>
  <c r="AS678" i="2"/>
  <c r="AU687" i="2"/>
  <c r="AU695" i="2" s="1"/>
  <c r="E687" i="2"/>
  <c r="E695" i="2" s="1"/>
  <c r="AP678" i="2"/>
  <c r="AS687" i="2"/>
  <c r="AE687" i="2"/>
  <c r="AE693" i="2" s="1"/>
  <c r="Q687" i="2"/>
  <c r="Q696" i="2" s="1"/>
  <c r="AO678" i="2"/>
  <c r="AR687" i="2"/>
  <c r="AR694" i="2" s="1"/>
  <c r="AD687" i="2"/>
  <c r="AD694" i="2" s="1"/>
  <c r="P687" i="2"/>
  <c r="P694" i="2" s="1"/>
  <c r="AN678" i="2"/>
  <c r="AQ687" i="2"/>
  <c r="AQ694" i="2" s="1"/>
  <c r="AC687" i="2"/>
  <c r="AC694" i="2" s="1"/>
  <c r="O687" i="2"/>
  <c r="O694" i="2" s="1"/>
  <c r="AG687" i="2"/>
  <c r="AG695" i="2" s="1"/>
  <c r="S687" i="2"/>
  <c r="S695" i="2" s="1"/>
  <c r="AM678" i="2"/>
  <c r="AP687" i="2"/>
  <c r="AP694" i="2" s="1"/>
  <c r="AB687" i="2"/>
  <c r="AB694" i="2" s="1"/>
  <c r="AH687" i="2"/>
  <c r="AH695" i="2" s="1"/>
  <c r="F687" i="2"/>
  <c r="F695" i="2" s="1"/>
  <c r="AL678" i="2"/>
  <c r="B64" i="8" s="1"/>
  <c r="AO687" i="2"/>
  <c r="AO694" i="2" s="1"/>
  <c r="AU678" i="2"/>
  <c r="T687" i="2"/>
  <c r="T695" i="2" s="1"/>
  <c r="AN687" i="2"/>
  <c r="AN696" i="2" s="1"/>
  <c r="AM687" i="2"/>
  <c r="AM696" i="2" s="1"/>
  <c r="AV687" i="2"/>
  <c r="AV695" i="2" s="1"/>
  <c r="AV678" i="2"/>
  <c r="N64" i="8"/>
  <c r="AX678" i="2"/>
  <c r="AX687" i="2"/>
  <c r="AX695" i="2" s="1"/>
  <c r="N72" i="8"/>
  <c r="N79" i="8" s="1"/>
  <c r="AW687" i="2"/>
  <c r="AW694" i="2" s="1"/>
  <c r="AW678" i="2"/>
  <c r="L693" i="2" l="1"/>
  <c r="L694" i="2"/>
  <c r="L695" i="2"/>
  <c r="Z694" i="2"/>
  <c r="Z693" i="2"/>
  <c r="Z695" i="2"/>
  <c r="K693" i="2"/>
  <c r="AA696" i="2"/>
  <c r="M695" i="2"/>
  <c r="AA693" i="2"/>
  <c r="AA695" i="2"/>
  <c r="M693" i="2"/>
  <c r="M696" i="2"/>
  <c r="Y693" i="2"/>
  <c r="H695" i="2"/>
  <c r="H694" i="2"/>
  <c r="H693" i="2"/>
  <c r="N693" i="2"/>
  <c r="N695" i="2"/>
  <c r="G696" i="2"/>
  <c r="AI694" i="2"/>
  <c r="V695" i="2"/>
  <c r="AW693" i="2"/>
  <c r="AP695" i="2"/>
  <c r="C693" i="2"/>
  <c r="V693" i="2"/>
  <c r="C694" i="2"/>
  <c r="AR696" i="2"/>
  <c r="G694" i="2"/>
  <c r="V694" i="2"/>
  <c r="U696" i="2"/>
  <c r="N696" i="2"/>
  <c r="X695" i="2"/>
  <c r="X693" i="2"/>
  <c r="AT696" i="2"/>
  <c r="X694" i="2"/>
  <c r="AK695" i="2"/>
  <c r="AV694" i="2"/>
  <c r="AV696" i="2"/>
  <c r="AI693" i="2"/>
  <c r="AV693" i="2"/>
  <c r="K695" i="2"/>
  <c r="Y694" i="2"/>
  <c r="Q693" i="2"/>
  <c r="S693" i="2"/>
  <c r="I695" i="2"/>
  <c r="I694" i="2"/>
  <c r="S694" i="2"/>
  <c r="AJ693" i="2"/>
  <c r="S696" i="2"/>
  <c r="C696" i="2"/>
  <c r="I693" i="2"/>
  <c r="AG693" i="2"/>
  <c r="Y695" i="2"/>
  <c r="AO696" i="2"/>
  <c r="G693" i="2"/>
  <c r="AK694" i="2"/>
  <c r="W695" i="2"/>
  <c r="F696" i="2"/>
  <c r="AL695" i="2"/>
  <c r="W693" i="2"/>
  <c r="P696" i="2"/>
  <c r="AK693" i="2"/>
  <c r="J695" i="2"/>
  <c r="E694" i="2"/>
  <c r="J694" i="2"/>
  <c r="F694" i="2"/>
  <c r="AH694" i="2"/>
  <c r="J693" i="2"/>
  <c r="W694" i="2"/>
  <c r="U694" i="2"/>
  <c r="AP693" i="2"/>
  <c r="AM694" i="2"/>
  <c r="AC695" i="2"/>
  <c r="E696" i="2"/>
  <c r="AG696" i="2"/>
  <c r="K694" i="2"/>
  <c r="AM695" i="2"/>
  <c r="F693" i="2"/>
  <c r="AC693" i="2"/>
  <c r="AH696" i="2"/>
  <c r="AL694" i="2"/>
  <c r="AL693" i="2"/>
  <c r="AD696" i="2"/>
  <c r="AR695" i="2"/>
  <c r="AH693" i="2"/>
  <c r="AG694" i="2"/>
  <c r="AI696" i="2"/>
  <c r="AJ694" i="2"/>
  <c r="AJ695" i="2"/>
  <c r="AS695" i="2"/>
  <c r="AS694" i="2"/>
  <c r="AN694" i="2"/>
  <c r="T693" i="2"/>
  <c r="P695" i="2"/>
  <c r="AS693" i="2"/>
  <c r="AF694" i="2"/>
  <c r="AF695" i="2"/>
  <c r="AT695" i="2"/>
  <c r="AT694" i="2"/>
  <c r="AB695" i="2"/>
  <c r="AO695" i="2"/>
  <c r="AM693" i="2"/>
  <c r="AC696" i="2"/>
  <c r="O695" i="2"/>
  <c r="AN693" i="2"/>
  <c r="AE695" i="2"/>
  <c r="AE694" i="2"/>
  <c r="AQ696" i="2"/>
  <c r="D694" i="2"/>
  <c r="D695" i="2"/>
  <c r="R695" i="2"/>
  <c r="R694" i="2"/>
  <c r="AU694" i="2"/>
  <c r="AB696" i="2"/>
  <c r="AQ693" i="2"/>
  <c r="AS696" i="2"/>
  <c r="O696" i="2"/>
  <c r="U693" i="2"/>
  <c r="AP696" i="2"/>
  <c r="AU693" i="2"/>
  <c r="AO693" i="2"/>
  <c r="AB693" i="2"/>
  <c r="AD693" i="2"/>
  <c r="P693" i="2"/>
  <c r="O693" i="2"/>
  <c r="R693" i="2"/>
  <c r="Q695" i="2"/>
  <c r="Q694" i="2"/>
  <c r="AN695" i="2"/>
  <c r="T694" i="2"/>
  <c r="T696" i="2"/>
  <c r="AU696" i="2"/>
  <c r="AR693" i="2"/>
  <c r="AQ695" i="2"/>
  <c r="E693" i="2"/>
  <c r="AE696" i="2"/>
  <c r="AF696" i="2"/>
  <c r="AD695" i="2"/>
  <c r="D693" i="2"/>
  <c r="AX693" i="2"/>
  <c r="N76" i="8"/>
  <c r="N78" i="8"/>
  <c r="N77" i="8"/>
  <c r="AX694" i="2"/>
  <c r="AX696" i="2"/>
  <c r="AW695" i="2"/>
  <c r="AW696" i="2"/>
  <c r="L697" i="2" l="1"/>
  <c r="Z697" i="2"/>
  <c r="AA697" i="2"/>
  <c r="M697" i="2"/>
  <c r="H697" i="2"/>
  <c r="AV697" i="2"/>
  <c r="X697" i="2"/>
  <c r="N697" i="2"/>
  <c r="V697" i="2"/>
  <c r="AG697" i="2"/>
  <c r="I697" i="2"/>
  <c r="S697" i="2"/>
  <c r="C697" i="2"/>
  <c r="G697" i="2"/>
  <c r="AK697" i="2"/>
  <c r="Y697" i="2"/>
  <c r="F697" i="2"/>
  <c r="Q697" i="2"/>
  <c r="K697" i="2"/>
  <c r="R697" i="2"/>
  <c r="AI697" i="2"/>
  <c r="W697" i="2"/>
  <c r="AT697" i="2"/>
  <c r="AH697" i="2"/>
  <c r="AL697" i="2"/>
  <c r="AR697" i="2"/>
  <c r="AP697" i="2"/>
  <c r="AM697" i="2"/>
  <c r="AJ697" i="2"/>
  <c r="E697" i="2"/>
  <c r="AO697" i="2"/>
  <c r="AF697" i="2"/>
  <c r="AC697" i="2"/>
  <c r="AE697" i="2"/>
  <c r="J697" i="2"/>
  <c r="U697" i="2"/>
  <c r="AS697" i="2"/>
  <c r="AU697" i="2"/>
  <c r="AQ697" i="2"/>
  <c r="P697" i="2"/>
  <c r="D697" i="2"/>
  <c r="AN697" i="2"/>
  <c r="T697" i="2"/>
  <c r="O697" i="2"/>
  <c r="AD697" i="2"/>
  <c r="AB697" i="2"/>
  <c r="N80" i="8"/>
  <c r="AW697" i="2"/>
  <c r="AX697" i="2"/>
  <c r="AW105" i="1" l="1"/>
  <c r="AW87" i="1"/>
  <c r="AV87" i="1"/>
  <c r="AV77" i="1"/>
  <c r="AW78" i="1" s="1"/>
  <c r="AV78" i="1" l="1"/>
  <c r="AW36" i="1"/>
  <c r="AW121" i="1" l="1"/>
  <c r="N22" i="8"/>
  <c r="N47" i="8" s="1"/>
  <c r="M22" i="8"/>
  <c r="M47" i="8" s="1"/>
  <c r="L22" i="8"/>
  <c r="K22" i="8"/>
  <c r="J22" i="8"/>
  <c r="I22" i="8"/>
  <c r="H22" i="8"/>
  <c r="G22" i="8"/>
  <c r="F22" i="8"/>
  <c r="E22" i="8"/>
  <c r="D22" i="8"/>
  <c r="C22" i="8"/>
  <c r="B22" i="8"/>
  <c r="N13" i="8"/>
  <c r="N38" i="8" s="1"/>
  <c r="N14" i="8"/>
  <c r="N39" i="8" s="1"/>
  <c r="N15" i="8"/>
  <c r="N40" i="8" s="1"/>
  <c r="N16" i="8"/>
  <c r="N41" i="8" s="1"/>
  <c r="N17" i="8"/>
  <c r="N42" i="8" s="1"/>
  <c r="N18" i="8"/>
  <c r="N43" i="8" s="1"/>
  <c r="N19" i="8"/>
  <c r="N44" i="8" s="1"/>
  <c r="N20" i="8"/>
  <c r="N45" i="8" s="1"/>
  <c r="N21" i="8"/>
  <c r="N46" i="8" s="1"/>
  <c r="N23" i="8"/>
  <c r="N48" i="8" s="1"/>
  <c r="N24" i="8"/>
  <c r="N49" i="8" s="1"/>
  <c r="N25" i="8"/>
  <c r="N50" i="8" s="1"/>
  <c r="N26" i="8"/>
  <c r="N51" i="8" s="1"/>
  <c r="N27" i="8"/>
  <c r="N52" i="8" s="1"/>
  <c r="N28" i="8"/>
  <c r="N53" i="8" s="1"/>
  <c r="N29" i="8"/>
  <c r="N54" i="8" s="1"/>
  <c r="N30" i="8"/>
  <c r="N55" i="8" s="1"/>
  <c r="N11" i="8"/>
  <c r="N36" i="8" s="1"/>
  <c r="N12" i="8"/>
  <c r="N37" i="8" s="1"/>
  <c r="N56" i="8" l="1"/>
  <c r="N31" i="8"/>
  <c r="AW116" i="1" l="1"/>
  <c r="AU118" i="1"/>
  <c r="AT118" i="1"/>
  <c r="AS118" i="1"/>
  <c r="AR118" i="1"/>
  <c r="AQ118" i="1"/>
  <c r="AP118" i="1"/>
  <c r="AO118" i="1"/>
  <c r="AN118" i="1"/>
  <c r="AM118" i="1"/>
  <c r="AL118" i="1"/>
  <c r="AK118" i="1"/>
  <c r="AJ118" i="1"/>
  <c r="AI118" i="1"/>
  <c r="AH118" i="1"/>
  <c r="AG118" i="1"/>
  <c r="AF118" i="1"/>
  <c r="AE118" i="1"/>
  <c r="AD118" i="1"/>
  <c r="AC118" i="1"/>
  <c r="AB118" i="1"/>
  <c r="AA118" i="1"/>
  <c r="Z118" i="1"/>
  <c r="Y118" i="1"/>
  <c r="X118" i="1"/>
  <c r="W118" i="1"/>
  <c r="V118" i="1"/>
  <c r="U118" i="1"/>
  <c r="T118" i="1"/>
  <c r="S118" i="1"/>
  <c r="R118" i="1"/>
  <c r="Q118" i="1"/>
  <c r="P118" i="1"/>
  <c r="O118" i="1"/>
  <c r="N118" i="1"/>
  <c r="AU117" i="1"/>
  <c r="AT117" i="1"/>
  <c r="AS117" i="1"/>
  <c r="AR117" i="1"/>
  <c r="AQ117" i="1"/>
  <c r="AP117" i="1"/>
  <c r="AO117" i="1"/>
  <c r="AN117" i="1"/>
  <c r="AM117" i="1"/>
  <c r="AL117" i="1"/>
  <c r="AW106" i="1"/>
  <c r="AX95" i="1" l="1"/>
  <c r="AU78" i="1"/>
  <c r="L47" i="8" s="1"/>
  <c r="B78" i="1"/>
  <c r="C78" i="1"/>
  <c r="D78" i="1"/>
  <c r="E78" i="1"/>
  <c r="F78" i="1"/>
  <c r="G78" i="1"/>
  <c r="H78" i="1"/>
  <c r="I78" i="1"/>
  <c r="J78" i="1"/>
  <c r="K78" i="1"/>
  <c r="L78" i="1"/>
  <c r="M78" i="1"/>
  <c r="N78" i="1"/>
  <c r="O78" i="1"/>
  <c r="P78" i="1"/>
  <c r="Q78" i="1"/>
  <c r="R78" i="1"/>
  <c r="S78" i="1"/>
  <c r="T78" i="1"/>
  <c r="U78" i="1"/>
  <c r="V78" i="1"/>
  <c r="W78" i="1"/>
  <c r="X78" i="1"/>
  <c r="Y78" i="1"/>
  <c r="Z78" i="1"/>
  <c r="AA78" i="1"/>
  <c r="AB78" i="1"/>
  <c r="AC78" i="1"/>
  <c r="AD78" i="1"/>
  <c r="AE78" i="1"/>
  <c r="AF78" i="1"/>
  <c r="AG78" i="1"/>
  <c r="AH78" i="1"/>
  <c r="AI78" i="1"/>
  <c r="AJ78" i="1"/>
  <c r="AK78" i="1"/>
  <c r="B47" i="8" s="1"/>
  <c r="AL78" i="1"/>
  <c r="C47" i="8" s="1"/>
  <c r="AM78" i="1"/>
  <c r="D47" i="8" s="1"/>
  <c r="AN78" i="1"/>
  <c r="E47" i="8" s="1"/>
  <c r="AO78" i="1"/>
  <c r="F47" i="8" s="1"/>
  <c r="AP78" i="1"/>
  <c r="G47" i="8" s="1"/>
  <c r="AQ78" i="1"/>
  <c r="H47" i="8" s="1"/>
  <c r="AR78" i="1"/>
  <c r="I47" i="8" s="1"/>
  <c r="AS78" i="1"/>
  <c r="J47" i="8" s="1"/>
  <c r="AT78" i="1"/>
  <c r="K47" i="8" s="1"/>
  <c r="AW44" i="1" l="1"/>
  <c r="AW43" i="1"/>
  <c r="AW41" i="1"/>
  <c r="AW40" i="1"/>
  <c r="AW39" i="1"/>
  <c r="AW38" i="1"/>
  <c r="AW37" i="1"/>
  <c r="AW35" i="1"/>
  <c r="AW31" i="1"/>
  <c r="AW30" i="1"/>
  <c r="AW29" i="1"/>
  <c r="AW28" i="1"/>
  <c r="AW27" i="1"/>
  <c r="AW24" i="1"/>
  <c r="AW23" i="1"/>
  <c r="AW19" i="1"/>
  <c r="AW18" i="1"/>
  <c r="AW17" i="1"/>
  <c r="AW59" i="1" l="1"/>
  <c r="AW50" i="1"/>
  <c r="AW60" i="1"/>
  <c r="AW42" i="1"/>
  <c r="AW20" i="1"/>
  <c r="AW32" i="1"/>
  <c r="AW25" i="1"/>
  <c r="AM204" i="10"/>
  <c r="AM192" i="10"/>
  <c r="AM193" i="10"/>
  <c r="AM194" i="10"/>
  <c r="AM195" i="10"/>
  <c r="AM196" i="10"/>
  <c r="AM197" i="10"/>
  <c r="AM198" i="10"/>
  <c r="AM199" i="10"/>
  <c r="AM200" i="10"/>
  <c r="AM201" i="10"/>
  <c r="AM202" i="10"/>
  <c r="AM203" i="10"/>
  <c r="AM191" i="10"/>
  <c r="AL191" i="10"/>
  <c r="AW56" i="1" l="1"/>
  <c r="AW57" i="1"/>
  <c r="AW55" i="1"/>
  <c r="AW58" i="1"/>
  <c r="AW45" i="1"/>
  <c r="AW61" i="1" l="1"/>
  <c r="AW71" i="1" s="1"/>
  <c r="AX25" i="1"/>
  <c r="AW51" i="1"/>
  <c r="AW49" i="1" s="1"/>
  <c r="AX42" i="1"/>
  <c r="AX35" i="1"/>
  <c r="AX28" i="1"/>
  <c r="AX36" i="1"/>
  <c r="AX29" i="1"/>
  <c r="AX27" i="1"/>
  <c r="AX23" i="1"/>
  <c r="AX31" i="1"/>
  <c r="AX41" i="1"/>
  <c r="AX37" i="1"/>
  <c r="AX44" i="1"/>
  <c r="AX38" i="1"/>
  <c r="AX24" i="1"/>
  <c r="AX19" i="1"/>
  <c r="AX43" i="1"/>
  <c r="AX39" i="1"/>
  <c r="AX17" i="1"/>
  <c r="AX40" i="1"/>
  <c r="AX18" i="1"/>
  <c r="AX20" i="1"/>
  <c r="AX32" i="1"/>
  <c r="AX30" i="1"/>
  <c r="AM32" i="10"/>
  <c r="AM31" i="10"/>
  <c r="AM30" i="10"/>
  <c r="AM29" i="10"/>
  <c r="AM28" i="10"/>
  <c r="AM27" i="10"/>
  <c r="AM26" i="10"/>
  <c r="AM25" i="10"/>
  <c r="AM24" i="10"/>
  <c r="AM23" i="10"/>
  <c r="AM22" i="10"/>
  <c r="AM21" i="10"/>
  <c r="AM20" i="10"/>
  <c r="AM19" i="10"/>
  <c r="AW66" i="1" l="1"/>
  <c r="AW67" i="1"/>
  <c r="AW68" i="1"/>
  <c r="AW96" i="1"/>
  <c r="AW69" i="1"/>
  <c r="AW70" i="1"/>
  <c r="AW81" i="1"/>
  <c r="AW82" i="1" s="1"/>
  <c r="AX45" i="1"/>
  <c r="N17" i="9"/>
  <c r="N16" i="9"/>
  <c r="N15" i="9"/>
  <c r="N14" i="9"/>
  <c r="N13" i="9"/>
  <c r="N12" i="9"/>
  <c r="N11" i="9"/>
  <c r="N10" i="9"/>
  <c r="N9" i="9"/>
  <c r="N8" i="9"/>
  <c r="N7" i="9"/>
  <c r="N6" i="9"/>
  <c r="N5" i="9"/>
  <c r="N4" i="9"/>
  <c r="N97" i="4"/>
  <c r="N123" i="4"/>
  <c r="N130" i="4"/>
  <c r="N99" i="4"/>
  <c r="N100" i="4"/>
  <c r="AW102" i="1" l="1"/>
  <c r="AW103" i="1" s="1"/>
  <c r="AW104" i="1" s="1"/>
  <c r="AW90" i="1"/>
  <c r="N18" i="9"/>
  <c r="AY666" i="2"/>
  <c r="F666" i="2"/>
  <c r="AT666" i="2"/>
  <c r="AS666" i="2"/>
  <c r="N38" i="4"/>
  <c r="N33" i="4"/>
  <c r="N21" i="4" l="1"/>
  <c r="N20" i="4"/>
  <c r="N16" i="4"/>
  <c r="N15" i="4"/>
  <c r="N11" i="4"/>
  <c r="N10" i="4"/>
  <c r="N13" i="4"/>
  <c r="N12" i="4" l="1"/>
  <c r="N59" i="4"/>
  <c r="N142" i="4" l="1"/>
  <c r="AH203" i="3" l="1"/>
  <c r="BA666" i="2"/>
  <c r="AH666" i="2" l="1"/>
  <c r="AW50" i="11" l="1"/>
  <c r="AW30" i="11"/>
  <c r="AM205" i="10" l="1"/>
  <c r="AM188" i="10"/>
  <c r="AM171" i="10"/>
  <c r="AM154" i="10"/>
  <c r="AM137" i="10" l="1"/>
  <c r="AM120" i="10"/>
  <c r="AM103" i="10"/>
  <c r="AM86" i="10"/>
  <c r="AM69" i="10"/>
  <c r="AM52" i="10"/>
  <c r="AM34" i="10"/>
  <c r="AS116" i="1" l="1"/>
  <c r="AV50" i="11"/>
  <c r="AU50" i="11"/>
  <c r="AT50" i="11"/>
  <c r="AT30" i="11"/>
  <c r="AU30" i="11"/>
  <c r="AV30" i="11"/>
  <c r="M144" i="4"/>
  <c r="L144" i="4"/>
  <c r="K144" i="4"/>
  <c r="J144" i="4"/>
  <c r="I144" i="4"/>
  <c r="H144" i="4"/>
  <c r="G144" i="4"/>
  <c r="F144" i="4"/>
  <c r="E144" i="4"/>
  <c r="D144" i="4"/>
  <c r="AB203" i="3"/>
  <c r="AC203" i="3"/>
  <c r="AD203" i="3"/>
  <c r="AE203" i="3"/>
  <c r="AF203" i="3"/>
  <c r="AG203" i="3"/>
  <c r="D203" i="3"/>
  <c r="C203" i="3"/>
  <c r="AU666" i="2"/>
  <c r="AZ666" i="2"/>
  <c r="AX666" i="2"/>
  <c r="AW666" i="2"/>
  <c r="AV666" i="2"/>
  <c r="M666" i="2"/>
  <c r="L666" i="2"/>
  <c r="K666" i="2"/>
  <c r="J666" i="2"/>
  <c r="I666" i="2"/>
  <c r="H666" i="2"/>
  <c r="G666" i="2"/>
  <c r="E666" i="2"/>
  <c r="D666" i="2"/>
  <c r="C666" i="2"/>
  <c r="AV105" i="1"/>
  <c r="AV106" i="1" s="1"/>
  <c r="AS119" i="1" l="1"/>
  <c r="AS120" i="1"/>
  <c r="AS121" i="1"/>
  <c r="C34" i="10"/>
  <c r="D34" i="10"/>
  <c r="E34" i="10"/>
  <c r="F34" i="10"/>
  <c r="G34" i="10"/>
  <c r="H34" i="10"/>
  <c r="I34" i="10"/>
  <c r="J34" i="10"/>
  <c r="K34" i="10"/>
  <c r="L34" i="10"/>
  <c r="M34" i="10"/>
  <c r="N34" i="10"/>
  <c r="O34" i="10"/>
  <c r="P34" i="10"/>
  <c r="Q34" i="10"/>
  <c r="R34" i="10"/>
  <c r="B34" i="10"/>
  <c r="AK191" i="10"/>
  <c r="S27" i="10"/>
  <c r="S171" i="10"/>
  <c r="T171" i="10"/>
  <c r="U171" i="10"/>
  <c r="V171" i="10"/>
  <c r="W171" i="10"/>
  <c r="X171" i="10"/>
  <c r="Y171" i="10"/>
  <c r="Z171" i="10"/>
  <c r="AA171" i="10"/>
  <c r="AB171" i="10"/>
  <c r="AC171" i="10"/>
  <c r="AD171" i="10"/>
  <c r="AE171" i="10"/>
  <c r="AF171" i="10"/>
  <c r="AG171" i="10"/>
  <c r="AH171" i="10"/>
  <c r="AI171" i="10"/>
  <c r="AJ171" i="10"/>
  <c r="AK171" i="10"/>
  <c r="AL171" i="10"/>
  <c r="AK204" i="10"/>
  <c r="AK32" i="10" s="1"/>
  <c r="AC192" i="10"/>
  <c r="AC20" i="10" s="1"/>
  <c r="AC193" i="10"/>
  <c r="AC21" i="10" s="1"/>
  <c r="AC194" i="10"/>
  <c r="AC22" i="10" s="1"/>
  <c r="AC195" i="10"/>
  <c r="AC23" i="10" s="1"/>
  <c r="AC196" i="10"/>
  <c r="AC24" i="10" s="1"/>
  <c r="AC197" i="10"/>
  <c r="AC25" i="10" s="1"/>
  <c r="AC198" i="10"/>
  <c r="AC26" i="10" s="1"/>
  <c r="AC199" i="10"/>
  <c r="AC27" i="10" s="1"/>
  <c r="AC200" i="10"/>
  <c r="AC28" i="10" s="1"/>
  <c r="AC201" i="10"/>
  <c r="AC29" i="10" s="1"/>
  <c r="AC202" i="10"/>
  <c r="AC30" i="10" s="1"/>
  <c r="AC203" i="10"/>
  <c r="AC31" i="10" s="1"/>
  <c r="AC204" i="10"/>
  <c r="AC32" i="10" s="1"/>
  <c r="AD192" i="10"/>
  <c r="AD20" i="10" s="1"/>
  <c r="AD193" i="10"/>
  <c r="AD21" i="10" s="1"/>
  <c r="AD194" i="10"/>
  <c r="AD22" i="10" s="1"/>
  <c r="AD195" i="10"/>
  <c r="AD23" i="10" s="1"/>
  <c r="AD196" i="10"/>
  <c r="AD24" i="10" s="1"/>
  <c r="AD197" i="10"/>
  <c r="AD25" i="10" s="1"/>
  <c r="AD198" i="10"/>
  <c r="AD26" i="10" s="1"/>
  <c r="AD199" i="10"/>
  <c r="AD27" i="10" s="1"/>
  <c r="AD200" i="10"/>
  <c r="AD28" i="10" s="1"/>
  <c r="AD201" i="10"/>
  <c r="AD29" i="10" s="1"/>
  <c r="AD202" i="10"/>
  <c r="AD30" i="10" s="1"/>
  <c r="AD203" i="10"/>
  <c r="AD31" i="10" s="1"/>
  <c r="AD204" i="10"/>
  <c r="AD32" i="10" s="1"/>
  <c r="AE192" i="10"/>
  <c r="AE20" i="10" s="1"/>
  <c r="AE193" i="10"/>
  <c r="AE21" i="10" s="1"/>
  <c r="AE194" i="10"/>
  <c r="AE22" i="10" s="1"/>
  <c r="AE195" i="10"/>
  <c r="AE23" i="10" s="1"/>
  <c r="AE196" i="10"/>
  <c r="AE24" i="10" s="1"/>
  <c r="AE197" i="10"/>
  <c r="AE25" i="10" s="1"/>
  <c r="AE198" i="10"/>
  <c r="AE26" i="10" s="1"/>
  <c r="AE199" i="10"/>
  <c r="AE27" i="10" s="1"/>
  <c r="AE200" i="10"/>
  <c r="AE28" i="10" s="1"/>
  <c r="AE201" i="10"/>
  <c r="AE29" i="10" s="1"/>
  <c r="AE202" i="10"/>
  <c r="AE30" i="10" s="1"/>
  <c r="AE203" i="10"/>
  <c r="AE31" i="10" s="1"/>
  <c r="AE204" i="10"/>
  <c r="AE32" i="10" s="1"/>
  <c r="AF192" i="10"/>
  <c r="AF20" i="10" s="1"/>
  <c r="AF193" i="10"/>
  <c r="AF21" i="10" s="1"/>
  <c r="AF194" i="10"/>
  <c r="AF22" i="10" s="1"/>
  <c r="AF195" i="10"/>
  <c r="AF23" i="10" s="1"/>
  <c r="AF196" i="10"/>
  <c r="AF24" i="10" s="1"/>
  <c r="AF197" i="10"/>
  <c r="AF25" i="10" s="1"/>
  <c r="AF198" i="10"/>
  <c r="AF26" i="10" s="1"/>
  <c r="AF199" i="10"/>
  <c r="AF27" i="10" s="1"/>
  <c r="AF200" i="10"/>
  <c r="AF28" i="10" s="1"/>
  <c r="AF201" i="10"/>
  <c r="AF29" i="10" s="1"/>
  <c r="AF202" i="10"/>
  <c r="AF30" i="10" s="1"/>
  <c r="AF203" i="10"/>
  <c r="AF31" i="10" s="1"/>
  <c r="AF204" i="10"/>
  <c r="AF32" i="10" s="1"/>
  <c r="AG192" i="10"/>
  <c r="AG20" i="10" s="1"/>
  <c r="AG193" i="10"/>
  <c r="AG21" i="10" s="1"/>
  <c r="AG194" i="10"/>
  <c r="AG22" i="10" s="1"/>
  <c r="AG195" i="10"/>
  <c r="AG23" i="10" s="1"/>
  <c r="AG196" i="10"/>
  <c r="AG24" i="10" s="1"/>
  <c r="AG197" i="10"/>
  <c r="AG25" i="10" s="1"/>
  <c r="AG198" i="10"/>
  <c r="AG26" i="10" s="1"/>
  <c r="AG199" i="10"/>
  <c r="AG27" i="10" s="1"/>
  <c r="AG200" i="10"/>
  <c r="AG28" i="10" s="1"/>
  <c r="AG201" i="10"/>
  <c r="AG29" i="10" s="1"/>
  <c r="AG202" i="10"/>
  <c r="AG30" i="10" s="1"/>
  <c r="AG203" i="10"/>
  <c r="AG31" i="10" s="1"/>
  <c r="AG204" i="10"/>
  <c r="AG32" i="10" s="1"/>
  <c r="AH192" i="10"/>
  <c r="AH20" i="10" s="1"/>
  <c r="AH193" i="10"/>
  <c r="AH21" i="10" s="1"/>
  <c r="AH194" i="10"/>
  <c r="AH22" i="10" s="1"/>
  <c r="AH195" i="10"/>
  <c r="AH23" i="10" s="1"/>
  <c r="AH196" i="10"/>
  <c r="AH24" i="10" s="1"/>
  <c r="AH197" i="10"/>
  <c r="AH25" i="10" s="1"/>
  <c r="AH198" i="10"/>
  <c r="AH26" i="10" s="1"/>
  <c r="AH199" i="10"/>
  <c r="AH27" i="10" s="1"/>
  <c r="AH200" i="10"/>
  <c r="AH28" i="10" s="1"/>
  <c r="AH201" i="10"/>
  <c r="AH29" i="10" s="1"/>
  <c r="AH202" i="10"/>
  <c r="AH30" i="10" s="1"/>
  <c r="AH203" i="10"/>
  <c r="AH31" i="10" s="1"/>
  <c r="AH204" i="10"/>
  <c r="AH32" i="10" s="1"/>
  <c r="AI192" i="10"/>
  <c r="AI20" i="10" s="1"/>
  <c r="AI193" i="10"/>
  <c r="AI21" i="10" s="1"/>
  <c r="AI194" i="10"/>
  <c r="AI22" i="10" s="1"/>
  <c r="AI195" i="10"/>
  <c r="AI23" i="10" s="1"/>
  <c r="AI196" i="10"/>
  <c r="AI24" i="10" s="1"/>
  <c r="AI197" i="10"/>
  <c r="AI25" i="10" s="1"/>
  <c r="AI198" i="10"/>
  <c r="AI26" i="10" s="1"/>
  <c r="AI199" i="10"/>
  <c r="AI27" i="10" s="1"/>
  <c r="AI200" i="10"/>
  <c r="AI28" i="10" s="1"/>
  <c r="AI201" i="10"/>
  <c r="AI29" i="10" s="1"/>
  <c r="AI202" i="10"/>
  <c r="AI30" i="10" s="1"/>
  <c r="AI203" i="10"/>
  <c r="AI31" i="10" s="1"/>
  <c r="AI204" i="10"/>
  <c r="AI32" i="10" s="1"/>
  <c r="AJ192" i="10"/>
  <c r="AJ20" i="10" s="1"/>
  <c r="AJ193" i="10"/>
  <c r="AJ21" i="10" s="1"/>
  <c r="AJ194" i="10"/>
  <c r="AJ22" i="10" s="1"/>
  <c r="AJ195" i="10"/>
  <c r="AJ23" i="10" s="1"/>
  <c r="AJ196" i="10"/>
  <c r="AJ24" i="10" s="1"/>
  <c r="AJ197" i="10"/>
  <c r="AJ25" i="10" s="1"/>
  <c r="AJ198" i="10"/>
  <c r="AJ26" i="10" s="1"/>
  <c r="AJ199" i="10"/>
  <c r="AJ27" i="10" s="1"/>
  <c r="AJ200" i="10"/>
  <c r="AJ28" i="10" s="1"/>
  <c r="AJ201" i="10"/>
  <c r="AJ29" i="10" s="1"/>
  <c r="AJ202" i="10"/>
  <c r="AJ30" i="10" s="1"/>
  <c r="AJ203" i="10"/>
  <c r="AJ31" i="10" s="1"/>
  <c r="AJ204" i="10"/>
  <c r="AJ32" i="10" s="1"/>
  <c r="AK192" i="10"/>
  <c r="AK20" i="10" s="1"/>
  <c r="AK193" i="10"/>
  <c r="AK21" i="10" s="1"/>
  <c r="AK194" i="10"/>
  <c r="AK22" i="10" s="1"/>
  <c r="AK195" i="10"/>
  <c r="AK23" i="10" s="1"/>
  <c r="AK196" i="10"/>
  <c r="AK24" i="10" s="1"/>
  <c r="AK197" i="10"/>
  <c r="AK25" i="10" s="1"/>
  <c r="AK198" i="10"/>
  <c r="AK26" i="10" s="1"/>
  <c r="AK199" i="10"/>
  <c r="AK27" i="10" s="1"/>
  <c r="AK200" i="10"/>
  <c r="AK28" i="10" s="1"/>
  <c r="AK201" i="10"/>
  <c r="AK29" i="10" s="1"/>
  <c r="AK202" i="10"/>
  <c r="AK30" i="10" s="1"/>
  <c r="AK203" i="10"/>
  <c r="AK31" i="10" s="1"/>
  <c r="AL192" i="10"/>
  <c r="AL20" i="10" s="1"/>
  <c r="AL193" i="10"/>
  <c r="AL21" i="10" s="1"/>
  <c r="AL194" i="10"/>
  <c r="AL22" i="10" s="1"/>
  <c r="AL195" i="10"/>
  <c r="AL23" i="10" s="1"/>
  <c r="AL196" i="10"/>
  <c r="AL24" i="10" s="1"/>
  <c r="AL197" i="10"/>
  <c r="AL25" i="10" s="1"/>
  <c r="AL198" i="10"/>
  <c r="AL26" i="10" s="1"/>
  <c r="AL199" i="10"/>
  <c r="AL27" i="10" s="1"/>
  <c r="AL200" i="10"/>
  <c r="AL28" i="10" s="1"/>
  <c r="AL201" i="10"/>
  <c r="AL29" i="10" s="1"/>
  <c r="AL202" i="10"/>
  <c r="AL30" i="10" s="1"/>
  <c r="AL203" i="10"/>
  <c r="AL31" i="10" s="1"/>
  <c r="AL204" i="10"/>
  <c r="AL32" i="10" s="1"/>
  <c r="AB192" i="10"/>
  <c r="AB20" i="10" s="1"/>
  <c r="AB193" i="10"/>
  <c r="AB21" i="10" s="1"/>
  <c r="AB194" i="10"/>
  <c r="AB22" i="10" s="1"/>
  <c r="AB195" i="10"/>
  <c r="AB23" i="10" s="1"/>
  <c r="AB196" i="10"/>
  <c r="AB24" i="10" s="1"/>
  <c r="AB197" i="10"/>
  <c r="AB25" i="10" s="1"/>
  <c r="AB198" i="10"/>
  <c r="AB26" i="10" s="1"/>
  <c r="AB199" i="10"/>
  <c r="AB27" i="10" s="1"/>
  <c r="AB200" i="10"/>
  <c r="AB28" i="10" s="1"/>
  <c r="AB201" i="10"/>
  <c r="AB29" i="10" s="1"/>
  <c r="AB202" i="10"/>
  <c r="AB30" i="10" s="1"/>
  <c r="AB203" i="10"/>
  <c r="AB31" i="10" s="1"/>
  <c r="AB204" i="10"/>
  <c r="AB32" i="10" s="1"/>
  <c r="AA192" i="10"/>
  <c r="AA20" i="10" s="1"/>
  <c r="AA193" i="10"/>
  <c r="AA21" i="10" s="1"/>
  <c r="AA194" i="10"/>
  <c r="AA22" i="10" s="1"/>
  <c r="AA195" i="10"/>
  <c r="AA23" i="10" s="1"/>
  <c r="AA196" i="10"/>
  <c r="AA24" i="10" s="1"/>
  <c r="AA197" i="10"/>
  <c r="AA25" i="10" s="1"/>
  <c r="AA198" i="10"/>
  <c r="AA26" i="10" s="1"/>
  <c r="AA199" i="10"/>
  <c r="AA27" i="10" s="1"/>
  <c r="AA200" i="10"/>
  <c r="AA28" i="10" s="1"/>
  <c r="AA201" i="10"/>
  <c r="AA29" i="10" s="1"/>
  <c r="AA202" i="10"/>
  <c r="AA30" i="10" s="1"/>
  <c r="AA203" i="10"/>
  <c r="AA31" i="10" s="1"/>
  <c r="AA204" i="10"/>
  <c r="AA32" i="10" s="1"/>
  <c r="Z192" i="10"/>
  <c r="Z20" i="10" s="1"/>
  <c r="Z193" i="10"/>
  <c r="Z21" i="10" s="1"/>
  <c r="Z194" i="10"/>
  <c r="Z22" i="10" s="1"/>
  <c r="Z195" i="10"/>
  <c r="Z23" i="10" s="1"/>
  <c r="Z196" i="10"/>
  <c r="Z24" i="10" s="1"/>
  <c r="Z197" i="10"/>
  <c r="Z25" i="10" s="1"/>
  <c r="Z198" i="10"/>
  <c r="Z26" i="10" s="1"/>
  <c r="Z199" i="10"/>
  <c r="Z27" i="10" s="1"/>
  <c r="Z200" i="10"/>
  <c r="Z28" i="10" s="1"/>
  <c r="Z201" i="10"/>
  <c r="Z29" i="10" s="1"/>
  <c r="Z202" i="10"/>
  <c r="Z30" i="10" s="1"/>
  <c r="Z203" i="10"/>
  <c r="Z31" i="10" s="1"/>
  <c r="Z204" i="10"/>
  <c r="Z32" i="10" s="1"/>
  <c r="Y192" i="10"/>
  <c r="Y20" i="10" s="1"/>
  <c r="Y193" i="10"/>
  <c r="Y21" i="10" s="1"/>
  <c r="Y194" i="10"/>
  <c r="Y22" i="10" s="1"/>
  <c r="Y195" i="10"/>
  <c r="Y23" i="10" s="1"/>
  <c r="Y196" i="10"/>
  <c r="Y24" i="10" s="1"/>
  <c r="Y197" i="10"/>
  <c r="Y25" i="10" s="1"/>
  <c r="Y198" i="10"/>
  <c r="Y26" i="10" s="1"/>
  <c r="Y199" i="10"/>
  <c r="Y27" i="10" s="1"/>
  <c r="Y200" i="10"/>
  <c r="Y28" i="10" s="1"/>
  <c r="Y201" i="10"/>
  <c r="Y29" i="10" s="1"/>
  <c r="Y202" i="10"/>
  <c r="Y30" i="10" s="1"/>
  <c r="Y203" i="10"/>
  <c r="Y31" i="10" s="1"/>
  <c r="Y204" i="10"/>
  <c r="Y32" i="10" s="1"/>
  <c r="X192" i="10"/>
  <c r="X20" i="10" s="1"/>
  <c r="X193" i="10"/>
  <c r="X21" i="10" s="1"/>
  <c r="X194" i="10"/>
  <c r="X22" i="10" s="1"/>
  <c r="X195" i="10"/>
  <c r="X23" i="10" s="1"/>
  <c r="X196" i="10"/>
  <c r="X24" i="10" s="1"/>
  <c r="X197" i="10"/>
  <c r="X25" i="10" s="1"/>
  <c r="X198" i="10"/>
  <c r="X26" i="10" s="1"/>
  <c r="X199" i="10"/>
  <c r="X27" i="10" s="1"/>
  <c r="X200" i="10"/>
  <c r="X28" i="10" s="1"/>
  <c r="X201" i="10"/>
  <c r="X29" i="10" s="1"/>
  <c r="X202" i="10"/>
  <c r="X30" i="10" s="1"/>
  <c r="X203" i="10"/>
  <c r="X31" i="10" s="1"/>
  <c r="X204" i="10"/>
  <c r="X32" i="10" s="1"/>
  <c r="W192" i="10"/>
  <c r="W20" i="10" s="1"/>
  <c r="W193" i="10"/>
  <c r="W21" i="10" s="1"/>
  <c r="W194" i="10"/>
  <c r="W22" i="10" s="1"/>
  <c r="W195" i="10"/>
  <c r="W23" i="10" s="1"/>
  <c r="W196" i="10"/>
  <c r="W24" i="10" s="1"/>
  <c r="W197" i="10"/>
  <c r="W25" i="10" s="1"/>
  <c r="W198" i="10"/>
  <c r="W26" i="10" s="1"/>
  <c r="W199" i="10"/>
  <c r="W27" i="10" s="1"/>
  <c r="W200" i="10"/>
  <c r="W28" i="10" s="1"/>
  <c r="W201" i="10"/>
  <c r="W29" i="10" s="1"/>
  <c r="W202" i="10"/>
  <c r="W30" i="10" s="1"/>
  <c r="W203" i="10"/>
  <c r="W31" i="10" s="1"/>
  <c r="W204" i="10"/>
  <c r="W32" i="10" s="1"/>
  <c r="V192" i="10"/>
  <c r="V20" i="10" s="1"/>
  <c r="V193" i="10"/>
  <c r="V21" i="10" s="1"/>
  <c r="V194" i="10"/>
  <c r="V22" i="10" s="1"/>
  <c r="V195" i="10"/>
  <c r="V23" i="10" s="1"/>
  <c r="V196" i="10"/>
  <c r="V24" i="10" s="1"/>
  <c r="V197" i="10"/>
  <c r="V25" i="10" s="1"/>
  <c r="V198" i="10"/>
  <c r="V26" i="10" s="1"/>
  <c r="V199" i="10"/>
  <c r="V27" i="10" s="1"/>
  <c r="V200" i="10"/>
  <c r="V28" i="10" s="1"/>
  <c r="V201" i="10"/>
  <c r="V29" i="10" s="1"/>
  <c r="V202" i="10"/>
  <c r="V30" i="10" s="1"/>
  <c r="V203" i="10"/>
  <c r="V31" i="10" s="1"/>
  <c r="V204" i="10"/>
  <c r="V32" i="10" s="1"/>
  <c r="U192" i="10"/>
  <c r="U20" i="10" s="1"/>
  <c r="U193" i="10"/>
  <c r="U21" i="10" s="1"/>
  <c r="U194" i="10"/>
  <c r="U22" i="10" s="1"/>
  <c r="U195" i="10"/>
  <c r="U23" i="10" s="1"/>
  <c r="U196" i="10"/>
  <c r="U24" i="10" s="1"/>
  <c r="U197" i="10"/>
  <c r="U25" i="10" s="1"/>
  <c r="U198" i="10"/>
  <c r="U26" i="10" s="1"/>
  <c r="U199" i="10"/>
  <c r="U27" i="10" s="1"/>
  <c r="U200" i="10"/>
  <c r="U28" i="10" s="1"/>
  <c r="U201" i="10"/>
  <c r="U29" i="10" s="1"/>
  <c r="U202" i="10"/>
  <c r="U30" i="10" s="1"/>
  <c r="U203" i="10"/>
  <c r="U31" i="10" s="1"/>
  <c r="U204" i="10"/>
  <c r="U32" i="10" s="1"/>
  <c r="T192" i="10"/>
  <c r="T20" i="10" s="1"/>
  <c r="T193" i="10"/>
  <c r="T21" i="10" s="1"/>
  <c r="T194" i="10"/>
  <c r="T22" i="10" s="1"/>
  <c r="T195" i="10"/>
  <c r="T23" i="10" s="1"/>
  <c r="T196" i="10"/>
  <c r="T24" i="10" s="1"/>
  <c r="T197" i="10"/>
  <c r="T25" i="10" s="1"/>
  <c r="T198" i="10"/>
  <c r="T26" i="10" s="1"/>
  <c r="T199" i="10"/>
  <c r="T27" i="10" s="1"/>
  <c r="T200" i="10"/>
  <c r="T28" i="10" s="1"/>
  <c r="T201" i="10"/>
  <c r="T29" i="10" s="1"/>
  <c r="T202" i="10"/>
  <c r="T30" i="10" s="1"/>
  <c r="T203" i="10"/>
  <c r="T31" i="10" s="1"/>
  <c r="T204" i="10"/>
  <c r="T32" i="10" s="1"/>
  <c r="AJ191" i="10"/>
  <c r="AI191" i="10"/>
  <c r="AH191" i="10"/>
  <c r="AG191" i="10"/>
  <c r="AF191" i="10"/>
  <c r="AE191" i="10"/>
  <c r="AD191" i="10"/>
  <c r="AC191" i="10"/>
  <c r="AB191" i="10"/>
  <c r="AA191" i="10"/>
  <c r="Z191" i="10"/>
  <c r="Y191" i="10"/>
  <c r="X191" i="10"/>
  <c r="W191" i="10"/>
  <c r="V191" i="10"/>
  <c r="U191" i="10"/>
  <c r="T191" i="10"/>
  <c r="S192" i="10"/>
  <c r="S20" i="10" s="1"/>
  <c r="S193" i="10"/>
  <c r="S21" i="10" s="1"/>
  <c r="S194" i="10"/>
  <c r="S22" i="10" s="1"/>
  <c r="S195" i="10"/>
  <c r="S23" i="10" s="1"/>
  <c r="S196" i="10"/>
  <c r="S24" i="10" s="1"/>
  <c r="S197" i="10"/>
  <c r="S25" i="10" s="1"/>
  <c r="S198" i="10"/>
  <c r="S26" i="10" s="1"/>
  <c r="S200" i="10"/>
  <c r="S28" i="10" s="1"/>
  <c r="S201" i="10"/>
  <c r="S29" i="10" s="1"/>
  <c r="S202" i="10"/>
  <c r="S30" i="10" s="1"/>
  <c r="S203" i="10"/>
  <c r="S31" i="10" s="1"/>
  <c r="S32" i="10"/>
  <c r="S191" i="10"/>
  <c r="O35" i="1"/>
  <c r="P35" i="1"/>
  <c r="Q35" i="1"/>
  <c r="R35" i="1"/>
  <c r="U35" i="1"/>
  <c r="V35" i="1"/>
  <c r="AB35" i="1"/>
  <c r="AC35" i="1"/>
  <c r="AD35" i="1"/>
  <c r="AE35" i="1"/>
  <c r="AF35" i="1"/>
  <c r="AI35" i="1"/>
  <c r="AJ35" i="1"/>
  <c r="C28" i="1"/>
  <c r="D28" i="1"/>
  <c r="E28" i="1"/>
  <c r="F28" i="1"/>
  <c r="G28" i="1"/>
  <c r="H28" i="1"/>
  <c r="I28" i="1"/>
  <c r="J28" i="1"/>
  <c r="K28" i="1"/>
  <c r="L28" i="1"/>
  <c r="M28" i="1"/>
  <c r="N28" i="1"/>
  <c r="O28" i="1"/>
  <c r="P28" i="1"/>
  <c r="Q28" i="1"/>
  <c r="R28" i="1"/>
  <c r="S28" i="1"/>
  <c r="T28" i="1"/>
  <c r="U28" i="1"/>
  <c r="V28" i="1"/>
  <c r="W28" i="1"/>
  <c r="X28" i="1"/>
  <c r="Y28" i="1"/>
  <c r="Z28" i="1"/>
  <c r="AA28" i="1"/>
  <c r="AB28" i="1"/>
  <c r="AC28" i="1"/>
  <c r="AD28" i="1"/>
  <c r="AE28" i="1"/>
  <c r="AF28" i="1"/>
  <c r="AG28" i="1"/>
  <c r="AH28" i="1"/>
  <c r="AI28" i="1"/>
  <c r="AJ28" i="1"/>
  <c r="AK28" i="1"/>
  <c r="AL28" i="1"/>
  <c r="AM28" i="1"/>
  <c r="AN28" i="1"/>
  <c r="AO28" i="1"/>
  <c r="AP28" i="1"/>
  <c r="AQ28" i="1"/>
  <c r="AR28" i="1"/>
  <c r="AS28" i="1"/>
  <c r="AT28" i="1"/>
  <c r="AU28" i="1"/>
  <c r="AV28" i="1"/>
  <c r="B28" i="1"/>
  <c r="AN41" i="1"/>
  <c r="AN40" i="1"/>
  <c r="AN39" i="1"/>
  <c r="AN38" i="1"/>
  <c r="AL37" i="1"/>
  <c r="AL36" i="1"/>
  <c r="AJ31" i="1"/>
  <c r="AN30" i="1"/>
  <c r="AM29" i="1"/>
  <c r="AK27" i="1"/>
  <c r="AI24" i="1"/>
  <c r="AI23" i="1"/>
  <c r="AI19" i="1"/>
  <c r="AI18" i="1"/>
  <c r="T188" i="10"/>
  <c r="U188" i="10"/>
  <c r="V188" i="10"/>
  <c r="W188" i="10"/>
  <c r="X188" i="10"/>
  <c r="Y188" i="10"/>
  <c r="Z188" i="10"/>
  <c r="AA188" i="10"/>
  <c r="AB188" i="10"/>
  <c r="AC188" i="10"/>
  <c r="AD188" i="10"/>
  <c r="AE188" i="10"/>
  <c r="AF188" i="10"/>
  <c r="AG188" i="10"/>
  <c r="AH188" i="10"/>
  <c r="AI188" i="10"/>
  <c r="AJ188" i="10"/>
  <c r="AK188" i="10"/>
  <c r="AL188" i="10"/>
  <c r="S188" i="10"/>
  <c r="AU105" i="1"/>
  <c r="AU106" i="1" s="1"/>
  <c r="AS50" i="11"/>
  <c r="AR50" i="11"/>
  <c r="AQ50" i="11"/>
  <c r="AP50" i="11"/>
  <c r="AO50" i="11"/>
  <c r="AN50" i="11"/>
  <c r="AM50" i="11"/>
  <c r="AL50" i="11"/>
  <c r="AK50" i="11"/>
  <c r="AJ50" i="11"/>
  <c r="AI50" i="11"/>
  <c r="AH50" i="11"/>
  <c r="AG50" i="11"/>
  <c r="AF50" i="11"/>
  <c r="AE50" i="11"/>
  <c r="AD50" i="11"/>
  <c r="AC50" i="11"/>
  <c r="AB50" i="11"/>
  <c r="AA50" i="11"/>
  <c r="Z50" i="11"/>
  <c r="Y50" i="11"/>
  <c r="X50" i="11"/>
  <c r="W50" i="11"/>
  <c r="V50" i="11"/>
  <c r="U50" i="11"/>
  <c r="T50" i="11"/>
  <c r="S50" i="11"/>
  <c r="R50" i="11"/>
  <c r="Q50" i="11"/>
  <c r="P50" i="11"/>
  <c r="O50" i="11"/>
  <c r="N50" i="11"/>
  <c r="M50" i="11"/>
  <c r="L50" i="11"/>
  <c r="K50" i="11"/>
  <c r="J50" i="11"/>
  <c r="I50" i="11"/>
  <c r="H50" i="11"/>
  <c r="G50" i="11"/>
  <c r="F50" i="11"/>
  <c r="E50" i="11"/>
  <c r="D50" i="11"/>
  <c r="C50" i="11"/>
  <c r="B50" i="11"/>
  <c r="B30" i="11"/>
  <c r="AS30" i="11"/>
  <c r="AR30" i="11"/>
  <c r="AQ30" i="11"/>
  <c r="AP30" i="11"/>
  <c r="AO30" i="11"/>
  <c r="AN30" i="11"/>
  <c r="AM30" i="11"/>
  <c r="AL30" i="11"/>
  <c r="AK30" i="11"/>
  <c r="AJ30" i="11"/>
  <c r="AI30" i="11"/>
  <c r="AH30" i="11"/>
  <c r="AG30" i="11"/>
  <c r="AF30"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F30" i="11"/>
  <c r="E30" i="11"/>
  <c r="D30" i="11"/>
  <c r="C30" i="11"/>
  <c r="L8" i="9"/>
  <c r="M8" i="9"/>
  <c r="L9" i="9"/>
  <c r="M9" i="9"/>
  <c r="L10" i="9"/>
  <c r="M10" i="9"/>
  <c r="L11" i="9"/>
  <c r="M11" i="9"/>
  <c r="L12" i="9"/>
  <c r="M12" i="9"/>
  <c r="L13" i="9"/>
  <c r="M13" i="9"/>
  <c r="L14" i="9"/>
  <c r="M14" i="9"/>
  <c r="L15" i="9"/>
  <c r="M15" i="9"/>
  <c r="L16" i="9"/>
  <c r="M16" i="9"/>
  <c r="L17" i="9"/>
  <c r="M17" i="9"/>
  <c r="L7" i="9"/>
  <c r="M7" i="9"/>
  <c r="L6" i="9"/>
  <c r="M6" i="9"/>
  <c r="L5" i="9"/>
  <c r="M5" i="9"/>
  <c r="L4" i="9"/>
  <c r="M4" i="9"/>
  <c r="B7" i="9"/>
  <c r="C7" i="9"/>
  <c r="D7" i="9"/>
  <c r="E7" i="9"/>
  <c r="F7" i="9"/>
  <c r="G7" i="9"/>
  <c r="H7" i="9"/>
  <c r="I7" i="9"/>
  <c r="J7" i="9"/>
  <c r="K7" i="9"/>
  <c r="B8" i="9"/>
  <c r="C8" i="9"/>
  <c r="D8" i="9"/>
  <c r="E8" i="9"/>
  <c r="F8" i="9"/>
  <c r="G8" i="9"/>
  <c r="H8" i="9"/>
  <c r="I8" i="9"/>
  <c r="J8" i="9"/>
  <c r="K8" i="9"/>
  <c r="B9" i="9"/>
  <c r="C9" i="9"/>
  <c r="D9" i="9"/>
  <c r="E9" i="9"/>
  <c r="F9" i="9"/>
  <c r="G9" i="9"/>
  <c r="H9" i="9"/>
  <c r="I9" i="9"/>
  <c r="J9" i="9"/>
  <c r="K9" i="9"/>
  <c r="B10" i="9"/>
  <c r="C10" i="9"/>
  <c r="D10" i="9"/>
  <c r="E10" i="9"/>
  <c r="F10" i="9"/>
  <c r="G10" i="9"/>
  <c r="H10" i="9"/>
  <c r="I10" i="9"/>
  <c r="J10" i="9"/>
  <c r="K10" i="9"/>
  <c r="B11" i="9"/>
  <c r="C11" i="9"/>
  <c r="D11" i="9"/>
  <c r="E11" i="9"/>
  <c r="F11" i="9"/>
  <c r="G11" i="9"/>
  <c r="H11" i="9"/>
  <c r="I11" i="9"/>
  <c r="J11" i="9"/>
  <c r="K11" i="9"/>
  <c r="B12" i="9"/>
  <c r="C12" i="9"/>
  <c r="D12" i="9"/>
  <c r="E12" i="9"/>
  <c r="F12" i="9"/>
  <c r="G12" i="9"/>
  <c r="H12" i="9"/>
  <c r="I12" i="9"/>
  <c r="J12" i="9"/>
  <c r="K12" i="9"/>
  <c r="B13" i="9"/>
  <c r="C13" i="9"/>
  <c r="D13" i="9"/>
  <c r="E13" i="9"/>
  <c r="F13" i="9"/>
  <c r="G13" i="9"/>
  <c r="H13" i="9"/>
  <c r="I13" i="9"/>
  <c r="J13" i="9"/>
  <c r="K13" i="9"/>
  <c r="B14" i="9"/>
  <c r="C14" i="9"/>
  <c r="D14" i="9"/>
  <c r="E14" i="9"/>
  <c r="F14" i="9"/>
  <c r="G14" i="9"/>
  <c r="H14" i="9"/>
  <c r="I14" i="9"/>
  <c r="J14" i="9"/>
  <c r="K14" i="9"/>
  <c r="B15" i="9"/>
  <c r="C15" i="9"/>
  <c r="D15" i="9"/>
  <c r="E15" i="9"/>
  <c r="F15" i="9"/>
  <c r="G15" i="9"/>
  <c r="H15" i="9"/>
  <c r="I15" i="9"/>
  <c r="J15" i="9"/>
  <c r="K15" i="9"/>
  <c r="B16" i="9"/>
  <c r="C16" i="9"/>
  <c r="D16" i="9"/>
  <c r="E16" i="9"/>
  <c r="F16" i="9"/>
  <c r="G16" i="9"/>
  <c r="H16" i="9"/>
  <c r="I16" i="9"/>
  <c r="J16" i="9"/>
  <c r="K16" i="9"/>
  <c r="B17" i="9"/>
  <c r="C17" i="9"/>
  <c r="D17" i="9"/>
  <c r="E17" i="9"/>
  <c r="F17" i="9"/>
  <c r="G17" i="9"/>
  <c r="H17" i="9"/>
  <c r="I17" i="9"/>
  <c r="J17" i="9"/>
  <c r="K17" i="9"/>
  <c r="B6" i="9"/>
  <c r="C6" i="9"/>
  <c r="D6" i="9"/>
  <c r="E6" i="9"/>
  <c r="F6" i="9"/>
  <c r="G6" i="9"/>
  <c r="H6" i="9"/>
  <c r="I6" i="9"/>
  <c r="J6" i="9"/>
  <c r="K6" i="9"/>
  <c r="B5" i="9"/>
  <c r="C5" i="9"/>
  <c r="D5" i="9"/>
  <c r="E5" i="9"/>
  <c r="F5" i="9"/>
  <c r="G5" i="9"/>
  <c r="H5" i="9"/>
  <c r="I5" i="9"/>
  <c r="J5" i="9"/>
  <c r="K5" i="9"/>
  <c r="T154" i="10"/>
  <c r="U154" i="10"/>
  <c r="V154" i="10"/>
  <c r="W154" i="10"/>
  <c r="X154" i="10"/>
  <c r="Y154" i="10"/>
  <c r="Z154" i="10"/>
  <c r="AA154" i="10"/>
  <c r="AB154" i="10"/>
  <c r="AC154" i="10"/>
  <c r="AD154" i="10"/>
  <c r="AE154" i="10"/>
  <c r="AF154" i="10"/>
  <c r="AG154" i="10"/>
  <c r="AH154" i="10"/>
  <c r="AI154" i="10"/>
  <c r="AJ154" i="10"/>
  <c r="AK154" i="10"/>
  <c r="AL154" i="10"/>
  <c r="S154" i="10"/>
  <c r="T137" i="10"/>
  <c r="U137" i="10"/>
  <c r="V137" i="10"/>
  <c r="W137" i="10"/>
  <c r="X137" i="10"/>
  <c r="Y137" i="10"/>
  <c r="Z137" i="10"/>
  <c r="AA137" i="10"/>
  <c r="AB137" i="10"/>
  <c r="AC137" i="10"/>
  <c r="AD137" i="10"/>
  <c r="AE137" i="10"/>
  <c r="AF137" i="10"/>
  <c r="AG137" i="10"/>
  <c r="AH137" i="10"/>
  <c r="AI137" i="10"/>
  <c r="AJ137" i="10"/>
  <c r="AK137" i="10"/>
  <c r="AL137" i="10"/>
  <c r="S137" i="10"/>
  <c r="T120" i="10"/>
  <c r="U120" i="10"/>
  <c r="V120" i="10"/>
  <c r="W120" i="10"/>
  <c r="X120" i="10"/>
  <c r="Y120" i="10"/>
  <c r="Z120" i="10"/>
  <c r="AA120" i="10"/>
  <c r="AB120" i="10"/>
  <c r="AC120" i="10"/>
  <c r="AD120" i="10"/>
  <c r="AE120" i="10"/>
  <c r="AF120" i="10"/>
  <c r="AG120" i="10"/>
  <c r="AH120" i="10"/>
  <c r="AI120" i="10"/>
  <c r="AJ120" i="10"/>
  <c r="AK120" i="10"/>
  <c r="AL120" i="10"/>
  <c r="S120" i="10"/>
  <c r="T103" i="10"/>
  <c r="U103" i="10"/>
  <c r="V103" i="10"/>
  <c r="W103" i="10"/>
  <c r="X103" i="10"/>
  <c r="Y103" i="10"/>
  <c r="Z103" i="10"/>
  <c r="AA103" i="10"/>
  <c r="AB103" i="10"/>
  <c r="AC103" i="10"/>
  <c r="AD103" i="10"/>
  <c r="AE103" i="10"/>
  <c r="AF103" i="10"/>
  <c r="AG103" i="10"/>
  <c r="AH103" i="10"/>
  <c r="AI103" i="10"/>
  <c r="AJ103" i="10"/>
  <c r="AK103" i="10"/>
  <c r="AL103" i="10"/>
  <c r="S103" i="10"/>
  <c r="T86" i="10"/>
  <c r="U86" i="10"/>
  <c r="V86" i="10"/>
  <c r="W86" i="10"/>
  <c r="X86" i="10"/>
  <c r="Y86" i="10"/>
  <c r="Z86" i="10"/>
  <c r="AA86" i="10"/>
  <c r="AB86" i="10"/>
  <c r="AC86" i="10"/>
  <c r="AD86" i="10"/>
  <c r="AE86" i="10"/>
  <c r="AF86" i="10"/>
  <c r="AG86" i="10"/>
  <c r="AH86" i="10"/>
  <c r="AI86" i="10"/>
  <c r="AJ86" i="10"/>
  <c r="AK86" i="10"/>
  <c r="AL86" i="10"/>
  <c r="S86" i="10"/>
  <c r="T69" i="10"/>
  <c r="U69" i="10"/>
  <c r="V69" i="10"/>
  <c r="W69" i="10"/>
  <c r="X69" i="10"/>
  <c r="Y69" i="10"/>
  <c r="Z69" i="10"/>
  <c r="AA69" i="10"/>
  <c r="AB69" i="10"/>
  <c r="AC69" i="10"/>
  <c r="AD69" i="10"/>
  <c r="AE69" i="10"/>
  <c r="AF69" i="10"/>
  <c r="AG69" i="10"/>
  <c r="AH69" i="10"/>
  <c r="AI69" i="10"/>
  <c r="AJ69" i="10"/>
  <c r="AK69" i="10"/>
  <c r="AL69" i="10"/>
  <c r="S69" i="10"/>
  <c r="B4" i="9"/>
  <c r="C4" i="9"/>
  <c r="D4" i="9"/>
  <c r="E4" i="9"/>
  <c r="F4" i="9"/>
  <c r="G4" i="9"/>
  <c r="H4" i="9"/>
  <c r="I4" i="9"/>
  <c r="J4" i="9"/>
  <c r="K4" i="9"/>
  <c r="T52" i="10"/>
  <c r="U52" i="10"/>
  <c r="V52" i="10"/>
  <c r="W52" i="10"/>
  <c r="X52" i="10"/>
  <c r="Y52" i="10"/>
  <c r="Z52" i="10"/>
  <c r="AA52" i="10"/>
  <c r="AB52" i="10"/>
  <c r="AC52" i="10"/>
  <c r="AD52" i="10"/>
  <c r="AE52" i="10"/>
  <c r="AF52" i="10"/>
  <c r="AG52" i="10"/>
  <c r="AH52" i="10"/>
  <c r="AI52" i="10"/>
  <c r="AJ52" i="10"/>
  <c r="AK52" i="10"/>
  <c r="AL52" i="10"/>
  <c r="S52" i="10"/>
  <c r="B17" i="1"/>
  <c r="C34" i="1"/>
  <c r="D34" i="1"/>
  <c r="E34" i="1"/>
  <c r="F34" i="1"/>
  <c r="G34" i="1"/>
  <c r="H34" i="1"/>
  <c r="I34" i="1"/>
  <c r="J34" i="1"/>
  <c r="K34" i="1"/>
  <c r="L34" i="1"/>
  <c r="M34" i="1"/>
  <c r="B34" i="1"/>
  <c r="C35" i="1"/>
  <c r="D35" i="1"/>
  <c r="E35" i="1"/>
  <c r="F35" i="1"/>
  <c r="G35" i="1"/>
  <c r="H35" i="1"/>
  <c r="I35" i="1"/>
  <c r="J35" i="1"/>
  <c r="K35" i="1"/>
  <c r="L35" i="1"/>
  <c r="M35" i="1"/>
  <c r="N35" i="1"/>
  <c r="S35" i="1"/>
  <c r="T35" i="1"/>
  <c r="W35" i="1"/>
  <c r="X35" i="1"/>
  <c r="Y35" i="1"/>
  <c r="Z35" i="1"/>
  <c r="AA35" i="1"/>
  <c r="AG35" i="1"/>
  <c r="AH35" i="1"/>
  <c r="AK35" i="1"/>
  <c r="B35" i="1"/>
  <c r="AV35" i="1"/>
  <c r="AU35" i="1"/>
  <c r="AT35" i="1"/>
  <c r="AS35" i="1"/>
  <c r="AR35" i="1"/>
  <c r="AQ35" i="1"/>
  <c r="AP35" i="1"/>
  <c r="AO35" i="1"/>
  <c r="AN35" i="1"/>
  <c r="AM35" i="1"/>
  <c r="AL35" i="1"/>
  <c r="AV116" i="1"/>
  <c r="AU116" i="1"/>
  <c r="AT116" i="1"/>
  <c r="AR116" i="1"/>
  <c r="AQ116" i="1"/>
  <c r="AP116" i="1"/>
  <c r="AO116" i="1"/>
  <c r="AN116" i="1"/>
  <c r="AM116" i="1"/>
  <c r="AL116" i="1"/>
  <c r="AK116" i="1"/>
  <c r="AJ116" i="1"/>
  <c r="AI116" i="1"/>
  <c r="AH116" i="1"/>
  <c r="AG116" i="1"/>
  <c r="AF116" i="1"/>
  <c r="AE116" i="1"/>
  <c r="AD116" i="1"/>
  <c r="AC116" i="1"/>
  <c r="AB116" i="1"/>
  <c r="AA116" i="1"/>
  <c r="Z116" i="1"/>
  <c r="Y116" i="1"/>
  <c r="X116" i="1"/>
  <c r="W116" i="1"/>
  <c r="V116" i="1"/>
  <c r="U116" i="1"/>
  <c r="T116" i="1"/>
  <c r="S116" i="1"/>
  <c r="R116" i="1"/>
  <c r="Q116" i="1"/>
  <c r="P116" i="1"/>
  <c r="O116" i="1"/>
  <c r="N116" i="1"/>
  <c r="D105" i="1"/>
  <c r="D106" i="1" s="1"/>
  <c r="E105" i="1"/>
  <c r="E106" i="1" s="1"/>
  <c r="F105" i="1"/>
  <c r="F106" i="1" s="1"/>
  <c r="G105" i="1"/>
  <c r="G106" i="1" s="1"/>
  <c r="H105" i="1"/>
  <c r="H106" i="1" s="1"/>
  <c r="I105" i="1"/>
  <c r="I106" i="1" s="1"/>
  <c r="J105" i="1"/>
  <c r="J106" i="1" s="1"/>
  <c r="K105" i="1"/>
  <c r="K106" i="1" s="1"/>
  <c r="L105" i="1"/>
  <c r="L106" i="1" s="1"/>
  <c r="M105" i="1"/>
  <c r="M106" i="1" s="1"/>
  <c r="N105" i="1"/>
  <c r="N106" i="1" s="1"/>
  <c r="O105" i="1"/>
  <c r="O106" i="1" s="1"/>
  <c r="P105" i="1"/>
  <c r="P106" i="1" s="1"/>
  <c r="Q105" i="1"/>
  <c r="Q106" i="1" s="1"/>
  <c r="R105" i="1"/>
  <c r="R106" i="1" s="1"/>
  <c r="S105" i="1"/>
  <c r="S106" i="1" s="1"/>
  <c r="T105" i="1"/>
  <c r="T106" i="1" s="1"/>
  <c r="U105" i="1"/>
  <c r="U106" i="1" s="1"/>
  <c r="V105" i="1"/>
  <c r="V106" i="1" s="1"/>
  <c r="W105" i="1"/>
  <c r="W106" i="1" s="1"/>
  <c r="X105" i="1"/>
  <c r="X106" i="1" s="1"/>
  <c r="Y105" i="1"/>
  <c r="Y106" i="1" s="1"/>
  <c r="Z105" i="1"/>
  <c r="Z106" i="1" s="1"/>
  <c r="AA105" i="1"/>
  <c r="AA106" i="1" s="1"/>
  <c r="AB105" i="1"/>
  <c r="AB106" i="1" s="1"/>
  <c r="AC105" i="1"/>
  <c r="AC106" i="1" s="1"/>
  <c r="AD105" i="1"/>
  <c r="AD106" i="1" s="1"/>
  <c r="AE105" i="1"/>
  <c r="AE106" i="1" s="1"/>
  <c r="AF105" i="1"/>
  <c r="AF106" i="1" s="1"/>
  <c r="AG105" i="1"/>
  <c r="AG106" i="1" s="1"/>
  <c r="AH105" i="1"/>
  <c r="AH106" i="1" s="1"/>
  <c r="AI105" i="1"/>
  <c r="AI106" i="1" s="1"/>
  <c r="AJ105" i="1"/>
  <c r="AJ106" i="1" s="1"/>
  <c r="AK105" i="1"/>
  <c r="AK106" i="1" s="1"/>
  <c r="AL105" i="1"/>
  <c r="AL106" i="1" s="1"/>
  <c r="AM105" i="1"/>
  <c r="AM106" i="1" s="1"/>
  <c r="AN105" i="1"/>
  <c r="AN106" i="1" s="1"/>
  <c r="AO105" i="1"/>
  <c r="AO106" i="1" s="1"/>
  <c r="AP105" i="1"/>
  <c r="AP106" i="1" s="1"/>
  <c r="AQ105" i="1"/>
  <c r="AQ106" i="1" s="1"/>
  <c r="AR105" i="1"/>
  <c r="AR106" i="1" s="1"/>
  <c r="AS105" i="1"/>
  <c r="AS106" i="1" s="1"/>
  <c r="AT105" i="1"/>
  <c r="AT106" i="1" s="1"/>
  <c r="C105" i="1"/>
  <c r="C106" i="1" s="1"/>
  <c r="B14" i="8"/>
  <c r="B39" i="8" s="1"/>
  <c r="C14" i="8"/>
  <c r="C39" i="8" s="1"/>
  <c r="D14" i="8"/>
  <c r="D39" i="8" s="1"/>
  <c r="E14" i="8"/>
  <c r="E39" i="8" s="1"/>
  <c r="F14" i="8"/>
  <c r="F39" i="8" s="1"/>
  <c r="G14" i="8"/>
  <c r="G39" i="8" s="1"/>
  <c r="H14" i="8"/>
  <c r="H39" i="8" s="1"/>
  <c r="I14" i="8"/>
  <c r="I39" i="8" s="1"/>
  <c r="J14" i="8"/>
  <c r="J39" i="8" s="1"/>
  <c r="K14" i="8"/>
  <c r="K39" i="8" s="1"/>
  <c r="L14" i="8"/>
  <c r="L39" i="8" s="1"/>
  <c r="M14" i="8"/>
  <c r="M39" i="8" s="1"/>
  <c r="M13" i="8"/>
  <c r="M38" i="8" s="1"/>
  <c r="M15" i="8"/>
  <c r="M40" i="8" s="1"/>
  <c r="M16" i="8"/>
  <c r="M41" i="8" s="1"/>
  <c r="M17" i="8"/>
  <c r="M42" i="8" s="1"/>
  <c r="M18" i="8"/>
  <c r="M43" i="8" s="1"/>
  <c r="M19" i="8"/>
  <c r="M44" i="8" s="1"/>
  <c r="M20" i="8"/>
  <c r="M45" i="8" s="1"/>
  <c r="M21" i="8"/>
  <c r="M46" i="8" s="1"/>
  <c r="M23" i="8"/>
  <c r="M48" i="8" s="1"/>
  <c r="M24" i="8"/>
  <c r="M49" i="8" s="1"/>
  <c r="M25" i="8"/>
  <c r="M50" i="8" s="1"/>
  <c r="M26" i="8"/>
  <c r="M51" i="8" s="1"/>
  <c r="M27" i="8"/>
  <c r="M52" i="8" s="1"/>
  <c r="M28" i="8"/>
  <c r="M53" i="8" s="1"/>
  <c r="M29" i="8"/>
  <c r="M54" i="8" s="1"/>
  <c r="M30" i="8"/>
  <c r="M55" i="8" s="1"/>
  <c r="M11" i="8"/>
  <c r="L13" i="8"/>
  <c r="L38" i="8" s="1"/>
  <c r="L15" i="8"/>
  <c r="L40" i="8" s="1"/>
  <c r="L16" i="8"/>
  <c r="L41" i="8" s="1"/>
  <c r="L17" i="8"/>
  <c r="L42" i="8" s="1"/>
  <c r="L18" i="8"/>
  <c r="L43" i="8" s="1"/>
  <c r="L19" i="8"/>
  <c r="L44" i="8" s="1"/>
  <c r="L20" i="8"/>
  <c r="L45" i="8" s="1"/>
  <c r="L21" i="8"/>
  <c r="L46" i="8" s="1"/>
  <c r="L23" i="8"/>
  <c r="L48" i="8" s="1"/>
  <c r="L24" i="8"/>
  <c r="L49" i="8" s="1"/>
  <c r="L25" i="8"/>
  <c r="L50" i="8" s="1"/>
  <c r="L26" i="8"/>
  <c r="L51" i="8" s="1"/>
  <c r="L27" i="8"/>
  <c r="L52" i="8" s="1"/>
  <c r="L28" i="8"/>
  <c r="L53" i="8" s="1"/>
  <c r="L29" i="8"/>
  <c r="L54" i="8" s="1"/>
  <c r="L30" i="8"/>
  <c r="L55" i="8" s="1"/>
  <c r="L11" i="8"/>
  <c r="K13" i="8"/>
  <c r="K38" i="8" s="1"/>
  <c r="K15" i="8"/>
  <c r="K40" i="8" s="1"/>
  <c r="K16" i="8"/>
  <c r="K41" i="8" s="1"/>
  <c r="K17" i="8"/>
  <c r="K42" i="8" s="1"/>
  <c r="K18" i="8"/>
  <c r="K43" i="8" s="1"/>
  <c r="K19" i="8"/>
  <c r="K44" i="8" s="1"/>
  <c r="K20" i="8"/>
  <c r="K45" i="8" s="1"/>
  <c r="K21" i="8"/>
  <c r="K46" i="8" s="1"/>
  <c r="K23" i="8"/>
  <c r="K48" i="8" s="1"/>
  <c r="K24" i="8"/>
  <c r="K49" i="8" s="1"/>
  <c r="K25" i="8"/>
  <c r="K50" i="8" s="1"/>
  <c r="K26" i="8"/>
  <c r="K51" i="8" s="1"/>
  <c r="K27" i="8"/>
  <c r="K52" i="8" s="1"/>
  <c r="K28" i="8"/>
  <c r="K53" i="8" s="1"/>
  <c r="K29" i="8"/>
  <c r="K54" i="8" s="1"/>
  <c r="K30" i="8"/>
  <c r="K55" i="8" s="1"/>
  <c r="K11" i="8"/>
  <c r="J13" i="8"/>
  <c r="J38" i="8" s="1"/>
  <c r="J15" i="8"/>
  <c r="J40" i="8" s="1"/>
  <c r="J16" i="8"/>
  <c r="J41" i="8" s="1"/>
  <c r="J17" i="8"/>
  <c r="J42" i="8" s="1"/>
  <c r="J18" i="8"/>
  <c r="J43" i="8" s="1"/>
  <c r="J19" i="8"/>
  <c r="J44" i="8" s="1"/>
  <c r="J20" i="8"/>
  <c r="J45" i="8" s="1"/>
  <c r="J21" i="8"/>
  <c r="J46" i="8" s="1"/>
  <c r="J23" i="8"/>
  <c r="J48" i="8" s="1"/>
  <c r="J24" i="8"/>
  <c r="J49" i="8" s="1"/>
  <c r="J25" i="8"/>
  <c r="J50" i="8" s="1"/>
  <c r="J26" i="8"/>
  <c r="J51" i="8" s="1"/>
  <c r="J27" i="8"/>
  <c r="J52" i="8" s="1"/>
  <c r="J28" i="8"/>
  <c r="J53" i="8" s="1"/>
  <c r="J29" i="8"/>
  <c r="J54" i="8" s="1"/>
  <c r="J30" i="8"/>
  <c r="J55" i="8" s="1"/>
  <c r="J11" i="8"/>
  <c r="I13" i="8"/>
  <c r="I38" i="8" s="1"/>
  <c r="I15" i="8"/>
  <c r="I40" i="8" s="1"/>
  <c r="I16" i="8"/>
  <c r="I41" i="8" s="1"/>
  <c r="I17" i="8"/>
  <c r="I42" i="8" s="1"/>
  <c r="I18" i="8"/>
  <c r="I43" i="8" s="1"/>
  <c r="I19" i="8"/>
  <c r="I44" i="8" s="1"/>
  <c r="I20" i="8"/>
  <c r="I45" i="8" s="1"/>
  <c r="I21" i="8"/>
  <c r="I46" i="8" s="1"/>
  <c r="I23" i="8"/>
  <c r="I48" i="8" s="1"/>
  <c r="I24" i="8"/>
  <c r="I49" i="8" s="1"/>
  <c r="I25" i="8"/>
  <c r="I50" i="8" s="1"/>
  <c r="I26" i="8"/>
  <c r="I51" i="8" s="1"/>
  <c r="I27" i="8"/>
  <c r="I52" i="8" s="1"/>
  <c r="I28" i="8"/>
  <c r="I53" i="8" s="1"/>
  <c r="I29" i="8"/>
  <c r="I54" i="8" s="1"/>
  <c r="I30" i="8"/>
  <c r="I55" i="8" s="1"/>
  <c r="I11" i="8"/>
  <c r="H13" i="8"/>
  <c r="H38" i="8" s="1"/>
  <c r="H15" i="8"/>
  <c r="H40" i="8" s="1"/>
  <c r="H16" i="8"/>
  <c r="H41" i="8" s="1"/>
  <c r="H17" i="8"/>
  <c r="H42" i="8" s="1"/>
  <c r="H18" i="8"/>
  <c r="H43" i="8" s="1"/>
  <c r="H19" i="8"/>
  <c r="H44" i="8" s="1"/>
  <c r="H20" i="8"/>
  <c r="H45" i="8" s="1"/>
  <c r="H21" i="8"/>
  <c r="H46" i="8" s="1"/>
  <c r="H23" i="8"/>
  <c r="H48" i="8" s="1"/>
  <c r="H24" i="8"/>
  <c r="H49" i="8" s="1"/>
  <c r="H25" i="8"/>
  <c r="H50" i="8" s="1"/>
  <c r="H26" i="8"/>
  <c r="H51" i="8" s="1"/>
  <c r="H27" i="8"/>
  <c r="H52" i="8" s="1"/>
  <c r="H28" i="8"/>
  <c r="H53" i="8" s="1"/>
  <c r="H29" i="8"/>
  <c r="H54" i="8" s="1"/>
  <c r="H30" i="8"/>
  <c r="H55" i="8" s="1"/>
  <c r="H11" i="8"/>
  <c r="G13" i="8"/>
  <c r="G38" i="8" s="1"/>
  <c r="G15" i="8"/>
  <c r="G40" i="8" s="1"/>
  <c r="G16" i="8"/>
  <c r="G41" i="8" s="1"/>
  <c r="G17" i="8"/>
  <c r="G42" i="8" s="1"/>
  <c r="G18" i="8"/>
  <c r="G43" i="8" s="1"/>
  <c r="G19" i="8"/>
  <c r="G44" i="8" s="1"/>
  <c r="G20" i="8"/>
  <c r="G45" i="8" s="1"/>
  <c r="G21" i="8"/>
  <c r="G46" i="8" s="1"/>
  <c r="G23" i="8"/>
  <c r="G48" i="8" s="1"/>
  <c r="G24" i="8"/>
  <c r="G49" i="8" s="1"/>
  <c r="G25" i="8"/>
  <c r="G50" i="8" s="1"/>
  <c r="G26" i="8"/>
  <c r="G51" i="8" s="1"/>
  <c r="G27" i="8"/>
  <c r="G52" i="8" s="1"/>
  <c r="G28" i="8"/>
  <c r="G53" i="8" s="1"/>
  <c r="G29" i="8"/>
  <c r="G54" i="8" s="1"/>
  <c r="G30" i="8"/>
  <c r="G55" i="8" s="1"/>
  <c r="G11" i="8"/>
  <c r="F13" i="8"/>
  <c r="F38" i="8" s="1"/>
  <c r="F15" i="8"/>
  <c r="F40" i="8" s="1"/>
  <c r="F16" i="8"/>
  <c r="F41" i="8" s="1"/>
  <c r="F17" i="8"/>
  <c r="F42" i="8" s="1"/>
  <c r="F18" i="8"/>
  <c r="F43" i="8" s="1"/>
  <c r="F19" i="8"/>
  <c r="F44" i="8" s="1"/>
  <c r="F20" i="8"/>
  <c r="F45" i="8" s="1"/>
  <c r="F21" i="8"/>
  <c r="F46" i="8" s="1"/>
  <c r="F23" i="8"/>
  <c r="F48" i="8" s="1"/>
  <c r="F24" i="8"/>
  <c r="F49" i="8" s="1"/>
  <c r="F25" i="8"/>
  <c r="F50" i="8" s="1"/>
  <c r="F26" i="8"/>
  <c r="F51" i="8" s="1"/>
  <c r="F27" i="8"/>
  <c r="F52" i="8" s="1"/>
  <c r="F28" i="8"/>
  <c r="F53" i="8" s="1"/>
  <c r="F29" i="8"/>
  <c r="F54" i="8" s="1"/>
  <c r="F30" i="8"/>
  <c r="F55" i="8" s="1"/>
  <c r="F11" i="8"/>
  <c r="E13" i="8"/>
  <c r="E38" i="8" s="1"/>
  <c r="E15" i="8"/>
  <c r="E40" i="8" s="1"/>
  <c r="E16" i="8"/>
  <c r="E41" i="8" s="1"/>
  <c r="E17" i="8"/>
  <c r="E42" i="8" s="1"/>
  <c r="E18" i="8"/>
  <c r="E43" i="8" s="1"/>
  <c r="E19" i="8"/>
  <c r="E44" i="8" s="1"/>
  <c r="E20" i="8"/>
  <c r="E45" i="8" s="1"/>
  <c r="E21" i="8"/>
  <c r="E46" i="8" s="1"/>
  <c r="E23" i="8"/>
  <c r="E48" i="8" s="1"/>
  <c r="E24" i="8"/>
  <c r="E49" i="8" s="1"/>
  <c r="E25" i="8"/>
  <c r="E50" i="8" s="1"/>
  <c r="E26" i="8"/>
  <c r="E51" i="8" s="1"/>
  <c r="E27" i="8"/>
  <c r="E52" i="8" s="1"/>
  <c r="E28" i="8"/>
  <c r="E53" i="8" s="1"/>
  <c r="E29" i="8"/>
  <c r="E54" i="8" s="1"/>
  <c r="E30" i="8"/>
  <c r="E55" i="8" s="1"/>
  <c r="E11" i="8"/>
  <c r="M12" i="8"/>
  <c r="M37" i="8" s="1"/>
  <c r="L12" i="8"/>
  <c r="L37" i="8" s="1"/>
  <c r="K12" i="8"/>
  <c r="K37" i="8" s="1"/>
  <c r="J12" i="8"/>
  <c r="J37" i="8" s="1"/>
  <c r="I12" i="8"/>
  <c r="I37" i="8" s="1"/>
  <c r="H12" i="8"/>
  <c r="H37" i="8" s="1"/>
  <c r="G12" i="8"/>
  <c r="G37" i="8" s="1"/>
  <c r="F12" i="8"/>
  <c r="F37" i="8" s="1"/>
  <c r="E12" i="8"/>
  <c r="E37" i="8" s="1"/>
  <c r="D13" i="8"/>
  <c r="D38" i="8" s="1"/>
  <c r="D15" i="8"/>
  <c r="D40" i="8" s="1"/>
  <c r="D16" i="8"/>
  <c r="D41" i="8" s="1"/>
  <c r="D17" i="8"/>
  <c r="D42" i="8" s="1"/>
  <c r="D18" i="8"/>
  <c r="D43" i="8" s="1"/>
  <c r="D19" i="8"/>
  <c r="D44" i="8" s="1"/>
  <c r="D20" i="8"/>
  <c r="D45" i="8" s="1"/>
  <c r="D21" i="8"/>
  <c r="D46" i="8" s="1"/>
  <c r="D23" i="8"/>
  <c r="D48" i="8" s="1"/>
  <c r="D24" i="8"/>
  <c r="D49" i="8" s="1"/>
  <c r="D25" i="8"/>
  <c r="D50" i="8" s="1"/>
  <c r="D26" i="8"/>
  <c r="D51" i="8" s="1"/>
  <c r="D27" i="8"/>
  <c r="D52" i="8" s="1"/>
  <c r="D28" i="8"/>
  <c r="D53" i="8" s="1"/>
  <c r="D29" i="8"/>
  <c r="D54" i="8" s="1"/>
  <c r="D30" i="8"/>
  <c r="D55" i="8" s="1"/>
  <c r="D11" i="8"/>
  <c r="D12" i="8"/>
  <c r="D37" i="8" s="1"/>
  <c r="C13" i="8"/>
  <c r="C38" i="8" s="1"/>
  <c r="C15" i="8"/>
  <c r="C40" i="8" s="1"/>
  <c r="C16" i="8"/>
  <c r="C41" i="8" s="1"/>
  <c r="C17" i="8"/>
  <c r="C42" i="8" s="1"/>
  <c r="C18" i="8"/>
  <c r="C43" i="8" s="1"/>
  <c r="C19" i="8"/>
  <c r="C44" i="8" s="1"/>
  <c r="C20" i="8"/>
  <c r="C45" i="8" s="1"/>
  <c r="C21" i="8"/>
  <c r="C46" i="8" s="1"/>
  <c r="C23" i="8"/>
  <c r="C48" i="8" s="1"/>
  <c r="C24" i="8"/>
  <c r="C49" i="8" s="1"/>
  <c r="C25" i="8"/>
  <c r="C50" i="8" s="1"/>
  <c r="C26" i="8"/>
  <c r="C51" i="8" s="1"/>
  <c r="C27" i="8"/>
  <c r="C52" i="8" s="1"/>
  <c r="C28" i="8"/>
  <c r="C53" i="8" s="1"/>
  <c r="C29" i="8"/>
  <c r="C54" i="8" s="1"/>
  <c r="C30" i="8"/>
  <c r="C55" i="8" s="1"/>
  <c r="C11" i="8"/>
  <c r="C12" i="8"/>
  <c r="C37" i="8" s="1"/>
  <c r="B12" i="8"/>
  <c r="B37" i="8" s="1"/>
  <c r="B13" i="8"/>
  <c r="B38" i="8" s="1"/>
  <c r="B15" i="8"/>
  <c r="B40" i="8" s="1"/>
  <c r="B16" i="8"/>
  <c r="B41" i="8" s="1"/>
  <c r="B17" i="8"/>
  <c r="B42" i="8" s="1"/>
  <c r="B18" i="8"/>
  <c r="B43" i="8" s="1"/>
  <c r="B19" i="8"/>
  <c r="B44" i="8" s="1"/>
  <c r="B20" i="8"/>
  <c r="B45" i="8" s="1"/>
  <c r="B21" i="8"/>
  <c r="B46" i="8" s="1"/>
  <c r="B23" i="8"/>
  <c r="B48" i="8" s="1"/>
  <c r="B24" i="8"/>
  <c r="B49" i="8" s="1"/>
  <c r="B25" i="8"/>
  <c r="B50" i="8" s="1"/>
  <c r="B26" i="8"/>
  <c r="B51" i="8" s="1"/>
  <c r="B27" i="8"/>
  <c r="B52" i="8" s="1"/>
  <c r="B28" i="8"/>
  <c r="B53" i="8" s="1"/>
  <c r="B29" i="8"/>
  <c r="B54" i="8" s="1"/>
  <c r="B30" i="8"/>
  <c r="B55" i="8" s="1"/>
  <c r="B11" i="8"/>
  <c r="C43" i="1"/>
  <c r="C59" i="1" s="1"/>
  <c r="D43" i="1"/>
  <c r="D59" i="1" s="1"/>
  <c r="E43" i="1"/>
  <c r="E59" i="1" s="1"/>
  <c r="F43" i="1"/>
  <c r="F59" i="1" s="1"/>
  <c r="G43" i="1"/>
  <c r="G59" i="1" s="1"/>
  <c r="H43" i="1"/>
  <c r="H59" i="1" s="1"/>
  <c r="I43" i="1"/>
  <c r="I59" i="1" s="1"/>
  <c r="J43" i="1"/>
  <c r="J59" i="1" s="1"/>
  <c r="K43" i="1"/>
  <c r="K59" i="1" s="1"/>
  <c r="L43" i="1"/>
  <c r="L59" i="1" s="1"/>
  <c r="M43" i="1"/>
  <c r="M59" i="1" s="1"/>
  <c r="N43" i="1"/>
  <c r="N59" i="1" s="1"/>
  <c r="O43" i="1"/>
  <c r="O59" i="1" s="1"/>
  <c r="P43" i="1"/>
  <c r="P59" i="1" s="1"/>
  <c r="Q43" i="1"/>
  <c r="Q59" i="1" s="1"/>
  <c r="R43" i="1"/>
  <c r="R59" i="1" s="1"/>
  <c r="S43" i="1"/>
  <c r="S59" i="1" s="1"/>
  <c r="T43" i="1"/>
  <c r="T59" i="1" s="1"/>
  <c r="U43" i="1"/>
  <c r="U59" i="1" s="1"/>
  <c r="V43" i="1"/>
  <c r="V59" i="1" s="1"/>
  <c r="W43" i="1"/>
  <c r="W59" i="1" s="1"/>
  <c r="X43" i="1"/>
  <c r="X59" i="1" s="1"/>
  <c r="Y43" i="1"/>
  <c r="Y59" i="1" s="1"/>
  <c r="Z43" i="1"/>
  <c r="Z59" i="1" s="1"/>
  <c r="AA43" i="1"/>
  <c r="AA59" i="1" s="1"/>
  <c r="AB43" i="1"/>
  <c r="AB59" i="1" s="1"/>
  <c r="AC43" i="1"/>
  <c r="AC59" i="1" s="1"/>
  <c r="AD43" i="1"/>
  <c r="AD59" i="1" s="1"/>
  <c r="AE43" i="1"/>
  <c r="AE59" i="1" s="1"/>
  <c r="AF43" i="1"/>
  <c r="AF59" i="1" s="1"/>
  <c r="AG43" i="1"/>
  <c r="AG59" i="1" s="1"/>
  <c r="AH43" i="1"/>
  <c r="AH59" i="1" s="1"/>
  <c r="AI43" i="1"/>
  <c r="AI59" i="1" s="1"/>
  <c r="AJ43" i="1"/>
  <c r="AJ59" i="1" s="1"/>
  <c r="AK43" i="1"/>
  <c r="AK59" i="1" s="1"/>
  <c r="AL43" i="1"/>
  <c r="AL59" i="1" s="1"/>
  <c r="AM43" i="1"/>
  <c r="AM59" i="1" s="1"/>
  <c r="AN43" i="1"/>
  <c r="AN59" i="1" s="1"/>
  <c r="AO43" i="1"/>
  <c r="AO59" i="1" s="1"/>
  <c r="AP43" i="1"/>
  <c r="AP59" i="1" s="1"/>
  <c r="AQ43" i="1"/>
  <c r="AQ59" i="1" s="1"/>
  <c r="AR43" i="1"/>
  <c r="AR59" i="1" s="1"/>
  <c r="AS43" i="1"/>
  <c r="AS59" i="1" s="1"/>
  <c r="AT43" i="1"/>
  <c r="AT59" i="1" s="1"/>
  <c r="AU43" i="1"/>
  <c r="AU59" i="1" s="1"/>
  <c r="AV43" i="1"/>
  <c r="AV59" i="1" s="1"/>
  <c r="C44" i="1"/>
  <c r="C60" i="1" s="1"/>
  <c r="D44" i="1"/>
  <c r="D60" i="1" s="1"/>
  <c r="E44" i="1"/>
  <c r="E60" i="1" s="1"/>
  <c r="F44" i="1"/>
  <c r="F60" i="1" s="1"/>
  <c r="G44" i="1"/>
  <c r="G60" i="1" s="1"/>
  <c r="H44" i="1"/>
  <c r="H60" i="1" s="1"/>
  <c r="I44" i="1"/>
  <c r="I60" i="1" s="1"/>
  <c r="J44" i="1"/>
  <c r="J60" i="1" s="1"/>
  <c r="K44" i="1"/>
  <c r="K60" i="1" s="1"/>
  <c r="L44" i="1"/>
  <c r="L60" i="1" s="1"/>
  <c r="M44" i="1"/>
  <c r="M60" i="1" s="1"/>
  <c r="N44" i="1"/>
  <c r="N60" i="1" s="1"/>
  <c r="O44" i="1"/>
  <c r="O60" i="1" s="1"/>
  <c r="P44" i="1"/>
  <c r="P60" i="1" s="1"/>
  <c r="Q44" i="1"/>
  <c r="Q60" i="1" s="1"/>
  <c r="R44" i="1"/>
  <c r="R60" i="1" s="1"/>
  <c r="S44" i="1"/>
  <c r="S60" i="1" s="1"/>
  <c r="T44" i="1"/>
  <c r="T60" i="1" s="1"/>
  <c r="U44" i="1"/>
  <c r="U60" i="1" s="1"/>
  <c r="V44" i="1"/>
  <c r="V60" i="1" s="1"/>
  <c r="W44" i="1"/>
  <c r="W60" i="1" s="1"/>
  <c r="X44" i="1"/>
  <c r="X60" i="1" s="1"/>
  <c r="Y44" i="1"/>
  <c r="Y60" i="1" s="1"/>
  <c r="Z44" i="1"/>
  <c r="Z60" i="1" s="1"/>
  <c r="AA44" i="1"/>
  <c r="AA60" i="1" s="1"/>
  <c r="AB44" i="1"/>
  <c r="AB60" i="1" s="1"/>
  <c r="AC44" i="1"/>
  <c r="AC60" i="1" s="1"/>
  <c r="AD44" i="1"/>
  <c r="AD60" i="1" s="1"/>
  <c r="AE44" i="1"/>
  <c r="AE60" i="1" s="1"/>
  <c r="AF44" i="1"/>
  <c r="AF60" i="1" s="1"/>
  <c r="AG44" i="1"/>
  <c r="AG60" i="1" s="1"/>
  <c r="AH44" i="1"/>
  <c r="AH60" i="1" s="1"/>
  <c r="AI44" i="1"/>
  <c r="AI60" i="1" s="1"/>
  <c r="AJ44" i="1"/>
  <c r="AJ60" i="1" s="1"/>
  <c r="AK44" i="1"/>
  <c r="AK60" i="1" s="1"/>
  <c r="AL44" i="1"/>
  <c r="AL60" i="1" s="1"/>
  <c r="AM44" i="1"/>
  <c r="AM60" i="1" s="1"/>
  <c r="AN44" i="1"/>
  <c r="AN60" i="1" s="1"/>
  <c r="AO44" i="1"/>
  <c r="AO60" i="1" s="1"/>
  <c r="AP44" i="1"/>
  <c r="AP60" i="1" s="1"/>
  <c r="AQ44" i="1"/>
  <c r="AQ60" i="1" s="1"/>
  <c r="AR44" i="1"/>
  <c r="AR60" i="1" s="1"/>
  <c r="AS44" i="1"/>
  <c r="AS60" i="1" s="1"/>
  <c r="AT44" i="1"/>
  <c r="AT60" i="1" s="1"/>
  <c r="AU44" i="1"/>
  <c r="AU60" i="1" s="1"/>
  <c r="AV44" i="1"/>
  <c r="AV60" i="1" s="1"/>
  <c r="B44" i="1"/>
  <c r="B60" i="1" s="1"/>
  <c r="B43" i="1"/>
  <c r="B59" i="1" s="1"/>
  <c r="C36" i="1"/>
  <c r="D36" i="1"/>
  <c r="E36" i="1"/>
  <c r="F36" i="1"/>
  <c r="G36" i="1"/>
  <c r="H36" i="1"/>
  <c r="I36" i="1"/>
  <c r="J36" i="1"/>
  <c r="K36" i="1"/>
  <c r="L36" i="1"/>
  <c r="M36" i="1"/>
  <c r="N36" i="1"/>
  <c r="O36" i="1"/>
  <c r="P36" i="1"/>
  <c r="Q36" i="1"/>
  <c r="R36" i="1"/>
  <c r="S36" i="1"/>
  <c r="T36" i="1"/>
  <c r="U36" i="1"/>
  <c r="V36" i="1"/>
  <c r="W36" i="1"/>
  <c r="X36" i="1"/>
  <c r="Y36" i="1"/>
  <c r="Z36" i="1"/>
  <c r="AA36" i="1"/>
  <c r="AB36" i="1"/>
  <c r="AC36" i="1"/>
  <c r="AD36" i="1"/>
  <c r="AE36" i="1"/>
  <c r="AF36" i="1"/>
  <c r="AG36" i="1"/>
  <c r="AH36" i="1"/>
  <c r="AI36" i="1"/>
  <c r="AJ36" i="1"/>
  <c r="AK36" i="1"/>
  <c r="AM36" i="1"/>
  <c r="AN36" i="1"/>
  <c r="AO36" i="1"/>
  <c r="AP36" i="1"/>
  <c r="AQ36" i="1"/>
  <c r="AR36" i="1"/>
  <c r="AS36" i="1"/>
  <c r="AT36" i="1"/>
  <c r="AU36" i="1"/>
  <c r="AV36" i="1"/>
  <c r="C37" i="1"/>
  <c r="D37" i="1"/>
  <c r="E37" i="1"/>
  <c r="F37" i="1"/>
  <c r="G37" i="1"/>
  <c r="H37" i="1"/>
  <c r="I37" i="1"/>
  <c r="J37" i="1"/>
  <c r="K37" i="1"/>
  <c r="L37" i="1"/>
  <c r="M37" i="1"/>
  <c r="N37" i="1"/>
  <c r="O37" i="1"/>
  <c r="P37" i="1"/>
  <c r="Q37" i="1"/>
  <c r="R37" i="1"/>
  <c r="S37" i="1"/>
  <c r="T37" i="1"/>
  <c r="U37" i="1"/>
  <c r="V37" i="1"/>
  <c r="W37" i="1"/>
  <c r="X37" i="1"/>
  <c r="Y37" i="1"/>
  <c r="Z37" i="1"/>
  <c r="AA37" i="1"/>
  <c r="AB37" i="1"/>
  <c r="AC37" i="1"/>
  <c r="AD37" i="1"/>
  <c r="AE37" i="1"/>
  <c r="AF37" i="1"/>
  <c r="AG37" i="1"/>
  <c r="AH37" i="1"/>
  <c r="AI37" i="1"/>
  <c r="AJ37" i="1"/>
  <c r="AK37" i="1"/>
  <c r="AM37" i="1"/>
  <c r="AN37" i="1"/>
  <c r="AO37" i="1"/>
  <c r="AP37" i="1"/>
  <c r="AQ37" i="1"/>
  <c r="AR37" i="1"/>
  <c r="AS37" i="1"/>
  <c r="AT37" i="1"/>
  <c r="AU37" i="1"/>
  <c r="AV37" i="1"/>
  <c r="C38" i="1"/>
  <c r="D38" i="1"/>
  <c r="E38" i="1"/>
  <c r="F38" i="1"/>
  <c r="G38" i="1"/>
  <c r="H38" i="1"/>
  <c r="I38" i="1"/>
  <c r="J38" i="1"/>
  <c r="K38" i="1"/>
  <c r="L38" i="1"/>
  <c r="M38" i="1"/>
  <c r="N38" i="1"/>
  <c r="O38" i="1"/>
  <c r="P38" i="1"/>
  <c r="Q38" i="1"/>
  <c r="R38" i="1"/>
  <c r="S38" i="1"/>
  <c r="T38" i="1"/>
  <c r="U38" i="1"/>
  <c r="V38" i="1"/>
  <c r="W38" i="1"/>
  <c r="X38" i="1"/>
  <c r="Y38" i="1"/>
  <c r="Z38" i="1"/>
  <c r="AA38" i="1"/>
  <c r="AB38" i="1"/>
  <c r="AC38" i="1"/>
  <c r="AD38" i="1"/>
  <c r="AE38" i="1"/>
  <c r="AF38" i="1"/>
  <c r="AG38" i="1"/>
  <c r="AH38" i="1"/>
  <c r="AI38" i="1"/>
  <c r="AJ38" i="1"/>
  <c r="AK38" i="1"/>
  <c r="AL38" i="1"/>
  <c r="AM38" i="1"/>
  <c r="AO38" i="1"/>
  <c r="AP38" i="1"/>
  <c r="AQ38" i="1"/>
  <c r="AR38" i="1"/>
  <c r="AS38" i="1"/>
  <c r="AT38" i="1"/>
  <c r="AU38" i="1"/>
  <c r="AV38" i="1"/>
  <c r="C39" i="1"/>
  <c r="D39" i="1"/>
  <c r="E39" i="1"/>
  <c r="F39" i="1"/>
  <c r="G39" i="1"/>
  <c r="H39" i="1"/>
  <c r="I39" i="1"/>
  <c r="J39" i="1"/>
  <c r="K39" i="1"/>
  <c r="L39" i="1"/>
  <c r="M39" i="1"/>
  <c r="N39" i="1"/>
  <c r="O39" i="1"/>
  <c r="P39" i="1"/>
  <c r="Q39" i="1"/>
  <c r="R39" i="1"/>
  <c r="S39" i="1"/>
  <c r="T39" i="1"/>
  <c r="U39" i="1"/>
  <c r="V39" i="1"/>
  <c r="W39" i="1"/>
  <c r="X39" i="1"/>
  <c r="Y39" i="1"/>
  <c r="Z39" i="1"/>
  <c r="AA39" i="1"/>
  <c r="AB39" i="1"/>
  <c r="AC39" i="1"/>
  <c r="AD39" i="1"/>
  <c r="AE39" i="1"/>
  <c r="AF39" i="1"/>
  <c r="AG39" i="1"/>
  <c r="AH39" i="1"/>
  <c r="AI39" i="1"/>
  <c r="AJ39" i="1"/>
  <c r="AK39" i="1"/>
  <c r="AL39" i="1"/>
  <c r="AM39" i="1"/>
  <c r="AO39" i="1"/>
  <c r="AP39" i="1"/>
  <c r="AQ39" i="1"/>
  <c r="AR39" i="1"/>
  <c r="AS39" i="1"/>
  <c r="AT39" i="1"/>
  <c r="AU39" i="1"/>
  <c r="AV39" i="1"/>
  <c r="C40" i="1"/>
  <c r="D40" i="1"/>
  <c r="E40" i="1"/>
  <c r="F40" i="1"/>
  <c r="G40" i="1"/>
  <c r="H40" i="1"/>
  <c r="I40" i="1"/>
  <c r="J40" i="1"/>
  <c r="K40" i="1"/>
  <c r="L40" i="1"/>
  <c r="M40" i="1"/>
  <c r="N40" i="1"/>
  <c r="O40" i="1"/>
  <c r="P40" i="1"/>
  <c r="Q40" i="1"/>
  <c r="R40" i="1"/>
  <c r="S40" i="1"/>
  <c r="T40" i="1"/>
  <c r="U40" i="1"/>
  <c r="V40" i="1"/>
  <c r="W40" i="1"/>
  <c r="X40" i="1"/>
  <c r="Y40" i="1"/>
  <c r="Z40" i="1"/>
  <c r="AA40" i="1"/>
  <c r="AB40" i="1"/>
  <c r="AC40" i="1"/>
  <c r="AD40" i="1"/>
  <c r="AE40" i="1"/>
  <c r="AF40" i="1"/>
  <c r="AG40" i="1"/>
  <c r="AH40" i="1"/>
  <c r="AI40" i="1"/>
  <c r="AJ40" i="1"/>
  <c r="AK40" i="1"/>
  <c r="AL40" i="1"/>
  <c r="AM40" i="1"/>
  <c r="AO40" i="1"/>
  <c r="AP40" i="1"/>
  <c r="AQ40" i="1"/>
  <c r="AR40" i="1"/>
  <c r="AS40" i="1"/>
  <c r="AT40" i="1"/>
  <c r="AU40" i="1"/>
  <c r="AV40" i="1"/>
  <c r="C41" i="1"/>
  <c r="D41" i="1"/>
  <c r="E41" i="1"/>
  <c r="F41" i="1"/>
  <c r="G41" i="1"/>
  <c r="H41" i="1"/>
  <c r="I41" i="1"/>
  <c r="J41" i="1"/>
  <c r="K41" i="1"/>
  <c r="L41" i="1"/>
  <c r="M41" i="1"/>
  <c r="N41" i="1"/>
  <c r="O41" i="1"/>
  <c r="P41" i="1"/>
  <c r="Q41" i="1"/>
  <c r="R41" i="1"/>
  <c r="S41" i="1"/>
  <c r="T41" i="1"/>
  <c r="U41" i="1"/>
  <c r="V41" i="1"/>
  <c r="W41" i="1"/>
  <c r="X41" i="1"/>
  <c r="Y41" i="1"/>
  <c r="Z41" i="1"/>
  <c r="AA41" i="1"/>
  <c r="AB41" i="1"/>
  <c r="AC41" i="1"/>
  <c r="AD41" i="1"/>
  <c r="AE41" i="1"/>
  <c r="AF41" i="1"/>
  <c r="AG41" i="1"/>
  <c r="AH41" i="1"/>
  <c r="AI41" i="1"/>
  <c r="AJ41" i="1"/>
  <c r="AK41" i="1"/>
  <c r="AL41" i="1"/>
  <c r="AM41" i="1"/>
  <c r="AO41" i="1"/>
  <c r="AP41" i="1"/>
  <c r="AQ41" i="1"/>
  <c r="AR41" i="1"/>
  <c r="AS41" i="1"/>
  <c r="AT41" i="1"/>
  <c r="AU41" i="1"/>
  <c r="AV41" i="1"/>
  <c r="B41" i="1"/>
  <c r="B40" i="1"/>
  <c r="B39" i="1"/>
  <c r="B38" i="1"/>
  <c r="B37" i="1"/>
  <c r="B36" i="1"/>
  <c r="C29" i="1"/>
  <c r="D29" i="1"/>
  <c r="E29" i="1"/>
  <c r="F29" i="1"/>
  <c r="G29" i="1"/>
  <c r="H29" i="1"/>
  <c r="I29" i="1"/>
  <c r="J29" i="1"/>
  <c r="K29" i="1"/>
  <c r="L29" i="1"/>
  <c r="M29" i="1"/>
  <c r="N29" i="1"/>
  <c r="O29" i="1"/>
  <c r="P29" i="1"/>
  <c r="Q29" i="1"/>
  <c r="R29" i="1"/>
  <c r="S29" i="1"/>
  <c r="T29" i="1"/>
  <c r="U29" i="1"/>
  <c r="V29" i="1"/>
  <c r="W29" i="1"/>
  <c r="X29" i="1"/>
  <c r="Y29" i="1"/>
  <c r="Z29" i="1"/>
  <c r="AA29" i="1"/>
  <c r="AB29" i="1"/>
  <c r="AC29" i="1"/>
  <c r="AD29" i="1"/>
  <c r="AE29" i="1"/>
  <c r="AF29" i="1"/>
  <c r="AG29" i="1"/>
  <c r="AH29" i="1"/>
  <c r="AI29" i="1"/>
  <c r="AJ29" i="1"/>
  <c r="AK29" i="1"/>
  <c r="AL29" i="1"/>
  <c r="AN29" i="1"/>
  <c r="AO29" i="1"/>
  <c r="AP29" i="1"/>
  <c r="AQ29" i="1"/>
  <c r="AR29" i="1"/>
  <c r="AS29" i="1"/>
  <c r="AT29" i="1"/>
  <c r="AU29" i="1"/>
  <c r="AV29" i="1"/>
  <c r="C30" i="1"/>
  <c r="D30" i="1"/>
  <c r="E30" i="1"/>
  <c r="F30" i="1"/>
  <c r="G30" i="1"/>
  <c r="H30" i="1"/>
  <c r="I30" i="1"/>
  <c r="J30" i="1"/>
  <c r="K30" i="1"/>
  <c r="L30" i="1"/>
  <c r="M30" i="1"/>
  <c r="N30" i="1"/>
  <c r="O30" i="1"/>
  <c r="P30" i="1"/>
  <c r="Q30" i="1"/>
  <c r="R30" i="1"/>
  <c r="S30" i="1"/>
  <c r="T30" i="1"/>
  <c r="U30" i="1"/>
  <c r="V30" i="1"/>
  <c r="W30" i="1"/>
  <c r="X30" i="1"/>
  <c r="Y30" i="1"/>
  <c r="Z30" i="1"/>
  <c r="AA30" i="1"/>
  <c r="AB30" i="1"/>
  <c r="AC30" i="1"/>
  <c r="AD30" i="1"/>
  <c r="AE30" i="1"/>
  <c r="AF30" i="1"/>
  <c r="AG30" i="1"/>
  <c r="AH30" i="1"/>
  <c r="AI30" i="1"/>
  <c r="AJ30" i="1"/>
  <c r="AK30" i="1"/>
  <c r="AL30" i="1"/>
  <c r="AM30" i="1"/>
  <c r="AO30" i="1"/>
  <c r="AP30" i="1"/>
  <c r="AQ30" i="1"/>
  <c r="AR30" i="1"/>
  <c r="AS30" i="1"/>
  <c r="AT30" i="1"/>
  <c r="AU30" i="1"/>
  <c r="AV30" i="1"/>
  <c r="C31" i="1"/>
  <c r="D31" i="1"/>
  <c r="E31" i="1"/>
  <c r="F31" i="1"/>
  <c r="G31" i="1"/>
  <c r="H31" i="1"/>
  <c r="I31" i="1"/>
  <c r="J31" i="1"/>
  <c r="K31" i="1"/>
  <c r="L31" i="1"/>
  <c r="M31" i="1"/>
  <c r="N31" i="1"/>
  <c r="O31" i="1"/>
  <c r="P31" i="1"/>
  <c r="Q31" i="1"/>
  <c r="R31" i="1"/>
  <c r="S31" i="1"/>
  <c r="T31" i="1"/>
  <c r="U31" i="1"/>
  <c r="V31" i="1"/>
  <c r="W31" i="1"/>
  <c r="X31" i="1"/>
  <c r="Y31" i="1"/>
  <c r="Z31" i="1"/>
  <c r="AA31" i="1"/>
  <c r="AB31" i="1"/>
  <c r="AC31" i="1"/>
  <c r="AD31" i="1"/>
  <c r="AE31" i="1"/>
  <c r="AF31" i="1"/>
  <c r="AG31" i="1"/>
  <c r="AH31" i="1"/>
  <c r="AI31" i="1"/>
  <c r="AK31" i="1"/>
  <c r="AL31" i="1"/>
  <c r="AM31" i="1"/>
  <c r="AN31" i="1"/>
  <c r="AO31" i="1"/>
  <c r="AP31" i="1"/>
  <c r="AQ31" i="1"/>
  <c r="AR31" i="1"/>
  <c r="AS31" i="1"/>
  <c r="AT31" i="1"/>
  <c r="AU31" i="1"/>
  <c r="AV31" i="1"/>
  <c r="C27" i="1"/>
  <c r="D27" i="1"/>
  <c r="E27" i="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L27" i="1"/>
  <c r="AM27" i="1"/>
  <c r="AN27" i="1"/>
  <c r="AO27" i="1"/>
  <c r="AP27" i="1"/>
  <c r="AQ27" i="1"/>
  <c r="AR27" i="1"/>
  <c r="AS27" i="1"/>
  <c r="AT27" i="1"/>
  <c r="AU27" i="1"/>
  <c r="AV27" i="1"/>
  <c r="B31" i="1"/>
  <c r="B30" i="1"/>
  <c r="B29" i="1"/>
  <c r="B27" i="1"/>
  <c r="C23" i="1"/>
  <c r="D23" i="1"/>
  <c r="E23" i="1"/>
  <c r="F23" i="1"/>
  <c r="G23" i="1"/>
  <c r="H23" i="1"/>
  <c r="I23" i="1"/>
  <c r="J23" i="1"/>
  <c r="K23" i="1"/>
  <c r="L23" i="1"/>
  <c r="M23" i="1"/>
  <c r="N23" i="1"/>
  <c r="O23" i="1"/>
  <c r="P23" i="1"/>
  <c r="Q23" i="1"/>
  <c r="R23" i="1"/>
  <c r="S23" i="1"/>
  <c r="T23" i="1"/>
  <c r="U23" i="1"/>
  <c r="V23" i="1"/>
  <c r="W23" i="1"/>
  <c r="X23" i="1"/>
  <c r="Y23" i="1"/>
  <c r="Z23" i="1"/>
  <c r="AA23" i="1"/>
  <c r="AB23" i="1"/>
  <c r="AC23" i="1"/>
  <c r="AD23" i="1"/>
  <c r="AE23" i="1"/>
  <c r="AF23" i="1"/>
  <c r="AG23" i="1"/>
  <c r="AH23" i="1"/>
  <c r="AJ23" i="1"/>
  <c r="AK23" i="1"/>
  <c r="AL23" i="1"/>
  <c r="AM23" i="1"/>
  <c r="AN23" i="1"/>
  <c r="AO23" i="1"/>
  <c r="AP23" i="1"/>
  <c r="AQ23" i="1"/>
  <c r="AR23" i="1"/>
  <c r="AS23" i="1"/>
  <c r="AT23" i="1"/>
  <c r="AU23" i="1"/>
  <c r="AV23" i="1"/>
  <c r="C24" i="1"/>
  <c r="D24" i="1"/>
  <c r="E24" i="1"/>
  <c r="F24" i="1"/>
  <c r="G24" i="1"/>
  <c r="H24" i="1"/>
  <c r="I24" i="1"/>
  <c r="J24" i="1"/>
  <c r="K24" i="1"/>
  <c r="L24" i="1"/>
  <c r="M24" i="1"/>
  <c r="N24" i="1"/>
  <c r="O24" i="1"/>
  <c r="P24" i="1"/>
  <c r="Q24" i="1"/>
  <c r="R24" i="1"/>
  <c r="S24" i="1"/>
  <c r="T24" i="1"/>
  <c r="U24" i="1"/>
  <c r="V24" i="1"/>
  <c r="W24" i="1"/>
  <c r="X24" i="1"/>
  <c r="Y24" i="1"/>
  <c r="Z24" i="1"/>
  <c r="AA24" i="1"/>
  <c r="AB24" i="1"/>
  <c r="AC24" i="1"/>
  <c r="AD24" i="1"/>
  <c r="AE24" i="1"/>
  <c r="AF24" i="1"/>
  <c r="AG24" i="1"/>
  <c r="AH24" i="1"/>
  <c r="AJ24" i="1"/>
  <c r="AK24" i="1"/>
  <c r="AL24" i="1"/>
  <c r="AM24" i="1"/>
  <c r="AN24" i="1"/>
  <c r="AO24" i="1"/>
  <c r="AP24" i="1"/>
  <c r="AQ24" i="1"/>
  <c r="AR24" i="1"/>
  <c r="AS24" i="1"/>
  <c r="AT24" i="1"/>
  <c r="AU24" i="1"/>
  <c r="AV24" i="1"/>
  <c r="B24" i="1"/>
  <c r="B23" i="1"/>
  <c r="C19" i="1"/>
  <c r="D19" i="1"/>
  <c r="E19" i="1"/>
  <c r="F19" i="1"/>
  <c r="G19" i="1"/>
  <c r="H19" i="1"/>
  <c r="I19" i="1"/>
  <c r="J19" i="1"/>
  <c r="K19" i="1"/>
  <c r="L19" i="1"/>
  <c r="M19" i="1"/>
  <c r="N19" i="1"/>
  <c r="O19" i="1"/>
  <c r="P19" i="1"/>
  <c r="Q19" i="1"/>
  <c r="R19" i="1"/>
  <c r="S19" i="1"/>
  <c r="T19" i="1"/>
  <c r="U19" i="1"/>
  <c r="V19" i="1"/>
  <c r="W19" i="1"/>
  <c r="X19" i="1"/>
  <c r="Y19" i="1"/>
  <c r="Z19" i="1"/>
  <c r="AA19" i="1"/>
  <c r="AB19" i="1"/>
  <c r="AC19" i="1"/>
  <c r="AD19" i="1"/>
  <c r="AE19" i="1"/>
  <c r="AF19" i="1"/>
  <c r="AG19" i="1"/>
  <c r="AH19" i="1"/>
  <c r="AJ19" i="1"/>
  <c r="AK19" i="1"/>
  <c r="AL19" i="1"/>
  <c r="AM19" i="1"/>
  <c r="AN19" i="1"/>
  <c r="AO19" i="1"/>
  <c r="AP19" i="1"/>
  <c r="AQ19" i="1"/>
  <c r="AR19" i="1"/>
  <c r="AS19" i="1"/>
  <c r="AT19" i="1"/>
  <c r="AU19" i="1"/>
  <c r="AV19" i="1"/>
  <c r="AU18" i="1"/>
  <c r="AV18" i="1"/>
  <c r="C18" i="1"/>
  <c r="D18" i="1"/>
  <c r="E18" i="1"/>
  <c r="F18" i="1"/>
  <c r="G18" i="1"/>
  <c r="H18" i="1"/>
  <c r="I18" i="1"/>
  <c r="J18" i="1"/>
  <c r="K18" i="1"/>
  <c r="L18" i="1"/>
  <c r="M18" i="1"/>
  <c r="N18" i="1"/>
  <c r="O18" i="1"/>
  <c r="P18" i="1"/>
  <c r="Q18" i="1"/>
  <c r="R18" i="1"/>
  <c r="S18" i="1"/>
  <c r="T18" i="1"/>
  <c r="U18" i="1"/>
  <c r="V18" i="1"/>
  <c r="W18" i="1"/>
  <c r="X18" i="1"/>
  <c r="Y18" i="1"/>
  <c r="Z18" i="1"/>
  <c r="AA18" i="1"/>
  <c r="AB18" i="1"/>
  <c r="AC18" i="1"/>
  <c r="AD18" i="1"/>
  <c r="AE18" i="1"/>
  <c r="AF18" i="1"/>
  <c r="AG18" i="1"/>
  <c r="AH18" i="1"/>
  <c r="AJ18" i="1"/>
  <c r="AK18" i="1"/>
  <c r="AL18" i="1"/>
  <c r="AM18" i="1"/>
  <c r="AN18" i="1"/>
  <c r="AO18" i="1"/>
  <c r="AP18" i="1"/>
  <c r="AQ18" i="1"/>
  <c r="AR18" i="1"/>
  <c r="AS18" i="1"/>
  <c r="AT18" i="1"/>
  <c r="B19" i="1"/>
  <c r="B18" i="1"/>
  <c r="C17" i="1"/>
  <c r="D17" i="1"/>
  <c r="E17" i="1"/>
  <c r="F17" i="1"/>
  <c r="G17" i="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M17" i="1"/>
  <c r="AN17" i="1"/>
  <c r="AO17" i="1"/>
  <c r="AP17" i="1"/>
  <c r="AQ17" i="1"/>
  <c r="AR17" i="1"/>
  <c r="AS17" i="1"/>
  <c r="AT17" i="1"/>
  <c r="AU17" i="1"/>
  <c r="AV17" i="1"/>
  <c r="E3" i="5"/>
  <c r="D3" i="5"/>
  <c r="C3" i="5"/>
  <c r="N143" i="4"/>
  <c r="N141" i="4"/>
  <c r="N140" i="4"/>
  <c r="N139" i="4"/>
  <c r="N138" i="4"/>
  <c r="N137" i="4"/>
  <c r="N136" i="4"/>
  <c r="N135" i="4"/>
  <c r="N134" i="4"/>
  <c r="N133" i="4"/>
  <c r="N132" i="4"/>
  <c r="N131" i="4"/>
  <c r="N129" i="4"/>
  <c r="N128" i="4"/>
  <c r="N127" i="4"/>
  <c r="N126" i="4"/>
  <c r="N125" i="4"/>
  <c r="N124" i="4"/>
  <c r="N122" i="4"/>
  <c r="N121" i="4"/>
  <c r="N120" i="4"/>
  <c r="N119" i="4"/>
  <c r="N118" i="4"/>
  <c r="N117" i="4"/>
  <c r="N116" i="4"/>
  <c r="N115" i="4"/>
  <c r="N114" i="4"/>
  <c r="N113" i="4"/>
  <c r="N112" i="4"/>
  <c r="N111" i="4"/>
  <c r="N110" i="4"/>
  <c r="N109" i="4"/>
  <c r="N108" i="4"/>
  <c r="N106" i="4"/>
  <c r="N105" i="4"/>
  <c r="N104" i="4"/>
  <c r="N103" i="4"/>
  <c r="N102" i="4"/>
  <c r="N101" i="4"/>
  <c r="N107" i="4"/>
  <c r="N98" i="4"/>
  <c r="N96" i="4"/>
  <c r="N95" i="4"/>
  <c r="N94" i="4"/>
  <c r="N93" i="4"/>
  <c r="N92" i="4"/>
  <c r="N91" i="4"/>
  <c r="N90" i="4"/>
  <c r="N89" i="4"/>
  <c r="N85" i="4"/>
  <c r="N88" i="4"/>
  <c r="N87" i="4"/>
  <c r="N86" i="4"/>
  <c r="N84" i="4"/>
  <c r="N83" i="4"/>
  <c r="N82" i="4"/>
  <c r="N81" i="4"/>
  <c r="N80" i="4"/>
  <c r="N68" i="4"/>
  <c r="N77" i="4"/>
  <c r="N73" i="4"/>
  <c r="N69" i="4"/>
  <c r="N75" i="4"/>
  <c r="N79" i="4"/>
  <c r="N74" i="4"/>
  <c r="N78" i="4"/>
  <c r="N76" i="4"/>
  <c r="N72" i="4"/>
  <c r="N71" i="4"/>
  <c r="N70" i="4"/>
  <c r="N67" i="4"/>
  <c r="N66" i="4"/>
  <c r="N65" i="4"/>
  <c r="N64" i="4"/>
  <c r="N63" i="4"/>
  <c r="N62" i="4"/>
  <c r="N61" i="4"/>
  <c r="N60" i="4"/>
  <c r="N58" i="4"/>
  <c r="N57" i="4"/>
  <c r="N52" i="4"/>
  <c r="N53" i="4"/>
  <c r="N56" i="4"/>
  <c r="N55" i="4"/>
  <c r="N54" i="4"/>
  <c r="N51" i="4"/>
  <c r="N50" i="4"/>
  <c r="N49" i="4"/>
  <c r="N48" i="4"/>
  <c r="N47" i="4"/>
  <c r="N46" i="4"/>
  <c r="N45" i="4"/>
  <c r="N44" i="4"/>
  <c r="N43" i="4"/>
  <c r="N42" i="4"/>
  <c r="N41" i="4"/>
  <c r="N40" i="4"/>
  <c r="N39" i="4"/>
  <c r="N37" i="4"/>
  <c r="N36" i="4"/>
  <c r="N35" i="4"/>
  <c r="N34" i="4"/>
  <c r="N32" i="4"/>
  <c r="N31" i="4"/>
  <c r="N30" i="4"/>
  <c r="N29" i="4"/>
  <c r="N28" i="4"/>
  <c r="N27" i="4"/>
  <c r="N26" i="4"/>
  <c r="N25" i="4"/>
  <c r="N24" i="4"/>
  <c r="N23" i="4"/>
  <c r="N22" i="4"/>
  <c r="N18" i="4"/>
  <c r="N17" i="4"/>
  <c r="N14" i="4"/>
  <c r="N9" i="4"/>
  <c r="N19" i="4"/>
  <c r="N8" i="4"/>
  <c r="N7" i="4"/>
  <c r="N6" i="4"/>
  <c r="N5" i="4"/>
  <c r="AA203" i="3"/>
  <c r="Z203" i="3"/>
  <c r="Y203" i="3"/>
  <c r="X203" i="3"/>
  <c r="W203" i="3"/>
  <c r="V203" i="3"/>
  <c r="U203" i="3"/>
  <c r="T203" i="3"/>
  <c r="S203" i="3"/>
  <c r="R203" i="3"/>
  <c r="Q203" i="3"/>
  <c r="P203" i="3"/>
  <c r="O203" i="3"/>
  <c r="N203" i="3"/>
  <c r="M203" i="3"/>
  <c r="L203" i="3"/>
  <c r="K203" i="3"/>
  <c r="J203" i="3"/>
  <c r="I203" i="3"/>
  <c r="H203" i="3"/>
  <c r="G203" i="3"/>
  <c r="F203" i="3"/>
  <c r="E203" i="3"/>
  <c r="AR666" i="2"/>
  <c r="AQ666" i="2"/>
  <c r="AP666" i="2"/>
  <c r="AO666" i="2"/>
  <c r="AN666" i="2"/>
  <c r="AM666" i="2"/>
  <c r="AL666" i="2"/>
  <c r="AK666" i="2"/>
  <c r="AJ666" i="2"/>
  <c r="AI666" i="2"/>
  <c r="AG666" i="2"/>
  <c r="AF666" i="2"/>
  <c r="AE666" i="2"/>
  <c r="AD666" i="2"/>
  <c r="AC666" i="2"/>
  <c r="AB666" i="2"/>
  <c r="AA666" i="2"/>
  <c r="Z666" i="2"/>
  <c r="Y666" i="2"/>
  <c r="X666" i="2"/>
  <c r="W666" i="2"/>
  <c r="V666" i="2"/>
  <c r="U666" i="2"/>
  <c r="T666" i="2"/>
  <c r="S666" i="2"/>
  <c r="R666" i="2"/>
  <c r="Q666" i="2"/>
  <c r="P666" i="2"/>
  <c r="O666" i="2"/>
  <c r="N666" i="2"/>
  <c r="AM120" i="1" l="1"/>
  <c r="AM119" i="1"/>
  <c r="Z120" i="1"/>
  <c r="Z119" i="1"/>
  <c r="AN119" i="1"/>
  <c r="AN120" i="1"/>
  <c r="AA120" i="1"/>
  <c r="AA119" i="1"/>
  <c r="AO119" i="1"/>
  <c r="AO120" i="1"/>
  <c r="AL120" i="1"/>
  <c r="AL119" i="1"/>
  <c r="Y120" i="1"/>
  <c r="Y119" i="1"/>
  <c r="N120" i="1"/>
  <c r="N119" i="1"/>
  <c r="AB119" i="1"/>
  <c r="AB120" i="1"/>
  <c r="AP119" i="1"/>
  <c r="AP120" i="1"/>
  <c r="O120" i="1"/>
  <c r="O119" i="1"/>
  <c r="AC119" i="1"/>
  <c r="AC120" i="1"/>
  <c r="AQ120" i="1"/>
  <c r="AQ119" i="1"/>
  <c r="W119" i="1"/>
  <c r="W120" i="1"/>
  <c r="P120" i="1"/>
  <c r="P119" i="1"/>
  <c r="AD119" i="1"/>
  <c r="AD120" i="1"/>
  <c r="AR120" i="1"/>
  <c r="AR119" i="1"/>
  <c r="Q119" i="1"/>
  <c r="Q120" i="1"/>
  <c r="AE119" i="1"/>
  <c r="AE120" i="1"/>
  <c r="AT119" i="1"/>
  <c r="AT120" i="1"/>
  <c r="R119" i="1"/>
  <c r="R120" i="1"/>
  <c r="AF119" i="1"/>
  <c r="AF120" i="1"/>
  <c r="AU119" i="1"/>
  <c r="AU120" i="1"/>
  <c r="S120" i="1"/>
  <c r="S119" i="1"/>
  <c r="AG119" i="1"/>
  <c r="AG120" i="1"/>
  <c r="T119" i="1"/>
  <c r="T120" i="1"/>
  <c r="AH119" i="1"/>
  <c r="AH120" i="1"/>
  <c r="X119" i="1"/>
  <c r="X120" i="1"/>
  <c r="U119" i="1"/>
  <c r="U120" i="1"/>
  <c r="AI119" i="1"/>
  <c r="AI120" i="1"/>
  <c r="V119" i="1"/>
  <c r="V120" i="1"/>
  <c r="AJ119" i="1"/>
  <c r="AJ120" i="1"/>
  <c r="K36" i="8"/>
  <c r="K56" i="8" s="1"/>
  <c r="K31" i="8"/>
  <c r="G31" i="8"/>
  <c r="G36" i="8"/>
  <c r="G56" i="8" s="1"/>
  <c r="B31" i="8"/>
  <c r="B36" i="8"/>
  <c r="B56" i="8" s="1"/>
  <c r="L36" i="8"/>
  <c r="L56" i="8" s="1"/>
  <c r="L31" i="8"/>
  <c r="F36" i="8"/>
  <c r="F56" i="8" s="1"/>
  <c r="F31" i="8"/>
  <c r="H36" i="8"/>
  <c r="H56" i="8" s="1"/>
  <c r="H31" i="8"/>
  <c r="M31" i="8"/>
  <c r="M36" i="8"/>
  <c r="M56" i="8" s="1"/>
  <c r="J36" i="8"/>
  <c r="J56" i="8" s="1"/>
  <c r="J31" i="8"/>
  <c r="D36" i="8"/>
  <c r="D56" i="8" s="1"/>
  <c r="D31" i="8"/>
  <c r="C31" i="8"/>
  <c r="C36" i="8"/>
  <c r="C56" i="8" s="1"/>
  <c r="I36" i="8"/>
  <c r="I56" i="8" s="1"/>
  <c r="I31" i="8"/>
  <c r="E31" i="8"/>
  <c r="E36" i="8"/>
  <c r="E56" i="8" s="1"/>
  <c r="AI20" i="1"/>
  <c r="AI55" i="1" s="1"/>
  <c r="N144" i="4"/>
  <c r="H18" i="9"/>
  <c r="AC42" i="1"/>
  <c r="AC58" i="1" s="1"/>
  <c r="G20" i="1"/>
  <c r="G55" i="1" s="1"/>
  <c r="B18" i="9"/>
  <c r="F20" i="1"/>
  <c r="F55" i="1" s="1"/>
  <c r="S20" i="1"/>
  <c r="S55" i="1" s="1"/>
  <c r="AK32" i="1"/>
  <c r="AK57" i="1" s="1"/>
  <c r="R20" i="1"/>
  <c r="R55" i="1" s="1"/>
  <c r="L32" i="1"/>
  <c r="L57" i="1" s="1"/>
  <c r="AD20" i="1"/>
  <c r="AD55" i="1" s="1"/>
  <c r="X32" i="1"/>
  <c r="X57" i="1" s="1"/>
  <c r="AP42" i="1"/>
  <c r="AP58" i="1" s="1"/>
  <c r="G18" i="9"/>
  <c r="AE42" i="1"/>
  <c r="AE58" i="1" s="1"/>
  <c r="F18" i="9"/>
  <c r="AD42" i="1"/>
  <c r="AD58" i="1" s="1"/>
  <c r="E18" i="9"/>
  <c r="AJ32" i="1"/>
  <c r="AJ57" i="1" s="1"/>
  <c r="S42" i="1"/>
  <c r="S58" i="1" s="1"/>
  <c r="Y20" i="1"/>
  <c r="Y55" i="1" s="1"/>
  <c r="D18" i="9"/>
  <c r="M18" i="9"/>
  <c r="G42" i="1"/>
  <c r="G58" i="1" s="1"/>
  <c r="F42" i="1"/>
  <c r="F58" i="1" s="1"/>
  <c r="C18" i="9"/>
  <c r="L18" i="9"/>
  <c r="AE20" i="1"/>
  <c r="AE55" i="1" s="1"/>
  <c r="M32" i="1"/>
  <c r="M57" i="1" s="1"/>
  <c r="AS42" i="1"/>
  <c r="AS58" i="1" s="1"/>
  <c r="R42" i="1"/>
  <c r="R58" i="1" s="1"/>
  <c r="E42" i="1"/>
  <c r="E58" i="1" s="1"/>
  <c r="Y32" i="1"/>
  <c r="Y57" i="1" s="1"/>
  <c r="Q42" i="1"/>
  <c r="Q58" i="1" s="1"/>
  <c r="K18" i="9"/>
  <c r="J18" i="9"/>
  <c r="M20" i="1"/>
  <c r="M55" i="1" s="1"/>
  <c r="I18" i="9"/>
  <c r="AH42" i="1"/>
  <c r="AH58" i="1" s="1"/>
  <c r="V42" i="1"/>
  <c r="V58" i="1" s="1"/>
  <c r="J42" i="1"/>
  <c r="J58" i="1" s="1"/>
  <c r="AO42" i="1"/>
  <c r="AO58" i="1" s="1"/>
  <c r="AB42" i="1"/>
  <c r="AB58" i="1" s="1"/>
  <c r="P42" i="1"/>
  <c r="P58" i="1" s="1"/>
  <c r="D42" i="1"/>
  <c r="D58" i="1" s="1"/>
  <c r="AK42" i="1"/>
  <c r="AK58" i="1" s="1"/>
  <c r="Y42" i="1"/>
  <c r="Y58" i="1" s="1"/>
  <c r="M42" i="1"/>
  <c r="M58" i="1" s="1"/>
  <c r="AN42" i="1"/>
  <c r="AN58" i="1" s="1"/>
  <c r="AA42" i="1"/>
  <c r="AA58" i="1" s="1"/>
  <c r="O42" i="1"/>
  <c r="O58" i="1" s="1"/>
  <c r="C42" i="1"/>
  <c r="C58" i="1" s="1"/>
  <c r="AJ42" i="1"/>
  <c r="AJ58" i="1" s="1"/>
  <c r="X42" i="1"/>
  <c r="X58" i="1" s="1"/>
  <c r="L42" i="1"/>
  <c r="L58" i="1" s="1"/>
  <c r="AM42" i="1"/>
  <c r="AM58" i="1" s="1"/>
  <c r="Z42" i="1"/>
  <c r="Z58" i="1" s="1"/>
  <c r="N42" i="1"/>
  <c r="N58" i="1" s="1"/>
  <c r="AV42" i="1"/>
  <c r="AV58" i="1" s="1"/>
  <c r="AI42" i="1"/>
  <c r="AI58" i="1" s="1"/>
  <c r="W42" i="1"/>
  <c r="W58" i="1" s="1"/>
  <c r="K42" i="1"/>
  <c r="K58" i="1" s="1"/>
  <c r="B20" i="1"/>
  <c r="B55" i="1" s="1"/>
  <c r="AU42" i="1"/>
  <c r="AU58" i="1" s="1"/>
  <c r="AK20" i="1"/>
  <c r="AK55" i="1" s="1"/>
  <c r="AT42" i="1"/>
  <c r="AT58" i="1" s="1"/>
  <c r="AJ20" i="1"/>
  <c r="AJ55" i="1" s="1"/>
  <c r="X20" i="1"/>
  <c r="X55" i="1" s="1"/>
  <c r="L20" i="1"/>
  <c r="L55" i="1" s="1"/>
  <c r="AF42" i="1"/>
  <c r="AF58" i="1" s="1"/>
  <c r="T42" i="1"/>
  <c r="T58" i="1" s="1"/>
  <c r="H42" i="1"/>
  <c r="H58" i="1" s="1"/>
  <c r="AU20" i="1"/>
  <c r="AU55" i="1" s="1"/>
  <c r="W20" i="1"/>
  <c r="W55" i="1" s="1"/>
  <c r="K20" i="1"/>
  <c r="K55" i="1" s="1"/>
  <c r="AG42" i="1"/>
  <c r="AG58" i="1" s="1"/>
  <c r="U42" i="1"/>
  <c r="U58" i="1" s="1"/>
  <c r="I42" i="1"/>
  <c r="I58" i="1" s="1"/>
  <c r="AL42" i="1"/>
  <c r="AL58" i="1" s="1"/>
  <c r="AF20" i="1"/>
  <c r="AF55" i="1" s="1"/>
  <c r="T20" i="1"/>
  <c r="T55" i="1" s="1"/>
  <c r="H20" i="1"/>
  <c r="H55" i="1" s="1"/>
  <c r="AL32" i="1"/>
  <c r="AL57" i="1" s="1"/>
  <c r="Z32" i="1"/>
  <c r="Z57" i="1" s="1"/>
  <c r="N32" i="1"/>
  <c r="N57" i="1" s="1"/>
  <c r="AO20" i="1"/>
  <c r="AO55" i="1" s="1"/>
  <c r="AC20" i="1"/>
  <c r="AC55" i="1" s="1"/>
  <c r="Q20" i="1"/>
  <c r="Q55" i="1" s="1"/>
  <c r="E20" i="1"/>
  <c r="E55" i="1" s="1"/>
  <c r="AU32" i="1"/>
  <c r="AU57" i="1" s="1"/>
  <c r="AI32" i="1"/>
  <c r="AI57" i="1" s="1"/>
  <c r="W32" i="1"/>
  <c r="W57" i="1" s="1"/>
  <c r="K32" i="1"/>
  <c r="K57" i="1" s="1"/>
  <c r="AN20" i="1"/>
  <c r="AN55" i="1" s="1"/>
  <c r="AB20" i="1"/>
  <c r="AB55" i="1" s="1"/>
  <c r="P20" i="1"/>
  <c r="P55" i="1" s="1"/>
  <c r="D20" i="1"/>
  <c r="D55" i="1" s="1"/>
  <c r="AT32" i="1"/>
  <c r="AT57" i="1" s="1"/>
  <c r="AH32" i="1"/>
  <c r="AH57" i="1" s="1"/>
  <c r="V32" i="1"/>
  <c r="V57" i="1" s="1"/>
  <c r="J32" i="1"/>
  <c r="J57" i="1" s="1"/>
  <c r="AM20" i="1"/>
  <c r="AM55" i="1" s="1"/>
  <c r="AA20" i="1"/>
  <c r="AA55" i="1" s="1"/>
  <c r="O20" i="1"/>
  <c r="O55" i="1" s="1"/>
  <c r="C20" i="1"/>
  <c r="C55" i="1" s="1"/>
  <c r="AS32" i="1"/>
  <c r="AS57" i="1" s="1"/>
  <c r="AG32" i="1"/>
  <c r="AG57" i="1" s="1"/>
  <c r="U32" i="1"/>
  <c r="U57" i="1" s="1"/>
  <c r="I32" i="1"/>
  <c r="I57" i="1" s="1"/>
  <c r="AL20" i="1"/>
  <c r="AL55" i="1" s="1"/>
  <c r="Z20" i="1"/>
  <c r="Z55" i="1" s="1"/>
  <c r="N20" i="1"/>
  <c r="N55" i="1" s="1"/>
  <c r="AF32" i="1"/>
  <c r="AF57" i="1" s="1"/>
  <c r="T32" i="1"/>
  <c r="T57" i="1" s="1"/>
  <c r="H32" i="1"/>
  <c r="H57" i="1" s="1"/>
  <c r="AR42" i="1"/>
  <c r="AR58" i="1" s="1"/>
  <c r="AV32" i="1"/>
  <c r="AV57" i="1" s="1"/>
  <c r="AE32" i="1"/>
  <c r="AE57" i="1" s="1"/>
  <c r="S32" i="1"/>
  <c r="S57" i="1" s="1"/>
  <c r="G32" i="1"/>
  <c r="G57" i="1" s="1"/>
  <c r="AQ42" i="1"/>
  <c r="AQ58" i="1" s="1"/>
  <c r="F32" i="1"/>
  <c r="F57" i="1" s="1"/>
  <c r="R32" i="1"/>
  <c r="R57" i="1" s="1"/>
  <c r="AO32" i="1"/>
  <c r="AO57" i="1" s="1"/>
  <c r="AC32" i="1"/>
  <c r="AC57" i="1" s="1"/>
  <c r="Q32" i="1"/>
  <c r="Q57" i="1" s="1"/>
  <c r="E32" i="1"/>
  <c r="E57" i="1" s="1"/>
  <c r="AD32" i="1"/>
  <c r="AD57" i="1" s="1"/>
  <c r="AT20" i="1"/>
  <c r="AT55" i="1" s="1"/>
  <c r="J20" i="1"/>
  <c r="J55" i="1" s="1"/>
  <c r="AN32" i="1"/>
  <c r="AN57" i="1" s="1"/>
  <c r="AB32" i="1"/>
  <c r="AB57" i="1" s="1"/>
  <c r="P32" i="1"/>
  <c r="P57" i="1" s="1"/>
  <c r="D32" i="1"/>
  <c r="D57" i="1" s="1"/>
  <c r="AH20" i="1"/>
  <c r="AH55" i="1" s="1"/>
  <c r="V20" i="1"/>
  <c r="V55" i="1" s="1"/>
  <c r="AS20" i="1"/>
  <c r="AS55" i="1" s="1"/>
  <c r="AG20" i="1"/>
  <c r="AG55" i="1" s="1"/>
  <c r="U20" i="1"/>
  <c r="U55" i="1" s="1"/>
  <c r="I20" i="1"/>
  <c r="I55" i="1" s="1"/>
  <c r="AM32" i="1"/>
  <c r="AM57" i="1" s="1"/>
  <c r="AA32" i="1"/>
  <c r="AA57" i="1" s="1"/>
  <c r="O32" i="1"/>
  <c r="O57" i="1" s="1"/>
  <c r="C32" i="1"/>
  <c r="C57" i="1" s="1"/>
  <c r="AR32" i="1"/>
  <c r="AR57" i="1" s="1"/>
  <c r="AR20" i="1"/>
  <c r="AR55" i="1" s="1"/>
  <c r="AQ32" i="1"/>
  <c r="AQ57" i="1" s="1"/>
  <c r="AQ20" i="1"/>
  <c r="AQ55" i="1" s="1"/>
  <c r="AP20" i="1"/>
  <c r="AP55" i="1" s="1"/>
  <c r="AP32" i="1"/>
  <c r="AP57" i="1" s="1"/>
  <c r="AV20" i="1"/>
  <c r="AV55" i="1" s="1"/>
  <c r="L64" i="8"/>
  <c r="K64" i="8"/>
  <c r="J64" i="8"/>
  <c r="I64" i="8"/>
  <c r="H64" i="8"/>
  <c r="G64" i="8"/>
  <c r="F64" i="8"/>
  <c r="E64" i="8"/>
  <c r="D64" i="8"/>
  <c r="C64" i="8"/>
  <c r="M64" i="8"/>
  <c r="S19" i="10"/>
  <c r="S34" i="10" s="1"/>
  <c r="S205" i="10"/>
  <c r="T19" i="10"/>
  <c r="T34" i="10" s="1"/>
  <c r="T205" i="10"/>
  <c r="U19" i="10"/>
  <c r="U34" i="10" s="1"/>
  <c r="U205" i="10"/>
  <c r="V19" i="10"/>
  <c r="V34" i="10" s="1"/>
  <c r="V205" i="10"/>
  <c r="W19" i="10"/>
  <c r="W34" i="10" s="1"/>
  <c r="W205" i="10"/>
  <c r="X19" i="10"/>
  <c r="X34" i="10" s="1"/>
  <c r="X205" i="10"/>
  <c r="Y19" i="10"/>
  <c r="Y34" i="10" s="1"/>
  <c r="Y205" i="10"/>
  <c r="Z19" i="10"/>
  <c r="Z34" i="10" s="1"/>
  <c r="Z205" i="10"/>
  <c r="AA19" i="10"/>
  <c r="AA34" i="10" s="1"/>
  <c r="AA205" i="10"/>
  <c r="AB19" i="10"/>
  <c r="AB34" i="10" s="1"/>
  <c r="AB205" i="10"/>
  <c r="AC19" i="10"/>
  <c r="AC34" i="10" s="1"/>
  <c r="AC205" i="10"/>
  <c r="AD19" i="10"/>
  <c r="AD34" i="10" s="1"/>
  <c r="AD205" i="10"/>
  <c r="AE19" i="10"/>
  <c r="AE34" i="10" s="1"/>
  <c r="AE205" i="10"/>
  <c r="AF19" i="10"/>
  <c r="AF34" i="10" s="1"/>
  <c r="AF205" i="10"/>
  <c r="AG19" i="10"/>
  <c r="AG34" i="10" s="1"/>
  <c r="AG205" i="10"/>
  <c r="AH19" i="10"/>
  <c r="AH34" i="10" s="1"/>
  <c r="AH205" i="10"/>
  <c r="AI19" i="10"/>
  <c r="AI34" i="10" s="1"/>
  <c r="AI205" i="10"/>
  <c r="AJ19" i="10"/>
  <c r="AJ34" i="10" s="1"/>
  <c r="AJ205" i="10"/>
  <c r="AK19" i="10"/>
  <c r="AK205" i="10"/>
  <c r="AL19" i="10"/>
  <c r="AL34" i="10" s="1"/>
  <c r="AL205" i="10"/>
  <c r="AL121" i="1"/>
  <c r="AM121" i="1"/>
  <c r="AN121" i="1"/>
  <c r="AO121" i="1"/>
  <c r="AP121" i="1"/>
  <c r="AQ121" i="1"/>
  <c r="AR121" i="1"/>
  <c r="AT121" i="1"/>
  <c r="AU121" i="1"/>
  <c r="AV121" i="1"/>
  <c r="B50" i="1"/>
  <c r="B25" i="1"/>
  <c r="AV50" i="1"/>
  <c r="AV25" i="1"/>
  <c r="AU50" i="1"/>
  <c r="AU25" i="1"/>
  <c r="AT50" i="1"/>
  <c r="AT25" i="1"/>
  <c r="AS50" i="1"/>
  <c r="AS25" i="1"/>
  <c r="AR50" i="1"/>
  <c r="AR25" i="1"/>
  <c r="AQ50" i="1"/>
  <c r="AQ25" i="1"/>
  <c r="AP50" i="1"/>
  <c r="AP25" i="1"/>
  <c r="AO50" i="1"/>
  <c r="AO25" i="1"/>
  <c r="AN50" i="1"/>
  <c r="AN25" i="1"/>
  <c r="AM50" i="1"/>
  <c r="AM25" i="1"/>
  <c r="AL50" i="1"/>
  <c r="AL25" i="1"/>
  <c r="AK50" i="1"/>
  <c r="AK25" i="1"/>
  <c r="AJ50" i="1"/>
  <c r="AJ25" i="1"/>
  <c r="AI50" i="1"/>
  <c r="AI25" i="1"/>
  <c r="AH50" i="1"/>
  <c r="AH25" i="1"/>
  <c r="AG50" i="1"/>
  <c r="AG25" i="1"/>
  <c r="AF50" i="1"/>
  <c r="AF25" i="1"/>
  <c r="AE50" i="1"/>
  <c r="AE25" i="1"/>
  <c r="AD50" i="1"/>
  <c r="AD25" i="1"/>
  <c r="AC50" i="1"/>
  <c r="AC25" i="1"/>
  <c r="AB50" i="1"/>
  <c r="AB25" i="1"/>
  <c r="AA50" i="1"/>
  <c r="AA25" i="1"/>
  <c r="Z50" i="1"/>
  <c r="Z25" i="1"/>
  <c r="Y50" i="1"/>
  <c r="Y25" i="1"/>
  <c r="X50" i="1"/>
  <c r="X25" i="1"/>
  <c r="W50" i="1"/>
  <c r="W25" i="1"/>
  <c r="V50" i="1"/>
  <c r="V25" i="1"/>
  <c r="U50" i="1"/>
  <c r="U25" i="1"/>
  <c r="T50" i="1"/>
  <c r="T25" i="1"/>
  <c r="S50" i="1"/>
  <c r="S25" i="1"/>
  <c r="R50" i="1"/>
  <c r="R25" i="1"/>
  <c r="Q50" i="1"/>
  <c r="Q25" i="1"/>
  <c r="P50" i="1"/>
  <c r="P25" i="1"/>
  <c r="O50" i="1"/>
  <c r="O25" i="1"/>
  <c r="N50" i="1"/>
  <c r="N25" i="1"/>
  <c r="M50" i="1"/>
  <c r="M25" i="1"/>
  <c r="L50" i="1"/>
  <c r="L25" i="1"/>
  <c r="K50" i="1"/>
  <c r="K25" i="1"/>
  <c r="J50" i="1"/>
  <c r="J25" i="1"/>
  <c r="I50" i="1"/>
  <c r="I25" i="1"/>
  <c r="H50" i="1"/>
  <c r="H25" i="1"/>
  <c r="G50" i="1"/>
  <c r="G25" i="1"/>
  <c r="F50" i="1"/>
  <c r="F25" i="1"/>
  <c r="E50" i="1"/>
  <c r="E25" i="1"/>
  <c r="D50" i="1"/>
  <c r="D25" i="1"/>
  <c r="C50" i="1"/>
  <c r="C25" i="1"/>
  <c r="B32" i="1"/>
  <c r="B57" i="1" s="1"/>
  <c r="B42" i="1"/>
  <c r="B58" i="1" s="1"/>
  <c r="B72" i="8" l="1"/>
  <c r="C72" i="8"/>
  <c r="D72" i="8"/>
  <c r="E72" i="8"/>
  <c r="F72" i="8"/>
  <c r="G72" i="8"/>
  <c r="H72" i="8"/>
  <c r="I72" i="8"/>
  <c r="J72" i="8"/>
  <c r="K72" i="8"/>
  <c r="L72" i="8"/>
  <c r="M72" i="8"/>
  <c r="AK34" i="10"/>
  <c r="C56" i="1"/>
  <c r="C61" i="1" s="1"/>
  <c r="C45" i="1"/>
  <c r="C51" i="1" s="1"/>
  <c r="C49" i="1" s="1"/>
  <c r="D56" i="1"/>
  <c r="D61" i="1" s="1"/>
  <c r="D45" i="1"/>
  <c r="D51" i="1" s="1"/>
  <c r="D49" i="1" s="1"/>
  <c r="E56" i="1"/>
  <c r="E61" i="1" s="1"/>
  <c r="E45" i="1"/>
  <c r="E51" i="1" s="1"/>
  <c r="E49" i="1" s="1"/>
  <c r="F56" i="1"/>
  <c r="F61" i="1" s="1"/>
  <c r="F45" i="1"/>
  <c r="F51" i="1" s="1"/>
  <c r="F49" i="1" s="1"/>
  <c r="G56" i="1"/>
  <c r="G61" i="1" s="1"/>
  <c r="G45" i="1"/>
  <c r="G51" i="1" s="1"/>
  <c r="G49" i="1" s="1"/>
  <c r="H56" i="1"/>
  <c r="H61" i="1" s="1"/>
  <c r="H45" i="1"/>
  <c r="I56" i="1"/>
  <c r="I61" i="1" s="1"/>
  <c r="I45" i="1"/>
  <c r="I51" i="1" s="1"/>
  <c r="I49" i="1" s="1"/>
  <c r="J56" i="1"/>
  <c r="J61" i="1" s="1"/>
  <c r="J45" i="1"/>
  <c r="J51" i="1" s="1"/>
  <c r="J49" i="1" s="1"/>
  <c r="K56" i="1"/>
  <c r="K61" i="1" s="1"/>
  <c r="K45" i="1"/>
  <c r="K51" i="1" s="1"/>
  <c r="K49" i="1" s="1"/>
  <c r="L56" i="1"/>
  <c r="L61" i="1" s="1"/>
  <c r="L45" i="1"/>
  <c r="L51" i="1" s="1"/>
  <c r="L49" i="1" s="1"/>
  <c r="M56" i="1"/>
  <c r="M61" i="1" s="1"/>
  <c r="M45" i="1"/>
  <c r="M51" i="1" s="1"/>
  <c r="M49" i="1" s="1"/>
  <c r="N56" i="1"/>
  <c r="N61" i="1" s="1"/>
  <c r="N45" i="1"/>
  <c r="N51" i="1" s="1"/>
  <c r="N49" i="1" s="1"/>
  <c r="O56" i="1"/>
  <c r="O61" i="1" s="1"/>
  <c r="O45" i="1"/>
  <c r="O51" i="1" s="1"/>
  <c r="O49" i="1" s="1"/>
  <c r="P56" i="1"/>
  <c r="P61" i="1" s="1"/>
  <c r="P45" i="1"/>
  <c r="P51" i="1" s="1"/>
  <c r="P49" i="1" s="1"/>
  <c r="Q56" i="1"/>
  <c r="Q61" i="1" s="1"/>
  <c r="Q45" i="1"/>
  <c r="Q51" i="1" s="1"/>
  <c r="Q49" i="1" s="1"/>
  <c r="R56" i="1"/>
  <c r="R61" i="1" s="1"/>
  <c r="R45" i="1"/>
  <c r="R51" i="1" s="1"/>
  <c r="R49" i="1" s="1"/>
  <c r="S56" i="1"/>
  <c r="S61" i="1" s="1"/>
  <c r="S45" i="1"/>
  <c r="S51" i="1" s="1"/>
  <c r="S49" i="1" s="1"/>
  <c r="T56" i="1"/>
  <c r="T61" i="1" s="1"/>
  <c r="T45" i="1"/>
  <c r="T51" i="1" s="1"/>
  <c r="T49" i="1" s="1"/>
  <c r="U56" i="1"/>
  <c r="U61" i="1" s="1"/>
  <c r="U45" i="1"/>
  <c r="U51" i="1" s="1"/>
  <c r="U49" i="1" s="1"/>
  <c r="V56" i="1"/>
  <c r="V61" i="1" s="1"/>
  <c r="V45" i="1"/>
  <c r="V51" i="1" s="1"/>
  <c r="V49" i="1" s="1"/>
  <c r="W56" i="1"/>
  <c r="W61" i="1" s="1"/>
  <c r="W45" i="1"/>
  <c r="W51" i="1" s="1"/>
  <c r="W49" i="1" s="1"/>
  <c r="X56" i="1"/>
  <c r="X61" i="1" s="1"/>
  <c r="X45" i="1"/>
  <c r="X51" i="1" s="1"/>
  <c r="X49" i="1" s="1"/>
  <c r="Y56" i="1"/>
  <c r="Y61" i="1" s="1"/>
  <c r="Y45" i="1"/>
  <c r="Y51" i="1" s="1"/>
  <c r="Y49" i="1" s="1"/>
  <c r="Z56" i="1"/>
  <c r="Z61" i="1" s="1"/>
  <c r="Z45" i="1"/>
  <c r="Z51" i="1" s="1"/>
  <c r="Z49" i="1" s="1"/>
  <c r="AA56" i="1"/>
  <c r="AA61" i="1" s="1"/>
  <c r="AA45" i="1"/>
  <c r="AA51" i="1" s="1"/>
  <c r="AA49" i="1" s="1"/>
  <c r="AB56" i="1"/>
  <c r="AB61" i="1" s="1"/>
  <c r="AB45" i="1"/>
  <c r="AB51" i="1" s="1"/>
  <c r="AB49" i="1" s="1"/>
  <c r="AC56" i="1"/>
  <c r="AC61" i="1" s="1"/>
  <c r="AC45" i="1"/>
  <c r="AC51" i="1" s="1"/>
  <c r="AC49" i="1" s="1"/>
  <c r="AD56" i="1"/>
  <c r="AD61" i="1" s="1"/>
  <c r="AD45" i="1"/>
  <c r="AD51" i="1" s="1"/>
  <c r="AD49" i="1" s="1"/>
  <c r="AE56" i="1"/>
  <c r="AE61" i="1" s="1"/>
  <c r="AE45" i="1"/>
  <c r="AE51" i="1" s="1"/>
  <c r="AE49" i="1" s="1"/>
  <c r="AF56" i="1"/>
  <c r="AF61" i="1" s="1"/>
  <c r="AF45" i="1"/>
  <c r="AF51" i="1" s="1"/>
  <c r="AF49" i="1" s="1"/>
  <c r="AG56" i="1"/>
  <c r="AG61" i="1" s="1"/>
  <c r="AG45" i="1"/>
  <c r="AG51" i="1" s="1"/>
  <c r="AG49" i="1" s="1"/>
  <c r="AH56" i="1"/>
  <c r="AH61" i="1" s="1"/>
  <c r="AH45" i="1"/>
  <c r="AH51" i="1" s="1"/>
  <c r="AH49" i="1" s="1"/>
  <c r="AI56" i="1"/>
  <c r="AI61" i="1" s="1"/>
  <c r="AI45" i="1"/>
  <c r="AI51" i="1" s="1"/>
  <c r="AI49" i="1" s="1"/>
  <c r="AJ56" i="1"/>
  <c r="AJ61" i="1" s="1"/>
  <c r="AJ45" i="1"/>
  <c r="AJ51" i="1" s="1"/>
  <c r="AJ49" i="1" s="1"/>
  <c r="AK56" i="1"/>
  <c r="AK61" i="1" s="1"/>
  <c r="AK45" i="1"/>
  <c r="AK51" i="1" s="1"/>
  <c r="AK49" i="1" s="1"/>
  <c r="AL56" i="1"/>
  <c r="AL61" i="1" s="1"/>
  <c r="AL45" i="1"/>
  <c r="AL51" i="1" s="1"/>
  <c r="AL49" i="1" s="1"/>
  <c r="AM56" i="1"/>
  <c r="AM61" i="1" s="1"/>
  <c r="AM45" i="1"/>
  <c r="AM51" i="1" s="1"/>
  <c r="AM49" i="1" s="1"/>
  <c r="AN56" i="1"/>
  <c r="AN61" i="1" s="1"/>
  <c r="AN45" i="1"/>
  <c r="AN51" i="1" s="1"/>
  <c r="AN49" i="1" s="1"/>
  <c r="AO56" i="1"/>
  <c r="AO61" i="1" s="1"/>
  <c r="AO45" i="1"/>
  <c r="AO51" i="1" s="1"/>
  <c r="AO49" i="1" s="1"/>
  <c r="AP56" i="1"/>
  <c r="AP61" i="1" s="1"/>
  <c r="AP45" i="1"/>
  <c r="AP51" i="1" s="1"/>
  <c r="AP49" i="1" s="1"/>
  <c r="AQ56" i="1"/>
  <c r="AQ61" i="1" s="1"/>
  <c r="AQ45" i="1"/>
  <c r="AQ51" i="1" s="1"/>
  <c r="AQ49" i="1" s="1"/>
  <c r="AR56" i="1"/>
  <c r="AR61" i="1" s="1"/>
  <c r="AR45" i="1"/>
  <c r="AR51" i="1" s="1"/>
  <c r="AR49" i="1" s="1"/>
  <c r="AS56" i="1"/>
  <c r="AS61" i="1" s="1"/>
  <c r="AS45" i="1"/>
  <c r="AS51" i="1" s="1"/>
  <c r="AS49" i="1" s="1"/>
  <c r="AT56" i="1"/>
  <c r="AT61" i="1" s="1"/>
  <c r="AT45" i="1"/>
  <c r="AT51" i="1" s="1"/>
  <c r="AT49" i="1" s="1"/>
  <c r="AU56" i="1"/>
  <c r="AU61" i="1" s="1"/>
  <c r="AU45" i="1"/>
  <c r="AU51" i="1" s="1"/>
  <c r="AU49" i="1" s="1"/>
  <c r="AV56" i="1"/>
  <c r="AV61" i="1" s="1"/>
  <c r="AV45" i="1"/>
  <c r="B56" i="1"/>
  <c r="B61" i="1" s="1"/>
  <c r="B45" i="1"/>
  <c r="L79" i="8" l="1"/>
  <c r="L77" i="8"/>
  <c r="L76" i="8"/>
  <c r="L78" i="8"/>
  <c r="K78" i="8"/>
  <c r="K79" i="8"/>
  <c r="K77" i="8"/>
  <c r="K76" i="8"/>
  <c r="J78" i="8"/>
  <c r="J77" i="8"/>
  <c r="J79" i="8"/>
  <c r="J76" i="8"/>
  <c r="I78" i="8"/>
  <c r="I77" i="8"/>
  <c r="I79" i="8"/>
  <c r="I76" i="8"/>
  <c r="H78" i="8"/>
  <c r="H76" i="8"/>
  <c r="H77" i="8"/>
  <c r="H79" i="8"/>
  <c r="G77" i="8"/>
  <c r="G79" i="8"/>
  <c r="G78" i="8"/>
  <c r="G76" i="8"/>
  <c r="F77" i="8"/>
  <c r="F76" i="8"/>
  <c r="F78" i="8"/>
  <c r="F79" i="8"/>
  <c r="E79" i="8"/>
  <c r="E76" i="8"/>
  <c r="E77" i="8"/>
  <c r="E78" i="8"/>
  <c r="D79" i="8"/>
  <c r="D78" i="8"/>
  <c r="D76" i="8"/>
  <c r="D77" i="8"/>
  <c r="C76" i="8"/>
  <c r="C78" i="8"/>
  <c r="C79" i="8"/>
  <c r="C77" i="8"/>
  <c r="B76" i="8"/>
  <c r="B78" i="8"/>
  <c r="B79" i="8"/>
  <c r="B77" i="8"/>
  <c r="M78" i="8"/>
  <c r="M79" i="8"/>
  <c r="M76" i="8"/>
  <c r="M77" i="8"/>
  <c r="H51" i="1"/>
  <c r="H49" i="1" s="1"/>
  <c r="B51" i="1"/>
  <c r="B49" i="1" s="1"/>
  <c r="AV68" i="1"/>
  <c r="AV66" i="1"/>
  <c r="AV96" i="1"/>
  <c r="AV69" i="1"/>
  <c r="AV71" i="1"/>
  <c r="AV70" i="1"/>
  <c r="AV67" i="1"/>
  <c r="AV51" i="1"/>
  <c r="AV49" i="1" s="1"/>
  <c r="B96" i="1"/>
  <c r="B81" i="1"/>
  <c r="B70" i="1"/>
  <c r="B71" i="1"/>
  <c r="B69" i="1"/>
  <c r="B68" i="1"/>
  <c r="B66" i="1"/>
  <c r="AV81" i="1"/>
  <c r="AV82" i="1" s="1"/>
  <c r="AU96" i="1"/>
  <c r="AU81" i="1"/>
  <c r="AU68" i="1"/>
  <c r="AU69" i="1"/>
  <c r="AU71" i="1"/>
  <c r="AU70" i="1"/>
  <c r="AU66" i="1"/>
  <c r="AT96" i="1"/>
  <c r="AT81" i="1"/>
  <c r="AT68" i="1"/>
  <c r="AT69" i="1"/>
  <c r="AT71" i="1"/>
  <c r="AT70" i="1"/>
  <c r="AT66" i="1"/>
  <c r="AS96" i="1"/>
  <c r="AS81" i="1"/>
  <c r="AS68" i="1"/>
  <c r="AS69" i="1"/>
  <c r="AS71" i="1"/>
  <c r="AS70" i="1"/>
  <c r="AS66" i="1"/>
  <c r="AR96" i="1"/>
  <c r="AR81" i="1"/>
  <c r="AR68" i="1"/>
  <c r="AR69" i="1"/>
  <c r="AR71" i="1"/>
  <c r="AR70" i="1"/>
  <c r="AR66" i="1"/>
  <c r="AQ96" i="1"/>
  <c r="AQ81" i="1"/>
  <c r="AQ68" i="1"/>
  <c r="AQ69" i="1"/>
  <c r="AQ71" i="1"/>
  <c r="AQ70" i="1"/>
  <c r="AQ66" i="1"/>
  <c r="AP96" i="1"/>
  <c r="AP81" i="1"/>
  <c r="AP68" i="1"/>
  <c r="AP69" i="1"/>
  <c r="AP71" i="1"/>
  <c r="AP70" i="1"/>
  <c r="AP66" i="1"/>
  <c r="AO96" i="1"/>
  <c r="AO81" i="1"/>
  <c r="AO68" i="1"/>
  <c r="AO69" i="1"/>
  <c r="AO71" i="1"/>
  <c r="AO70" i="1"/>
  <c r="AO66" i="1"/>
  <c r="AN96" i="1"/>
  <c r="AN81" i="1"/>
  <c r="AN68" i="1"/>
  <c r="AN69" i="1"/>
  <c r="AN71" i="1"/>
  <c r="AN70" i="1"/>
  <c r="AN66" i="1"/>
  <c r="AM96" i="1"/>
  <c r="AM81" i="1"/>
  <c r="AM68" i="1"/>
  <c r="AM69" i="1"/>
  <c r="AM71" i="1"/>
  <c r="AM70" i="1"/>
  <c r="AM66" i="1"/>
  <c r="AL96" i="1"/>
  <c r="AL81" i="1"/>
  <c r="AL68" i="1"/>
  <c r="AL69" i="1"/>
  <c r="AL71" i="1"/>
  <c r="AL70" i="1"/>
  <c r="AL66" i="1"/>
  <c r="AK96" i="1"/>
  <c r="AK81" i="1"/>
  <c r="AK68" i="1"/>
  <c r="AK69" i="1"/>
  <c r="AK71" i="1"/>
  <c r="AK70" i="1"/>
  <c r="AK66" i="1"/>
  <c r="AJ96" i="1"/>
  <c r="AJ81" i="1"/>
  <c r="AJ68" i="1"/>
  <c r="AJ69" i="1"/>
  <c r="AJ71" i="1"/>
  <c r="AJ70" i="1"/>
  <c r="AJ66" i="1"/>
  <c r="AI96" i="1"/>
  <c r="AI81" i="1"/>
  <c r="AI68" i="1"/>
  <c r="AI69" i="1"/>
  <c r="AI71" i="1"/>
  <c r="AI70" i="1"/>
  <c r="AI66" i="1"/>
  <c r="AH96" i="1"/>
  <c r="AH81" i="1"/>
  <c r="AH68" i="1"/>
  <c r="AH69" i="1"/>
  <c r="AH71" i="1"/>
  <c r="AH70" i="1"/>
  <c r="AH66" i="1"/>
  <c r="AG96" i="1"/>
  <c r="AG81" i="1"/>
  <c r="AG68" i="1"/>
  <c r="AG69" i="1"/>
  <c r="AG71" i="1"/>
  <c r="AG70" i="1"/>
  <c r="AG66" i="1"/>
  <c r="AF96" i="1"/>
  <c r="AF81" i="1"/>
  <c r="AF68" i="1"/>
  <c r="AF69" i="1"/>
  <c r="AF71" i="1"/>
  <c r="AF70" i="1"/>
  <c r="AF66" i="1"/>
  <c r="AE96" i="1"/>
  <c r="AE81" i="1"/>
  <c r="AE68" i="1"/>
  <c r="AE69" i="1"/>
  <c r="AE71" i="1"/>
  <c r="AE70" i="1"/>
  <c r="AE66" i="1"/>
  <c r="AD96" i="1"/>
  <c r="AD81" i="1"/>
  <c r="AD68" i="1"/>
  <c r="AD69" i="1"/>
  <c r="AD71" i="1"/>
  <c r="AD70" i="1"/>
  <c r="AD66" i="1"/>
  <c r="AC96" i="1"/>
  <c r="AC81" i="1"/>
  <c r="AC68" i="1"/>
  <c r="AC69" i="1"/>
  <c r="AC71" i="1"/>
  <c r="AC70" i="1"/>
  <c r="AC66" i="1"/>
  <c r="AB96" i="1"/>
  <c r="AB81" i="1"/>
  <c r="AB68" i="1"/>
  <c r="AB69" i="1"/>
  <c r="AB71" i="1"/>
  <c r="AB70" i="1"/>
  <c r="AB66" i="1"/>
  <c r="AA96" i="1"/>
  <c r="AA81" i="1"/>
  <c r="AA68" i="1"/>
  <c r="AA69" i="1"/>
  <c r="AA71" i="1"/>
  <c r="AA70" i="1"/>
  <c r="AA66" i="1"/>
  <c r="Z96" i="1"/>
  <c r="Z81" i="1"/>
  <c r="Z68" i="1"/>
  <c r="Z69" i="1"/>
  <c r="Z71" i="1"/>
  <c r="Z70" i="1"/>
  <c r="Z66" i="1"/>
  <c r="Y96" i="1"/>
  <c r="Y81" i="1"/>
  <c r="Y68" i="1"/>
  <c r="Y69" i="1"/>
  <c r="Y71" i="1"/>
  <c r="Y70" i="1"/>
  <c r="Y66" i="1"/>
  <c r="X96" i="1"/>
  <c r="X81" i="1"/>
  <c r="X68" i="1"/>
  <c r="X69" i="1"/>
  <c r="X71" i="1"/>
  <c r="X70" i="1"/>
  <c r="X66" i="1"/>
  <c r="W96" i="1"/>
  <c r="W81" i="1"/>
  <c r="W68" i="1"/>
  <c r="W69" i="1"/>
  <c r="W71" i="1"/>
  <c r="W70" i="1"/>
  <c r="W66" i="1"/>
  <c r="V96" i="1"/>
  <c r="V81" i="1"/>
  <c r="V68" i="1"/>
  <c r="V69" i="1"/>
  <c r="V71" i="1"/>
  <c r="V70" i="1"/>
  <c r="V66" i="1"/>
  <c r="U96" i="1"/>
  <c r="U81" i="1"/>
  <c r="U68" i="1"/>
  <c r="U69" i="1"/>
  <c r="U71" i="1"/>
  <c r="U70" i="1"/>
  <c r="U66" i="1"/>
  <c r="T96" i="1"/>
  <c r="T81" i="1"/>
  <c r="T68" i="1"/>
  <c r="T69" i="1"/>
  <c r="T71" i="1"/>
  <c r="T70" i="1"/>
  <c r="T66" i="1"/>
  <c r="S96" i="1"/>
  <c r="S81" i="1"/>
  <c r="S68" i="1"/>
  <c r="S69" i="1"/>
  <c r="S71" i="1"/>
  <c r="S70" i="1"/>
  <c r="S66" i="1"/>
  <c r="R96" i="1"/>
  <c r="R81" i="1"/>
  <c r="R68" i="1"/>
  <c r="R69" i="1"/>
  <c r="R71" i="1"/>
  <c r="R70" i="1"/>
  <c r="R66" i="1"/>
  <c r="Q96" i="1"/>
  <c r="Q81" i="1"/>
  <c r="Q68" i="1"/>
  <c r="Q69" i="1"/>
  <c r="Q71" i="1"/>
  <c r="Q70" i="1"/>
  <c r="Q66" i="1"/>
  <c r="P96" i="1"/>
  <c r="P81" i="1"/>
  <c r="P68" i="1"/>
  <c r="P69" i="1"/>
  <c r="P71" i="1"/>
  <c r="P70" i="1"/>
  <c r="P66" i="1"/>
  <c r="O96" i="1"/>
  <c r="O81" i="1"/>
  <c r="O68" i="1"/>
  <c r="O69" i="1"/>
  <c r="O71" i="1"/>
  <c r="O70" i="1"/>
  <c r="O66" i="1"/>
  <c r="N96" i="1"/>
  <c r="N81" i="1"/>
  <c r="N68" i="1"/>
  <c r="N69" i="1"/>
  <c r="N71" i="1"/>
  <c r="N70" i="1"/>
  <c r="N66" i="1"/>
  <c r="M96" i="1"/>
  <c r="M81" i="1"/>
  <c r="M68" i="1"/>
  <c r="M69" i="1"/>
  <c r="M71" i="1"/>
  <c r="M70" i="1"/>
  <c r="M66" i="1"/>
  <c r="L96" i="1"/>
  <c r="L81" i="1"/>
  <c r="L68" i="1"/>
  <c r="L69" i="1"/>
  <c r="L71" i="1"/>
  <c r="L70" i="1"/>
  <c r="L66" i="1"/>
  <c r="K96" i="1"/>
  <c r="K81" i="1"/>
  <c r="K68" i="1"/>
  <c r="K69" i="1"/>
  <c r="K71" i="1"/>
  <c r="K70" i="1"/>
  <c r="K66" i="1"/>
  <c r="J96" i="1"/>
  <c r="J81" i="1"/>
  <c r="J68" i="1"/>
  <c r="J69" i="1"/>
  <c r="J71" i="1"/>
  <c r="J70" i="1"/>
  <c r="J66" i="1"/>
  <c r="I96" i="1"/>
  <c r="I81" i="1"/>
  <c r="I68" i="1"/>
  <c r="I69" i="1"/>
  <c r="I71" i="1"/>
  <c r="I70" i="1"/>
  <c r="I66" i="1"/>
  <c r="H96" i="1"/>
  <c r="H81" i="1"/>
  <c r="H68" i="1"/>
  <c r="H69" i="1"/>
  <c r="H71" i="1"/>
  <c r="H70" i="1"/>
  <c r="H66" i="1"/>
  <c r="G96" i="1"/>
  <c r="G81" i="1"/>
  <c r="G68" i="1"/>
  <c r="G69" i="1"/>
  <c r="G71" i="1"/>
  <c r="G70" i="1"/>
  <c r="G66" i="1"/>
  <c r="F96" i="1"/>
  <c r="F81" i="1"/>
  <c r="F68" i="1"/>
  <c r="F69" i="1"/>
  <c r="F71" i="1"/>
  <c r="F70" i="1"/>
  <c r="F66" i="1"/>
  <c r="E96" i="1"/>
  <c r="E81" i="1"/>
  <c r="E68" i="1"/>
  <c r="E69" i="1"/>
  <c r="E71" i="1"/>
  <c r="E70" i="1"/>
  <c r="E66" i="1"/>
  <c r="D96" i="1"/>
  <c r="D81" i="1"/>
  <c r="D68" i="1"/>
  <c r="D69" i="1"/>
  <c r="D71" i="1"/>
  <c r="D70" i="1"/>
  <c r="D66" i="1"/>
  <c r="C96" i="1"/>
  <c r="C81" i="1"/>
  <c r="C68" i="1"/>
  <c r="C69" i="1"/>
  <c r="C71" i="1"/>
  <c r="C70" i="1"/>
  <c r="C66" i="1"/>
  <c r="B67" i="1"/>
  <c r="AU67" i="1"/>
  <c r="AT67" i="1"/>
  <c r="AS67" i="1"/>
  <c r="AR67" i="1"/>
  <c r="AQ67" i="1"/>
  <c r="AP67" i="1"/>
  <c r="AO67" i="1"/>
  <c r="AN67" i="1"/>
  <c r="AM67" i="1"/>
  <c r="AL67" i="1"/>
  <c r="AK67" i="1"/>
  <c r="AJ67" i="1"/>
  <c r="AI67" i="1"/>
  <c r="AH67"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F67" i="1"/>
  <c r="E67" i="1"/>
  <c r="D67" i="1"/>
  <c r="C67" i="1"/>
  <c r="I80" i="8" l="1"/>
  <c r="E80" i="8"/>
  <c r="L80" i="8"/>
  <c r="M80" i="8"/>
  <c r="D80" i="8"/>
  <c r="C80" i="8"/>
  <c r="J80" i="8"/>
  <c r="B80" i="8"/>
  <c r="G80" i="8"/>
  <c r="K80" i="8"/>
  <c r="F80" i="8"/>
  <c r="H80" i="8"/>
  <c r="AX96" i="1"/>
  <c r="AW72" i="1"/>
  <c r="AV90" i="1"/>
  <c r="AV72" i="1"/>
  <c r="C72" i="1"/>
  <c r="C102" i="1"/>
  <c r="C103" i="1" s="1"/>
  <c r="C104" i="1" s="1"/>
  <c r="C90" i="1"/>
  <c r="C82" i="1"/>
  <c r="D72" i="1"/>
  <c r="D102" i="1"/>
  <c r="D103" i="1" s="1"/>
  <c r="D104" i="1" s="1"/>
  <c r="D90" i="1"/>
  <c r="D82" i="1"/>
  <c r="E72" i="1"/>
  <c r="E102" i="1"/>
  <c r="E103" i="1" s="1"/>
  <c r="E104" i="1" s="1"/>
  <c r="E90" i="1"/>
  <c r="E82" i="1"/>
  <c r="F72" i="1"/>
  <c r="F102" i="1"/>
  <c r="F103" i="1" s="1"/>
  <c r="F104" i="1" s="1"/>
  <c r="F90" i="1"/>
  <c r="F82" i="1"/>
  <c r="G72" i="1"/>
  <c r="G102" i="1"/>
  <c r="G103" i="1" s="1"/>
  <c r="G104" i="1" s="1"/>
  <c r="G90" i="1"/>
  <c r="G82" i="1"/>
  <c r="H72" i="1"/>
  <c r="H102" i="1"/>
  <c r="H103" i="1" s="1"/>
  <c r="H104" i="1" s="1"/>
  <c r="H90" i="1"/>
  <c r="H82" i="1"/>
  <c r="I72" i="1"/>
  <c r="I102" i="1"/>
  <c r="I103" i="1" s="1"/>
  <c r="I104" i="1" s="1"/>
  <c r="I90" i="1"/>
  <c r="I82" i="1"/>
  <c r="J72" i="1"/>
  <c r="J102" i="1"/>
  <c r="J103" i="1" s="1"/>
  <c r="J104" i="1" s="1"/>
  <c r="J90" i="1"/>
  <c r="J82" i="1"/>
  <c r="K72" i="1"/>
  <c r="K102" i="1"/>
  <c r="K103" i="1" s="1"/>
  <c r="K104" i="1" s="1"/>
  <c r="K90" i="1"/>
  <c r="K82" i="1"/>
  <c r="L72" i="1"/>
  <c r="L102" i="1"/>
  <c r="L103" i="1" s="1"/>
  <c r="L104" i="1" s="1"/>
  <c r="L90" i="1"/>
  <c r="L82" i="1"/>
  <c r="M72" i="1"/>
  <c r="M102" i="1"/>
  <c r="M103" i="1" s="1"/>
  <c r="M104" i="1" s="1"/>
  <c r="M90" i="1"/>
  <c r="M82" i="1"/>
  <c r="N72" i="1"/>
  <c r="N102" i="1"/>
  <c r="N103" i="1" s="1"/>
  <c r="N104" i="1" s="1"/>
  <c r="N90" i="1"/>
  <c r="N82" i="1"/>
  <c r="O72" i="1"/>
  <c r="O102" i="1"/>
  <c r="O103" i="1" s="1"/>
  <c r="O104" i="1" s="1"/>
  <c r="O90" i="1"/>
  <c r="O82" i="1"/>
  <c r="P72" i="1"/>
  <c r="P102" i="1"/>
  <c r="P103" i="1" s="1"/>
  <c r="P104" i="1" s="1"/>
  <c r="P90" i="1"/>
  <c r="P82" i="1"/>
  <c r="Q72" i="1"/>
  <c r="Q102" i="1"/>
  <c r="Q103" i="1" s="1"/>
  <c r="Q104" i="1" s="1"/>
  <c r="Q90" i="1"/>
  <c r="Q82" i="1"/>
  <c r="R72" i="1"/>
  <c r="R102" i="1"/>
  <c r="R103" i="1" s="1"/>
  <c r="R104" i="1" s="1"/>
  <c r="R90" i="1"/>
  <c r="R82" i="1"/>
  <c r="S72" i="1"/>
  <c r="S102" i="1"/>
  <c r="S103" i="1" s="1"/>
  <c r="S104" i="1" s="1"/>
  <c r="S90" i="1"/>
  <c r="S82" i="1"/>
  <c r="T72" i="1"/>
  <c r="T102" i="1"/>
  <c r="T103" i="1" s="1"/>
  <c r="T104" i="1" s="1"/>
  <c r="T90" i="1"/>
  <c r="T82" i="1"/>
  <c r="U72" i="1"/>
  <c r="U102" i="1"/>
  <c r="U103" i="1" s="1"/>
  <c r="U104" i="1" s="1"/>
  <c r="U90" i="1"/>
  <c r="U82" i="1"/>
  <c r="V72" i="1"/>
  <c r="V102" i="1"/>
  <c r="V103" i="1" s="1"/>
  <c r="V104" i="1" s="1"/>
  <c r="V90" i="1"/>
  <c r="V82" i="1"/>
  <c r="W72" i="1"/>
  <c r="W102" i="1"/>
  <c r="W103" i="1" s="1"/>
  <c r="W104" i="1" s="1"/>
  <c r="W90" i="1"/>
  <c r="W82" i="1"/>
  <c r="X72" i="1"/>
  <c r="X102" i="1"/>
  <c r="X103" i="1" s="1"/>
  <c r="X104" i="1" s="1"/>
  <c r="X90" i="1"/>
  <c r="X82" i="1"/>
  <c r="Y72" i="1"/>
  <c r="Y102" i="1"/>
  <c r="Y103" i="1" s="1"/>
  <c r="Y104" i="1" s="1"/>
  <c r="Y90" i="1"/>
  <c r="Y82" i="1"/>
  <c r="Z72" i="1"/>
  <c r="Z102" i="1"/>
  <c r="Z103" i="1" s="1"/>
  <c r="Z104" i="1" s="1"/>
  <c r="Z90" i="1"/>
  <c r="Z82" i="1"/>
  <c r="AA72" i="1"/>
  <c r="AA102" i="1"/>
  <c r="AA103" i="1" s="1"/>
  <c r="AA104" i="1" s="1"/>
  <c r="AA90" i="1"/>
  <c r="AA82" i="1"/>
  <c r="AB72" i="1"/>
  <c r="AB102" i="1"/>
  <c r="AB103" i="1" s="1"/>
  <c r="AB104" i="1" s="1"/>
  <c r="AB90" i="1"/>
  <c r="AB82" i="1"/>
  <c r="AC72" i="1"/>
  <c r="AC102" i="1"/>
  <c r="AC103" i="1" s="1"/>
  <c r="AC104" i="1" s="1"/>
  <c r="AC90" i="1"/>
  <c r="AC82" i="1"/>
  <c r="AD72" i="1"/>
  <c r="AD102" i="1"/>
  <c r="AD103" i="1" s="1"/>
  <c r="AD104" i="1" s="1"/>
  <c r="AD90" i="1"/>
  <c r="AD82" i="1"/>
  <c r="AE72" i="1"/>
  <c r="AE102" i="1"/>
  <c r="AE103" i="1" s="1"/>
  <c r="AE104" i="1" s="1"/>
  <c r="AE90" i="1"/>
  <c r="AE82" i="1"/>
  <c r="AF72" i="1"/>
  <c r="AF102" i="1"/>
  <c r="AF103" i="1" s="1"/>
  <c r="AF104" i="1" s="1"/>
  <c r="AF90" i="1"/>
  <c r="AF82" i="1"/>
  <c r="AG72" i="1"/>
  <c r="AG102" i="1"/>
  <c r="AG103" i="1" s="1"/>
  <c r="AG104" i="1" s="1"/>
  <c r="AG90" i="1"/>
  <c r="AG82" i="1"/>
  <c r="AH72" i="1"/>
  <c r="AH102" i="1"/>
  <c r="AH103" i="1" s="1"/>
  <c r="AH104" i="1" s="1"/>
  <c r="AH90" i="1"/>
  <c r="AH82" i="1"/>
  <c r="AI72" i="1"/>
  <c r="AI102" i="1"/>
  <c r="AI103" i="1" s="1"/>
  <c r="AI104" i="1" s="1"/>
  <c r="AI90" i="1"/>
  <c r="AI82" i="1"/>
  <c r="AJ72" i="1"/>
  <c r="AJ102" i="1"/>
  <c r="AJ103" i="1" s="1"/>
  <c r="AJ104" i="1" s="1"/>
  <c r="AJ90" i="1"/>
  <c r="AJ82" i="1"/>
  <c r="AK72" i="1"/>
  <c r="AK102" i="1"/>
  <c r="AK103" i="1" s="1"/>
  <c r="AK104" i="1" s="1"/>
  <c r="AK90" i="1"/>
  <c r="AK82" i="1"/>
  <c r="AL72" i="1"/>
  <c r="AL102" i="1"/>
  <c r="AL103" i="1" s="1"/>
  <c r="AL104" i="1" s="1"/>
  <c r="AL90" i="1"/>
  <c r="AL82" i="1"/>
  <c r="AM72" i="1"/>
  <c r="AM102" i="1"/>
  <c r="AM103" i="1" s="1"/>
  <c r="AM104" i="1" s="1"/>
  <c r="AM90" i="1"/>
  <c r="AM82" i="1"/>
  <c r="AN72" i="1"/>
  <c r="AN102" i="1"/>
  <c r="AN103" i="1" s="1"/>
  <c r="AN104" i="1" s="1"/>
  <c r="AN90" i="1"/>
  <c r="AN82" i="1"/>
  <c r="AO72" i="1"/>
  <c r="AO102" i="1"/>
  <c r="AO103" i="1" s="1"/>
  <c r="AO104" i="1" s="1"/>
  <c r="AO90" i="1"/>
  <c r="AO82" i="1"/>
  <c r="AP72" i="1"/>
  <c r="AP102" i="1"/>
  <c r="AP103" i="1" s="1"/>
  <c r="AP104" i="1" s="1"/>
  <c r="AP90" i="1"/>
  <c r="AP82" i="1"/>
  <c r="AQ72" i="1"/>
  <c r="AQ102" i="1"/>
  <c r="AQ103" i="1" s="1"/>
  <c r="AQ104" i="1" s="1"/>
  <c r="AQ90" i="1"/>
  <c r="AQ82" i="1"/>
  <c r="AR72" i="1"/>
  <c r="AR102" i="1"/>
  <c r="AR103" i="1" s="1"/>
  <c r="AR104" i="1" s="1"/>
  <c r="AR90" i="1"/>
  <c r="AR82" i="1"/>
  <c r="AS72" i="1"/>
  <c r="AS102" i="1"/>
  <c r="AS103" i="1" s="1"/>
  <c r="AS104" i="1" s="1"/>
  <c r="AS90" i="1"/>
  <c r="AS82" i="1"/>
  <c r="AT72" i="1"/>
  <c r="AT102" i="1"/>
  <c r="AT103" i="1" s="1"/>
  <c r="AT104" i="1" s="1"/>
  <c r="AT90" i="1"/>
  <c r="AU72" i="1"/>
  <c r="AU102" i="1"/>
  <c r="AU103" i="1" s="1"/>
  <c r="AU104" i="1" s="1"/>
  <c r="AU90" i="1"/>
  <c r="AU82" i="1"/>
  <c r="AV102" i="1"/>
  <c r="AV103" i="1" s="1"/>
  <c r="B72" i="1"/>
  <c r="B102" i="1"/>
  <c r="B103" i="1" s="1"/>
  <c r="B104" i="1" s="1"/>
  <c r="B90" i="1"/>
  <c r="B82" i="1"/>
  <c r="AX90" i="1" l="1"/>
  <c r="AV104" i="1"/>
  <c r="AT82"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<sst xmlns="http://schemas.openxmlformats.org/spreadsheetml/2006/main" count="14165" uniqueCount="4287">
  <si>
    <t xml:space="preserve"> </t>
  </si>
  <si>
    <t>External links</t>
  </si>
  <si>
    <t>Core data</t>
  </si>
  <si>
    <t>Summary tables</t>
  </si>
  <si>
    <t>Publication information</t>
  </si>
  <si>
    <t>ISSN: 2208-0074</t>
  </si>
  <si>
    <t>© Commonwealth of Australia 2025</t>
  </si>
  <si>
    <t>Ownership of intellectual property rights</t>
  </si>
  <si>
    <t>Unless otherwise noted, copyright (and any other intellectual property rights, if any) in this publication is owned by the Commonwealth of Australia.</t>
  </si>
  <si>
    <t>Creative Commons licence</t>
  </si>
  <si>
    <t xml:space="preserve">Attribution </t>
  </si>
  <si>
    <t>CC BY</t>
  </si>
  <si>
    <t>All material in this publication is licensed under a Creative Commons Attribution 4.0 International Licence, save for content supplied by third parties, logos, any material protected by trademark or otherwise noted in this publication, and the Commonwealth Coat of Arms.</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</si>
  <si>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</si>
  <si>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The full licence terms are available from https://creativecommons.org/licenses/by/4.0/legalcode</t>
  </si>
  <si>
    <r>
      <t xml:space="preserve">Content contained herein should be attributed as </t>
    </r>
    <r>
      <rPr>
        <i/>
        <sz val="11"/>
        <color rgb="FF000000"/>
        <rFont val="Arial"/>
        <family val="2"/>
      </rPr>
      <t>Science, Research and Innovation (SRI) Budget Tables, 2025-26</t>
    </r>
  </si>
  <si>
    <t>Disclaimer:</t>
  </si>
  <si>
    <t>The Australian Government as represented by the Department of Industry, Science and Resources has exercised due care and skill in the preparation and compilation of the information and data in this publication. Notwithstanding, the Commonwealth of Australia, its officers, employees, or agents disclaim any liability, including liability for negligence, loss howsoever caused, damage, injury, expense or cost incurred by any person as a result of accessing, using or relying upon any of the information or data in this publication to the maximum extent permitted by law. No representation expressed or implied is made as to the currency, accuracy, reliability or completeness of the information contained in this publication. The reader should rely on their own inquiries to independently confirm the information and comment on which they intend to act. This publication does not indicate commitment by the Australian Government to a particular course of action.</t>
  </si>
  <si>
    <t>About the Science, Research &amp; Innovation Budget Tables</t>
  </si>
  <si>
    <t>Background</t>
  </si>
  <si>
    <r>
      <t xml:space="preserve">The Australian Government's Science, Research and Innovation Budget Tables ('the SRI Budget Tables, or 'the tables') provide details of Australian Government investments in R&amp;D and innovation, and of SRI-related Australian Government organisations. The tables provide time series data on R&amp;D programs and activities extending back to 1978-79 and (where available) to the latest year of the forward estimates. This data is categorised by sector of investment, socio-economic objective and method of funding allocation.
The tables are available online from the Department of Industry, Science and Resources website at: https://www.industry.gov.au/data-and-publications/science-research-and-innovation-sri-budget-tables 
The information presented within the tables is collected by the Department of Industry, Science and Resources (‘the Department’) through an annual census of Australian Government departments and major research agencies.
The first edition of the tables (the 1979-80 Science Statement) was produced by the then Department of Science and the Environment in accordance with the stated government policy at that time of advising the Parliament on trends in R&amp;D [1]. Impetus for the statement was also provided by a recommendation of the Australian Science and Technology Council (ASTEC) [2], agreed by the Prime Minister [3], that the Department release in an easily readable printed edition a directory of all Australian research projects and personnel.
The need to perform these two functions (i.e. reporting on R&amp;D expenditures and providing a stocktake of R&amp;D programs and activities) has persisted since this time, and the tables have continued to be published annually by authorisation of the Australian Government Minister responsible for science policy.
While the form and content of the tables has changed significantly during the intervening period, each edition at least performs these two basic functions – it makes available within a single location: 
</t>
    </r>
    <r>
      <rPr>
        <b/>
        <sz val="11"/>
        <color theme="1"/>
        <rFont val="Arial"/>
        <family val="2"/>
      </rPr>
      <t>1.</t>
    </r>
    <r>
      <rPr>
        <sz val="11"/>
        <color theme="1"/>
        <rFont val="Arial"/>
        <family val="2"/>
      </rPr>
      <t xml:space="preserve"> a comprehensive account of Australian Government R&amp;D expenditures, and 
</t>
    </r>
    <r>
      <rPr>
        <b/>
        <sz val="11"/>
        <color theme="1"/>
        <rFont val="Arial"/>
        <family val="2"/>
      </rPr>
      <t>2.</t>
    </r>
    <r>
      <rPr>
        <sz val="11"/>
        <color theme="1"/>
        <rFont val="Arial"/>
        <family val="2"/>
      </rPr>
      <t xml:space="preserve"> a stocktake of Australian Government funded R&amp;D programs and activities.
Fundamentally, the tables attempt to provide a ‘one-stop-shop’ overview of Australian Government financial support for science, research and innovation. 
Data captured within the tables is provided annually to the OECD for reporting within its OECD Main Science and Technology Indicators (MISTI). Compilation of the SRI Budget Tables is an obligation of Australia’s membership of the OECD as the tables provide the country-level data on the Australian Government’s Budget Allocations for R&amp;D (GBARD). OECD includes the GBARD data within MSTI which provides a cross-country comparison of member countries’ investment in R&amp;D. 
</t>
    </r>
    <r>
      <rPr>
        <i/>
        <sz val="11"/>
        <color theme="1"/>
        <rFont val="Arial"/>
        <family val="2"/>
      </rPr>
      <t xml:space="preserve">
[1] Department of Science and the Environment, 1980, 1979-80 Science Statement, Australian Government Publishing Service, p.1
[2] Australian Science and Technology Council (ASTEC), 1979, Science and Technology in Australia 1978-79, Recommendation 12, p.5
[3] Refer National Archives of Australia file A12909, 2963: Decision 7691, Recommendation 12</t>
    </r>
  </si>
  <si>
    <t>Capturing Research and Development Investment</t>
  </si>
  <si>
    <r>
      <t xml:space="preserve">The R&amp;D investments reported within these tables are compiled in accordance with the OECD's </t>
    </r>
    <r>
      <rPr>
        <i/>
        <sz val="11"/>
        <color theme="1"/>
        <rFont val="Arial"/>
        <family val="2"/>
      </rPr>
      <t>Frascati Manual 2015: Guidelines for Collecting and Reporting Data on Research and Experimental Development.</t>
    </r>
    <r>
      <rPr>
        <sz val="11"/>
        <color theme="1"/>
        <rFont val="Arial"/>
        <family val="2"/>
      </rPr>
      <t xml:space="preserve">
Commencing with the 2017-18 edition of the SRI Budget Tables, the aggregation of all R&amp;D program and activity expenses is referred to as "total Australian Government investment in R&amp;D". This total is made up of three primary types of expenses as listed within the Portfolio Budget Statements:
</t>
    </r>
    <r>
      <rPr>
        <b/>
        <sz val="11"/>
        <color theme="1"/>
        <rFont val="Arial"/>
        <family val="2"/>
      </rPr>
      <t xml:space="preserve">1. </t>
    </r>
    <r>
      <rPr>
        <sz val="11"/>
        <color theme="1"/>
        <rFont val="Arial"/>
        <family val="2"/>
      </rPr>
      <t xml:space="preserve">Direct expenditures by government upon its own R&amp;D activities (e.g. through agencies such as CSIRO, ANSTO and AIMS);
</t>
    </r>
    <r>
      <rPr>
        <b/>
        <sz val="11"/>
        <color theme="1"/>
        <rFont val="Arial"/>
        <family val="2"/>
      </rPr>
      <t>2.</t>
    </r>
    <r>
      <rPr>
        <sz val="11"/>
        <color theme="1"/>
        <rFont val="Arial"/>
        <family val="2"/>
      </rPr>
      <t xml:space="preserve"> Funding provided to organisations in other sectors to assist them to undertake R&amp;D activities (e.g. research block grants for universities, ARC and NHMRC grants, Cooperative Research Centres program grants);
</t>
    </r>
    <r>
      <rPr>
        <b/>
        <sz val="11"/>
        <color theme="1"/>
        <rFont val="Arial"/>
        <family val="2"/>
      </rPr>
      <t>3.</t>
    </r>
    <r>
      <rPr>
        <sz val="11"/>
        <color theme="1"/>
        <rFont val="Arial"/>
        <family val="2"/>
      </rPr>
      <t xml:space="preserve"> Indirect support provided to businesses through revenues forgone by the Australian Government through the R&amp;D Tax Incentive (R&amp;DTI).</t>
    </r>
  </si>
  <si>
    <t>Performer-based</t>
  </si>
  <si>
    <r>
      <t>As noted within the Frascati Manual 2015 (p.322), there are different ways of measuring how much governments invest in R&amp;D. One is the</t>
    </r>
    <r>
      <rPr>
        <b/>
        <sz val="11"/>
        <color theme="1"/>
        <rFont val="Arial"/>
        <family val="2"/>
      </rPr>
      <t xml:space="preserve"> performer-based approach</t>
    </r>
    <r>
      <rPr>
        <sz val="11"/>
        <color theme="1"/>
        <rFont val="Arial"/>
        <family val="2"/>
      </rPr>
      <t>, which involves surveying those entities that perform R&amp;D (businesses, institutes, universities, etc.) in order to identify the amount they spend on R&amp;D activities that they perform in a given year. This is the approach used by the Australian Bureau of Statistics (ABS) within its various R&amp;D expenditure surveys.</t>
    </r>
  </si>
  <si>
    <t>Funder-based</t>
  </si>
  <si>
    <r>
      <t xml:space="preserve">A complementary approach - the </t>
    </r>
    <r>
      <rPr>
        <b/>
        <sz val="11"/>
        <color theme="1"/>
        <rFont val="Arial"/>
        <family val="2"/>
      </rPr>
      <t xml:space="preserve">funder-based approach </t>
    </r>
    <r>
      <rPr>
        <sz val="11"/>
        <color theme="1"/>
        <rFont val="Arial"/>
        <family val="2"/>
      </rPr>
      <t>- measures government support for and expenditures on R&amp;D. This is the approach used within the SRI Budget Tables and involves identifying all those Australian Government R&amp;D-related programs and activities whose immediate source of funding is a budgetary appropriation, and then measuring or estimating their R&amp;D content.</t>
    </r>
  </si>
  <si>
    <t>Performer-based V Funder-based</t>
  </si>
  <si>
    <t>While complementary, the performer and funder-based approaches to measuring government funding of R&amp;D may produce different results, as the funder-based approach captures R&amp;D appropriations or outlays in the year that they are budgeted for, whereas the performer-based approach captures R&amp;D expenditures in the year that they take place, which may cover several years after they were budgeted for. For this reason the amounts reported within the ABS's R&amp;D expenditure surveys do not directly align with amounts reported within the SRI Budget Tables.</t>
  </si>
  <si>
    <t>Government Budget Allocation for Research and Development (GBARD)</t>
  </si>
  <si>
    <t xml:space="preserve">The specifications of funder- or performer-based data collection are described in the Frascati Manual 2015 and were first introduced in the manual’s third edition. Prior to the 2015 edition, funder-based data was formally referred to as 'Government budget appropriations or outlays for R&amp;D' (GBAORD), a term that is replaced in the manual's latest (2015) edition with the term of 'Government budget allocations for R&amp;D' (GBARD).
GBARD encompass all spending allocations for R&amp;D met from sources of government revenue foreseen within the budget. However, general government entities with individual budgets that are not fully covered by the general budget are also included for the purpose of GBARD measurement.
The Frascati Manual 2015 (p.344) notes that although tax expenditures for R&amp;D have several elements in common with GBARD, GTARD (Government Tax Relief for R&amp;D expenditures) should be measured separately and only then integrated into the overall presentation of R&amp;D statistics, particularly for international comparisons. For this reason, the GBARD statistics that Australia reports to the OECD do not include the R&amp;D Tax Measures amounts.
For the purposes of the Frascati Manual 2015, the Government sector comprises the central (federal) government, regional (state) government and local (municipal) government subsectors. The focus of GBARD statistics is on the R&amp;D expenditure operations conducted by the government at all these levels and financed through the budget under standard budgetary approval procedures. However, local and state government budget funds are not included within the SRI Budget Tables as this data is not currently available.
</t>
  </si>
  <si>
    <t>SRI Budget Tables R&amp;D invesment reporting</t>
  </si>
  <si>
    <t>The R&amp;D investment amounts reported within the SRI Budget Tables: 
 - include Australian Government support for R&amp;D from administered funds (i.e. extramural support) and expenditure on R&amp;D from departmental funds (i.e. intramural expenditure);
 - include revenues foregone by the Australian Government through the R&amp;D Tax Incentive and other such measures;
 - exclude expenditures through industry, innovation and science programs where these programs do not permit expenditure on R&amp;D;
 - exclude support for and expenditures upon R&amp;D whose revenue source is not an Australian Government appropriation, but is rather another organisation, even when this is a government organisation. For example, a government agency may undertake significant amounts of R&amp;D funded by industry or by other areas of government, but these are not reported within the tables because their direct source is not a budgetary outlay or allocation. Only the agency that receives the original appropriation reports its expenditures or outlays. This approach prevents double-counting of R&amp;D allocations.</t>
  </si>
  <si>
    <t>SRI Budget Tables datasets</t>
  </si>
  <si>
    <t>The 2025-26 edition of the tables contain the following primary datasets:
 - R&amp;D programs and activities
 - Other SRI programs and activities (non-R&amp;D)
 - Knowledge Transfer and Research Commercialisation programs and activities
 - Australian Government Organisations Register (AGOR)
 - Australian Government R&amp;D Science and Research Priorities.
Each new edition of the tables includes revisions to data that has previously been reported. These revisions are most often updates to data for the Budget Estimate and Estimated Actual years, but they may also involve the addition of new programs and amendments to existing programs, or changes to data for any previously reported year.</t>
  </si>
  <si>
    <t>SRI Budget Tables - Editions</t>
  </si>
  <si>
    <t>Since their first edition, the tables have been given a variety of titles:
 - Science Statement: 1979-80
 - Science &amp; Technology Statement: 1980-81 to 1987-88
 - Science &amp; Technology Budget Statement: 1989-90 to 2000-01
 - Science &amp; Innovation Budget Tables: 2001-02 to 2009-10
 - Science, Research &amp; Innovation Budget Tables: 2010-11 to present.
Publication details by year as follows:</t>
  </si>
  <si>
    <t>Title</t>
  </si>
  <si>
    <t>Financial year</t>
  </si>
  <si>
    <t>Release date</t>
  </si>
  <si>
    <t>Compiled by</t>
  </si>
  <si>
    <t>The Australian Government’s 2025-26 Science, Research and Innovation Budget Tables</t>
  </si>
  <si>
    <t>2025-26</t>
  </si>
  <si>
    <t>15 August 2025</t>
  </si>
  <si>
    <t>Department of Industry, Science and Resources</t>
  </si>
  <si>
    <t>The Australian Government’s 2024-25 Science, Research and Innovation Budget Tables</t>
  </si>
  <si>
    <t>2024-25</t>
  </si>
  <si>
    <t>18 October 2024</t>
  </si>
  <si>
    <t>The Australian Government’s 2023-24 Science, Research and Innovation Budget Tables</t>
  </si>
  <si>
    <t>2023-24</t>
  </si>
  <si>
    <t>15 February 2024</t>
  </si>
  <si>
    <t>The Australian Government’s 2022-23 Science, Research and Innovation Budget Tables</t>
  </si>
  <si>
    <t>2022-23</t>
  </si>
  <si>
    <t>28 April 2023</t>
  </si>
  <si>
    <t>The Australian Government’s 2021-22 Science, Research and Innovation Budget Tables</t>
  </si>
  <si>
    <t>2021-22</t>
  </si>
  <si>
    <t>17 December 2021</t>
  </si>
  <si>
    <t>Department of Industry, Science, Energy and Resources</t>
  </si>
  <si>
    <t>The Australian Government’s 2020-21 Science, Research and Innovation Budget Tables</t>
  </si>
  <si>
    <t>2020-21</t>
  </si>
  <si>
    <t>19 February 2021</t>
  </si>
  <si>
    <t>The Australian Government’s 2019-20 Science, Research and Innovation Budget Tables</t>
  </si>
  <si>
    <t>2019-20</t>
  </si>
  <si>
    <t xml:space="preserve">19 September 2019 </t>
  </si>
  <si>
    <t>Department of Industry, Innovation and Science</t>
  </si>
  <si>
    <t>The Australian Government’s 2018-19 Science, Research and Innovation Budget Tables</t>
  </si>
  <si>
    <t>2018-19</t>
  </si>
  <si>
    <t>16 October 2018</t>
  </si>
  <si>
    <t>The Australian Government’s 2017-18 Science, Research and Innovation Budget Tables</t>
  </si>
  <si>
    <t>2017-18</t>
  </si>
  <si>
    <t>13 October 2017</t>
  </si>
  <si>
    <t>The Australian Government’s 2016-17 Science, Research and Innovation Budget Tables</t>
  </si>
  <si>
    <t>2016-17</t>
  </si>
  <si>
    <t>18 August 2016</t>
  </si>
  <si>
    <t>The Australian Government’s 2015-16 Science, Research and Innovation Budget Tables</t>
  </si>
  <si>
    <t>2015-16</t>
  </si>
  <si>
    <t>30 July 2015</t>
  </si>
  <si>
    <t>Department of Industry and Science</t>
  </si>
  <si>
    <t>The Australian Government’s 2014-15 Science, Research and Innovation Budget Tables</t>
  </si>
  <si>
    <t>2014-15</t>
  </si>
  <si>
    <t>29 August 2014</t>
  </si>
  <si>
    <t>Department of Industry</t>
  </si>
  <si>
    <t>The Australian Government’s 2013-14 Science, Research and Innovation Budget Tables</t>
  </si>
  <si>
    <t>2013-14</t>
  </si>
  <si>
    <t>24 July 2013</t>
  </si>
  <si>
    <t>Department of Industry, Innovation, Climate Change, Science, Research and Tertiary Education</t>
  </si>
  <si>
    <t>The Australian Government’s 2012-13 Science, Research and Innovation Budget Tables</t>
  </si>
  <si>
    <t>2012-13</t>
  </si>
  <si>
    <t>16 October 2012</t>
  </si>
  <si>
    <t>Department of Industry, Innovation, Science, Research and Tertiary Education</t>
  </si>
  <si>
    <t>The Australian Government's 2011-12 Science, Research and Innovation Budget Tables</t>
  </si>
  <si>
    <t>2011-12</t>
  </si>
  <si>
    <t>May 2011</t>
  </si>
  <si>
    <t>Department of Innovation, Industry, Science and Research</t>
  </si>
  <si>
    <t>The Australian Government's 2010-11 Science, Research and Innovation Budget Tables</t>
  </si>
  <si>
    <t>2010-11</t>
  </si>
  <si>
    <t>May 2010</t>
  </si>
  <si>
    <t>The Australian Government's 2009-10 Science and Innovation Budget Tables</t>
  </si>
  <si>
    <t>2009-10</t>
  </si>
  <si>
    <t>May 2009</t>
  </si>
  <si>
    <t>The Australian Government's 2008-09 Science and Innovation Budget Tables</t>
  </si>
  <si>
    <t>2008-09</t>
  </si>
  <si>
    <t>May 2008</t>
  </si>
  <si>
    <t>The Australian Government's 2007-08 Science and Innovation Budget Tables</t>
  </si>
  <si>
    <t>2007-08</t>
  </si>
  <si>
    <t>May 2007</t>
  </si>
  <si>
    <t>Department of Education, Science and Training</t>
  </si>
  <si>
    <t>The Australian Government's 2006-07 Science and Innovation Budget Tables</t>
  </si>
  <si>
    <t>2006-07</t>
  </si>
  <si>
    <t>May 2006</t>
  </si>
  <si>
    <t>The Australian Government's 2005-06 Science and Innovation Budget Tables</t>
  </si>
  <si>
    <t>2005-06</t>
  </si>
  <si>
    <t>May 2005</t>
  </si>
  <si>
    <t>Science and Innovation Budget Tables 2004-05</t>
  </si>
  <si>
    <t>2004-05</t>
  </si>
  <si>
    <t>May 2004</t>
  </si>
  <si>
    <t>Science and Innovation Budget Tables 2003-04</t>
  </si>
  <si>
    <t>2003-04</t>
  </si>
  <si>
    <t>May 2003</t>
  </si>
  <si>
    <t>Science and Innovation Budget Tables 2002-03</t>
  </si>
  <si>
    <t>2002-03</t>
  </si>
  <si>
    <t>May 2002</t>
  </si>
  <si>
    <t>Science and Innovation Budget Tables 2001-02</t>
  </si>
  <si>
    <t>2001-02</t>
  </si>
  <si>
    <t>May 2001</t>
  </si>
  <si>
    <t>Science and Technology Budget Statement 2000-01</t>
  </si>
  <si>
    <t>2000-01</t>
  </si>
  <si>
    <t>May 2000</t>
  </si>
  <si>
    <t>Science and Technology Budget Statement 1999-2000</t>
  </si>
  <si>
    <t>1999-2000</t>
  </si>
  <si>
    <t>May 1999</t>
  </si>
  <si>
    <t>Science and Technology Budget Statement 1998-99</t>
  </si>
  <si>
    <t>1998-99</t>
  </si>
  <si>
    <t>May 1998</t>
  </si>
  <si>
    <t>Department of Industry, Science and Tourism</t>
  </si>
  <si>
    <t>Science and Technology Budget Statement 1997-98</t>
  </si>
  <si>
    <t>1997-98</t>
  </si>
  <si>
    <t>May 1997</t>
  </si>
  <si>
    <t>Science and Technology Budget Statement 1996-97</t>
  </si>
  <si>
    <t>1996-97</t>
  </si>
  <si>
    <t>May 1996</t>
  </si>
  <si>
    <t>Science and Technology Budget Statement 1995-96</t>
  </si>
  <si>
    <t>1995-96</t>
  </si>
  <si>
    <t>May 1995</t>
  </si>
  <si>
    <t>Department of Industry, Science and Technology</t>
  </si>
  <si>
    <t>Science and Technology Budget Statement 1994-95</t>
  </si>
  <si>
    <t>1994-95</t>
  </si>
  <si>
    <t>May 1994</t>
  </si>
  <si>
    <t>Science and Technology Budget Statement 1993-94</t>
  </si>
  <si>
    <t>1993-94</t>
  </si>
  <si>
    <t>May 1993</t>
  </si>
  <si>
    <t>Department of Industry, Technology and Regional Development</t>
  </si>
  <si>
    <t>Science and Technology Budget Statement 1992-93 (1992–93 Budget Related Paper No. 6)</t>
  </si>
  <si>
    <t>1992-93</t>
  </si>
  <si>
    <t>May 1992</t>
  </si>
  <si>
    <t>Department of Industry, Technology and Commerce</t>
  </si>
  <si>
    <t>Science and Technology Budget Statement 1991-92 (1991-92 Budget Related Paper No. 6)</t>
  </si>
  <si>
    <t>1991-92</t>
  </si>
  <si>
    <t>May 1991</t>
  </si>
  <si>
    <t>Science and Technology Budget Statement 1990-91 (1990-91 Budget Related Paper No. 7)</t>
  </si>
  <si>
    <t>1990-91</t>
  </si>
  <si>
    <t>May 1990</t>
  </si>
  <si>
    <t>Science and Technology Budget Statement 1989-90 (Budget Related Paper No. 10)</t>
  </si>
  <si>
    <t>1989-90</t>
  </si>
  <si>
    <t>May 1989</t>
  </si>
  <si>
    <t>No tables were released for 1988-89</t>
  </si>
  <si>
    <t>1988-89</t>
  </si>
  <si>
    <t>Science and Technology Statement 1987-88</t>
  </si>
  <si>
    <t>1987-88</t>
  </si>
  <si>
    <t>May 1988</t>
  </si>
  <si>
    <t>Science and Technology Statement 1986-87</t>
  </si>
  <si>
    <t>1986-87</t>
  </si>
  <si>
    <t>October 1986</t>
  </si>
  <si>
    <t>Department of Science</t>
  </si>
  <si>
    <t>Science and Technology Statement 1985-86</t>
  </si>
  <si>
    <t>1985-86</t>
  </si>
  <si>
    <t>25 November 1985</t>
  </si>
  <si>
    <t>Science and Technology Statement 1984-85</t>
  </si>
  <si>
    <t>1984-85</t>
  </si>
  <si>
    <t>24 April 1985</t>
  </si>
  <si>
    <t>Science and Technology Statement 1983-84</t>
  </si>
  <si>
    <t>1983-84</t>
  </si>
  <si>
    <t>30 April 1984</t>
  </si>
  <si>
    <t>Department of Science and Technology</t>
  </si>
  <si>
    <t>Science and Technology Statement 1982-83</t>
  </si>
  <si>
    <t>1982-83</t>
  </si>
  <si>
    <t>29 April 1983</t>
  </si>
  <si>
    <t>Science and Technology Statement 1981-82</t>
  </si>
  <si>
    <t>1981-82</t>
  </si>
  <si>
    <t>23 October 1981</t>
  </si>
  <si>
    <t>Science and Technology Statement 1980-81</t>
  </si>
  <si>
    <t>1980-81</t>
  </si>
  <si>
    <t>14 April 1981</t>
  </si>
  <si>
    <t>Science Statement 1979-80</t>
  </si>
  <si>
    <t>1979-80</t>
  </si>
  <si>
    <t>April 1980</t>
  </si>
  <si>
    <t>Department of Science and the Environment</t>
  </si>
  <si>
    <t xml:space="preserve">https://www.industry.gov.au/publications/science-research-and-innovation-sri-budget-tables
E: SRIBudgetTables@industry.gov.au </t>
  </si>
  <si>
    <t>Australian Government investment in R&amp;D by program/activity ($m current prices)</t>
  </si>
  <si>
    <t>Note: Forward estimates are unavailable for some programs and some years.</t>
  </si>
  <si>
    <t>($m current prices)</t>
  </si>
  <si>
    <t>Estimated Actual</t>
  </si>
  <si>
    <t>Budget Estimate</t>
  </si>
  <si>
    <t>Forward Estimates</t>
  </si>
  <si>
    <t>National Science and Research (S&amp;R) priorities</t>
  </si>
  <si>
    <t>Portfolio</t>
  </si>
  <si>
    <t>Program / Activity</t>
  </si>
  <si>
    <t>1978-79</t>
  </si>
  <si>
    <t>1999-00</t>
  </si>
  <si>
    <t>2026-27</t>
  </si>
  <si>
    <t>2027-28</t>
  </si>
  <si>
    <t>2028-29</t>
  </si>
  <si>
    <t>First year</t>
  </si>
  <si>
    <t>Last year</t>
  </si>
  <si>
    <t>Years with &gt; $0 investment</t>
  </si>
  <si>
    <t>Average value</t>
  </si>
  <si>
    <t xml:space="preserve">Allocation method
</t>
  </si>
  <si>
    <t xml:space="preserve">Socio-Economic Objective
</t>
  </si>
  <si>
    <t xml:space="preserve">Sector
</t>
  </si>
  <si>
    <t>Transitioning to a net zero future</t>
  </si>
  <si>
    <t>Supporting healthy and thriving communities</t>
  </si>
  <si>
    <t>Elevating Aboriginal and Torres Strait Islander knowledge systems</t>
  </si>
  <si>
    <t>Protecting and restoring Australia's environment</t>
  </si>
  <si>
    <t>Building a secure and resilient nation</t>
  </si>
  <si>
    <t>Other research area</t>
  </si>
  <si>
    <t>Appropriation</t>
  </si>
  <si>
    <t>About</t>
  </si>
  <si>
    <t>Notes</t>
  </si>
  <si>
    <t>Group1</t>
  </si>
  <si>
    <t>Group2</t>
  </si>
  <si>
    <t>Group3</t>
  </si>
  <si>
    <t>Agriculture, Fisheries and Forestry</t>
  </si>
  <si>
    <t>A Competitive Agriculture Sector - boosting farm profits through rural R&amp;D</t>
  </si>
  <si>
    <t>Competitive</t>
  </si>
  <si>
    <t>08. Agriculture</t>
  </si>
  <si>
    <t>Multisector (Other Rural R&amp;D)</t>
  </si>
  <si>
    <t>Annual</t>
  </si>
  <si>
    <t>The Rural R&amp;D for Profit programme provides grants to rural research and development corporations for collaborative research to improve farmgate productivity and profitability and innovation across the sector.</t>
  </si>
  <si>
    <t>.</t>
  </si>
  <si>
    <t>Advancing Pest Animal and Weed Control Solutions</t>
  </si>
  <si>
    <t>Competitive/Targeted</t>
  </si>
  <si>
    <t>Multisector (Other R&amp;D)</t>
  </si>
  <si>
    <t>Input in 23/24 and 24/25 relates to grants awarded throught the one competitive grant round and funded through two programs 1.Established Pest Animals and Weeds Management Pipeline Program - 19 projects valued at $13 million over three years (2020-21 to 2022-23)  and 2. Supporting Communities manage pest animals 4 grants valued at over $4m to eligibile research organisations to research and develop new control solutions and technologies for established pest animals and weeds  and will contribute to the Australian Government's broader biosecurity objectives.</t>
  </si>
  <si>
    <t>An additional $0.7 million provided in Budget 2025 under the Supporting Communities program. Likely to be targeted given short timeframe.</t>
  </si>
  <si>
    <t>National Innovation and Science Agenda</t>
  </si>
  <si>
    <t>AgriFutures Australia - Bill 1 Appropriation</t>
  </si>
  <si>
    <t>Formula</t>
  </si>
  <si>
    <t>Research and analysis to understand and address important issues on the horizon for Australian agriculture. Research and development for established industries that do not have their own Research &amp; Development Corporation (RDC). Research and development to accelerate the establishment and expansion of new rural industries.</t>
  </si>
  <si>
    <t>AgriFutures Australia (formerly Rural Industries R &amp; D Corporation)</t>
  </si>
  <si>
    <t>Other</t>
  </si>
  <si>
    <t>Multisector (Rural RDC)</t>
  </si>
  <si>
    <t>Special</t>
  </si>
  <si>
    <t>Commonwealth matching on eligible research and development expenditure to AgriFutures Australia.</t>
  </si>
  <si>
    <t>Commonwealth matching contribution for eligible research and development to AgriFutures Australia was included in the Other Rural Research up to 2015-16. Includes additional $0.4 million per year (2015-16 to 2017-18) of funding agreed as part of the Agricultural Competitiveness White Paper. AgriFutures was formerly known as Rural Industries R&amp;D Corporation (RIRDC), up until 2015-16 - the figures on this line have been combined to include RIRDC in prior years. Appropriation Bill 1 is separately shown at row 8.</t>
  </si>
  <si>
    <t>Australian Eggs Limited</t>
  </si>
  <si>
    <t>Commonwealth matching on eligible research and development expenditure to Australian Egg Coporation Limited.</t>
  </si>
  <si>
    <t>Commonwealth Matching only</t>
  </si>
  <si>
    <t>Australian Fisheries Management Authority</t>
  </si>
  <si>
    <t>Government (Other R&amp;D)</t>
  </si>
  <si>
    <t>Australian Pork Limited</t>
  </si>
  <si>
    <t>Commonwealth matching on eligible research and development expenditure to Australia Pork Limited.</t>
  </si>
  <si>
    <t>Commonwealth matching contribution for agricultural research and development to Australia Pork Limited (APL) was included in the Meat Research up to 2015-16.</t>
  </si>
  <si>
    <t>Australian Trade System Support – Cultivating Australia's Traceability – Promoting and Protecting Australian Premium Agriculture</t>
  </si>
  <si>
    <t>Competitive/Other</t>
  </si>
  <si>
    <t>Business (Other R&amp;D)</t>
  </si>
  <si>
    <t>The Australian government has committed $68.4 million for Australia’s agricultural traceability systems to support forward looking innovative ideas to create new avenues for value adding, opportunities to gain access to new markets, and enhance the overall economic benefits to industry through increasing efficiency in meeting compliance obligations</t>
  </si>
  <si>
    <t>Australian Wool Innovation Limited</t>
  </si>
  <si>
    <t>Commonwealth matching on eligible research and development expenditure to Australian Wool Innovation Limited.</t>
  </si>
  <si>
    <t>Australia-wide National Institute for Forest Products Innovation</t>
  </si>
  <si>
    <t>Higher Ed. (Other R&amp;D)</t>
  </si>
  <si>
    <t>The NIFPI supported research and development for the forestry industries. Australia-wide National Institute of Forest Product Innovation; operatonally known as Australian Forest and Wood Innovations (AFWI) is the successor of National Institute of Forest Products Innovation (NIFPI). AFWI commenced in 2022/23. Both programs support research and development for the forestry and wood products industries. 'Actuals' for NIFPI from 2016/17 until 2022/23 is recorded here, followed by the allocations for the newly formed AFWI until 2026/27. Note that the 2022/23 figure of $3.16 million includes a component for NIFPI as well.</t>
  </si>
  <si>
    <t xml:space="preserve">Includes research funding matched by industry </t>
  </si>
  <si>
    <t>Biosecurity and scientific capability</t>
  </si>
  <si>
    <t>Targeted</t>
  </si>
  <si>
    <t>The Australian government has committed to strengthening HPAI preparedness and response capability to mitigate impacts for the production sector.</t>
  </si>
  <si>
    <t xml:space="preserve">Bolstering Australia's Biosecurity System - protecting Australia from escalating exotic animal disease risks - (National Livestock Traceability Reform to Enhance Agricultural Biosecurity and Exports) </t>
  </si>
  <si>
    <t>The Australian government has committed to support continuous improvement of Australia's livestock traceability systems, by maintaining our world-class system and ensuring quick recovery from any disease incursions.</t>
  </si>
  <si>
    <t>National Science and Research Priorities were allocated to this program by the respondent agency for the 2025-26 publication, however they are only required for programs with above $0 appropriations in 2025-26 or after.</t>
  </si>
  <si>
    <t>Centre for Invasive Species Solutions</t>
  </si>
  <si>
    <t xml:space="preserve">Centre for Invasive Species Solutions - DAFF membership fees. </t>
  </si>
  <si>
    <t>Fund</t>
  </si>
  <si>
    <t>Centre of Excellence of Biosecurity Risk Analysis and Research</t>
  </si>
  <si>
    <t>The Centre of Excellence for Biosecurity Risk Analysis (CEBRA) aims to deliver practical, rigorous solutions and advice related to the assessment, management, perception and communication of biosecurity risk.  Since 1 July 2013, CEBRA, hosted by the University of Melbourne, has continued the work of the Australian Centre of Excellence for Risk Analysis (ACERA).</t>
  </si>
  <si>
    <t>These are the amounts in the CEBRA 2021-25 Grant Agreement.
Current budget parameter adjustments have resulted in "unallocated" funds for the program.</t>
  </si>
  <si>
    <t>Cotton Research and Development Corporation</t>
  </si>
  <si>
    <t>Commonwealth matching on eligible research and development expenditure to Cotton Research and Development Corporation.</t>
  </si>
  <si>
    <t>Commonwealth matching contribution for agricultural research and development to Cotton Research and Development Corporation (CRDC) was included in the Other Rural Research up to 2015-16.</t>
  </si>
  <si>
    <t>Dairy Australia Limited</t>
  </si>
  <si>
    <t>Commonwealth matching on eligible research and development expenditure to Dairy Australia Limited.</t>
  </si>
  <si>
    <t>Development of Australia's Seaweed Farming</t>
  </si>
  <si>
    <t>The grant program will provide $8 million over three years (2022-23 to 2024-25) to develop Australia's seaweed farming sector, including research and development for the seaweed Asparagopsis and its commercialisation into a feed supplement for livestock</t>
  </si>
  <si>
    <t>Fisheries Research and Development Corporation</t>
  </si>
  <si>
    <t>Commonwealth matching on eligible research and development expenditure to Fisheries Research &amp; Development Corporation.</t>
  </si>
  <si>
    <t>Fisheries Resources Research Fund</t>
  </si>
  <si>
    <t>The programme supports research that assists the Minister and the department to meet the Australian Government's objectives for Commonwealth fisheries management, including independent research, review and assessment capabilities in pursuit of long-term strategic directions for Commonwealth fisheries resource development and the preparation of the Fishery Status Reports.</t>
  </si>
  <si>
    <t>Forest and Wood Products Australia Limited</t>
  </si>
  <si>
    <t>Commonwealth matching on eligible research and development expenditure to Forest and Wood Products Australia Limited.</t>
  </si>
  <si>
    <t>Forest Industry Climate Change Research Fund</t>
  </si>
  <si>
    <t>This was a 2007 Election commitment and money has been expended.</t>
  </si>
  <si>
    <t xml:space="preserve">Future Drought Fund - Drought Resilience Adoption and Innovation Hubs </t>
  </si>
  <si>
    <t>The Drought Resilience Adoption and Innovation Hubs program has $117m over 6 years from 2020, with an additional $104 million over 6 years available from 2026-27, contingent on the outcomes of a review of the program and subsequent government decision.</t>
  </si>
  <si>
    <t>Future Drought Fund (includes Resilient Landscapes, Scaling Success, Regional Drought Resilience Planning, Long Term Trials, Scholarships, First Nations Initiatives, Commercialisation)</t>
  </si>
  <si>
    <t xml:space="preserve">The Future Drought Fund is the key investment by the Australian Government to build drought resilience in Australia’s agriculture sector, the agricultural landscape, and communities. It is a $5 billion commitment with $100 million each year made available to drought resilience programs. Drought Resilience Adoption and Innovation Hubs  program has previously included some discrete R&amp;D funding, however we are not able to detail the exact funding for R&amp;D activities in the future financial years as the Hubs have discretion in how they allocate funding for drought resilience projects. </t>
  </si>
  <si>
    <t>Grains Research and Development Corporation</t>
  </si>
  <si>
    <t>Commonwealth matching on eligible research and development expenditure to Grains Research &amp; Development Corporation.</t>
  </si>
  <si>
    <t>Horticulture Innovation Australia Limited</t>
  </si>
  <si>
    <t>Commonwealth matching on eligible research and development expenditure to Horticulture Innovation Australia Limited.</t>
  </si>
  <si>
    <t>Improved Access to Agricultural and Veterinary Chemicals grants program</t>
  </si>
  <si>
    <t>Supporting farmers access to priority agricultural and veterinary chemicals for minor uses</t>
  </si>
  <si>
    <t>The grants program assists RDCs in generating data required to support applications to the APVMA</t>
  </si>
  <si>
    <t>Meat and Livestock Australia Limited</t>
  </si>
  <si>
    <t>Commonwealth matching on eligible research and development expenditure to Meat &amp; Livestock Australia Limited.</t>
  </si>
  <si>
    <t>Commonwealth matching contribution for eligible research and development to Meat &amp; Livestock Australia Limited (MLA) was included in the Meat Research up to 2015-16.</t>
  </si>
  <si>
    <t xml:space="preserve">Meat Research </t>
  </si>
  <si>
    <t>Commonwealth matching on eligible research and development expenditure to Meat &amp; Livestock Australia Limited (MLA) and Australia Pork Limited (APL).</t>
  </si>
  <si>
    <t>Commonwealth Matching only up to 2015-16</t>
  </si>
  <si>
    <t>National Carp Control Plan</t>
  </si>
  <si>
    <t xml:space="preserve">The National Carp Control Plan, published in 2022, assessed the suitability and feasibility of using the carp virus as a biocontrol agent. Funding was announced as part of the 2016 Federal Budget. In October 2023, Agriculture Ministers agreed to continue the Carp Biocontrol Program to address knowledge gaps. </t>
  </si>
  <si>
    <t xml:space="preserve">Since FRDC's submission of the National Carp Control Plan in 2022, DAFF has managed the research funds (23/24 onwards). </t>
  </si>
  <si>
    <t>National Environmental DNA (eDNA) Testing Program</t>
  </si>
  <si>
    <t>The National eDNA Testing Program aims to deliver capability in eDNA molecular testing via research, developing and establishing partnerships, laboratory networks, testing/operational guidelines and implementation support</t>
  </si>
  <si>
    <t>National Landcare Program - Smart Farming Partnerships</t>
  </si>
  <si>
    <t>Smart Farming Partnerships offers large grants for partnerships between skilled organisations to work on new tools to build productive and sustainable primary industries.</t>
  </si>
  <si>
    <t>National Landcare Program - Smart Farms Small Grants</t>
  </si>
  <si>
    <t>Smart Farms Small Grants funds organisations and individuals to undertake sustainable agriculture projects and build the capacity of land managers to adopt best practice natural resource management methods.</t>
  </si>
  <si>
    <t>National Weeds and Productivity Research Program</t>
  </si>
  <si>
    <t>Northern Australia Rice Industry</t>
  </si>
  <si>
    <t>The program funds R&amp;D projects that will assist the development of a rice industry in Northern Australia.</t>
  </si>
  <si>
    <t xml:space="preserve">Other Rural Research </t>
  </si>
  <si>
    <t>Commonwealth matching on eligible research and development expenditure to Sugar Research Development Corporation (SRDC), Cotton Research and Development Corporation (CRDC) and Australian Grape and Wine Authority (AGWA).</t>
  </si>
  <si>
    <t>Total Commonwealth Matching for SRDC, CRDC &amp; AGWA up to 2015-16.</t>
  </si>
  <si>
    <t>Plant Biosecurity and Response Reform</t>
  </si>
  <si>
    <t xml:space="preserve">The Plant Biosecurity and Response Reform (PBRR) program is an ongoing administered program (commencing in 2012-13) with the aim of building onshore plant biosecurity capability and capacity to ensure an effective plant biosecurity system that will help maintain Australia’s plant health status, enhance existing trade opportunities and enable new market access. </t>
  </si>
  <si>
    <t>National Innovation and Science Agenda (CSIRO Innovation Fund, and funding for Data61)</t>
  </si>
  <si>
    <t>Plant Pathogen eDNA Project</t>
  </si>
  <si>
    <t>Improve and advance genetic information available on the public database for successful and timely detection of exotic plant pathogens of relevance to biosecurity in northern Australia, Enhance field-based surveillance through development and testing of field and lab based metabarcoding protocols for plant disease/s of relevance to northern Australia biosecurity, Boost diagnostic and taxonomic resources, capacity and capability in northern Australia</t>
  </si>
  <si>
    <t>The budget for this program is funds administered to NT Government.</t>
  </si>
  <si>
    <t>Project Agreement for managing established pest animals and weeds</t>
  </si>
  <si>
    <t>The $50 million Established Pest Animals and Weeds Initiative aims to improve the tools, technologies, information and skills farmers and their communities need to tackle pest animals and weeds. The initiative is part of the Agricultural Competitiveness White Paper. This project agreement aims to build capability of landholders to manage established pest animals and weeds.</t>
  </si>
  <si>
    <t xml:space="preserve">The program has ended.  
</t>
  </si>
  <si>
    <t xml:space="preserve">Rural Industries R&amp;D Corporation </t>
  </si>
  <si>
    <t>Commonwealth matching on eligible research and development to Rural Industries Research &amp; Development Corporation (RIRDC) and Bill 1 appropriation.</t>
  </si>
  <si>
    <t>Includes additional $0.4 million per year (2015-16 to 2017-18) of funding agreed as part of the Agricultural Competitiveness White Paper</t>
  </si>
  <si>
    <t>Smart Fruit Fly Management - Collaborative national approach</t>
  </si>
  <si>
    <t>Commonwealth contributiuon to national fruit fly research porgam to effectively manage fruit fly to save Australian horticulture exports</t>
  </si>
  <si>
    <t>Soil Science Challenge</t>
  </si>
  <si>
    <t>Address significant knowledge gaps in soil carbon dynamics, hydrology, biology and nutrients, and the soil/root interface</t>
  </si>
  <si>
    <t xml:space="preserve">11 projects funded through universities and research organisations </t>
  </si>
  <si>
    <t>Special Rural Research Fund</t>
  </si>
  <si>
    <t>Sugar Research Australia Limited</t>
  </si>
  <si>
    <t>Commonwealth matching on eligible research and development expenditure to Sugar Research Australia Limited.</t>
  </si>
  <si>
    <t>Commonwealth matching contribution for agricultural research and development to Sugar Research Australia Limited (SRA) was included in the Other Rural Research up to 2015-16.</t>
  </si>
  <si>
    <t>Wine Australia</t>
  </si>
  <si>
    <t>Commonwealth matching on research and development expenditure to Wine Australia.</t>
  </si>
  <si>
    <t>Commonwealth matching contribution for agricultural research and development to Wine Australia was included in the Other Rural Research up to 2015-16.</t>
  </si>
  <si>
    <t>Wine Industry Support</t>
  </si>
  <si>
    <t>Program has terminated - was a one-off in 2013-14.</t>
  </si>
  <si>
    <t>Zero Net Emissions ACRC Membership Fee</t>
  </si>
  <si>
    <t>Multisector (CRCs)</t>
  </si>
  <si>
    <t>Formally partner with the Zero Net Emissions from Agriculture Cooperative Research Centre (ZNE Ag CRC) whose key function is to undertake research, development and adoption of science and technology-led solutions. This collaboration aims to catalyse action across industry, community and government to achieve Zero Net Emissions from agriculture by 2024 and below zero net emissions by 2050.</t>
  </si>
  <si>
    <t>Attorney-General's</t>
  </si>
  <si>
    <t>Australian Federal Police (AFP) - Innovation Fund</t>
  </si>
  <si>
    <t>11. Political and social systems, structures and processes</t>
  </si>
  <si>
    <t>Internal AFP Innovation Fund, to progress projects, predominantly applied to research and technology adaptation, to enhance policing outcomes.</t>
  </si>
  <si>
    <t>Australian Institute of Criminology (AIC) - Annual Fraud Against the Commonwealth Census</t>
  </si>
  <si>
    <t>The AIC administers an annual Fraud Against the Commonwealth Census and provides data analysis to support the Attorney-General's Department-led (AGD) Fraud Prevention Centre to assist its development of data-driven fraud detection activities.</t>
  </si>
  <si>
    <t>Australian Institute of Criminology (AIC) - Australian Sexual Offence Statistical (ASOS) Collection</t>
  </si>
  <si>
    <t>This program will produce and maintain a statistical analysis of sexual offences in Australia, with the aim of providing an objective, statistical basis to inform law enforcement and crime prevention activity, as well as the development of targeted policies, legislation and programs, to address sexual offending.</t>
  </si>
  <si>
    <t>Australian Institute of Criminology (AIC) - Child Exploitation Material Reduction Research Program</t>
  </si>
  <si>
    <t>The Child Exploitation Material Reduction Research Program identified ways of reducing the produciton, distribution and viewing of child exploitation material (CEM).</t>
  </si>
  <si>
    <t xml:space="preserve">Australian Institute of Criminology (AIC) - Criminology Research Grant Program </t>
  </si>
  <si>
    <t>The Criminology Research Grants program is managed by the AIC with funding contributed by the Commonwealth and state and territory governments. The Director, AIC approves a series of research grants each year, taking into account the recommendations of the Criminology Research Advisory Council. The program funds research that has relevance for jurisdictional public policy in areas of law, police, judiciary, corrections, mental health, social welfare, education and related fields.</t>
  </si>
  <si>
    <t>Australian Institute of Criminology (AIC) - National Drug and Law Enforcement Research Program</t>
  </si>
  <si>
    <t>The National Drug and Law Enforcement Research Program was funded through the Department of Health. Funding had been allocated for 2014-15 but funding by Health ceased at the end of this period. The program has continued to run for a further 12 months to enable the program to be closed unless a new funding source can be identified and secured. The final project will be completed early in 2016-17.</t>
  </si>
  <si>
    <t>Australian Institute of Criminology (AIC) - Pornography and Sexual Aggression Research</t>
  </si>
  <si>
    <t>This project is to assess the impact that pornography consumption has in influencing sexually aggressive and coercive behaviours among young men.  In this context, the AIC will undertake a survey to identify links between problematic attitudes towards women and sex, and the consumption of pornography.</t>
  </si>
  <si>
    <t>Australian Institute of Criminology (AIC) - Preventing online child sexual abuse in Australia program</t>
  </si>
  <si>
    <t>The AIC undertook a research project to enhance law enforcement's understanding of the best practice available to protect young people from becoming victims of online child sexual abuse as well as how to prevent such material from being generated and viewed by the Australian public. The results were published in 2023-24.</t>
  </si>
  <si>
    <t>Australian Institute of Criminology (AIC) - Research capability to respond to the growing threat of ransomware</t>
  </si>
  <si>
    <t>The AIC established a ransomware research program to develop methods and analytical tools to understand the impacts of ransomware, and develop preventative and investigative resources to disrupt future ransomware attacks.</t>
  </si>
  <si>
    <t>Australian Institute of Criminology (AIC) - Research into Child Sexual Abuse Offending and Disruption Techniques</t>
  </si>
  <si>
    <t>The AIC will conduct new research and extend existing studies into child sexual abuse offending and disruption techniques.  The AIC will undertake targeted studies to identify methods to reduce opportunities for offending and increase detection of child sexual abuse.</t>
  </si>
  <si>
    <t>Australian Institute of Criminology (AIC) - Serious and Organised Crime Research Laboratory</t>
  </si>
  <si>
    <t>The AIC developed methods, analytical tools and produced research papers to help law enforcement target serious organised criminal activity, with the intention of disrupting and defeating these criminal threats.</t>
  </si>
  <si>
    <t xml:space="preserve">Australian Institute of Criminology (AIC) Research Program </t>
  </si>
  <si>
    <t xml:space="preserve">The AIC undertakes and communicates evidence-based research that directly supports the Australian Government Strategic research priorities and informs policy and practice in the law enforcement and justice sectors through: • monitoring trends in crime and the criminal justice system; • building knowledge of offending and victimisation; • identifying emerging or changed criminal activity; and • building an evidence base for an effective criminal justice system and crime prevention.
</t>
  </si>
  <si>
    <t>University Research Commercialisation</t>
  </si>
  <si>
    <t>Climate Change, Energy, the Environment and Water</t>
  </si>
  <si>
    <t>Australia–Austria Industrial Decarbonisation Demonstration Partnerships Program</t>
  </si>
  <si>
    <t>06. Industrial production and technology</t>
  </si>
  <si>
    <t>Multisector (Energy &amp; Env.)</t>
  </si>
  <si>
    <t>Up to $12 million (and up to €7 million for Austrian applicants) for joint Australian and Austrian decarbonisation projects that support the development of innovative technologies, processes or solutions to decarbonise hard-to-abate energy-intensive industries.</t>
  </si>
  <si>
    <t>Australian Antarctic Division</t>
  </si>
  <si>
    <t>01. Exploration and exploitation of the Earth</t>
  </si>
  <si>
    <t>The objective of this program is to conduct scientific research in Antarctica and the Southern Ocean that supports Australian Government policy and environmental management priorities.</t>
  </si>
  <si>
    <t>Historically have only shown Departmental Appropriation, excluding S.74</t>
  </si>
  <si>
    <t>Australian Biological Resources Study</t>
  </si>
  <si>
    <t>13. General advancement of knowledge: R&amp;D financed from other sources than GUF</t>
  </si>
  <si>
    <t>Grants for taxonomic research and to build taxonomic capacity in institutions.</t>
  </si>
  <si>
    <t>Australian Climate Change Science program (ACCSP)</t>
  </si>
  <si>
    <t>The ACCSP conducts fundamental climate change science research which is crucial in understanding Australia’s climate, what it will be like in the future, and how best to prepare for expected changes.</t>
  </si>
  <si>
    <t xml:space="preserve">Funding for this programme finishes 30 June 16 (2015-16 FY). Estimated Actual in 2013-14 is Dept. Environment component only, Dept. Industry's component not included. </t>
  </si>
  <si>
    <t>Australian Institute of Marine Science (AIMS)</t>
  </si>
  <si>
    <t>00. Multiple categories</t>
  </si>
  <si>
    <t>As Australia's tropical marine science agency, AIM's mission is to conduct innovative, world class scientific and technological research to support sustainable growth in the use and effective environmental management and protection of Australia's tropical marine estate.</t>
  </si>
  <si>
    <t>Australian Marine Parks</t>
  </si>
  <si>
    <t>02. Environment</t>
  </si>
  <si>
    <t>R&amp;D projects for 1) investigating the use of acoustic monitoring of vessels, scuba diving and biological noise to assess compliance, use patterns and ecosystem health within Commonwealth marine reserves; 2) investigation of marine debris and biodiscovery in the Coral Sea reserve; 3) coral bleaching and holothurian surveys; 4) Reef Life Survey for national baselines and monitoring.</t>
  </si>
  <si>
    <t>Australian Renewable Energy Agency (ARENA)</t>
  </si>
  <si>
    <t>05. Energy</t>
  </si>
  <si>
    <t>Increase the supply of renewable energy in Australia.</t>
  </si>
  <si>
    <t>In 2012 the Australian Centre for Renewable Energy was combined  with the Australian Solar Institute to form, and continued under, the Australian Renewable Energy Agency (ARENA).</t>
  </si>
  <si>
    <t>Australia-UK Renewable Hydrogen Innovation Partnerships Program</t>
  </si>
  <si>
    <t xml:space="preserve">The joint call with the UK supports research and development of clean hydrogen technologies, including hydrogen derivatives and its applications to decarbonise industry and transport. </t>
  </si>
  <si>
    <t>Bilateral Climate Change Partnerships program</t>
  </si>
  <si>
    <t>Bureau of Meteorology Research Activities</t>
  </si>
  <si>
    <t>Research relating to weather, climate and water to improve understanding and forecasting</t>
  </si>
  <si>
    <t>Bush Blitz Strategic Taxonomy Grants Scheme</t>
  </si>
  <si>
    <t>Funding to support taxonomic research for species discovery and the online dissemination application and publication of taxonomic information.</t>
  </si>
  <si>
    <t xml:space="preserve">BushBlitz is run by the DNP, from funding government (DoE-Biodiversity Fund) and the Private Sector (BHP Billiton). </t>
  </si>
  <si>
    <t>Carbon Capture Technologies Program</t>
  </si>
  <si>
    <t>Funding to support RD&amp;D to advance technological and commercial readiness of CCUS in hard-to-abate industries such as cement and chemicals, and emerging priority CO2 capture technologies, including Direct Air Capture (DAC) and CO2 utilisation technologies.</t>
  </si>
  <si>
    <t>Delivered by Business Grants Hub in Department of Industry Science and Resources</t>
  </si>
  <si>
    <t>Carbon Capture, Use and Storage (CCUS) Development Fund</t>
  </si>
  <si>
    <t>The $50 million CCUS Development Fund was announced as part of the 2020-21 Budget to support pilot carbon capture projects towards commercial operations. Six projects are currently being supported under this Fund.</t>
  </si>
  <si>
    <t>DISR provided updated figures for this program.</t>
  </si>
  <si>
    <t>Carbon Farming Futures - Methodology Development</t>
  </si>
  <si>
    <t xml:space="preserve">Reducing Australia's greenhouse Gases </t>
  </si>
  <si>
    <t xml:space="preserve">Managed by Domestic Emissions Reduction Fund - sits under ENVIRO-ENVIRO:02 - Reducing Australia's Greenhouse Gas Emissions - subprogram - Extending the benefits of the Carbon Farming Initiate </t>
  </si>
  <si>
    <t>Caring for our Country - Natural Heritage Trust</t>
  </si>
  <si>
    <t>Formerly the Reef Water Quality. Programme name has been updated to reflect Environment PBS.</t>
  </si>
  <si>
    <t>Clean Energy Supply Chain Diversification Program</t>
  </si>
  <si>
    <t>The program will support the implementation of the Quad Statement of Principles on Clean Energy Supply Chains in the Indo-Pacific, and will contribute to achieving the Indo-Pacific’s collective energy security and, emissions reduction goals, and support the transition to a net zero future.</t>
  </si>
  <si>
    <t>Budgetary appropriations sit within DCCEEW's budget papers. DISR provided figures for the program.</t>
  </si>
  <si>
    <t>Climate Change Research Program</t>
  </si>
  <si>
    <t>Combined geological and bioregional Assessments</t>
  </si>
  <si>
    <t>Science based framework to assess the potential impact of unconventional gas production on water and the environment.</t>
  </si>
  <si>
    <t>Commonwealth Environmental Research Facilities (CERF) / National Environmental Research Program (NERP)</t>
  </si>
  <si>
    <t>The National Environmental Research Program (NERP) funded environmental research to support decision making over the period 2011 to 2015. It replaced the Comonwealth Environment Research Facilities (CERF) program which was funded from 2005-06 to 2010-11. CERF supported research with a strong public good focus demonstrating a strong public good outcome. It was designed to build critical mass in areas of Australia's research strengths.</t>
  </si>
  <si>
    <t>Commonwealth parks terrestrial conservation science</t>
  </si>
  <si>
    <t>Portfolio of research to support management of Commonwealth parks and gardens</t>
  </si>
  <si>
    <t>Collaborative or commissioned professional services work, and major equipment purchases, in each year since 2018-19. Does not include salaries, travel, and does not cover all smaller expenses.</t>
  </si>
  <si>
    <t>Conservation and Preservation Program</t>
  </si>
  <si>
    <t>Ecological Knowledge System for the Nature Repair Market (Phase 1)</t>
  </si>
  <si>
    <t>Government (CSIRO)</t>
  </si>
  <si>
    <t xml:space="preserve">Annual </t>
  </si>
  <si>
    <t>The Ecological Knowledge System will involve designing and piloting an approach that integrates existing data, models, methods and expertise from regional to national scales to inform biodiversity assessment and management for market projects.</t>
  </si>
  <si>
    <t>Ecological Knowledge System for the Nature Repair Market Scheme (Phase 2)</t>
  </si>
  <si>
    <t>CSIRO will establish a trusted, transparent and authoritative Ecological Knowledge System (EKS) that supports the Nature Repair Market scheme. The EKS will provide information and methods for use by participants in the Nature Repair Market scheme and others interested in enhancing and protecting biodiversity.</t>
  </si>
  <si>
    <t>Emissions Measurement and Analysis</t>
  </si>
  <si>
    <t>Environmental Water Knowledge and Research</t>
  </si>
  <si>
    <t xml:space="preserve">The MDB EWKR funding was established under the Commonwealth Environmental Water Office's '2016 New Policy Proposal' for ongoing funding for the Commonwealth water functions approved through the 2016-17 MYEFO process.  Up to $14.300 million (GST inclusive) should GST be applicable in funding is available from the MDB EWKR Administered Appropriations to continue Flow-MER research and knowledge activities from 2024-25 to 2029-30 on research to inform adaptive management of the environmental watering. These activities are being funded by the Australian Government's Environmental Water and Aquatic Ecosystem Division.  The Commonwealth Environmental Water Holder, consistent with the DCCEEW financial delegation 2022 as specified in Schedule 1, Section 23 of the PGPA Act, approved this funding on 1 December 2022.   </t>
  </si>
  <si>
    <t>From 1 July 2019 the MDB EWKR will be extended as part of an intergrated monitoring, evaluation and research program being funded by the Australian Government's Commonwealth Environmental Water Office. An open competitive tender has been completed and funding for ongoing research under the MER Program has been committed and contracted to successful providers for the years 2018/19 - 2022/23.</t>
  </si>
  <si>
    <t>Expand the Land Use Trade Offs 2 Tool (LUTO2)</t>
  </si>
  <si>
    <t>This project incorporates the incorporation of new datasets into LUTO2. This is required to include biodiversity targets into the model settings to ensure that Australia can meet its environmental goals.</t>
  </si>
  <si>
    <t>Fugitive methan emissions estimation research, analysis and advice</t>
  </si>
  <si>
    <t xml:space="preserve">The program is intended to improve the transparency and accuracy of Australia's fugitive methane emission estimates from the coal, oil and gas sectors, including through Australia-based field studies of atmospheric measurement approaches and expert advice on their potential application at the facility and national level. </t>
  </si>
  <si>
    <t>Funding allocation is primarily through Standing Offer Panel based procurement.</t>
  </si>
  <si>
    <t xml:space="preserve">Geological and Bioregional Assessments </t>
  </si>
  <si>
    <t>Potential environmental impacts of shale and tight gas</t>
  </si>
  <si>
    <t>Great Barrier Reef Foundation - contribution</t>
  </si>
  <si>
    <t>Under this program the Great Barrier Reef Foundation identifies and administers the four year program of research projects that will better define the attributes of a Great Barrier Reef ecosystem that is resilient to climate change; and test the feasibility of minimising the impacts of climate change on the ecosystem, and of increasing the adaptive capacity of the ecosystem to climate change. The overarching goal of the program is the provision of knowledge (from both new and synthesised existing information) to inform management of the Reef in the face of a changing and increasingly variable climate.</t>
  </si>
  <si>
    <t>Formerly the Reef Resilience R&amp;D Programme. Programme name has been updated to reflect Environment PBS 14-15.</t>
  </si>
  <si>
    <t xml:space="preserve">Greenhouse Gas Abatement program </t>
  </si>
  <si>
    <t xml:space="preserve">Greenhouse Research (NGRP) </t>
  </si>
  <si>
    <t>The National Greenhouse Research Program (NGRP) aims to support, through targeted research, the development of policies and activities to deal with atmospheric change and greenhouse-induced climate change. It consists of a core component providing funding to the CSIRO, Bureau of Meteorology and National Tidal Facility, and a component supporting research projects and activities on the science and impacts of climate change undertaken by various institutions.</t>
  </si>
  <si>
    <t>Indigenous Carbon Farming Fund</t>
  </si>
  <si>
    <t>Innovative Biodiversity Monitoring</t>
  </si>
  <si>
    <t>This grant program aims to deliver innovative solutions for lower-cost biodiversity monitoring. Projects funded by the grant will: 1) Provide innovative biodiversity baseline assessment and monitoring technologies and approaches for use in the Nature Repair Market 2) support confidence in the integrity of the market 3) lower the costs of project monitoring 4) deliver a range of monitoring technologies and approaches for use across Australia</t>
  </si>
  <si>
    <t>International Blue Carbon Stocktake</t>
  </si>
  <si>
    <t>International stocktake of the state of blue carbon science, policy and practical action, consisting of a literature review and desktop research and analysis, to identify gaps and opportunities to inform the future work program of the International Partnership for Blue Carbon.</t>
  </si>
  <si>
    <t>International Clean Innovation Researcher Networks Grants</t>
  </si>
  <si>
    <t>The ICIRN supports Australian researchers to develop researcher networks, connect with international partners and collaborate on clean energy solutions. It will boost Australian engagement in multilateral clean technology initiatives.</t>
  </si>
  <si>
    <t>International Whaling Commission Southern Ocean Research Partnership</t>
  </si>
  <si>
    <t>Rest of the World</t>
  </si>
  <si>
    <t xml:space="preserve">This funding is being provided to the International Whaling Commission's Southern Ocean Research Partnership for competitive grants for non-lethal whale research. The Partnership was established in 2009 and is an Australian-initiated consortium of eleven countries undertaking Commission-prioritised, non-lethal research on whales in the Southern Ocean. </t>
  </si>
  <si>
    <t>Funding is provided to an international intergovernmental organisation.</t>
  </si>
  <si>
    <t xml:space="preserve">Land and Water Research </t>
  </si>
  <si>
    <t>Originally supported the Land and Water Resources Research and Development Corporation, then from 1990 this appropriation supported Land &amp; Water Australia (LWA).</t>
  </si>
  <si>
    <t>Landscape genetics of feral pigs in Australia: Phase 1 pilot</t>
  </si>
  <si>
    <t>The grant funds a pilot project that explores the possibility of delineating, using DNA samples, sub-populations of feral pigs in mainland Australia, with sub-populations defined as those between which there is limited movement, Being able to map sub-populations is an essential step for effective planning for feral pig population control as well as for surveillance of exotic diseases such as African swine fever (ASF).</t>
  </si>
  <si>
    <t>Low Emissions Technology and Abatement</t>
  </si>
  <si>
    <t>Marine and Biodiversity Research</t>
  </si>
  <si>
    <t>Methane Emissions Reduction in Livestock Program - Stage 1</t>
  </si>
  <si>
    <t>The Methane emissions reduction in livestock (MERiL) Stage 1 grants program provides support for research trials to collect data on the emissions and productivity impacts of low emissions feed technologies. This funding also supports work to integrate, analyse and evaluate the outputs and data from the program and support the development of the Livestock Emissions Framework for Feed Technologies.</t>
  </si>
  <si>
    <t>Methane Emissions Reduction in Livestock Program - Stages 2 and 3</t>
  </si>
  <si>
    <t xml:space="preserve">Methane emissions reduction in livestock (MERiL) Stages 2 and 3 provides grants to support the development of technology solutions to deliver low emission feed supplements and other solutions to reduce methane emissions from grazing livestock to grazing animals (beef and dairy cattle, and sheep). </t>
  </si>
  <si>
    <t>Monitoring, Evaluation and Research Program (Flow-MER)</t>
  </si>
  <si>
    <t xml:space="preserve">Flow-MER 1.0 2019-2024. The Flow-MER Program provides critical evidence to understand how water for the environment is helping maintain, protect and restore ecosystems and native species across the Murray-Darling Basin. The program demonstrates outcomes, informs management of Commonwealth water for the environment and helps meet our legislative reporting requirements. </t>
  </si>
  <si>
    <t xml:space="preserve">The next iteration of the Flow-MER Program is currently being planned. </t>
  </si>
  <si>
    <t>Monitoring, Evaluation and Research Program (Flow-MER) 2.0</t>
  </si>
  <si>
    <t>CEWH Monitoring, Evaluation and Research Science Program. Flow-MER 2 - new program 2024-29. Please see details above for description.</t>
  </si>
  <si>
    <t>Murray Darling Basin Ramsar Climate Change Impact Assessment (Plan for MDB - Updating the science)</t>
  </si>
  <si>
    <t>An assessment of vulnerability of 3 listed Wetlands of International Importance (Ramsar wetlands) in the Murray-Darling Basin to climate change and identify options for adaptation for site managers that will support wetlands managers more broadly.</t>
  </si>
  <si>
    <t>National Carbon Accounting System</t>
  </si>
  <si>
    <t>National Carbon Accounting Toolbox</t>
  </si>
  <si>
    <t>National Climate Change Adaptation Research Facility (NCCARF) - support</t>
  </si>
  <si>
    <t xml:space="preserve">This current Phase II of NCCARF aims to deliver practical, hands-on tools and information to help governments, businesses and communities take action to manage climate risks, particularly in the coastal zone. Key deliverables include; research synthesis products; operation of four adaptation networks to maintain national adaptation research capacity; and delivery of an online  tool for managing coastal climate risks.  </t>
  </si>
  <si>
    <t>National Environmental Science Program (NESP)</t>
  </si>
  <si>
    <t>The National Environmental Science Programme is a long-term commitment to environment and climate research. The programme builds on its predecessors (National Environmental Research Program and the Australian Climate Change Science Programme) to support decision-makers to understand, manage and conserve Australia’s environment with the best available information, based on world-class science.</t>
  </si>
  <si>
    <t>Formerly called Regional Natural Resource Management Planning for Climate Change (Stream 2). Estimated Actual in 2014-15 is the Stream 2 component only, Industry's component not included here; Programme name has been updated to reflect Environment PBS 14-15.</t>
  </si>
  <si>
    <t>National Landcare Program - Long term monitoring program</t>
  </si>
  <si>
    <t>Develop a suite of long-term monitoring tools for use in natural resource management programs</t>
  </si>
  <si>
    <t>National Landcare Programme - Natural Heritage Trust</t>
  </si>
  <si>
    <t>Reef 2050 Implementation budget and Reef Programme budget</t>
  </si>
  <si>
    <t>National Landcare Programme Innovation Grants</t>
  </si>
  <si>
    <t xml:space="preserve">The focus of the program is to increase the uptake of innovative production, resource management, information collection, extension and supply chain management practices and processes that will improve the productivity and sustainability of resource based industries. </t>
  </si>
  <si>
    <t>National Oceans Office</t>
  </si>
  <si>
    <t>National Plan to Reduce Violence against Women and their Children</t>
  </si>
  <si>
    <t>National Water Grid Fund - Science</t>
  </si>
  <si>
    <t>04. Transport, telecommunications and other infrastructures</t>
  </si>
  <si>
    <t>The National Water Grid Fund supports science projects to ensure that high-quality information and data are available to inform water infrastructure investment decisions.</t>
  </si>
  <si>
    <t>Natural Resource Management Planning for Climate Change</t>
  </si>
  <si>
    <t>The Regional Natural Resource Management (NRM) Planning for Climate Change Fund supports regional NRM organisations to incorporate climate change mitigation and adaptation components into existing regional NRM plans. The NRM has two streams. Under Stream 2 funds are being directed to producing regional-level information in the form of scenarios about the impacts of climate change in a regionally appropriate format, allowing it to be used for medium term regional NRM and land use planning.</t>
  </si>
  <si>
    <t xml:space="preserve">Formerly called Regional Natural Resource Management Planning for Climate Change (Stream 2). </t>
  </si>
  <si>
    <t>Ocean Discovery and Restoration Program</t>
  </si>
  <si>
    <t>The Ocean Discovery and Restoration Program leverages co-investment from philanthropic, private and research sectors for project that improve the understanding and conservation of Australian Marine Parks</t>
  </si>
  <si>
    <t>Office of Water Science</t>
  </si>
  <si>
    <t>Science based framework for coal seam gas and large coal mining impacts on water.</t>
  </si>
  <si>
    <t>‘Science based framework for coal seam gas and large coal mining impacts on water” within the IESC PBS line item, approx $150,000 may be put towards Research and Development.</t>
  </si>
  <si>
    <t>Pilot Monitoring Program</t>
  </si>
  <si>
    <t>Monitoring and evaluating the Carbon + Biodiversity (C+B) and Enhancing Remnant Vegetation (ERV) Pilots. The program will provide information on the extent to which anticipated biodiversity outcomes of the projects are being achieved, and is expected to also deliver insights on the level of monitoring that will be necessary to provide assurance of outcomes for the proposed Nature Repair Market</t>
  </si>
  <si>
    <t>Priority improvements to the Habitat Condition Assessment System (HCAS)</t>
  </si>
  <si>
    <t>This project will deliver priority improvements to the HCAS to support consistent , accurate and cost-effective biodiversity assessment for the nature repair market.</t>
  </si>
  <si>
    <t>Reef 2050 (NHT) Implementation budget</t>
  </si>
  <si>
    <t>Consisting of Turtle research and GBRMPA Coral bleaching monitoring in 21/22 and 22/23</t>
  </si>
  <si>
    <t xml:space="preserve">Reef Trust </t>
  </si>
  <si>
    <t>Critical research on catchment restoration. Research and Development in the Reef Restoration and Adaptation Program, Human dimensions (Citizen Science)</t>
  </si>
  <si>
    <t>Regional Australia Microgrid Pilots Program</t>
  </si>
  <si>
    <t>A $53.6m program to support microgrid pilot studies in off-grid and fringe-of-grid locations.</t>
  </si>
  <si>
    <t>Renewables Environmental Research Initiative (RERI)</t>
  </si>
  <si>
    <t>Funded as part of the Future Made In Australia federal Budget package, the RERI is delivering a suite of applied research projects to support a more efficient transition to onshore and offshore renewable energy, whislt protecting Australia’s biodiversity. These projects will improve our understanding of the species most vulnerable to the impacts of renewable energy developments and inform guidance about how to best avoid, mitigate and offset these impacts. This will support efficient and effective assessments and approvals under the EPBC Act.</t>
  </si>
  <si>
    <t>Supervising Scientist</t>
  </si>
  <si>
    <t>Conducts a program of research, monitoring and supervision of uranium mines in the Alligator Rivers Region</t>
  </si>
  <si>
    <t>Statutory position established under the Commonwealth Environment Protection (Alligator Rivers Region) Act 1978 to ensure the protection of the Alligator Rivers Region environment from the effects of uranium mining</t>
  </si>
  <si>
    <t xml:space="preserve">Supervising Scientist Barralil Creek surface water survey </t>
  </si>
  <si>
    <t>Analysis of water quality at Baralil Creek, Jabiru</t>
  </si>
  <si>
    <t>Urban Water Centres of Excellence program</t>
  </si>
  <si>
    <t>Water Research Goyder Institute</t>
  </si>
  <si>
    <t>The $8 million program led by the Goyder Institue for Water Research will work with communities to investigate the impacts of climate change on the health of the Coorong, Lower Lakes and Murray Mouth regions.</t>
  </si>
  <si>
    <t>Water Resource Assessment and Research</t>
  </si>
  <si>
    <t>The objectives of this granting programme are to address priority issues for sustainable use and management of water resources and implementation of the National Water Initiative. A total of $210,000 (inc GST) has been given to Water's Edge Consulting to under take a project in the years 2015-16 and 2016-17. The purpose of this project is to finalise the Integrated Ecosystems Condition Assessment Framework and Manual. The IECA Manual will provide nationally consistent guidance on how to apply the IECA Framework to assess aquatic ecosystem condition and provide useful information for adaptive management.</t>
  </si>
  <si>
    <t>Defence</t>
  </si>
  <si>
    <t>ADF Life Course Study: Longitudinal program of work approved for next 10 years</t>
  </si>
  <si>
    <t>14. Defence</t>
  </si>
  <si>
    <t>Total of $30M has been dedicated to undertaking 10 year longitudinal study into health and wellbeing of ADF members across their life course. This money will be allocated to all activities that help achieve the program of work (inc contractors, procurements, equipment, sub project costs etc)</t>
  </si>
  <si>
    <t>Advanced Strategic Capabilities Accelerator (ASCA)</t>
  </si>
  <si>
    <t>The Defence Innovation Hub funded through the Single Innovation Fund (SIF) is the two government's signature defence innovation development program, established in December 2016.  The FSP announced 01 Jul 20, that over $800m will be spent on Innovation Hub investment over the decade to 2030.  The Innovation Hub provides a single innovation development pipeline for defence industry and research organisations to develop new and innovative defence capability.</t>
  </si>
  <si>
    <t>Transferred from 2. Other SRI Programs as cannot be classified as non R&amp;D as provides funding to Industry for R&amp;D activities through R&amp;D contracts.</t>
  </si>
  <si>
    <t>AI Algorithmic Assurance</t>
  </si>
  <si>
    <t>Develop a method to provide assurance to decisions generated by automated algorithms. Research AI algorithm assurance.</t>
  </si>
  <si>
    <t>Airfield Pavement Engineering Research through the Australian Airports Association</t>
  </si>
  <si>
    <t>Defence through the relevant industry body, the Australian Airports Association, funds a research Masters position in airfield pavement engineering. This is currently deliver through the University of the Sunshine Coast.</t>
  </si>
  <si>
    <t>Assured Navigation in GPS/RF Denied Environments</t>
  </si>
  <si>
    <t>Investigate how navigation can be assured in GPS denied environments.</t>
  </si>
  <si>
    <t>Assuring an Off-the-Shelf AI Algorithm</t>
  </si>
  <si>
    <t>Develop methodology to certify predictive AI algorithms using a representative dataset.</t>
  </si>
  <si>
    <t>Australian Civil-Military Centre - Research and Lessons Learnt</t>
  </si>
  <si>
    <t xml:space="preserve">The Australian Civil-Military Centre’s Research Program supports best practice in building Australia’s capability to prevent and respond more effectively to conflicts and disasters overseas. The Research Program partners with government agencies, academic research institutions, international organisations and non-government organisations to identify research priorities in civil-military-police practice. The ACMC is also responsible for the management of whole-of-government lessons learned from civil-military-police coordination in conflicts and natural disasters overseas. The Lessons Program focuses on the inter-agency level of decision making and coordination. </t>
  </si>
  <si>
    <t>Blood Program of Research</t>
  </si>
  <si>
    <t xml:space="preserve">Establishment of technical and research agreement with UK and US on spray dried plasma. </t>
  </si>
  <si>
    <t>Capability Technology Demonstrator - Extension Program</t>
  </si>
  <si>
    <t>No longer operating rolled into Single Innovation Fund innovation program</t>
  </si>
  <si>
    <t>Contamination Management and Remediation</t>
  </si>
  <si>
    <t>Defence is a participant in the Cooperative Research Centre for Contamination Assessment and Remediation of the Environment (CRC CARE).  A large number of innovative contaminant detection and remediation technologies have been developed for Defence and deployed to protect human health, the environment and support defence capability.</t>
  </si>
  <si>
    <t>Defence Future Capability Technology Centre Program</t>
  </si>
  <si>
    <t xml:space="preserve">The Defence Future Capability Technology Centre (DFCTC) program provides the core funding for the Defence Materials Technology Centre (DMTC).  The DMTC partners with industry and research organisations to develop advanced materials and manufacturing technology that can be incorporated into defence industry products and services, directly supporting the Australian Defence Force.  </t>
  </si>
  <si>
    <t>Defence Innovation Hub funded through the Single Innovation Fund (includes DMTC and CTD) from Program 2.1 Strategic Policy and Intelligence</t>
  </si>
  <si>
    <t>Defence Science and Technology Group (DST Group)</t>
  </si>
  <si>
    <t>Government (DST Group)</t>
  </si>
  <si>
    <t>DST Group is the Australian Government's lead agency dedicated to providing science and technology support for the country's defence and security needs.</t>
  </si>
  <si>
    <t>DST Group expenditures shown here are for direct expenses on the research program and exclude costs associated with overheads and administrative support provided by other Defence Groups.</t>
  </si>
  <si>
    <t>Design and develop future generation smart sensing technologies</t>
  </si>
  <si>
    <t>Develop multiple unique and exquisite sensors in a world leading Nano-lab.</t>
  </si>
  <si>
    <t>New contract with Sydney Uni entered FY22.</t>
  </si>
  <si>
    <t>DST Research Projects - Submarine Combat Control Systems</t>
  </si>
  <si>
    <t>The objective of Research and Development is to contribute to improvements to operational software and periodic updates to hardware subsystems in respect of the Submarine Combat Control Systems.</t>
  </si>
  <si>
    <t>DST Research Projects - Submarine Heavy Weight Torpedo</t>
  </si>
  <si>
    <t>The objective of Research and Development is contribute to Capability Improvements to operational software and  periodic updates to hardware subsystems in repsect of the Mk 48 Heavyweight Torpedo.</t>
  </si>
  <si>
    <t>Not previously included</t>
  </si>
  <si>
    <t>DSTG Research Projects - Blood Brain Barrier Model project</t>
  </si>
  <si>
    <t xml:space="preserve">This is a force protection related research task </t>
  </si>
  <si>
    <t>DSTG Research Projects - GWEO Project</t>
  </si>
  <si>
    <t>This is Guided Weapons and Explosive Ordinance project related science and research budget</t>
  </si>
  <si>
    <t>DSTG Research Projects - Hollow Fibre Infection Model project</t>
  </si>
  <si>
    <t>Evacuation System Modelling</t>
  </si>
  <si>
    <t xml:space="preserve">Operational analysis of casualty evacuation systems </t>
  </si>
  <si>
    <t>Evidence Synthesis Implementation</t>
  </si>
  <si>
    <t>Research translation and implementation plan. 2 x narrow systematic reviews and 2 x rapid reviews.</t>
  </si>
  <si>
    <t>Explosive Ordinance - Required materials for Proof and Equipment Unit</t>
  </si>
  <si>
    <t xml:space="preserve">The program involves the provision of design and engineering activities and the conduct of comprehensive instrument test and evaluation of weapon systems including specialised capabilities in laboratory environment testing of explosive and non-explosive materiel. </t>
  </si>
  <si>
    <t>Future Aviation Fuels</t>
  </si>
  <si>
    <t>Development of a resilient and distributed network capable of operating on alternative jet fuels (CSIRO).</t>
  </si>
  <si>
    <t xml:space="preserve">Future Submarine Program - Combat System Integrator R&amp;D Program </t>
  </si>
  <si>
    <t>The objective of the Research and Development (R&amp;D) program is to support and respond to the short‐ and long‐term capability and technology needs for the Future Submarine Program.</t>
  </si>
  <si>
    <t>Health material manufacture capacity of in remote and austere locations</t>
  </si>
  <si>
    <t xml:space="preserve">Development of capability that is able to produce high value, low cost health material in a containerised setting that is able to be transported to remote settings. </t>
  </si>
  <si>
    <t>Health Research Framework - ADF Lifecourse Study Scoping Project: ADF Lessons Learned Cohort Study</t>
  </si>
  <si>
    <t>An evaluation of lessons learned from four previous longitudinal health research projects on ADF personnel was completed in October 2023. This work assessed the design, delivery and management of prior Defence longitudinal studies in order to inform the optimal governance structure for a longitudinal study.</t>
  </si>
  <si>
    <t>Health Research Framework - ADF Lifecourse Study Scoping Project: Evidence Synthesis</t>
  </si>
  <si>
    <t>A review of all published evidence on health outcomes in ADF members, for the past 20 years, is being synthesised and catalogued into health themes</t>
  </si>
  <si>
    <t>Health Research Framework - ADF Lifecourse Study Scoping Project: Postdoctoral Research Fellows - Two postdoctoral research fellows: one in lifecourse epidemiology and one in women's health</t>
  </si>
  <si>
    <t>Two postdoctoral research fellows: one in lifecourse epidemiology and one in women's health.</t>
  </si>
  <si>
    <t>Health Research Framework - ADF Lifecourse Study Scoping Project: Social licence</t>
  </si>
  <si>
    <t xml:space="preserve">Community juries are being conducted with veterans to inform what conditions would need to be in place for veterans to voluntarily participate in a longitudinal health study. </t>
  </si>
  <si>
    <t>Health Research Framework - New Projects and Initiatives</t>
  </si>
  <si>
    <t>The Health Research Framework is still to be finalised and therefore, key research activities still to be determined. These funds are to be allocated to contract research support and expertise through sources such as research institutions. This will be to conduct studies which have been identified as priorities based on the health research framework. Funding allocated will increase each FY to reflect the increased work being produced under the HRF.</t>
  </si>
  <si>
    <t xml:space="preserve">Health Research Framework - PMMH 5 year program of mental health and wellbeing studies - PMMH  Rapid Review of Psychoeducation procurement </t>
  </si>
  <si>
    <t>Systematic Review of the efficacy of psychoeducation for protecting against the development and persistence of mental health problems</t>
  </si>
  <si>
    <t>Health Research Framework - Postdoctoral Research Fellows: Health of the Force and Musculoskeletal Injury Prevention</t>
  </si>
  <si>
    <t>Two postoctoral researchers, one in Health of the Force (epidemiology) and another in MSK Injury Prevention</t>
  </si>
  <si>
    <t>Health Research Framework - Professor of Military Mental Health</t>
  </si>
  <si>
    <t xml:space="preserve">In 2020, JHC partnered with the University of Melbourne to establish a Professor of Military Mental Health position. The Professor provides leadership in the pursuit of academic research linking best practice and innovation with policy development and service delivery. </t>
  </si>
  <si>
    <t>Improving Inertial Navigation Through Cold Atom Sensors</t>
  </si>
  <si>
    <t>Develop inertial navigation in GPS-denied scenarios. Defence and ANU are hopeful that the research will uncover relevant quantitative evidence and information to use in the world first sensor fusion and navigational scenarios.</t>
  </si>
  <si>
    <t>Jarli development</t>
  </si>
  <si>
    <t>Development of an Indigenous animated character for Defence (possibly Jericho) to use for Inspire, Educate and STEM initiatives.</t>
  </si>
  <si>
    <t>Contract extended in FY22.</t>
  </si>
  <si>
    <t>Jet Fuel Exposure Syndrome Study</t>
  </si>
  <si>
    <t>Joint Force Integration - IMD Study</t>
  </si>
  <si>
    <t>The Intelligence Mission Data (IMD) Study is to inform the design and development of a production capability to support the data needs of next generation capability systems including Joint Strike Fighter, Growler, Air Warfare Destroyer and Amphibious Assault Ship. The IMD Study is one of three studies within the broader mission data environment. The IMD Study will be concluded in FY16/17 with the presentation of the final deliverable to Joint Warfare Council through Head Joint Capability Management and Integration as the sponsor.</t>
  </si>
  <si>
    <t>Joint Force Integration - JP2008PH5B1.2</t>
  </si>
  <si>
    <t>The Project JP2008PH5B1.2  is to design and development  a single dual frequency band Wideband Global Satellite (WGS) certified satellite antenna, modems and monitor control systems as an Australian extension to the US ground stations be developed by the US at Geraldton WA. Future upgrades will include Frequent Division Multiple Access (FDMA) Satellite equipment on ships for IP operations and introduce Time Division TDMA capability for networked operations in a contested environment.  The project will also deliver a shore based training facility.  
A portion of the expenditure for this FY is attributed to a CDG Project WBS to the sum of $.0.484m which has been included in our figures</t>
  </si>
  <si>
    <t>Joint Force Integration - QINETIQ</t>
  </si>
  <si>
    <t>The Technical Architect is the primary executor of the tailoring and integration of applications to be used for the execution of the Joint Fires Experimentation Campaign. The Joint Fires Experimentation Campaign is a series of analytical events in support of JCMI Division to assist in the development and integration of Joint Fires capabilities across the ADF.</t>
  </si>
  <si>
    <t>Mental Health - LASER Resilience Research</t>
  </si>
  <si>
    <t>The Longitudinal ADF Study Evaluating Resilience (LASER-Resilience) is a collaboration between Defence and Phoenix Australia - Centre for Post-traumatic Mental Health (Phoenix Australia).  The study measures resilience and psychological welbeing over time and is expected to identify factors leading to psychological resilience, contributing to the understanding of enhancing resilience in military members during training and service.  The information gathered from the study will be used to advance mental health screening, inform mental health policy and lead future developments in psychological resilience training, such as Battle SMART. Further analyses of LASER-Resilience data will continue, with subsequent production of publications that will align with Defence strategic priorities.</t>
  </si>
  <si>
    <t>Mental Health - Transition and Wellbeing Research Programme</t>
  </si>
  <si>
    <t>The Transition and Wellbeing Research Programme (the Programme) is a joint research agenda between Department of Veteran Affairs (DVA) and Department of Defence. The programme examines the impact of contemporary military service on the mental, physical and social health of serving and ex-serving Australian Defence Force (ADF) personnel, and their families. It builds upon previous research and will inform effective and evidence based health and mental health service provision. Any future additional analyses of Programme data has been forecast under the Health Research Framework - New Projects and Initiatives line.</t>
  </si>
  <si>
    <t>Mental Health - Viability of Intensive Prolonged Exposure Therapy for Post Traumatic Stress Disorder (PTSD)</t>
  </si>
  <si>
    <t>The Viability of Intensive Prolonged Exposure Therapy for Post Traumatic Stress Disorder (PTSD) trial is a joint research agenda between Department of Veteran Affairs (DVA) and Department of Defence.
The trials objective is to determine whether intensive prolonged exposure can deliver similar improvements in PTSD symptomatology compared to standard treatment prolonged exposure for military personnel and veterans with PTSD.</t>
  </si>
  <si>
    <t>Mental Health - WATCH Project</t>
  </si>
  <si>
    <t>Joint Health Command have contracted Phoenix Australia, Centre for Posttraumatic Mental Health, to investigate the management of subthreshold symptoms of mental ill health in the ADF. This project will inform how Defence clinicians identify and manage Defence members presenting with subthreshold mental health concerns. The information will be used to inform better management ofsubthreshold presentations and associated non-specific health risks in Defence members.</t>
  </si>
  <si>
    <t>Mental Health Research and Evaluation - New Projects and Initiatives</t>
  </si>
  <si>
    <t>Mental Health Research Agenda still to be finalised and therefore, key research activities still to be determined. These funds are to be allocated to contract research support and expertise through sources such as research institutions. This will be to conduct studies which have been identified as priorities based on findings from the Transition and Wellbeing Research Programme and the Longitudinal ADF Study Evaluating Resilience (which are coming to completion). In addition, it is anticipated that some programs (such as BattleSMART) will be evaluated.</t>
  </si>
  <si>
    <t>New type of Single Photon Detector - Nanoscale (PhD)</t>
  </si>
  <si>
    <t>Design a new type of silicon-based CEP single photon detector, evaluate the performance metrics of the detector, investigate potential for scalability and integration into arrays, and finally examine compatibility with existing CMOS foundry processes.</t>
  </si>
  <si>
    <t>OPTEST Blackgoose (OBJ21) is a Joint AS/CA/UK trial, with trials support provided by the US. The aim of OBG21 is to evaluate the performance of a UK novel towed active/passive sonar against high-speed underwater vehicles</t>
  </si>
  <si>
    <t>The purpose is to inform research, development, testing, evaluation and acquisition of enhanced torpedo detection, classification and localization (TDCL) and future hard-kill surface ship torpedo defence (SSTD) systems and technologies. This will directly support and inform SEA 1408-3 (Surface Fleet ASW Capability) and SEA1300 requirements to acquire new ASW and torpedo defence capabilities for the Royal Australian Navy (RAN) surface fleet.</t>
  </si>
  <si>
    <t>One off purchase</t>
  </si>
  <si>
    <t>Per- and Poly-Fluorinated Alkyl Substances - ARC Remediation Research Program</t>
  </si>
  <si>
    <t>The ARC Special Research Initiative: PFAS Remediation Research Program aims to facilitate the development of innovative technologies to investigate and remediate PFAS (per- and poly-fluoroalkyl substances) contaminated media including soil and other solid contaminated debris, groundwater, waterways and marine systems.</t>
  </si>
  <si>
    <t>Per-and Poly-Fluorinated Alkyl Substances - Collaborative Research Program (CSIRO)</t>
  </si>
  <si>
    <t>The CSIRO collaborative research program will reduce identified knowledge gaps and uncertainties to improve the management of PFAS across the Defence estate.</t>
  </si>
  <si>
    <t>Per-and Poly-Fluorinated Alkyl Substances - National Health Research Program</t>
  </si>
  <si>
    <t>This is the National Research Program into the Human Health Effects of Per-and Poly-Fluorinated Alkyl Substances (PFAS), which will assist in contributing to our understanding of potential human health effects from exposure to per and poly-fluoroalkyl substances (PFAS). The National Health and Medical Research Council (NHMRC) will administer the Program, with grant funding to be provided to researchers through a targeted call for research. An expert health panel will be established, with one of its roles being the identification of priority areas for research to inform the development of the targeted call for research. The expert health panel will be established and supported by the Department of Health.</t>
  </si>
  <si>
    <t>PMMH Postdoctoral researchers Mental Health x 2</t>
  </si>
  <si>
    <t>2 x Mental Health Post Doc Fellows to assist with delivery of the studies outlined in the PMMH 5 year program of research in mental health and wellbeing</t>
  </si>
  <si>
    <t xml:space="preserve">Project Insight- Health Insight Capability </t>
  </si>
  <si>
    <t xml:space="preserve">Project Insight is improving health data and analytics maturity and health insights within Joint Health Command, using a rapid development cycle. It is also the creation of a Chief Health Information Officer and team. </t>
  </si>
  <si>
    <t>QKD Satellite Disruption Countermeasure</t>
  </si>
  <si>
    <t>Develop mobile laser disruption capability to determine viability of Quantum key distribution (QKD) Satellite disruption as a countermeasure for QKD enable secure communications.</t>
  </si>
  <si>
    <t>2 separate contracts with Uni of WA and Uni of Qld.</t>
  </si>
  <si>
    <t>Submarine Platform S&amp;T Tasks - continuation of selected tasks initiated under FSP but of relevance to NPS.</t>
  </si>
  <si>
    <t>These S&amp;T activities contribute to enhanced safety and operating performance of current and planned Australian submarines.</t>
  </si>
  <si>
    <t>Workload Monitoring For Injury Prevention In Aircrew Personnel</t>
  </si>
  <si>
    <t>Evolve a workload warning and flight review system for fast jet pilots.</t>
  </si>
  <si>
    <t>Contract with Uni of Canberra.</t>
  </si>
  <si>
    <t>Education</t>
  </si>
  <si>
    <t>Academic Centres of Cyber Security Excellence</t>
  </si>
  <si>
    <t>Establishment of academic centres of cyber security excellence will address the nation’s critical shortage of skilled cyber security professionals.</t>
  </si>
  <si>
    <t>Announced as part of the Government's Cyber Security Strategy in April 2016</t>
  </si>
  <si>
    <t>Funding to assure and enhance the quality of Australia's higher education provided under HESA (2003)</t>
  </si>
  <si>
    <t>Cyber Security Strategy</t>
  </si>
  <si>
    <t xml:space="preserve">ARC Linkage Grant - A study of flexibilities that enable workforce participation and skill development and use  and their implications for work-life outcomes in Australia </t>
  </si>
  <si>
    <t>ARC Linkage Grant - A study of the impact of income support design on the outcomes of children and youth</t>
  </si>
  <si>
    <t>This project aims to isolate the impact of increased participation requirements from other changes to income support policy. It will provide valuable evidence on the impacts of activation policy for parents with young children, and inform the development of polices to increase women's workforce participation.</t>
  </si>
  <si>
    <t>This is a partner funding arrangement between the Department of Jobs and Small Business and the Department of Social Services. This item includes the Department of Jobs and Small Business' involvement only and relates to 'in-kind' support. The Department of Social Services has committed both 'in-kind' and 'cash' funding for the project.</t>
  </si>
  <si>
    <t>ARGS &amp; ARC grants/fellowships (including marine R&amp;D grants)</t>
  </si>
  <si>
    <t>12. General advancement of knowledge: R&amp;D financed from General University Funds (GUF)</t>
  </si>
  <si>
    <t>Higher Ed. (Former funding framework)</t>
  </si>
  <si>
    <t>Astronomy National Research Infrastructure</t>
  </si>
  <si>
    <t>Collaborative Research Infrastructure Scheme (CRIS)</t>
  </si>
  <si>
    <t>Atlas of Living Australia</t>
  </si>
  <si>
    <t>AuScope Australian Geophysical Observing System</t>
  </si>
  <si>
    <t>Australia Consensus</t>
  </si>
  <si>
    <t>Australian Future Fibres Research and Innovation Centres</t>
  </si>
  <si>
    <t>Australian Institute for Innovative Materials</t>
  </si>
  <si>
    <t>Australian Microscopy and Microanalysis Research Facility</t>
  </si>
  <si>
    <t>Australian National Data Service</t>
  </si>
  <si>
    <t>Australian National Fabrication Facility</t>
  </si>
  <si>
    <t>Australian National Institute for Public Policy</t>
  </si>
  <si>
    <t>Commonwealth Strategic Relationship with ANU</t>
  </si>
  <si>
    <t>Australian National University Research Infrastructure Projects</t>
  </si>
  <si>
    <t>National Disability Insurance Agency Research and Evaluation Strategy</t>
  </si>
  <si>
    <t>Australian Phenomics Network</t>
  </si>
  <si>
    <t>Australian Plant Phenomics Facility</t>
  </si>
  <si>
    <t xml:space="preserve">Australian Postgraduate Awards </t>
  </si>
  <si>
    <t>Higher Ed. (Block Funding)</t>
  </si>
  <si>
    <t>Australian Postgraduate Awards (APAs) are paid as a block grant to eligible higher education providers (HEPs). APAs are awarded by HEPs, on a competitive basis, to students of exceptional research potential undertaking a higher degree by research in Australia. APAs assist students with their general living costs.</t>
  </si>
  <si>
    <t>Program will terminate on 31 December 2016 and its funding will be absorbed by the Research Training Program (RTP), established as part of the National Innovation and Science Agenda.</t>
  </si>
  <si>
    <t>Funding for research and research training provided under HESA (2003).</t>
  </si>
  <si>
    <t>Australian Research Council (ARC) - National Competitive Grants Program</t>
  </si>
  <si>
    <t>Higher Ed. (ARC)</t>
  </si>
  <si>
    <t>The Australian Research Council (ARC) is responsible for administering the National Competitive Grants Program (NCGP). Through the NCGP, the ARC supports excellent research and research training across all disciplines, awarding funding based on a competitive peer review process. The NCGP comprises two programs, Discovery and Linkage, which fund a range of complementary schemes that provide funding for basic and applied research, research training, research collaborations and infrastructure.</t>
  </si>
  <si>
    <t xml:space="preserve">Note: ARC funding is provided to the Higher Education sector, but research projects may involve collaboration with other sectors. </t>
  </si>
  <si>
    <t>Multiple</t>
  </si>
  <si>
    <t>Australia's Economic Accelarator</t>
  </si>
  <si>
    <t>Funds for adminstering Australia's Economic Accelerator, which aims to support the translation and commercialisation of world leading research in the university sector</t>
  </si>
  <si>
    <t>Funding for research commercialisation provided under HESA (2003)</t>
  </si>
  <si>
    <t>Bond University - Grant for Clinical Education and Research Centre Building</t>
  </si>
  <si>
    <t>09. Education</t>
  </si>
  <si>
    <t>Bond University - Grant for Health Science and Medicine Building</t>
  </si>
  <si>
    <t>07. Health</t>
  </si>
  <si>
    <t>Building the Australian Centre on China in the World</t>
  </si>
  <si>
    <t>Building the National Security College</t>
  </si>
  <si>
    <t>Building the Sydney Institute of Marine Science</t>
  </si>
  <si>
    <t>Centre for Augmented Reasoning</t>
  </si>
  <si>
    <t>The Centre’s research will be focused on the development of machine-learning technologies capable of using Australia’s large volume of data to allow people and machines to collaborate more effectively, actively and naturally.</t>
  </si>
  <si>
    <t>Centre for Climate Change and Energy Research</t>
  </si>
  <si>
    <t>Centre for Neural Engineering</t>
  </si>
  <si>
    <t>Centre on China in the World</t>
  </si>
  <si>
    <t>Clean Energy Initiative (Education Investment Fund)</t>
  </si>
  <si>
    <t>Collaboration Pilots - Nowra Agribusiness Innovation Hub</t>
  </si>
  <si>
    <t>This funding helps establish an innovative agri-business and Industry 4.0 hub in Nowra, NSW, creating stronger connections between local industries and the University of Wollongong.</t>
  </si>
  <si>
    <t>Collaboration Pilots - Warrnambool Hydrogen Transition Centre</t>
  </si>
  <si>
    <t xml:space="preserve">The funding supports Deakin University, working with the City of Warrnambool, the Victorian Government and industry partners to increase the industry application of hydrogen research. </t>
  </si>
  <si>
    <t>Collaborative Research Networks Program</t>
  </si>
  <si>
    <t xml:space="preserve">Key CRN objectives have been achieved, in particular, collaborative partnerships have been established between universities to build research capacity, many of which are expected to be sustained beyond the life of the programme. </t>
  </si>
  <si>
    <t>CRN's primary objective is to build research capacity in regional higher education institutions through collaboration. Increased R&amp;D is a benefit of the programme</t>
  </si>
  <si>
    <t>Commercialisation Training Scheme</t>
  </si>
  <si>
    <t xml:space="preserve">Commonwealth Technology Port </t>
  </si>
  <si>
    <t>Federation Fund</t>
  </si>
  <si>
    <t>Commonwealth-ANU Strategic Relationship</t>
  </si>
  <si>
    <t>The ANU National Security College has successfully established itself as a centre that builds enhanced strategic understanding and critical thinking about Australia’s national security including through training courses for Australian Government agencies, professional development, graduated education and research training.</t>
  </si>
  <si>
    <t>Commonwealth Strategic Relationship with ANU - The Commonwealth funding for the NSC is to support core administration of the National Security College.</t>
  </si>
  <si>
    <t>Domestic Violence Research</t>
  </si>
  <si>
    <t>This project aims to describe and quantify (where possible) the range and extent of domestic violence support options that are provided to employers. It also aims to identify the barriers employers face in providing support to employees experiencing domestic violence.</t>
  </si>
  <si>
    <t>Education R&amp;D Grants</t>
  </si>
  <si>
    <t>Emerging Biomolecular Platforms and Informatics</t>
  </si>
  <si>
    <t>Enhance Research Capacity of Regional Universities</t>
  </si>
  <si>
    <t>RRC Program will fund research collaboration between regional universities, industry and other higher education providers to help regional universities to develop their research strengths</t>
  </si>
  <si>
    <t>Estimate of Other Research and Research Training Support Sourced from the Australian Government</t>
  </si>
  <si>
    <t>Giant Magellan Telescope</t>
  </si>
  <si>
    <t>03. Exploration and exploitation of space</t>
  </si>
  <si>
    <t>Green Chemical Futures</t>
  </si>
  <si>
    <t>Groundwater Infrastructure Research Operational Support</t>
  </si>
  <si>
    <t>Heavy Ion Accelerators</t>
  </si>
  <si>
    <t>Higher Education Research Promotion</t>
  </si>
  <si>
    <t>HERP funding is for activities that promote research and scholarship in science, social science or the humanities</t>
  </si>
  <si>
    <t>The Higher Education Research Promotion scheme funds seven non-for-profit organisations based on historical allocations.  All allocations are specifically approved by the Minister for Education and Training under Part 2-3 ‘Other Grants’ of the Higher Education Support Act 2003 (HESA).</t>
  </si>
  <si>
    <t>Identifiable research support for universities</t>
  </si>
  <si>
    <t>For years 1981-82 to 1985-86, these amounts (as originally reported) have had subtracted from them the ANU Institute of Advanced Studies grant amounts.</t>
  </si>
  <si>
    <t xml:space="preserve">ILO Regional Research Project - Women and the Future of Work in the Asia-Pacific </t>
  </si>
  <si>
    <t xml:space="preserve">The project will examine where best to invest effort and resources to promote women’s full participation in the future of work in the Asia-Pacific region. </t>
  </si>
  <si>
    <t>The project is a one-off grant to the International Labour Organization (ILO) to, among other things,  deliver a research report on the impact of the future of work on women in the Asia-Pacific. The report will provide an analysis of women’s labour market situation in the Asia-Pacific and major change drivers. It will highlight priority issues for women workers and provide practical case studies about steps being taken to prepare women for the future of Work from around the region. The report will feed into the ILO's 2019 Future of Work and Women at Work Centenary Initiatives.</t>
  </si>
  <si>
    <t>Indian Ocean Marine Research Centre</t>
  </si>
  <si>
    <t>Institute for Marine and Antarctic Studies</t>
  </si>
  <si>
    <t xml:space="preserve">Institute of Molecular Bioscience </t>
  </si>
  <si>
    <t>Institute of Photonics</t>
  </si>
  <si>
    <t xml:space="preserve">Institutional Grants Scheme </t>
  </si>
  <si>
    <t>Integrated Marine Observing System</t>
  </si>
  <si>
    <t>International Postgraduate Research Scholarship (IPRS)</t>
  </si>
  <si>
    <t>International Postgraduate Research Scholarships (IPRS) are paid as a block grant to eligible higher education providers (HEPs). IPRS are awarded by HEPs, on a competitive basis, to overseas students to undertake a higher degree by research in Australia. IPRS cover tuition fees and health cover costs for scholarship holders, and health cover costs for their dependants.</t>
  </si>
  <si>
    <t>Funding for research and research training provided under HESA (2003)</t>
  </si>
  <si>
    <t>Joint Research Engagement Program</t>
  </si>
  <si>
    <t>The Joint Research Engagement program (JRE) provides block grants to eligible Australian higher education providers (HEP). The JRE grant may be used to fund any activity related to research.</t>
  </si>
  <si>
    <t>Program will terminate on 31 December 2016 and its funding will be absorbed by the Research Support Program (RSP), established as part of the National Innovation and Science Agenda.</t>
  </si>
  <si>
    <t>La Trobe Institute for Molecular Sciences</t>
  </si>
  <si>
    <t>Learned Academies Supplementation funding</t>
  </si>
  <si>
    <t>Major National Research Facilities (MNRF)</t>
  </si>
  <si>
    <t xml:space="preserve">Mount Stromlo Observatory Reconstruction </t>
  </si>
  <si>
    <t>National Centre for Synchrotron Science</t>
  </si>
  <si>
    <t>National Collaborative Research Infrastructure Strategy</t>
  </si>
  <si>
    <t>Supporting the costs of operating and maintaining National Research Infrastructure (NRI) capabilities funded through grants under the National Collaborative Research Infrastructure Strategy (NCRIS). NCRIS is a highly collaborative and distinctively Australian program which maximises Australia’s NRI investments by coordinating open access, targeted specialities, and co-funding across the country. NCRIS funds both the facilities, tools, equipment and other resources that are needed to perform research, and the experts needed to run the infrastructure.</t>
  </si>
  <si>
    <t>The National Collaborative Research Infrastructure Strategy (NCRIS) Program is a successor to the Major National Research Facilities (MNRF) and the Systemic Infrastructure Initiative.</t>
  </si>
  <si>
    <t>National Imaging Facility</t>
  </si>
  <si>
    <t xml:space="preserve">National Imaging Facility </t>
  </si>
  <si>
    <t>National Industry PhD Program</t>
  </si>
  <si>
    <t>Funds for adminstering the Industry PhD program, which will support PhD candidates to undertake industry-focused research projects</t>
  </si>
  <si>
    <t>National Institutes Program - ANU Component</t>
  </si>
  <si>
    <t xml:space="preserve">This item refers to funds for research and research training provided to the Institute of Advanced Studies (IAS) of the Australian National University (ANU) through the ANU's operating grant. </t>
  </si>
  <si>
    <t>National Institutes receive funding based on historical allocations.  All allocations are specifically approved by the Minister for Education under Part 2-3 ‘Other Grants’ of the Higher Education Support Act 2003 (HESA).</t>
  </si>
  <si>
    <t xml:space="preserve">National Marine Science Centre </t>
  </si>
  <si>
    <t>National Sea Simulator</t>
  </si>
  <si>
    <t>New Horizons - Monash University Project</t>
  </si>
  <si>
    <t>Newcastle Institute for Energy and Resources</t>
  </si>
  <si>
    <t>Population Health Research Network</t>
  </si>
  <si>
    <t>Post-graduate Awards</t>
  </si>
  <si>
    <t xml:space="preserve">Regional Protection Scheme </t>
  </si>
  <si>
    <t>Research Evaluation and Grants for Learned Academies</t>
  </si>
  <si>
    <t xml:space="preserve">Research Infrastructure Block Grants </t>
  </si>
  <si>
    <t xml:space="preserve">Research Infrastructure Block Grants (RIBG) program provides block grants to eligible Australian higher education providers (HEP). RIBG provides funding to help meet the costs incurred when carrying out research projects supported by the Australian Research Council, National Health and Medical Research Council, and other national competitive research granting programs. </t>
  </si>
  <si>
    <t>Research Quantum (RQ)</t>
  </si>
  <si>
    <t>Research Support Program</t>
  </si>
  <si>
    <t>Research Support Program (RSP) funds are paid as a block grant to eligible higher education providers (HEPs). The RSP grant supports the systemic costs of research.</t>
  </si>
  <si>
    <t xml:space="preserve">Program established as part of the National Innovation and Science Agenda. Program commenced on 1 January 2017, absorbing funding from the Joint Research Engagement, Research Infrastructure Block Grants and Sustainable Research Excellence in Universities programs. </t>
  </si>
  <si>
    <t>Research Training Component (RTC)</t>
  </si>
  <si>
    <t>Research Training Program</t>
  </si>
  <si>
    <t>Research Training Program (RTP) funds are paid as a block grant to eligible higher education providers (HEPs). The RTP grant supports the training of next generation of researchers and innovators by offsetting fees otherwise payable, supporting general living costs and providing ancillary allowances to students.</t>
  </si>
  <si>
    <t xml:space="preserve">Program established as part of the National Innovation and Science Agenda. Program commenced on 1 January 2017, absorbing funding from the Australian Postgraduate Awards, International Postgraduate Research Scholarships and Research Training Scheme. </t>
  </si>
  <si>
    <t>Research Training Scheme</t>
  </si>
  <si>
    <t>The Research Training Scheme (RTS) provides block grant funding to eligible higher education providers (HEPs). RTS funding supports the costs associated with providing research training for domestic students undertaking a higher degree by research.</t>
  </si>
  <si>
    <t>Retrofitting for Resilient and Sustainable Buildings</t>
  </si>
  <si>
    <t>Science Lectureships</t>
  </si>
  <si>
    <t>Sir Roland Wilson Foundation</t>
  </si>
  <si>
    <t>Smart State Medical Research Centre</t>
  </si>
  <si>
    <t>Special Research Assistance</t>
  </si>
  <si>
    <t>Included funding for ARC Research Grants, Postgraduate Awards, Fellowships, Overseas Postgraduate Research Scholarships, Centres and Infrastructure but excluded funding through Budget sources.</t>
  </si>
  <si>
    <t>Strategic University Reform Fund</t>
  </si>
  <si>
    <t>The SURF will support universities to engage with local communities and improve collaboration with businesses through innovative activities.</t>
  </si>
  <si>
    <t>Structure and Evolution of the Australian Continent</t>
  </si>
  <si>
    <t>Super Science - Future Industries</t>
  </si>
  <si>
    <t>This includes funding for nuclear science facilities which are the responsibility of the Australian Nuclear Science Technology Organisation (ANSTO).</t>
  </si>
  <si>
    <t>Education Investment Fund - Super Science. This includes funding for nuclear science facilities which are the responsibility of the Australian Nuclear Science Technology Organisation.</t>
  </si>
  <si>
    <t>Super Science - Marine and Climate</t>
  </si>
  <si>
    <t>This includes funding for tropical marine research facilities which are the responsibility of the Australian Institute of Marine Science (AIMS).</t>
  </si>
  <si>
    <t>Education Investment Fund - Super Science. This includes funding for tropical marine research facilities which are the responsibility of the Australian Institute of Marine Science.</t>
  </si>
  <si>
    <t>Super Science - Space Science and Astronomy</t>
  </si>
  <si>
    <t>Sustainable Energy for SKA</t>
  </si>
  <si>
    <t>Sustainable Research Excellence in Universities</t>
  </si>
  <si>
    <t xml:space="preserve">The Sustainable Research Excellence in Universities (SRE) scheme provides block grants to eligible higher education providers (HEPs). SRE provides funding to help meet the costs incurred when carrying out research projects supported by the Australian Research Council, National Health and Medical Research Council, and other national competitive research granting programs. </t>
  </si>
  <si>
    <t>Systemic Infrastructure Initiative</t>
  </si>
  <si>
    <t xml:space="preserve">Targeted Institutional Links Programme </t>
  </si>
  <si>
    <t>Terrestrial Ecosystems Research Network</t>
  </si>
  <si>
    <t>The Australian Institute for Nanoscience</t>
  </si>
  <si>
    <t>Trailblazers Universities Program</t>
  </si>
  <si>
    <t>Funds for administering the Trailblazer Universities Program, which will be comprised of a select group of universities with dedicated investment to accelerate Australia’s innovation agenda at-speed and at-scale.</t>
  </si>
  <si>
    <t>Grants under HESA (2003) ref. s41-10 11A, 13,14</t>
  </si>
  <si>
    <t>Foreign Affairs and Trade</t>
  </si>
  <si>
    <t>ARC Linkage Grant - Protecting the Australian Passport</t>
  </si>
  <si>
    <t>Australian Centre for International Agricultural Research (ACIAR)</t>
  </si>
  <si>
    <t xml:space="preserve">ACIAR supports Australia’s national interests by contributing to poverty reduction and improved livelihoods in our region through more productive and sustainable agriculture emerging from collaborative international research, with a particular focus on Papua New Guinea and Pacific island countries, and in partner countries in East and South-East Asia, South Asia and Eastern and Southern Africa. </t>
  </si>
  <si>
    <t>DFAT Aid Research and Development</t>
  </si>
  <si>
    <t>OECD – Sustainable Agriculture Research</t>
  </si>
  <si>
    <t>To achieve more productive and sustainable agricultural systems</t>
  </si>
  <si>
    <t>Tourism Research Australia - Development of survey methodology</t>
  </si>
  <si>
    <t>Development of new survey techniques to measure tourism industry</t>
  </si>
  <si>
    <t>Tourism Research Australia (Austrade) - Alternative data science techniques for tourism measurements, and long-term success indicators for the visitor economy</t>
  </si>
  <si>
    <t>Development of new data science techniques to measure Australia's visitor economy, and to establish long-term success indicators for sustainable development.</t>
  </si>
  <si>
    <t>Tourism Research Australia (Austrade) - Alternative data science techniques for tourism measurements, to support improved business event measurement in the visitor economy.</t>
  </si>
  <si>
    <t>Development of new data science techniques for tourism measurements, to support improved business event measurement in the visitor economy.</t>
  </si>
  <si>
    <t>Health and Aged Care</t>
  </si>
  <si>
    <t>45+ Study</t>
  </si>
  <si>
    <t>Multisector (Other Health)</t>
  </si>
  <si>
    <t>Population Health Division</t>
  </si>
  <si>
    <t>A scoping report on alternatives to animal testing methods for industrial chemicals</t>
  </si>
  <si>
    <t>This project was undertaken as a commitment made by previous governement to animal welfare groups.</t>
  </si>
  <si>
    <t>A study into aged care innovation incentives</t>
  </si>
  <si>
    <t>A study that investigates the possible impacts of incentive payments as a tool to increase innovation in the aged care sector.</t>
  </si>
  <si>
    <t>Aboriginal and Torres Strait Islander Health Research Special Initiative</t>
  </si>
  <si>
    <t xml:space="preserve">The project is being undertaken in three stages and overseen by a joint Food Regulation Standing Committee (FRSC) and Australian Health Ministers’ Advisory Council (AHMAC) Working Group. The Special Initiative is offered through the NHMRC’s Partnership Projects Scheme to support population and health services research to improve health outcomes for Aboriginal and Torres Strait Islander people. </t>
  </si>
  <si>
    <t xml:space="preserve">First Nations Health Division </t>
  </si>
  <si>
    <t>Aboriginal and Torres Strait Islander Mental Health Prevalence Study</t>
  </si>
  <si>
    <t>This study will be the first time prevalence of mental health disorders has been measured for this cohort.</t>
  </si>
  <si>
    <t>Adult Stem Cell Research Centre</t>
  </si>
  <si>
    <t>Advancing research into the causes and treatment(s) of Motor Neurone Disease in Australia</t>
  </si>
  <si>
    <t>This Project supports a program of targeted discovery research projects focused on identifying the cause/s and risk factors of MND and understanding the molecular basis and disease-causing mechanisms that drive the progression of the disease. Through gene-environment studies, this project will investigate how the combination of an individual’s genetics and environment, such as exposure to toxins, can contribute to disease. Outcomes from this project aims to validate environmental risk factors and/or potential causes of MND as well as identifying gene-environment interactions that may increase the risk of MND in individuals. Through genetics and molecular biology studies, researchers will investigate the mechanisms driving disease in familial MND patients expressing defects in C9ORF72 gene, the most common cause of hereditary MND.</t>
  </si>
  <si>
    <t>Ministerial Announcement on 14/3/2022 and again at Big Freeze 8 on 13/6/2022</t>
  </si>
  <si>
    <t>AIDS Research</t>
  </si>
  <si>
    <t xml:space="preserve">Analysis of poorly entered GP data </t>
  </si>
  <si>
    <t xml:space="preserve">A Capital Market's Phd student will research and investigate NPS records which were discarded to understand why GP data entry are poor, for example, clinical software, provdier behaviour, etc.  </t>
  </si>
  <si>
    <t>Analysis of suicide prevention trial evaluation findings</t>
  </si>
  <si>
    <t>The Department has funded KPMG to undertake a project to draw together and analyse the findings from the National Suicide Prevention Trial evaluation and the evaluation of the LifeSpan suicide prevention trials and Victorian place-based suicide prevention trials. This project is intended to improve the evidence-base about systems-based approaches to suicide prevention including common learnings, challenges and general themes.</t>
  </si>
  <si>
    <t>Activity is complete.</t>
  </si>
  <si>
    <t>Anti-doping Research Program (ADRP)</t>
  </si>
  <si>
    <t xml:space="preserve"> Population Health and Sport Division. The Anti-Doping programme has been consolidated into a broader sports integrity program. Any agreed future funduing will be discretionary through the Sports Integrity Program</t>
  </si>
  <si>
    <t>Australian Burden of Disease Study</t>
  </si>
  <si>
    <t xml:space="preserve">This project is to update the national Burden of Disease estimates. </t>
  </si>
  <si>
    <t>Australian Eye and Ear Health Survey</t>
  </si>
  <si>
    <t>Fundinng to the University of Sydney and Macquarie University is for a survey to collect data on the prevalence and causes of vision and hearing loss, blindness and eye disease in the Australian population (comparing data to 2016 survey)</t>
  </si>
  <si>
    <t>Cancer, Hearing and Program Support Division</t>
  </si>
  <si>
    <t>Australian Genomic Cancer Medicine Program</t>
  </si>
  <si>
    <t>Private Non-Profit Sector</t>
  </si>
  <si>
    <t xml:space="preserve">The Australian Government has committed $30.8 million from 2025-26 to continue the Precision Oncology Screening Platform Enabling Clinical Trails (PrOSPeCT) project. PrOSPeCT provides comprehensive genomic profiling for patients with advanced, incurable or poor prognosis cancers to match them to clinical trials. The Program uses genomics to improve understanding, early detection, prevention, and management of cancer. The Program will also work to generate fit-for-purpose, real-world economic and effectiveness data and evidence as a critical step in supporting the listing of new or re-purposed treatments on the Pharmaceutical Benefits Scheme. This builds on the previous $50 million investment over 5 years from 2018-19. </t>
  </si>
  <si>
    <t>Australian Genomics Grant Program</t>
  </si>
  <si>
    <t>Australian government is providing $15 million over 4 years from 2021 to Murdoch Children’s Research Institute under the 2021-24 Australian Genomics Grant Program (the Program). The Program will build on the network and activities developed under the NHMRC-funded Targeted Call for Research ‘Preparing Australia for genomics medicine’ to consolidate Australia’s excellence in genomics health research and delivery into clinical practice.</t>
  </si>
  <si>
    <t>Australian Health Biobak</t>
  </si>
  <si>
    <t>Australian Institute of Health &amp; Welfare (excl. grants)</t>
  </si>
  <si>
    <t>Australian Longitudinal Study on Male Health</t>
  </si>
  <si>
    <t xml:space="preserve">This is a longitudinal study examining the social, economic, environmental and behavioural factors of Australian males aged 10-55 years. Funding for this activity is ongoing and a tender process is progressing for 2017-18 to 2020-21. </t>
  </si>
  <si>
    <t>Australian Longitudinal Study on Women's Health</t>
  </si>
  <si>
    <t>This is a longitudinal study assessing the physical and mental health of over 58,000 Australian women. Funding for this activity is ongoing and negotiations are being progressed with the organisation for funding for 2017-18 to 2019-20.</t>
  </si>
  <si>
    <t>Australian National Preventive Health Agency Research Fund</t>
  </si>
  <si>
    <t>Population Health Division. The Agency no longer exists.</t>
  </si>
  <si>
    <t>Australian Prostate Cancer Research Centre - NSW</t>
  </si>
  <si>
    <t xml:space="preserve">This activity supports prostate cancer research through the safeguarding of the biobank and databank at the Australian Prostate Cancer Research Centre (APCRC) – NSW at the Kinghorn Cancer Centre, Garvan Institute of Medical Research. </t>
  </si>
  <si>
    <t xml:space="preserve">Australian Prostate Centre, Victoria </t>
  </si>
  <si>
    <t xml:space="preserve"> This activity supports prostate cancer research through the safeguarding of rare tissue and bioinformatics assets at the Australian Prostate Centre (Victoria). </t>
  </si>
  <si>
    <t>Australian Radiation Protection and Nuclear Safety Agency (ARPANSA) - Radiation in Health Care - Safe and Better Use</t>
  </si>
  <si>
    <t>To enhance the safe and effective use of radiotherapy and diagnostic imagining.</t>
  </si>
  <si>
    <t>Australian Radiation Protection and Nuclear Safety Agency (ARPANSA) - Wi-Fi in Schools Measurement Study</t>
  </si>
  <si>
    <t xml:space="preserve">ARPANSA conducted a comprehensive measurement study of radiofrequency (RF) electromagnetic energy (EME) from Wi-Fi in 23 schools throughout Victoria and New South Wales. The study focused on the measurement of the RF EME level resulting from the use of Wi-Fi networks in these schools, and compared this level against the public exposure limits in the Australian Standard. </t>
  </si>
  <si>
    <t>Australian Radiation Protection and Nuclear Safety Agency (ARPANSA)-Radio Frequency Electromagnetic Energy Program Enhanced- Research component</t>
  </si>
  <si>
    <t>ARPANSA will administer a new research program with the aim of conducting targeted research into EME issues of relevance to Australia</t>
  </si>
  <si>
    <t>Australian Sports Commission (ASC) Research Programs - Extramural</t>
  </si>
  <si>
    <t>The ASC's extramural research programs enable national sporting organisations and universities to undertake and benefit from innovative and applied research work. This type of activity leads to performance and equipment enhancements that contribute to the success of Australian athletes and teams in Olympic, Paralympic and World Champion level competitions. The outcomes from this research have cross sport and cross industry applications.</t>
  </si>
  <si>
    <t>Australian Sports Commission</t>
  </si>
  <si>
    <t>Australian Sports Commission (ASC) Research Programs - Intramural</t>
  </si>
  <si>
    <t>The ASC's intramural research programs focus on increasing the capacity for relevant research across the Sports Science Sports Medicine departments of the AIS.  This includes undertaking ‘in-house’ research, negotiating with potential collaborators and funding agencies and coordinating post graduate scholarships which aim to progress Australia’s next generation of sports scientists.</t>
  </si>
  <si>
    <t>Programs seeks to develop a competitive advantage for Australian athletes through research and development.</t>
  </si>
  <si>
    <t>Bettering the Evaluation and Care of Health - BEACH</t>
  </si>
  <si>
    <t>The Department has intermittently funded BEACH since the late 1990s.</t>
  </si>
  <si>
    <t xml:space="preserve">Biomedical Translation Fund </t>
  </si>
  <si>
    <t>Announced as part of the National Innovation and Science Agenda, the Biomedical Translation Fund is a for-profit, equity co-investment venture capital program which will establish licensed venture capital funds to invest in and support the development and commercialisation of Australian biomedical discoveries. The Commonwealth will invest $250 million over two years, 2015-16 and 2016-17, to be at least matched by private sector funding, effectively providing $500 million for investment into biomedical start-ups to translate promising biomedical discoveries into tangible products and better long term health and economic outcomes.</t>
  </si>
  <si>
    <t xml:space="preserve">The allocation of the remaining $67.59 million of government investment for the forward financial years has not been determined. This is because all investment decisions from the Biomedical Translation Fund are made by the licensed private sector fund managers, who operate independently and are required to make investments which are consistent with the program guidelines and commercially defensible. </t>
  </si>
  <si>
    <t>Venture Capital program</t>
  </si>
  <si>
    <t>Biotoxin-related illnesses project to undertake an Evidence Review and Develop a Clinical Pathway to support clinicians to help patients presenting with Biotoxin (indoor damp and mould) illnesses</t>
  </si>
  <si>
    <t xml:space="preserve">This project is undertaken as a result of House of Representative Standing Committee on Health, Aged care and Sport Inquiry into Biotoxin-relatedd illnesses in Australia.   </t>
  </si>
  <si>
    <t>Note NHMRC is seperately funding over $1 Million for a research project to develop an integrated platform to diagnose Biotoxin-related illnesses.</t>
  </si>
  <si>
    <t>Cancer and Supportive Care Clinical Studies Project</t>
  </si>
  <si>
    <t>MOU funding to support the Supportive Care Trials Group</t>
  </si>
  <si>
    <t>Cancer Australia programme</t>
  </si>
  <si>
    <t xml:space="preserve">Cancer Clinical Trials (PC4 &amp; GCTI) </t>
  </si>
  <si>
    <t>MOU funding to support the Primary Care Trials Group and the Genomics Cancer Trial Initiative</t>
  </si>
  <si>
    <t>Cancer data to improve cancer care</t>
  </si>
  <si>
    <t>Cancer date improve  cancer care aims to strengthen national data capacity through reporting of cancer stage and treatment for selected cancers.</t>
  </si>
  <si>
    <t xml:space="preserve">Capital Works for Medical Institutes </t>
  </si>
  <si>
    <t>Centre of Research Excellence for IPC Research in Aged Care (NHMRC)</t>
  </si>
  <si>
    <t xml:space="preserve">Establishment of a five-year grant through NHMRC Centre of Research Excellence (CRE) scheme for infection prevention and control (IPC) research I aged care. </t>
  </si>
  <si>
    <t>Child and Adolescent Mental Health and Wellbeing Study</t>
  </si>
  <si>
    <t>This study aims to collect child and youth mental health and wellbeing data, to address gaps identified by The National Children's Mental Health and Welbeing Strategy (2021).</t>
  </si>
  <si>
    <t>Chronic Disease Prevention and Service Improvement Fund</t>
  </si>
  <si>
    <t>Was previously titled Priority Medical Research.  Funding in 2013-14 to 2015-16 is for Multiple Sclerosis Research in Australia funding agreement.</t>
  </si>
  <si>
    <t>Population Health and Sport Division. This flexible fund no longer exists.</t>
  </si>
  <si>
    <t>Continence Policy Research Project</t>
  </si>
  <si>
    <t>This project aims to help Government set the policy direction for incontinence in Australia by provign data on the cost, demographics and impacts of incontinence in Australia, and to undertake an evaluation of current Government funded continence programs and services.</t>
  </si>
  <si>
    <t>Cooperative Research Centre for Aboriginal and Torres Strait Islander Health</t>
  </si>
  <si>
    <t>To address the major challenge of closing the health gap by producing knowledge, tools and resources that can be used to enhance positive health outcomes for Aboriginal and Torres Strait Islander people.</t>
  </si>
  <si>
    <t>Previously the Cooperative Research Centre for Aboriginal Health (CRCAH)</t>
  </si>
  <si>
    <t>Cure4MND</t>
  </si>
  <si>
    <t xml:space="preserve">This activity supports research into and the prevention of Motor Neurone Disease (MND) in the Australian Community. </t>
  </si>
  <si>
    <t xml:space="preserve">2016 Election Commitment, announced 3 December 2016. </t>
  </si>
  <si>
    <t>Delivery of Early-Phase Clinical Trial/s for Australians with Motor Neurone Disease</t>
  </si>
  <si>
    <t>The funding for this grant will be used for the AMBroxol therapy for ALS (AMBALS) trial: a double-blind, randomised, placebo-controlled Phase 2 clinical trial of ambroxol for ALS. This is an investigator-driven Phase 2 clinical trial to assess the long-term safety and effectiveness of ambroxol in
MND patients.</t>
  </si>
  <si>
    <t>Ministerial Announcement at Big Freeze 7 on 14/6/2021</t>
  </si>
  <si>
    <t>Disease Prevention and Health Promotion in Medicare Locals Programme</t>
  </si>
  <si>
    <t>Drug and Alcohol Research</t>
  </si>
  <si>
    <t>Funding provided to a number of organisations to undertake research aimed at:
- Increasing the evidence-base for specialist alcohol other drug treatment;
- Informing the development of the National Drug Strategy and other national policy relating to alcohol and other drug use;
- Estimating prevalence rates of alcohol other drug use, treatment and associated harms;
- Providing data on the utilisation of government funded treatment service and opioid pharmacotherapies;
- Increasing knowledge on behavioural and drug use patterns of frequent drug users; and
- Increasing awareness of drug and alcohol misuse in school-aged populations:
- Providing evidence on specific topics such as co-morbid mental health and substance misuse, Indigenous drug and alcohol use and harms, drug and alcohol workforce innovations and best-practices;
- Providing data on emerging trends in drug and alcohol usage and harms;
- Conducting research to inform emerging government priorities in drug and alcohol research; and
- Contributing to Australia’s input to international organisations and committees on alcohol and other drug related matters.</t>
  </si>
  <si>
    <t>This programme reports from the drug and alcohol program and includes funding to major research centres and research/data providers.</t>
  </si>
  <si>
    <t>First Nations mental health prevalence study</t>
  </si>
  <si>
    <t>This study aims to measure the mental health needs of Aboriginal and Torres Strait Islander peoples, and will be conducted in partnership with First Nations Australians.</t>
  </si>
  <si>
    <t>Head to Health Digital Gateway/ National Mental Health Platform</t>
  </si>
  <si>
    <t>From 2015-16 work commenced on designing and implementing a digital mental health gateway that promotes access to information, advice and digital mental health services. In 2017-18 (October 2017) the Head to Health gateway website was launched. From 2021-22, work commenced to transform the gateway into a comprehensive national mental health platform helping more Australians to find and access the right services at the right time. A trial version of the new platform was released in March 2022, and is discoverable via the Head to Health gateway homepage.</t>
  </si>
  <si>
    <t>Funding from 2021-22 includes the development of the new national mental health platform (Stage 1 activities) as announced in Budget 2021-22</t>
  </si>
  <si>
    <t>Health and Hospitals Fund</t>
  </si>
  <si>
    <t>Nil for 2014-15. HHF research BRE 663 will be fully expended in 2013/14 and there are no more funds against this BRE from 2014/15 onwards.</t>
  </si>
  <si>
    <t>Health Policy Research &amp; Data Program - Blood Borne Viruses and Sexually Transmitted Infections</t>
  </si>
  <si>
    <t>Blood Borne Viruses (BBV) and Sexually Transmissible Infection (STI)research, including longitudinal and translational, to inform and support the national response to BBV and STI.</t>
  </si>
  <si>
    <t>Previously funded with BBV and STI Surveillance from the Health Protection Program. These amounts include research funding of 4.31m (3.871m in 2018/19) plus 0.509m paid to Kirby for research related to their surveillance activities. Previously targeted funding allocation. Competitive round undertaken based on the first National BBV and STI Research Strategy 2021-2025 to fund 2022-23 to 2025-26</t>
  </si>
  <si>
    <t>Health Policy Research and Data Program - Multiple Sclerosis Research</t>
  </si>
  <si>
    <t>This activity supports disease-specific research, specifically  towards prevention, better treatments and a cure for Multiple Sclerosis</t>
  </si>
  <si>
    <t>Multiple Sclerosis Research Australia has received Commonwealth funding since its establishment in 2004. Funding was previously sourced from the Chronic Disease Prevention and Service Improvement Fund</t>
  </si>
  <si>
    <t>Health Policy Research and Data Program - Primary Care Research</t>
  </si>
  <si>
    <t xml:space="preserve">This activity is to support the conduct of primary care research to build an evidence base to inform policy development and health care practice. </t>
  </si>
  <si>
    <t xml:space="preserve">Funding for this program ceases 30 June 2019. 
</t>
  </si>
  <si>
    <t>Health Protection Program</t>
  </si>
  <si>
    <t xml:space="preserve">Blood Borne Viruses (BBV) and Sexually Transmissible Infection (STI) epidiomilogical and social surveillance and analysis to inform and support the Naitonal BBV and STI Surveillance and Monitoring Plan. </t>
  </si>
  <si>
    <t>Previously funded with BBV and STI Research from the Health Protection Program. Note that in 2018-19 an additional 0.44 will be sourced from the Health Protection Program allocation for additional BBV and STI research activities, to supplement the Health Policy Research and Data Progam allocation.</t>
  </si>
  <si>
    <t>Health Surveillance Fund - Research Centres</t>
  </si>
  <si>
    <t xml:space="preserve">Blood Borne Viruses (BBV) and Sexually Transmissible Infection (STI) research, surveillance, data collection and analysis to inform jurisdictional and national policy and resulting programs. </t>
  </si>
  <si>
    <t>In 2016-17, BBV and STI research will be funded from the Health Protection Program and the Research and Data Program. Previous years funding was from the Health Surveillance Fund.</t>
  </si>
  <si>
    <t>Improving lung cancer outcomes</t>
  </si>
  <si>
    <t xml:space="preserve">Through the Improving Lung Cancer Outcomes program, national research grants in identified priority areas are funded to improve outcomes for Australian’s affected by Lung Cancer.
The grants are administered through Cancer Australia’s Priority-driven Collaborative Cancer Research Scheme.
</t>
  </si>
  <si>
    <t>This programme was previously listed as Attacking Lung Cancer. Please note that the research and development (R &amp; D) expenditure in Columns B-L have been amended to reflect the definition of R &amp; D outlined in the instructions tab.</t>
  </si>
  <si>
    <t>Indigenous Public Health Workforce Capacity Building Project, University of Melbourne (ONEMDA) and Deakin University Institute of Koori Education</t>
  </si>
  <si>
    <t xml:space="preserve">This programme was previously listed as University of Melbourne's Onemda Vic Health Koori Health Unit. </t>
  </si>
  <si>
    <t>Intergenerational Health and Mental Health Study (IHMHS)</t>
  </si>
  <si>
    <t>The IHMHS will comprose four national studies, covering mental health, general health, nutrition and physical activity, biomedical and environmental measures with a representative sample of more than 60,000 Australians, including Aboriginal and Torres Strtait Islander people.</t>
  </si>
  <si>
    <t>Investing in Hearing Research</t>
  </si>
  <si>
    <t>Research will be targetted to improving evidence base for improving outcomes for people with hearing loss, preventon of hearing loss better service delivery and other ear disorders.</t>
  </si>
  <si>
    <t>Research on hearing health to be delivered through a competitive  grants process managed by the NHMRC. Grants administration would also be undertaken by the NHMRC through its Grants Hub at a cost of $1.3m. Research will be targetted to improving evidence base for improving outcomes for people with hearing loss, preventon of hearing loss better service delivery and other ear disorders.  Evaluation of each research grant would be undertaken using a set of defined performance criteria. One to two grant rounds would be undertaken providing a total of 20 grants of approximately $360k each.</t>
  </si>
  <si>
    <t>National Health and Medical Research Council (NHMRC)</t>
  </si>
  <si>
    <t>Investing in Medical Research - fighting childhood cancer</t>
  </si>
  <si>
    <t>Invest in Medical Research -fighting chidhood cancer,  aimed to increase Australia's research capacity to advance diagnosis, treatment and management, analysis, improve data and awareness of childhood cancer, and fast track international research collaborations of paediatric brain cancer in Australia.</t>
  </si>
  <si>
    <t>Jigsaw Foundation - Support for craniofacial surgery</t>
  </si>
  <si>
    <t>Juvenile Diabetes Research Foundation - Australian Type 1 Diabetes Clinical Research Network</t>
  </si>
  <si>
    <t xml:space="preserve">$1.5 million is for administrative costs for Type 1 Diabetes Clinical Reseach Network.  $50 million was awarded for the next phase of the T1DCRN to continue research (previously funded through the MRFF). </t>
  </si>
  <si>
    <t>Cancer, Hearing and Chronic Conditions Division</t>
  </si>
  <si>
    <t>Longitudinal Study of the Usage and Effectiveness fo Assistive Technology used by Older Australians</t>
  </si>
  <si>
    <t xml:space="preserve">This study will undertake longitudinal research to determine what types of goods, equipment, and assistive technology (AT) products are most effective, for how long they are effective, and the impact of assistive technology has on an older person’s daily life.The provider will collect and analyse data from GEAT2GO, client survey and study regime to report on the use and abandonment of assistive technology in the Australian context. </t>
  </si>
  <si>
    <t xml:space="preserve">Lowitja Institute Research Funding </t>
  </si>
  <si>
    <t>Supports ongoing and new research undertaken by the Lowitja Institute</t>
  </si>
  <si>
    <t>Maintaining support for women with gynaecological cancers</t>
  </si>
  <si>
    <t>This activity funds gynaecological cancer research projects through the Priority-driven Collaborative Cancer Research Scheme (PdCCRS). The PdCCRS is an annual, competitive, national research project grants scheme which funds cancer research in identified priority areas to help reduce the impact of cancer in the community and improve outcomes for people affected by cancer. The program aims to fund applied cancer research projects that directly relate to identified priorities in gynaecological cancers and fund research that can directly improve cancer outcomes by influencing clinical practice, policy and/or care.</t>
  </si>
  <si>
    <t>This programme was previously listed as Attacking Lung Cancer.</t>
  </si>
  <si>
    <t xml:space="preserve">Medical Research Future Fund </t>
  </si>
  <si>
    <t>Special/Annual</t>
  </si>
  <si>
    <t>As part of the 2014-15 Budget, the Australian Government announced the establishment of the $20 billion Medical Research Future Fund (MRFF) to provide grants of financial assistance to support health and medical research and innovation, with the objective of improving the health and wellbeing of Australians. The MRFF operates as an endowment fund, with the capital preserved in perpetuity. MRFF investments are guided by the Australian Medical Research and Innovation Strategy and related set of Priorities developed by the independent and expert Australian Medical Research Advisory Board following extensive national public consultation. The MRFF 10-year Investment Plan sets out the Australian Government’s plans for MRFF funding. The Australian Government announced the $ 6.5 billion MRFF 3rd 10-year Investment plan (2024-25 to 2033-34) in the 2024-25 budget.</t>
  </si>
  <si>
    <t>Health Economics Research Division</t>
  </si>
  <si>
    <t>Medical Research Future Fund - Supplementation</t>
  </si>
  <si>
    <t xml:space="preserve">Provided a one-off supplementation of $172.5 million in 2021-22 and $52.0 million in 2022-23 for the Medical Research Future Fund to address the shortfall in annual disbursement for the MRFF grants due to the reduction in the Maximum Annual Distribution Amount. Maintains commitments to the 20 21 initiatives outlined in the 2nd MRFF 10 Year Investment Plan to address unmet needs and drive transformation in health care and outcomes
</t>
  </si>
  <si>
    <t>Medical Research Infrastructure Projects</t>
  </si>
  <si>
    <t>Medicines Post-Marketing Surveillance Using the 45 and Up Study and Services Linked Datasets</t>
  </si>
  <si>
    <t xml:space="preserve">The purpose of this study is to validate a particular dataset and methodology for population-level research to improve the health and safety of the Australian population. </t>
  </si>
  <si>
    <t>Research conducted by Therapeutic Goods Administration (TGA), with specific datasets from the Sax Institute. Project governance will be provided by the Head, Pharmacovigilance and Special Access Branch, Therapeutic Good Administration, in conjunction with the Head of the Signals Investigation Unit section. Expenditure on the activity is from cost-recovered funds.</t>
  </si>
  <si>
    <t>Mental Health Predictive Modelling</t>
  </si>
  <si>
    <t>The Department has funded KPMG, in consortium with Monash University and Australian National University, to build a microsimulation model to forecast population mental health need.</t>
  </si>
  <si>
    <t>Motor Neurone Disease Translational Research Pipeline</t>
  </si>
  <si>
    <t xml:space="preserve">The Grantee will use FightMND’s IMProving and ACcelerating Translation (IMPACT) grant scheme as the platform for delivery of the Activity, being the MND Translational Research Pipeline.  FightMND’s IMPACT grant scheme has the specific focus of overcoming one or more of the key challenges hindering the translation of promising discoveries into effective therapeutics, with the goal of improving the likelihood of positive clinical trial outcomes for MND patients.  The Activity will fund the most top ranked IMPACT grants commencing in 2020 and 2021 that are aligned with the purpose and intended outcomes of the Grant. </t>
  </si>
  <si>
    <t>National Acoustic Laboratories</t>
  </si>
  <si>
    <t>Research activities fall under five strategic research fields including: Adult hearing loss, paediatric hearing loss, technology, hearing and human behaviour, clinical trials.</t>
  </si>
  <si>
    <t xml:space="preserve">The National Acoustic Laboratories is the research division of Hearing Australia, a Statutory Authority as defined by the Australian Hearing Services Act 1991, which reports to the Minister for Government Services under the Commonwealth Department of Social Services. </t>
  </si>
  <si>
    <t xml:space="preserve">Hearing Services </t>
  </si>
  <si>
    <t>National Breast Cancer Foundation Cohort Study</t>
  </si>
  <si>
    <t>National Cancer Plan - Boost Cancer Research</t>
  </si>
  <si>
    <t>National Cancer Screening Programs - boosting participation with CALD groups</t>
  </si>
  <si>
    <t>Evaluating ways to engage with CALD groups about National Cancer Screening Programs and developing materials an initiatives to assist in bossting participation.</t>
  </si>
  <si>
    <t>National Cancer Screening Programs - engaging Primary Health Workers</t>
  </si>
  <si>
    <t>Evaluating ways to engage with Primary Healthcare Workers about National Cancer Screening Programs and developing materials an initiatives to assist in bossting participation.</t>
  </si>
  <si>
    <t>National Centre for Immunisation Research and Surveillance</t>
  </si>
  <si>
    <t>Research conducted by the National Centre for Immunisation Research and Surveillance continues to support improvement of Australia's National Immunisation Program.</t>
  </si>
  <si>
    <t xml:space="preserve">Indicated R&amp;D expenditure is a 22% subset of total NCIRS programme expenditure </t>
  </si>
  <si>
    <t>National Eating Disorders Research and Translation Centre</t>
  </si>
  <si>
    <t>The Department are funding the University of Sydney/ InsideOut Institute to establish and operate the National Eating Disorders Research and Translation Centre.</t>
  </si>
  <si>
    <t>National Health literacy Survey</t>
  </si>
  <si>
    <t>The last national Health Literacy Survey was performed in 2006 by ABS. This Survey will provide a linked update based on participants from the 2017-18 National Health Survey</t>
  </si>
  <si>
    <t>National Health Survey</t>
  </si>
  <si>
    <t>This survey collects demographic data and health indicators.</t>
  </si>
  <si>
    <t>National Leadership Role in Suicide Prevention Research</t>
  </si>
  <si>
    <t>The University of Melbourne will ensure knowledge and research on evidence based suicide prevention activity is shared and translated into best practice across the suicide prevention sector. Additional funding has been provided to the University of Melbourne under the National Suicide Prevention Leadership and Support Program to 30 June 2025.</t>
  </si>
  <si>
    <t>The 2021-22 Budget included $61.6m over four years for the National Suicide Prevention Leadership and Support Program. Funding for research activities under this program from 2022-23 has been determined by assessment and have been finalised. The University of Melbourne has received funding to 30 June 2025 to continue its work on translating suicide prevention research into policy and practice.</t>
  </si>
  <si>
    <t>National Maternity Data Development Project (NMDDP)</t>
  </si>
  <si>
    <t>This activity develops and builds upon existing national maternal and perinatal data collections in Australia. The funding from 2023-24 will also support the establishment of a national data linkage project to enable meaningful collection on longer-term outcomes for women and their babies.</t>
  </si>
  <si>
    <t xml:space="preserve">Funding for this project commenced in 2011 and was previously funded from the Health System Capacity Development Fund. </t>
  </si>
  <si>
    <t>National Mental Health Service Planning Framework - Further Development</t>
  </si>
  <si>
    <t>Services for ongoing development and maintenance of the NMHSPF</t>
  </si>
  <si>
    <t>Primary Care and Mental Health Division</t>
  </si>
  <si>
    <t>National Perinatal Best Endeavours Dataset (NBEDS)</t>
  </si>
  <si>
    <t xml:space="preserve">This project aims to build on the nationally standardised perinatal mortality data collection by enhancing national reporting on the causes and risk factors associated with stillbirth and neonatal deaths in Australia. </t>
  </si>
  <si>
    <t xml:space="preserve">- Announced as part of the implementation of the National Stillbirth Action and Implementation Plan. $516,942 to AIHW from 20/01/2021 – 30/12/2024. - Project is due to complete in December 2024. </t>
  </si>
  <si>
    <t>National Preterm Birth Prevention Program</t>
  </si>
  <si>
    <t xml:space="preserve">The National Preterm Birth Prevention Program aims to reduce the rate of preterm and early-term birth in participating maternity services through a range of evidence-based interventions to manage known risk factors for preterm birth. An evaluation of the Program will commenced in 2024 and will finish in 2026 and will determine the extent to which the Program has achieved the intended outcomes. Data has been collected from participating maternity services on a range of maternal and neonatal indicators and outcome measures. A separate cost-effectiveness study is also being undertaken. </t>
  </si>
  <si>
    <t>Population Health Division. Funding initially provided from 2021-22 to 2023-24. The 2024-25 Budget announced funding of $5.8 million to continue strategies to prevent preterm and early-term birth and reduce the number of babies born too early in participating maternity services and First Nations communities.</t>
  </si>
  <si>
    <t>National Suicide Prevention Trial</t>
  </si>
  <si>
    <t>Primary Health Networks are trialling suicide prevention activities for at risk population groups in twelve identified priority areas across Australia. Each PHN will receive an additional $1 million in 2021-22 to maintain support to former trial sites to continue delivery of local suicide prevention initiatives across Australia.</t>
  </si>
  <si>
    <t xml:space="preserve">Funding for the National Suicide Prevention Trial ceases 30 June 2022. </t>
  </si>
  <si>
    <t>National Suicide Prevention Trial Evaluation</t>
  </si>
  <si>
    <t xml:space="preserve">The Department funded the University of Melbourne to conduct an evaluation on the National Suicide Prevention Trial. </t>
  </si>
  <si>
    <t>Evaluation now completed</t>
  </si>
  <si>
    <t>NHMRC Research Grants</t>
  </si>
  <si>
    <t>Multisector (NHMRC)</t>
  </si>
  <si>
    <t>Payments made from NHMRC's Medical Research Endowment Account, supporting Health and Medical Research in Australian universities, research institutions, hospitals and other institutions.</t>
  </si>
  <si>
    <t>Palliative Care Clinical Studies Collaborative</t>
  </si>
  <si>
    <t>The PaCCSC agreement has been extended till 30 June 2015 with no additional funds.</t>
  </si>
  <si>
    <t>Pandemic Vaccine Accelerated Development</t>
  </si>
  <si>
    <t>Per- &amp; Poly-fluoroalkyl Substances Epidemiological Study</t>
  </si>
  <si>
    <t>Epidemiological Study to investigate the potential human health implication of exposure to per- and poly-fluoroalkyl substances in the Department of Defence's Army Aviation Centre Oakey and RAAF Bases Williamtown and Tindal Investigation Areas</t>
  </si>
  <si>
    <t>Pharmacy Trial Program</t>
  </si>
  <si>
    <t>The Pharmacy Trial Program (PTP) was established by the Commonwealth under the Sixth Community Pharmacy Agreement (6CPA) to trial new and expanded community pharmacy programs which seek to improve clinical outcomes for patients and/or utilise the full scope of a pharmacist’s role in delivering primary health care services. All funds made available under the $50 million PTP program have been fully expended. There are no further funding opportunities under the PTP.</t>
  </si>
  <si>
    <t xml:space="preserve">Consistent with clause 9.2 of the new Seventh Community Pharmacy Agreement (7CPA), pharmacy trials established and funded under the 6CPA’s PTP will continue until their conclusion, unless the Minister determines otherwise in consultation with trial proponents.  </t>
  </si>
  <si>
    <t>Primary Care Policy, Innovation and Research</t>
  </si>
  <si>
    <t>Primary Health Care Research Evaluation and Development - Australian Primary Health Care Research Institute</t>
  </si>
  <si>
    <t>Primary Health Care Research Evaluation and Development - Primary Health Care Research and Information Service</t>
  </si>
  <si>
    <t xml:space="preserve">The Primary Health Care Research and Information Service is a national primary health care organisation based at Flinders University in South Australia.  Its focus is on increasing the exchange of information and knowledge about Australian primary health care research, evaluation and development. </t>
  </si>
  <si>
    <t xml:space="preserve">The PHCRIS funding agreement is being extended for six months from 1 July to 31 December 2016. </t>
  </si>
  <si>
    <t>Primary Health Network Mental Health Lead Site Evaluation</t>
  </si>
  <si>
    <t>10 select Primary Health Networks nationaly have been selected to develop and deliver new models of primary mental health care, with 3 specifically targetting people with severe and complex needs. This is part of the Government's committment to changing the ‘one size fits all’ approach to mental health services. These leading Primary Health Network sites will be working to better match local health services to individual needs through innovative approaches to stepped care. The Department has tasked the University of Melbourne to conduct an evaluation on the findings of the new models of care for consideration for national implementation.</t>
  </si>
  <si>
    <t>Prioritising Mental Health - Research Grants</t>
  </si>
  <si>
    <t>The Prioritising Mental Health - Research grants provide funding to three key organisations to support mental health research activities. The grants aim to increase research capaicty for early intervention research that will improve the mental health and wellbeing of Australians. Grants are established directly between the Department of Health and the three organisations.</t>
  </si>
  <si>
    <t>Organisations receiving funding include:
1. Orygen,  National Centre of Excellence in Youth Mental Health
2. Black Dog Institute 
3. University of Sunshine Coast - Thompson Institute</t>
  </si>
  <si>
    <t>Priority-driven Collaborative Cancer Research Scheme</t>
  </si>
  <si>
    <t>The Priority-driven Collaborative Cancer Research Scheme (PdCCRS) is Cancer Australia's national research grant scheme which funds cancer research in identified priority areas. Cancer Australia administers this national grant scheme and partners with other funders of cancer research to co-fund grants in shared priority areas.</t>
  </si>
  <si>
    <t>1. Orygen,  National Centre of Excellence in Youth Mental Health</t>
  </si>
  <si>
    <t>Reporting mental health of First Nations peoples in the context of the Voice to Parliament Referendum</t>
  </si>
  <si>
    <t>Funding allocated to monitor the mental health and wellbeing of First Nations Australians leading up to, during, and following the Voice to Parliament Referendum.</t>
  </si>
  <si>
    <t>Research for prevention and treatment of allergies and anaphylaxis - National Allergy Centre of Excellence</t>
  </si>
  <si>
    <t xml:space="preserve">Funding provided to establish a centre for research excellence to centralise research on allergies to food, drug, vaccine, insect and pollen. This will standardise approaches to research, establish a metadata registry and scope a national repository. </t>
  </si>
  <si>
    <t xml:space="preserve">Population Health Division </t>
  </si>
  <si>
    <t>Research on Fetal Alcohol Spectrum Disorder (FASD)</t>
  </si>
  <si>
    <t>This call for research into Fetal Alcohol Specrtum Disorder (FASD) will seek funding applications for the design and conduct of research on one or more of the following priority areas:
- Screening for FASD symptoms in health, education or justice settings to offer earliest and comprehensive support;
- Implementation of programs for culturally appropriate health promotion to prevent/reduce the incidence of FASD;
- Addressing the social and cultural determinants of health for pregnant women carrying Aboriginal and Torres Strait Islander babies at risk of FASD
- Delivery of holistic FASD support services within health systems and communities</t>
  </si>
  <si>
    <t>Department of Health through Indigenous Health Division is providing research funding for distribution through the National Health and Medical Research Council</t>
  </si>
  <si>
    <t>Population Health and Sport Division</t>
  </si>
  <si>
    <t>Review of the 2006 Nutrient Reference Values for Australia and New Zealand</t>
  </si>
  <si>
    <t>The Department of Health, with the New Zealand Ministry for Health, is undertaking a partial review of Nutrient Reference Values (NRVs) for fluoride, sodium and iodine. The purpose of the review is to pilot the 2015 Methodological Framework, developed to guide NRV reviews. The recommendations from the fluoride review were endorsed by the National Health and Medical Research Council (NHMRC) in November 2016. The sodium recommendations and public health messaging are being considered by the NHMRC Council mid 2017. Completion of a review of the outstanding 2006 NRVs is being considered for 2017-2020</t>
  </si>
  <si>
    <t>Special Account funds - $818,000 AUD + 200,000 NZD - joint project Australian Government Department of Health and the New Zealand Ministry of Health</t>
  </si>
  <si>
    <t>Review of the Australian Dietary Guidelines</t>
  </si>
  <si>
    <t xml:space="preserve">Funding provided to undertake evidence reviews and update the Australian Dietary Guidelines.  Additional funding provided from Aged Care Div to ensure research specific to Older Australians is incorporated </t>
  </si>
  <si>
    <t xml:space="preserve">Review of the Australian Radiation Protection and Nuclear Safety Act 1998 </t>
  </si>
  <si>
    <t>Review of the Mandatory Fortification of Bread</t>
  </si>
  <si>
    <t xml:space="preserve">This review is now complete. The final report was endorsed by AHMAC on 2 June 2017 and final payment is due to be made before 30 June 2017. The report will be presented to CHC before publication. Funding will not be continued in the 2017-18 financial year. The Review aimed to ascertain whether the policy objectives of mandatory folic acid fortification of wheat flour for bread making, and mandatory iodine fortification of bread have been met. </t>
  </si>
  <si>
    <t xml:space="preserve">This research funding is provided under an AHMAC cost-share budget, and also included $166,000 GST Exclusive from Nutrition Special Account funds. </t>
  </si>
  <si>
    <t>Sports Integrity Program - Anti Doping Reasearch</t>
  </si>
  <si>
    <t xml:space="preserve">Funds available for research are determined on an annual basis, consistent with agency priority and research strategy. </t>
  </si>
  <si>
    <t>Sport Integrity Australia is updating its research strategy to better inform the agency’s practices to address integrity threats in sport. A range of key activities to strengthen engagement with the broader research sector and align with the wider National Sport Research Agenda commencing in 2024-2025. Sport Integrity Australia also provides significant non-financial support to the research sector both domestically and internationally through endorsement, provision of access to subject matter experts, review for feedback and a research liaison to assist with information translation and co-ordination</t>
  </si>
  <si>
    <t>St George and Sutherland Medical Research Foundation - Microbiome Research Centre</t>
  </si>
  <si>
    <t xml:space="preserve">A one-off grant to be used by the organisation to set up a Microbiome Research Centre (MRC). The MRC will focus on studying how the microbiota impacts diseases that affect the Australian population. </t>
  </si>
  <si>
    <t xml:space="preserve">2016 Election Commitment, announced 21 June 2016. </t>
  </si>
  <si>
    <t>Strengthening Australian Response to Infectious Diseases grant opportunity - Australian Partnership for Preparedness Research in Infectious Diseases</t>
  </si>
  <si>
    <t xml:space="preserve">Special </t>
  </si>
  <si>
    <t xml:space="preserve">Expansion and reinvigoration of the Australian Partnership for Preparedness Research on Infectious Disease Emergencies (APPRISE) to strengthen Australia response to emerging infectious diseases. APPRISE is a national research network with collaborations and relationships spanning diverse academic and public health bodies. This funding will seek to harness key learnings from the response to the COVID-19 pandemic, consolidate and strengthen the APPRISE network, and fund two nationally significant research collaborations exploring: 1) the long-term effects of SARS-CoV-2 and their impacts on health service utilisation, and 2)the use and effectiveness of oral antivirals in the treatment of COVID-19 </t>
  </si>
  <si>
    <t>Suicide Prevention Research Fund</t>
  </si>
  <si>
    <t xml:space="preserve">The Suicide Prevention Research Fund aims to support targeted research as well as a best practice hub of evidence-based resources to support Primary Health Networks and service providers involved in community-based suicide prevention. </t>
  </si>
  <si>
    <t xml:space="preserve">The 2022-23 Budget includes a commitment to provide an additional $4 million over two years (2022-23 to 2023-24) for the Suicide Prevention Research Fund. </t>
  </si>
  <si>
    <t>Support for Cancer Clinical Trials</t>
  </si>
  <si>
    <t>Cancer Australia supports cancer clinical trials in Australia by supporting the 13 National Cancer Trials Groups to develop industry-independent cancer clinical trials protocols and the provision of National Technical Services to assist the National Cancer Trials Groups to develop cancer clinical trials protocols.</t>
  </si>
  <si>
    <t>Previously titled 'Cancer Clinical Trials'</t>
  </si>
  <si>
    <t>Support for Diabetes Research</t>
  </si>
  <si>
    <t xml:space="preserve">Supporting women in rural areas diagnosed with breast cancer </t>
  </si>
  <si>
    <t xml:space="preserve">This activity contributes to funding cancer research projects through the PdCCRS. The program aims to fund applied cancer research projects that can directly improve the outcomes for women in rural areas diagnosed with breast cancer by influencing clinical practice, policy and/or care. </t>
  </si>
  <si>
    <t>Telethon ORIGINS project</t>
  </si>
  <si>
    <t xml:space="preserve">The ORIGINS project will investigate how the early environment and lifestyle (such as nutrition, physical activity, electronic use, natural environment, stress, pollutants and behaviour) influence the many interconnected child development processes, to modify the risk of non-communicable diseases such as obesity, heart disease, allergies and poor mental health. </t>
  </si>
  <si>
    <t xml:space="preserve">Prime Ministerial commitment of $13million over 10 years announced 21 October 2017. Co-funded with the Paul Ramsay Foundation </t>
  </si>
  <si>
    <t>Three dedicated Australian Prostate Cancer Research Centres (two centres funded from 2008-09 and a third from 2013-14)</t>
  </si>
  <si>
    <t xml:space="preserve">Funding from 2008-2013 was allocated to two Australian Prostate Cancer Research Centres (APCRCs) in Victoria and Queensland. From 2013-2014, additional funding has been allocated to continue support for these centres plus an additional centre in NSW. The aim of the centres is to coordinate research more effectively and develop improved diagnostic tests (including techniques to differentiate between aggressive and non-aggressive cancers), and treatments for prostate cancer. </t>
  </si>
  <si>
    <t>Home Affairs</t>
  </si>
  <si>
    <t>6G Security Research and Development Program</t>
  </si>
  <si>
    <t>Foundational research and development into the security requirements of 6G and next-generation telecommunications technologies.</t>
  </si>
  <si>
    <t>CSIRO leading on behalf of the Department of Home Affairs</t>
  </si>
  <si>
    <t>Academic Research and Analysis into Organised Groups in the Illicit Tobacco and E-cigarette Trade</t>
  </si>
  <si>
    <t> </t>
  </si>
  <si>
    <t>Research into the involvement of organised crime groups in the illicit tobacco trade.</t>
  </si>
  <si>
    <t>ANSTO / Scientific support to Mass Pallet Screening Project</t>
  </si>
  <si>
    <t>ANSTO were engaged via an existing services MoU to assist with the Mass Pallet screening project in testing X-Ray capabilities for Air Cargo Cans</t>
  </si>
  <si>
    <t>This was a one off program which is now complete.</t>
  </si>
  <si>
    <t>ANZCTC Defeat and Investigation of Improvised Explosive Devices within Electric vehicle prior and after detonation</t>
  </si>
  <si>
    <t>Investigation of the issues with improvised explosive devices incorporated into Electric Vehicles</t>
  </si>
  <si>
    <t>Commonwealth Scientific and Industrial Research Organisation / Exploration of emerging technologies</t>
  </si>
  <si>
    <t>Research into Emerging Technology for detection of border threats</t>
  </si>
  <si>
    <t>Deakin University Nicotine Black Market Research</t>
  </si>
  <si>
    <t>Broad research into smoking use of tobacco and vapes in Australia</t>
  </si>
  <si>
    <t>Natural Hazards and Disaster Resilience Research Centre grant</t>
  </si>
  <si>
    <t>The Natural Hazards and Disaster Resilience Research Centre grant provides $85m over 10 years to Natural Hazards Research Australia (NHRA). NHRA is a new research entity, bringing together state and territory organisations, emergency service agencies, researchers, industry and the community to deliver solutions to contemporary challenges and tangible benefits to all users. NHRA is delivering a comprehensive, multi-disciplinary research program focused on building resilience and reducing risks associated with natural hazard events.</t>
  </si>
  <si>
    <t>NHRA was established 1 July 2021. Policy responsibillity moved from DISR to NEMA through 2023-24 Budget.</t>
  </si>
  <si>
    <t>Northern Rivers Resilience Initiative</t>
  </si>
  <si>
    <t>The initiative has been established to understand climate, catchment, and hydrological drivers within the region and how these drivers impact flooding.</t>
  </si>
  <si>
    <t>This is a once off program</t>
  </si>
  <si>
    <t>UNODC Regional Southeast Asia and Pacific Threat Assessment</t>
  </si>
  <si>
    <t>Research into the illicit tobacco supply chain in southeast Asia and the Pacific and its Impact on Australia</t>
  </si>
  <si>
    <t>Industry, Science and Resources</t>
  </si>
  <si>
    <t>Access to World-leading Astronomy Infrastructure</t>
  </si>
  <si>
    <t xml:space="preserve">The programme secures Australian access to world-leading optical astronomy research infrastructure by entering a ten-year strategic partnership with the European Southern Observatory (ESO), the world’s foremost multinational optical/infrared astronomy organisation, and supporting the transition of the world-class optical astronomy capabilities of the Australian Astronomical Observatory to the domestic research sector. </t>
  </si>
  <si>
    <t>Budgeted and forecast Administered funding for this PBS program, over the full 10-year Australia-ESO Strategic Partnership, is $129.2 million.</t>
  </si>
  <si>
    <t xml:space="preserve">Activating Regional Hydrogen Hubs - research development and collaboration </t>
  </si>
  <si>
    <t>Competitive grants funding will enable Australian researchers to participate in international research collaboration opportunities and lead key research activities to improces Australia's competitive advantage for hydrogen and overcome scale-up issues</t>
  </si>
  <si>
    <t>Advanced Electricity Storage Technologies</t>
  </si>
  <si>
    <t>Advanced Manufacturing Early Stage Research Fund (AMESRF)</t>
  </si>
  <si>
    <t>$4 million in grants to support small scale and pilot research projects in advanced manufacturing.</t>
  </si>
  <si>
    <t>Formerly Stimulating Advanced Manufacturing Projects and Research (SAMPR), renamed to Advanced Manufacturing Early Stage Research Fund (AMESRF) in 2019-20</t>
  </si>
  <si>
    <t>Advanced Manufacturing Fund</t>
  </si>
  <si>
    <t>Advanced Manufacturing Technology Program</t>
  </si>
  <si>
    <t>Advancing Research and Development for Critical Minerals Program</t>
  </si>
  <si>
    <t>The $4.5 million program provides funding for scientific research and development activities, including those undertaken by collaborating with foreign geoscience agencies, to improve access to Australia’s critical minerals reserves and increase opportunities for downstream processing of critical minerals in Australia.</t>
  </si>
  <si>
    <t>This funding has ceased.</t>
  </si>
  <si>
    <t xml:space="preserve">Antarctic Science Collaboration Initiative </t>
  </si>
  <si>
    <t xml:space="preserve">The Antarctic Science Collaboration Initiative (ASCI) is a grant program of $5 million per year from 2019-20 to 2028-29. The ASCI provides grants to research collaborations aimed at building on Australia's Antarctic science expertise. </t>
  </si>
  <si>
    <t>Assistance under the Bounty (Computers) Act 1984</t>
  </si>
  <si>
    <t>Assistance is provided for local manufacturers of computer hardware, systems software and electronic microcircuits. It covers design and development costs.</t>
  </si>
  <si>
    <t>Australia-China Science and Research Fund</t>
  </si>
  <si>
    <t>Established in 2011, the Australia-China Science and Research Fund (ACSRF) supports strategic science, technology and innovation collaboration of mutual benefit to Australia and China.</t>
  </si>
  <si>
    <t>Program remains, but ACSRF funding was subsumed into the Global Science and Technology Diplomacy Fund from 2021-22.</t>
  </si>
  <si>
    <t xml:space="preserve">Australia-India Strategic Research Fund </t>
  </si>
  <si>
    <t>Established in 2006, the Australia-India Strategic Research Fund (AISRF) supports Australian researchers from public and private sectors to participate with Indian scientists in leading-edge scientific research projects and other collaborative activities.</t>
  </si>
  <si>
    <t>Program remains, but AISRF funding was subsumed into the Global Science and Technology Diplomacy Fund from 2021-22.</t>
  </si>
  <si>
    <t>Australian Astronomical Observatory (AAO)</t>
  </si>
  <si>
    <t xml:space="preserve">The refund amount is uncapped. </t>
  </si>
  <si>
    <t>Australian National Stem Cell Centre</t>
  </si>
  <si>
    <t>Australian Nuclear Science &amp; Technology Organisation (ANSTO)</t>
  </si>
  <si>
    <t>ANSTO delivers world-class research outcomes through world-class nuclear science and technology, and provides advice to government and specialised products – particularly nuclear medicine – and services to meet the needs of the Australian people and industries. Through consistent and effective collaboration and partnership with government and the industry and research sectors, ANSTO responds to our nation’s research priorities and the rapidly changing world around us. ANSTO’s research infrastructure includes the OPAL reactor, the Australian Synchrotron and other facilities which provide industry and Australian and overseas researchers with critical locally available facilities and effective global connections for innovation and industry engagement.</t>
  </si>
  <si>
    <t>Commencing with the 2016-17 tables, ANSTO includes the Australian Synchrotron. ANSTO took ownership effective 01 July 2016.</t>
  </si>
  <si>
    <t xml:space="preserve">Partly NISA funded. </t>
  </si>
  <si>
    <t>Australian Radioactive Waste Agency R&amp;D Program - Intermediate / High Level Radioactive Waste (Geological Disposal)</t>
  </si>
  <si>
    <t>Provides R&amp;D outcomes to inform the Safety &amp; Technical program to deliver a Geological Disposal pathway for disposal of radioactive waste in Australia.</t>
  </si>
  <si>
    <t>Australian Radioactive Waste Agency R&amp;D Program - Low Level Radioactive Waste (Near Surface Disposal)</t>
  </si>
  <si>
    <t>Provides R&amp;D outcomes to inform the Safety &amp; Technical program to deliver a Near Surface Disposal pathway for disposal of radioactive waste in Australia.</t>
  </si>
  <si>
    <t>Australian Space Science Program</t>
  </si>
  <si>
    <t>Australian Synchrotron Contribution</t>
  </si>
  <si>
    <t>While this funding was delivered under the National Collaborative Research Infrastructure Strategy (NCRIS), it represented an additional $50 million on top of the original funding allocated to NCRIS</t>
  </si>
  <si>
    <t>Australian Synchrotron operating funding</t>
  </si>
  <si>
    <t>Funding was secured to ensure ongoing operation of the Australian Synchrotron in 2016-17.</t>
  </si>
  <si>
    <t>The funding was secured, with contributions from other departments and stakeholders, to prevent the companies that own and operate the Australian Synchrotron from commencing wind-up activities.  It allowed funding and ownership arrangements to be considered by the Australian Government in light of the research infrastructure review.</t>
  </si>
  <si>
    <t>Australian Synchrotron operating funding (NISA)</t>
  </si>
  <si>
    <t>Funding is to ensure the ongoing operation of the Australian Synchrotron to 2025-26 inclusive.</t>
  </si>
  <si>
    <t>NISA funding available from 1 July 2016 when ownership of the Australian Synchrotron transfered to the Australian Nuclear Science and Technology Organisation.</t>
  </si>
  <si>
    <t>Australian Technology Group Pty Ltd</t>
  </si>
  <si>
    <t>Australia-US Battery Supply Chain and Research working group</t>
  </si>
  <si>
    <t>Funding for batteries research in partnership with the US. Includes funding for CSIRO grants - Graphite Research and Development Grant and Australia-US Researcher Exchange Network</t>
  </si>
  <si>
    <t>Australia-Vietnam Science, Technology and Innovation Cooperation Initiative</t>
  </si>
  <si>
    <t>Ad-hoc</t>
  </si>
  <si>
    <t>An ad hoc grant will be provided to the AAS to run a single competitive funding round for Australian researchers to collaborate with Vietnamese counterparts on joint projects. Three priority areas; New and renewable technologies, A sustainable blue economy, Recycling and waste management</t>
  </si>
  <si>
    <t>Funding received as part of the AVEES (DFAT) progam in 2021, reprofiled to next financial year as grant round hasn't been opened yet</t>
  </si>
  <si>
    <t xml:space="preserve">Automotive Competitiveness Investment Scheme </t>
  </si>
  <si>
    <t>Entitlement</t>
  </si>
  <si>
    <t>Automotive Transformation Scheme</t>
  </si>
  <si>
    <t>The Automotive Transformation Scheme (ATS) commenced on 1 January 2011 and will run until 31 December 2020. It aims to encourage competitive investment, innovation and economic sustainability in the Australian automotive industry.</t>
  </si>
  <si>
    <t>These figures represent assistance paid and/or forecast to be paid to ATS participants for investment in allowable research and development reported under the scheme.</t>
  </si>
  <si>
    <t>Biotechnology grants</t>
  </si>
  <si>
    <t>Biotechnology Innovation Fund</t>
  </si>
  <si>
    <t>Building Information Technology Strengths – Advanced Networks program</t>
  </si>
  <si>
    <t>Building Information Technology Strengths – Incubators</t>
  </si>
  <si>
    <t>Building Information Technology Strengths – Intelligent Island (Tas.)</t>
  </si>
  <si>
    <t>Cairns Institute Tropical Innovation Hub - Contribution</t>
  </si>
  <si>
    <t>Carbon Capture and Storage (CCS) Flagships</t>
  </si>
  <si>
    <t>Established in 2009, the CCS Flagships Programme promotes the dissemination of CCS technologies by supporting a small number of demonstration projects that will capture carbon dioxide (CO2) emissions from industrial processes and safely store them underground in stable geological formations.</t>
  </si>
  <si>
    <t>Clean Business Australia - Climate Ready Program</t>
  </si>
  <si>
    <t>Clean Technology Innovation Programme</t>
  </si>
  <si>
    <t>The Clean Technology Innovation Program supports businesses to develop new products, processes and services in the areas of clean energy, low-emission technology and other energy-efficient technologies. The final round of applications closed on 22 October 2013.</t>
  </si>
  <si>
    <t>Climate projections and services for the energy sector</t>
  </si>
  <si>
    <t>The 2018-19 Budget provided funding over three years to develop improved climate and extreme weather information for the energy sector. The Finkel Review found the National Electricity Market is particularly exposed to climate change risks. This funding will make existing climate change data and research more accessible and useful for long term planning and investment decisions on energy infrastructure.</t>
  </si>
  <si>
    <t>Coal Mining Abatement Technology Support Package</t>
  </si>
  <si>
    <t>The  Coal Mining Abatement Technology Support Package (CMATSP) was introduced in July 2011 to provide transitional assistance to the coal industry to facilitate the commercialisation of fugitive methane abatement technologies.</t>
  </si>
  <si>
    <t>Commencement grants</t>
  </si>
  <si>
    <t>Commercial Ready Program</t>
  </si>
  <si>
    <t xml:space="preserve">Commercialising Emerging Technologies (COMET) </t>
  </si>
  <si>
    <t>Commonwealth Scientific and Industrial Research Organisation (CSIRO)</t>
  </si>
  <si>
    <t xml:space="preserve">CSIRO’s distinct role is to deliver great science and innovative solutions for industry, society and the environment and to make a profound and positive impact for the future of Australia and humanity as a large-scale mission directed, multi-disciplinary science and technology organization. Its Research Business Units and Programs are the key mechanism for achieving outcomes aligned with the Australian Government’s Science and Research Priorities, and concentrates on strategic research, knowledge and technology transfer with the potential to deliver major long term social, economic and environmental benefits to Australia, by working with government, industry and others in the innovation system to support existing industries and create new ones. </t>
  </si>
  <si>
    <t>FY 2023-24 includes $500k from Apporiation Bill 5. The 2023-24 Portfolio Supplementary Additional Estimates Statements re-allocated $500k of funding from DISR to CSIRO to support the COSMOS magazine for 2024-25.</t>
  </si>
  <si>
    <t>Commonwealth Serum Laboratories (CSL) - Commonwealth assistance</t>
  </si>
  <si>
    <t>Cooperative Research Centres (CRC) Program</t>
  </si>
  <si>
    <t>The Program aims to improve the competitiveness, productivity and sustainability of Australian industries, especially where Australia has a competitive strength, and in line with Government Priorities. 
The Program aims to foster high quality research to solve industry-identified problems through industry-led and outcome-focused collaborative research partnerships between Industry Entities and Research Organisations.
The Program aims to encourage and facilitate Small and Medium Enterprise (SME) participation in collaborative research.</t>
  </si>
  <si>
    <t>Critical Minerals R&amp;D Hub</t>
  </si>
  <si>
    <t>The $50.5 million in the Australian Critical Minerals Research and Development Hub will bring together globally recognised technical experts within CSIRO, Geoscience Australia, and the Australian Nuclear Science and Technology Organisation to address strategic technical challenges facing the critical minerals sector.</t>
  </si>
  <si>
    <t>Critical Technologies Challenge Program</t>
  </si>
  <si>
    <t>The Critical Technologies Challenge Program funds challenge-based innovation projects addressing challenges of national significance using quantum technologies. Research-industry consortia will collaborate to develop new use cases for quantum technologies, increasing awareness of the benefits of quantum and driving adoption by industry.</t>
  </si>
  <si>
    <t>Energy Innovation Fund</t>
  </si>
  <si>
    <t xml:space="preserve">Energy Research </t>
  </si>
  <si>
    <t>Energy Use Data Project - National Energy Analytics Research Program (NEAR)</t>
  </si>
  <si>
    <t>The Energy Use Data Model is a 'big data' project to support the operation and planning of Australia's energy system into the future. It will enable greater visibility of Australia's changing energy use trends, including uptake of PV, batteries and EVs, to support better forecasting for grid security and policy development. Funding provided to 2021-22 to expand the pilot platform into a full scale system and embed the platform as a permanent market asset.</t>
  </si>
  <si>
    <t>Formerly called Energy Use Data Project. Programme name has been updated to reflect Environment PBS 19-20.</t>
  </si>
  <si>
    <t>Enterprise Connect - Researchers in Business</t>
  </si>
  <si>
    <t>Entrepreneurs' Programme - Innovation Connections Grants</t>
  </si>
  <si>
    <t>Innovation Connections helps SME businesses to understand their research needs, connect with the research sector and undertake collaborative research projects. Businesses can also access grants of up to $50,000 to support collaborative research projects. </t>
  </si>
  <si>
    <t>Expenditure and commitment only relates to the Innovation Connections grant budgets</t>
  </si>
  <si>
    <t>Establishment of an ICT-enabled Research Laboratory - Commonwealth Assistance</t>
  </si>
  <si>
    <t>European Molecular Biology Laboratory Partner Facility</t>
  </si>
  <si>
    <t>Geoscience Australia</t>
  </si>
  <si>
    <t>Geoscience Australia is the national geoscience public sector organisation. We support evidence-based decisions through information, advice and services for a strong economy, resilient society and a sustainable environment.
Geoscience Australia's purpose is to be the trusted source of information on Australia's geology and geography for government, industry and community decision making, contributing to a safer, more prosperous and well-informed Australia.</t>
  </si>
  <si>
    <t>Geoscience Australia has reviewed the classification of its appropriations between R&amp;D and other SRI programs and this has resulted in a reclassification from 2021-22 onwards.</t>
  </si>
  <si>
    <t>Global Carbon Capture and Storage Institute</t>
  </si>
  <si>
    <t>The GCCSI was established in 2009 with initial funding from the Australian Government to accelerate the development of CCS globally.</t>
  </si>
  <si>
    <t>Global Innovation Strategy</t>
  </si>
  <si>
    <t>Established in 2016, funding was secured to improve collaboration between Australian research and industry bodies and international counterparts.</t>
  </si>
  <si>
    <t>GIS elements (Global Innovation Linkages, Global Connections Fund, Regional Collaboration Programme, Supporting Australian Innovation in Asia) phased out and funding subsumed into GSTDF from 2021-22.</t>
  </si>
  <si>
    <t xml:space="preserve">Global Science and Technology Diplomacy Fund </t>
  </si>
  <si>
    <t xml:space="preserve">Competitive </t>
  </si>
  <si>
    <t>Established in 2021, a stream of funding to identify and fund strategic science and technology projects with priority international partners</t>
  </si>
  <si>
    <t>GSTDF consolidated funding for ACSRF, AISRF and GIS from 2021-22.</t>
  </si>
  <si>
    <t>Green Car Innovation Fund</t>
  </si>
  <si>
    <t>High Performance Computing - Pawsey</t>
  </si>
  <si>
    <t>The Pawsey Supercomputing Centre (Pawsey) offers world-class High Performance Computing, data and visualisation services to a diverse user community, including Australian Government departments and agencies, publicly funded research agencies, universities and businesses. A $70 million grant will be delivered to Pawsey to replace the Magnus and Galaxy computers and the associated infrastructure, including data processing and storage systems.</t>
  </si>
  <si>
    <t>Pawsey operations are delivered through an  Unincorporated Joint Venture (UJV) consisting of the Commonwealth Scientific and Industrial Research Organisation (CSIRO), Curtin University, Edith Cowan University, Murdoch University and The University of Western Australia. The recipient of the one off ad-hoc grant will be Curtin University, as an agent for and a member of the Pawsey UJV.</t>
  </si>
  <si>
    <t xml:space="preserve">Australian Technology and Science Growth Plan </t>
  </si>
  <si>
    <t>ICT Centre of Excellence</t>
  </si>
  <si>
    <t>NICTA Ltd ( which was merged with CSIRO in 2015), was the sole recipient of funding under this programme. NICTA's Annual Report 2014 identified 4 breakthrough research results and 6 significant impact outcomes in the field of:
• computer vision
• networks
• optimisation
• broadband and the digital economy
• infrastructure, transports and logistics
• security and environment.</t>
  </si>
  <si>
    <t>Industry Cooperative Innovation Program</t>
  </si>
  <si>
    <t>Industry Growth Centres Initiative - Project Fund</t>
  </si>
  <si>
    <t>Industry Growth Centres are provided with funding to support individual projects that are submitted to them by their own stakeholders. Funds support a range of individual projects, including Commercialisation activities and for R&amp;D.</t>
  </si>
  <si>
    <t>Growth Centre Project Funds are not used exclusively for R&amp;D, rather the funds are paid direct to the relevant Growth Centres for them to allocate to specific projects that could have an R&amp;D element. An estimate of 50% of funding expended on R&amp;D has been used to calculate the figures included in this table. Project funding has been fully expended and there will be no future updates for the SRI Budget Tables.</t>
  </si>
  <si>
    <t>Industry Innovation Program (includes R&amp;D Start Grants)</t>
  </si>
  <si>
    <t xml:space="preserve">Industry Innovation Programme </t>
  </si>
  <si>
    <t>Information Technology Online (ITOL)</t>
  </si>
  <si>
    <t>Innovation Access Program – Industry (IAccP)</t>
  </si>
  <si>
    <t>Inspiring Australia - Higher Education Research Promotion (HERP) component</t>
  </si>
  <si>
    <t>Intermediary Access Program (Pilot)</t>
  </si>
  <si>
    <t>International Science Linkages</t>
  </si>
  <si>
    <t>InterScan support</t>
  </si>
  <si>
    <t>Interscan Australia Pty Ltd was funded by the Australian government to develop equipment for the Federal Aviation Agency. In conjunction with CSIRO they commercially developed Interscan - a microwave approach and landing system for aircraft</t>
  </si>
  <si>
    <t>IR&amp;D Act 1986 (GIRD)</t>
  </si>
  <si>
    <t>Grants for Industry Research and Development (GIRD) scheme</t>
  </si>
  <si>
    <t>Kraft Pulp Mill study (CSIRO)</t>
  </si>
  <si>
    <t>Low Emissions Technology Demonstration Fund</t>
  </si>
  <si>
    <t>The LETDF programme was announced in June 2004 and aims to demonstrate the commercial potential of new technologies or processes, or the application of overseas technologies or processes to Australian circumstances, with the potential to deliver long term large scale greenhouse emissions reductions.</t>
  </si>
  <si>
    <t>Maintaining Engineering Excellence</t>
  </si>
  <si>
    <t>$5 million for student research to maintain the flow of highly trained engineers to the automotive design and engineering industry.</t>
  </si>
  <si>
    <t>Malaria Vaccine Joint Venture</t>
  </si>
  <si>
    <t>The Australian Malaria Vaccine Joint Venture (also known as Saramane Inc.) was formed between WEHI, QIMR, Commonwealth Serum Laboratories (CSL) and Biotechnology Australia Pty Ltd. Built on expertise and capacity gained by the partners over the previous decade, the venture’s focus was to develop a vaccine active against the blood-stage of the P. falciparum parasite.</t>
  </si>
  <si>
    <t>Motor Vehicle Producer R&amp;D Scheme</t>
  </si>
  <si>
    <t>Motor Vehicle R&amp;D</t>
  </si>
  <si>
    <t>National Enabling Technologies Strategy</t>
  </si>
  <si>
    <t>National Low Emissions Coal Initiative</t>
  </si>
  <si>
    <t xml:space="preserve">The NLECI programme was introduced in 2007 to accelerate research, development and demonstration of low emissions coal technologies. </t>
  </si>
  <si>
    <t>National Measurement Institute (NMI)</t>
  </si>
  <si>
    <t>NMI undertakes: fundamental research to maintain Australia's peak measurement standards; collaborations and applied R&amp;D with industry, government and academic researchers to support the development of innovative products and services; and disseminates the best practice use of science-based measurement approaches across the economy, promoting competitiveness and productivity.   </t>
  </si>
  <si>
    <t>National Procurement Development Program (NPDP)</t>
  </si>
  <si>
    <t>The National Procurement Development Program (NPDP) was established in 1987 as a government-funded selective assistance scheme. It seeks to stimulate a greater level of collaboration between government and industry in the development of innovative Australian products to meet future government requirements. The objective is to improve the international competitiveness of Australian industry.</t>
  </si>
  <si>
    <t xml:space="preserve">National Space Programme </t>
  </si>
  <si>
    <t xml:space="preserve">NHRA was established 1 July 2021. </t>
  </si>
  <si>
    <t>Otway Basin Pilot Project</t>
  </si>
  <si>
    <t xml:space="preserve">Pharmaceutical Industry Investment Program </t>
  </si>
  <si>
    <t>Pharmaceutical Partnerships Program</t>
  </si>
  <si>
    <t>Premium Tax Concession for Additional R&amp;D (175%)</t>
  </si>
  <si>
    <t>Business (R&amp;D Tax Measures)</t>
  </si>
  <si>
    <t xml:space="preserve">Supplemented the 125 per cent R&amp;D Tax Concession by providing a 175 per cent tax deduction for eligible incremental expenditure (i.e. expenditure beyond an historic average).  </t>
  </si>
  <si>
    <t>Introduced in 2001. In 2007, a further incremental element – a 175% R&amp;D International Premium – was introduced to encourage international R&amp;D investment in Australia. This was replaced by the R&amp;D Tax Incentive in 2011.</t>
  </si>
  <si>
    <t>R&amp;D Tax Measure</t>
  </si>
  <si>
    <t>Project grants</t>
  </si>
  <si>
    <t>Public interest projects</t>
  </si>
  <si>
    <t>Quantum Computing (NISA)</t>
  </si>
  <si>
    <t xml:space="preserve">As part of the Government's National Innovation and Science Agenda (NISA), the Government is co-investing  $25m over five years (commencing in 2016-17) to fund the development of a silicon quantum integrated circuit - the first step in building a functional quantum computer. The Government's $25m commitment  compliments co-investments pledged by other private and public sector funding parties.     </t>
  </si>
  <si>
    <t xml:space="preserve">Budget for 2016-17 is $5m, which excludes $0.4m in Departmental expenses  </t>
  </si>
  <si>
    <t>R&amp;D Refundable Tax Offset</t>
  </si>
  <si>
    <t>Provided a cash refund of a company’s R&amp;D deductions. Only available to companies in tax loss with turnover less than $5 million and R&amp;D expenditure less than $1 million.</t>
  </si>
  <si>
    <t>Introduced in 2001. The R&amp;D expenditure limit was increased from $1 million to $2 million in 2009 (see R&amp;D Tax Concession - Interim Transition Measure). This was replaced by the R&amp;D Tax Incentive in 2011.</t>
  </si>
  <si>
    <t>R&amp;D Start Loans Program</t>
  </si>
  <si>
    <t xml:space="preserve">R&amp;D Tax Concession - Interim Transition Measure   </t>
  </si>
  <si>
    <t xml:space="preserve">Provided a cash refund of a company’s R&amp;D deductions. Only available to companies in tax loss with turnover less than $5 million and R&amp;D expenditure less than $2 million. </t>
  </si>
  <si>
    <t xml:space="preserve">Introduced in 2009 as a modification of the R&amp;D Refundable Tax Offset. The interim transition measure was a temporary expansion of the R&amp;D Refundable Tax Offset, intended to provide additional support to small, pre-profit companies for two years until the introduction of the more generous refundable R&amp;D Tax Incentive in 2011. </t>
  </si>
  <si>
    <t xml:space="preserve">R&amp;D Tax Concession (125%) </t>
  </si>
  <si>
    <t>Comprised a 125 per cent deduction for eligible R&amp;D expenditure (initially 150 per cent). Required a minimum R&amp;D spend of $50,000 in order to qualify.</t>
  </si>
  <si>
    <t>Introduced in 1985 as a 150 per cent deduction for eligible R&amp;D expenditure. The rate was reduced to 125 per cent in 1996. The program was replaced by the R&amp;D Tax Incentive in 2011.</t>
  </si>
  <si>
    <t xml:space="preserve">R&amp;D Tax Incentives - Non Refundable   </t>
  </si>
  <si>
    <t xml:space="preserve">From 1 July 2018 for companies with aggregated annual turnover of $20 million or more for eligible R&amp;D expenditure up to a threshold of $150 million, a non-refundable R&amp;D premium with rates tied to the incremental intensity of R&amp;D expenditure as a proportion of total expenditure for the year. The marginal R&amp;D premium will be the claimant's company tax rate plus: 
• 4 percentage points for R&amp;D expenditure between 0 per cent to 2 per cent R&amp;D intensity; 
• 6.5 percentage points for R&amp;D expenditure above 2 per cent to 5 per cent R&amp;D intensity; 
• 9 percentage points for R&amp;D expenditure above 5 per cent to 10 per cent R&amp;D intensity; and 
• 12.5 percentage points for R&amp;D expenditure above 10 per cent R&amp;D intensity. 
</t>
  </si>
  <si>
    <t xml:space="preserve">R&amp;D Tax Measures data is based on estimates of revenue foregone, similar to the Tax Expenditures Statement (TES), and accounts for the 2018-19 Budget measure. Estimates are revised as actuals data becomes available or updated. The estimates relates to the financial year when companies undertake the activity for which they subsequently claim a deduction or offset (that is, the estimated costs to revenue if companies claimed the offset in the same financial year in which the expenditure was incurred). </t>
  </si>
  <si>
    <t>R&amp;D Tax Incentives - Refundable</t>
  </si>
  <si>
    <t xml:space="preserve">From 1 July 2018, for companies that have an annual turnover of less than $20 million for eligible R&amp;D expenditure up to a threshold of $150 million, a refundable offset of 13.5 percentage points above a claimant's company tax rate for eligible R&amp;D expenditure. Cash refunds from the refundable R&amp;D tax offset will be capped at $4 million per annum. R&amp;D tax offsets that cannot be refunded will be carried forward as non refundable tax offsets to future income years. Refundable R&amp;D tax offsets from R&amp;D expenditure on clinical trials will not count towards the cap. </t>
  </si>
  <si>
    <t>Regional and Remote Communities Reliability Fund (microgrids)</t>
  </si>
  <si>
    <t>A $50.4m Fund to support microgrid feasibility studies off-grid and fringe-of-grid communities in regional and remote areas. $19.6m was awarded to 17 projects through Round One. An ad hoc grant of $990,150 was awarded to Daintree Renewable Energy.</t>
  </si>
  <si>
    <t xml:space="preserve">Renewable Energy Commercialisation program </t>
  </si>
  <si>
    <t>Renewable Energy Equity Fund</t>
  </si>
  <si>
    <t>Renewable Energy Fund</t>
  </si>
  <si>
    <t>Research Associations</t>
  </si>
  <si>
    <t>Prior to 1981-82, Commonwealth support for Research Associations was provided through CSIRO. From 1988-89 the Associations were fully funded by industry.</t>
  </si>
  <si>
    <t xml:space="preserve">Shipbuilding Innovation Scheme </t>
  </si>
  <si>
    <t>Silicon Quantum Computing Reinvestment</t>
  </si>
  <si>
    <t>The Commonwealth reinvested in the company, 'Silicon Quantum Computing' in July 2023. This investment in on top of the 'Quantum Computing (NISA)' investment that commenced in 2016/17. Note that because this is a capital investment and not an administered expense, it does not appear as a separate line in the PBS.</t>
  </si>
  <si>
    <t>Small-Scale Mammalian Cell Production Facility</t>
  </si>
  <si>
    <t xml:space="preserve">Société Internationale de Télécommunications Aéronautiques </t>
  </si>
  <si>
    <t xml:space="preserve">Software-Engineering Australia </t>
  </si>
  <si>
    <t>Square Kilometre Array Radio Telescope Project</t>
  </si>
  <si>
    <t>The SKA will be the world's largest telescope which will be located in Australia and South Africa, with a project headquarters based in the United Kingdom.</t>
  </si>
  <si>
    <t>Includes SKA telescope construction &amp; operations funding under NISA and the 21/22 budget. Also includes the 21/22 budget funding for establishing the Australian SKA Regional Centre (which will contribute to processing SKA telescope data).</t>
  </si>
  <si>
    <t>Tax Deduction for equity subscriptions in Management Investment Companies (MICs) 8</t>
  </si>
  <si>
    <t>Licensed Management and Investment Companies invest in approved high technology/growth activities. The equity subscription in these companies attracted a 100% income tax deduction in the year that subscriptions were made. The scheme concluded in June 1991.</t>
  </si>
  <si>
    <t>Tax Deduction for Patents Designs and Copyright</t>
  </si>
  <si>
    <t>Technology Development Program</t>
  </si>
  <si>
    <t xml:space="preserve">Technology Diffusion Program </t>
  </si>
  <si>
    <t xml:space="preserve">Technology Support Centres </t>
  </si>
  <si>
    <t xml:space="preserve">Test-It </t>
  </si>
  <si>
    <t>Wind Forecasting Capability</t>
  </si>
  <si>
    <t>Infrastructure, Transport, Regional Development, Communications and the Arts</t>
  </si>
  <si>
    <t>Air Cargo X-ray Trials</t>
  </si>
  <si>
    <t>ANCAP-Vehicle Testing/Stars on Cars</t>
  </si>
  <si>
    <t>The Commonwealth's member contribution. ANCAP provides safety ratings (out of five stars) for new vehicle models entering the Australian market. The ratings are based on results of a range of crash tests as well as other factors.</t>
  </si>
  <si>
    <t>ARC Linkage Grant - Cultures of coast and sea: maritime environmental, cultural and ethnographic histories of northeast Australia</t>
  </si>
  <si>
    <t>10. Culture, recreation, religion and mass media</t>
  </si>
  <si>
    <t>Department of Communications and the Arts contribution - through the Australian National University</t>
  </si>
  <si>
    <t>ARC Linkage Grant - Restoring Dignity: Networked Knowledge for Repatriation Communities</t>
  </si>
  <si>
    <t>This project builds on the Return, Reconcile, Renew project and will expand the digital archive and broaden the project by expanding the number of countries and institutions within the project's focus.</t>
  </si>
  <si>
    <t>ARC Linkage Grant - Return, Reconcile, Renew: understanding the history, effects and opportunities of repatriation and building an evidence base for the future.</t>
  </si>
  <si>
    <t>The project illuminates over 40 years of the repatriation of Indigenous ancestral remains. Bringing together community organisations, government and cultural institutions, and universities, the project will significantly advance repatriation research. It will deliver publications in scholarly and popular domains, and its data archive will forge new ground in the Indigenous development of protocols for the digital archiving of, and online access to, information of high cultural sensitivity.</t>
  </si>
  <si>
    <t>Ministry for the Arts contribution - through the Australian National University</t>
  </si>
  <si>
    <t>ARC Linkage Grants - Australian National Maritime Museum</t>
  </si>
  <si>
    <t>Transforming visualisation in museums, deep mapping for narrative coherence.</t>
  </si>
  <si>
    <t>Through the University of NSW</t>
  </si>
  <si>
    <t>ARC Linkage Grants - NMA Contribution</t>
  </si>
  <si>
    <t>Australia Council - Synapse program</t>
  </si>
  <si>
    <t>The Synapse programme was an Australia Council and Australian Network for Art and Technology (ANAT) initiative which supported collaborative interdisciplinary research projects between artists and scientists to develop innovative projects with the potential to create new knowledge, ideas and processes beneficial to both fields.</t>
  </si>
  <si>
    <t>Australian National Maritime Museum</t>
  </si>
  <si>
    <t>Research and Development with respect to the Human Sciences, specifically including maritime archaeology.</t>
  </si>
  <si>
    <t>Australian Railway R&amp;D Organisation</t>
  </si>
  <si>
    <t>Car Safety Ratings Program</t>
  </si>
  <si>
    <t xml:space="preserve">The program provides funding to support the safety ratings of new and used light vehicles. </t>
  </si>
  <si>
    <t>CSIRO-water resources assessment on Norfolk Island</t>
  </si>
  <si>
    <t>The Commonwealth engaged the CSIRO on 8 April 2019 to undertake a pre-feasibility study to contribute to a water resource assessment for Norfolk Island. This work intends to investigate potential options to supplement groundwater and rainwater tank use on Norfolk Island. It also includes purchasing and installation of some groundwater monitoring equipment to ensure any subsequent detailed/feasibility level groundwater investigations (i.e. undertake as part of a Stage 2 assessment) have some data with which to work.</t>
  </si>
  <si>
    <t>Decentralisation - Research and Development Programs</t>
  </si>
  <si>
    <t>Covers two sub programs - Securing Raw materials Program (SRMP) and Regional Cooperative Research Centre Project (Regional CRC-P) grants</t>
  </si>
  <si>
    <t>Funding to Transport Certification Australia - Heavy vehicle telematics and the Intelligent Access Project</t>
  </si>
  <si>
    <t xml:space="preserve">TCA administers the Intelligent Access Program (IAP) on behalf of state and territory governments and develops IAP based applications for on-board mass monitoring, electronic work diaries (EWDs) and speed monitoring. The IAP is a voluntary program which provides high productivity heavy vehicles with improved access to the road network in exchange for telematics monitoring, through the use of on-board telematics (also known as a 'black box') and a Global Positioning System.
</t>
  </si>
  <si>
    <t>Intelligent Transport Cooperative Research Centre</t>
  </si>
  <si>
    <t>The funding will support the iMove Cooperative Research Centre to work with governments, researchers and companies on the development of transport technologies on projects that seek to: reduce road congestion, fuel use, emissions, accidents and fatalities; improve freight coordination; improve productivity and international competitiveness; and improve lifestyles and wellbeing.</t>
  </si>
  <si>
    <t>International study on the effectiveness of advanced emergency braking systems for light vehicles</t>
  </si>
  <si>
    <t>International Study on the Effectiveness of Reversing cameras</t>
  </si>
  <si>
    <t>Joint Liquids, Aerosols and Gels Trial</t>
  </si>
  <si>
    <t>Liquids, Aerosols and Gels Screening Technology Trials</t>
  </si>
  <si>
    <t>Low Volume Roads Research</t>
  </si>
  <si>
    <t>National Heavy Vehicle Regulator (NHVR) - Heavy Vehicle Safety Initiatives</t>
  </si>
  <si>
    <t>Research and Development with respect to national heavy vehicle road safety</t>
  </si>
  <si>
    <t>National Heavy Vehicle Regulator (NHVR) - Strategic Local Government Asset Assessment Project</t>
  </si>
  <si>
    <t>Research and Development with respect to local government assets/infrastructure</t>
  </si>
  <si>
    <t>National Road Safety Action Grants Program</t>
  </si>
  <si>
    <t>The program provides $43.6m to reduce road trauma and its impacts. Six project streams are included under the program: Technology &amp; Innovation; Research &amp; Data; Education &amp; awarness; Vulerable road users; and First Nations road Safety; Safe Roads for safe Cycling.</t>
  </si>
  <si>
    <t>The program includes $6m for Safe Roads for Safe Cycling - Amy Gillett Foundation.</t>
  </si>
  <si>
    <t>Norfolk Island Drug and Alcohol Research project</t>
  </si>
  <si>
    <t>The Department has funded the National Drug and Alcohol Research Centre to gather data on drug and alcohol consumption on Norfolk Island and consider community based initiatives to response to any problems that may be identified. Program has been extended to 31 August 2023 as the result of challenges in gathering data. No additional costs for the extension of time</t>
  </si>
  <si>
    <t>The National Drug and Alcohol Research Centre is an initiative of the University of NSW</t>
  </si>
  <si>
    <t xml:space="preserve">Payments to Austroads/ARRB Transport Research Ltd. </t>
  </si>
  <si>
    <t xml:space="preserve">The Commonwealth's member and work program contribution. The Austroads' work model relies on the cooperative working relationship between road agencies to determine, develop and implement the annual work program which is divided into six key areas covering technology, networks, registration and licensing, safety, freight, and assets.  
</t>
  </si>
  <si>
    <t>Regional and Rural Research and Development Grants</t>
  </si>
  <si>
    <t>Regional and Rural Research and Information and Data Program</t>
  </si>
  <si>
    <t>Regional Australia Institute</t>
  </si>
  <si>
    <t>$5 million will be provided to the Regional Australia Institute to bolster its research and policy capacity in key regional priority areas.</t>
  </si>
  <si>
    <t xml:space="preserve">Regional Australia Level Crossing Safety Program (RALCSP) - Data Improvement and Research and Innovation Grants </t>
  </si>
  <si>
    <t>The Regional Australia Level Crossing Safety Program grants aim to foster research and improve the data and risk assessment for the crossings.</t>
  </si>
  <si>
    <t>Road Safety Innovation Fund</t>
  </si>
  <si>
    <t>The grant program provides $24 million in grants over six years to 2024-25 for innovative research and new and improved existing technologies and products that enhance road safety under the safe systems approach.</t>
  </si>
  <si>
    <t>Of this funding, $12 million was announced in the October 2022-23 Budget</t>
  </si>
  <si>
    <t>Strategic Local Government Asset Assessment Project</t>
  </si>
  <si>
    <t>Name of program has been updated to remove reference to National Heavy Vehicle Regulator (NHVR). The NHVR is now just one of three grantee delivery partners.</t>
  </si>
  <si>
    <t>Study on the effectiveness of ABS for motorcycles</t>
  </si>
  <si>
    <t>Teledyne - Stand-Off Body Scanner project</t>
  </si>
  <si>
    <t>Transport planning and research</t>
  </si>
  <si>
    <t>University of Tasmania - Pre-Blast Explosive Analyser project</t>
  </si>
  <si>
    <t>Used Car Safety Rating</t>
  </si>
  <si>
    <t xml:space="preserve">To annually re-estimate the UCSRs by the make, model and market group of a vehicle, including crashworthiness, aggressivity and total secondary safety components from an expanded crash database. This will include using updated data in order to improve the accuracy of the ratings and expand the range of vehicles covered.
</t>
  </si>
  <si>
    <t>Prime Minister and Cabinet</t>
  </si>
  <si>
    <t>Australian Institute of Aboriginal and Torres Strait Islander Studies (AIATSIS)</t>
  </si>
  <si>
    <t>Through research AIATSIS will support Aboriginal and Torres Strait Islander peoples to secure and strengthen their knowledge and cultural heritage and encourage non-Indigenous Australians to understand and value Aboriginal and Torres Strait Islander knowledge and cultural heritage.</t>
  </si>
  <si>
    <t>Closing the Gap Clearinghouse</t>
  </si>
  <si>
    <t>Cooperative Research Centre for Remote Economic Participation</t>
  </si>
  <si>
    <t>Desert Knowledge Co-operative Research Centre</t>
  </si>
  <si>
    <t>Improved Indigenous population projections for policy and planning</t>
  </si>
  <si>
    <t>Indigenous Populations project (CAEPR)</t>
  </si>
  <si>
    <t>Indigenous Research Fund</t>
  </si>
  <si>
    <t>IRF is a part of Program 2.6: Research and Evaluation</t>
  </si>
  <si>
    <t>Menzies</t>
  </si>
  <si>
    <t>Office of National Intelligence</t>
  </si>
  <si>
    <t>National Intelligence Community Research Program</t>
  </si>
  <si>
    <t>Poverty in the midst of plenty</t>
  </si>
  <si>
    <t>Strategic Indigenous Research (CAEPR)</t>
  </si>
  <si>
    <t>The Implementation of Agreements and Treaties with Indigenous and Local Peoples in Postcolonial States</t>
  </si>
  <si>
    <t>Victorian Aboriginal Child Mortality Study</t>
  </si>
  <si>
    <t>Social Services</t>
  </si>
  <si>
    <t>ABS Directory of Family and Domestic Violence Statistics</t>
  </si>
  <si>
    <t>Research and data collection to support the National Plan to Reduce Violence against Women and their Children</t>
  </si>
  <si>
    <t>End date December 2018</t>
  </si>
  <si>
    <t>ABS Recorded Crime, Criminal Courts, Corrective Services FDSV statistics</t>
  </si>
  <si>
    <t>End date April 2019</t>
  </si>
  <si>
    <t>AHRC Death Review scoping paper</t>
  </si>
  <si>
    <t>End date June 2018</t>
  </si>
  <si>
    <t>AHRC Fourth Wave of the National Sexual Harassment Survey</t>
  </si>
  <si>
    <t>End date July 2018</t>
  </si>
  <si>
    <t>AIHW Cross-Jurisdictional Data Sharing Project (FDSV)</t>
  </si>
  <si>
    <t>End date June 2019</t>
  </si>
  <si>
    <t xml:space="preserve">ANROWS Core Agreement </t>
  </si>
  <si>
    <t>Renamed ANROWS Core agreement in 2019-20 budget. 
Additional funding provided 2021-22 budget, agreement end date 30 Nov 2025.
Half state and territory government funding</t>
  </si>
  <si>
    <t>ANROWS Core funding</t>
  </si>
  <si>
    <t>Grant Agreements in place to 2020</t>
  </si>
  <si>
    <t>ANROWS Diversity Data</t>
  </si>
  <si>
    <t>ANROWS Expanding Perpetrator research and evidence base Under National Priority Research Fund</t>
  </si>
  <si>
    <t>Research and data collection to support the National Plan to End Violence against Women and their Children</t>
  </si>
  <si>
    <t>National Plan to End Violence against Women and their Children</t>
  </si>
  <si>
    <t>ANROWS National Community Attitudes Survey</t>
  </si>
  <si>
    <t xml:space="preserve">Additional funding provided 2021-22 budget, agreement end date 30 Nov 2027. </t>
  </si>
  <si>
    <t>ANROWS National Priority Research Fund</t>
  </si>
  <si>
    <t>End date 30 June 2027</t>
  </si>
  <si>
    <t>ANROWS National Risk Assessment Principles</t>
  </si>
  <si>
    <t>End date August 2018</t>
  </si>
  <si>
    <t>ANROWS Perpetrator Intervention Research Stream</t>
  </si>
  <si>
    <t>ANROWS Perpetrator Research (Additional Trials)</t>
  </si>
  <si>
    <t>Core grant agreement in place to June 2019</t>
  </si>
  <si>
    <t>ANROWS Qualitative Sexual Assault &amp; Young People Research</t>
  </si>
  <si>
    <t>End date 30 June 2019</t>
  </si>
  <si>
    <t>ANROWS Research Activities to support the Fourth Action Plan</t>
  </si>
  <si>
    <t xml:space="preserve">Varied to include $1mil from 2021-22 to 2023-24 for the delivery of a sexual harassment research program. 
Agreement end date, 30 Nov 2024. </t>
  </si>
  <si>
    <t>ARC Linkage Grant - Building successful diverse communities: What works and why</t>
  </si>
  <si>
    <t>The project moved to DSS from the former Department of Immigration and Citizenship with the MoG changes in 2013.</t>
  </si>
  <si>
    <t>ARC Linkage Grant - Centre of Excellence for Children and Families over the Life Course</t>
  </si>
  <si>
    <t xml:space="preserve">There is general support to Fund the ARC for 7 years (150k base funding) - but is subject to budget availability which is reviewed in the later stages of each financial year.    </t>
  </si>
  <si>
    <t xml:space="preserve">ARC Linkage Grant - Creating pathways to child wellbeing in disadvantaged communities </t>
  </si>
  <si>
    <t xml:space="preserve">Transforming the child and family service system in disadvantaged locations using 10 Communities for Children Facilitating Partner activity sites in NSW and Qld as a focal point to increase coalition functioning between services, shared outcomes measurement, and the use of evidence-based tools and practices.   </t>
  </si>
  <si>
    <t>End date 18 December 2020</t>
  </si>
  <si>
    <t>ARC Linkage Grant - Enhancing mothers' engagement with the workforce in the preschool years (Millennium Mums survey)</t>
  </si>
  <si>
    <t>The Millennium Mums project is a national study of working mothers who had babies in October and November 2011. The project examines their experiences with leave from their employer and decisions about paid employment, as well as family life, health and wellbeing around the birth of their baby. The study began in 2012, funded by the then Department of Families, Housing, Community Services and Indigenous Affairs as part of the evaluation of the introduction of the Paid Parental leave scheme. Through additional funding from the Australian Research Council and continued funding from the Department of Social Services the study continued on an annual basis until 2015. The goal of the extension of the Millennium Mums project is to study changes in mother’s work and family lives during their child’s preschool years. </t>
  </si>
  <si>
    <t>Further information can be found at: http://www.issr.uq.edu.au/</t>
  </si>
  <si>
    <t>ARC Linkage Grants - FaHCSIA Cash Contributions</t>
  </si>
  <si>
    <t>FaHCSIA is the former Department of Families, Housing, Community Services and Indigenous Affairs
Funds have been fully expensed.</t>
  </si>
  <si>
    <t>Assessing the Disability Needs of Indigenous Prisoners (ADNIP) project</t>
  </si>
  <si>
    <t>Research project responding to one of the findings from the Council of Australian Governments (COAG) Prison to Work program</t>
  </si>
  <si>
    <t>AUSTRALIAN LONGITUDINAL STUDIES (Household, Income and Labour Dynamics in Australia (HILDA) Survey, Building a New Life in Australia (BNLA) Longitudinal Study of Humanitarian Migrants (Australian Institute of Family Studies), Longitudinal Study of Indigenous Children (LSIC), Longitudinal Study of Indigenous Children (LSIC)</t>
  </si>
  <si>
    <t>Australian Longitudinal Studies covers four longitudinal studies Household, Income and Labour Dynamics in Australia (HILDA) Survey, Building a New Life in Australia (BNLA) Longitudinal Study of Humanitarian Migrants (Australian Institute of Family Studies), Longitudinal Study of Indigenous Children (LSIC), Longitudinal Study of Indigenous Children (LSIC)). 
The HILDA survey is a household based panel survey which began in 2001. It collects information about economic and subjective well-being, labour market dynamics and family dynamics. The key value of HILDA is in its ability to help government better understand how people respond to the changing economic and social environment.
The Longitudinal Study of Humanitarian Migrants (BNLA) is a longitudinal study of the settlement experience of humanitarian arrivals in Australia. 
The Longitudinal Study of Indigenous Children includes two groups of Indigenous children (B cohort) and (K cohort) when the study began in 2008. The study covers a wide variety of topics about children's health, learning and development, their family and community. By tracking children over time, the study will be able to determine the factors associated with consistency and change in developmental pathways.
Longitudinal Study of Australian Children (LSAC) is a major study following the development of 10,000 children and families across Australia. The study tracks children's development and life course trajectories  in today's economic, social and political environment.</t>
  </si>
  <si>
    <t>Australian Longitudinal Surveys budget is Ongoing</t>
  </si>
  <si>
    <t>BSCW Action Research</t>
  </si>
  <si>
    <t>Capacity Building - Working with Children (ACU)</t>
  </si>
  <si>
    <t>Capacity Building Project (iHeal trial, Drummond Street)</t>
  </si>
  <si>
    <t>Child Family Community Australia (CFCA) Information Exchange (AIFS)</t>
  </si>
  <si>
    <t>CFCA is AIFS' information hub for evidence, resources and support for professionals working in the child, family and community welfare sector</t>
  </si>
  <si>
    <t>Children's Experiences and Views of Family Violence (ACU)</t>
  </si>
  <si>
    <t>Consultations with faith communities about FDSV (ANU)</t>
  </si>
  <si>
    <t>Cultural and Linguistically Diverse Projects Action Research</t>
  </si>
  <si>
    <t>Data Reporting and Collection Framework and associated research - ABS</t>
  </si>
  <si>
    <t>MOU are in place to 2016-17</t>
  </si>
  <si>
    <t xml:space="preserve">Disability confidence for key professionals project - Australian Council of Learned Academies (ACOLA) </t>
  </si>
  <si>
    <t>Research to support Australia's Disability Strategy 2021-2031</t>
  </si>
  <si>
    <t xml:space="preserve">The ACOLA project was completed by 30 June 2022 and the report published in October 2022. 
Note: $905,000 is GST inclusive total with $822,727 GST exclusive. </t>
  </si>
  <si>
    <t>Australia's Disability Strategy 2021-2031</t>
  </si>
  <si>
    <t>Effects of Pornography on Young People (AIFS)</t>
  </si>
  <si>
    <t>Establishment of a National Disability Research Partnership</t>
  </si>
  <si>
    <t>The National Disability Research Partnership (NDRP) has been established to develop and implement a national disability research agenda aligned with Australia's Disability Strategy 2021-2031. The NDRP will also build Australian disability research capacity and take a leading role in disability research and knowledge translation to drive change in policy and practice to improve the lives of people with disability.</t>
  </si>
  <si>
    <t>Establishment and implementation funding (2022-23 to 2024-25) - Making Australia's Disability Strategy Accountable Measure, October 2022 Budget ($15 m): A portion of funding in 2022-23 and 2023-24 was allocated to support the full establishment of the NDRP. All remaining funding was provided to the NDRP corporate entity in 2023-24 and 2024-25.
Seed funding 2019-20 ($2.5 m): Grant Agreement with University of Melbourne's Melbourne Disability Institute. Agreement executed in 2019-20 and activity finalised in 2022-23. Outputs inlcude recommendations on governance arrangements for a National</t>
  </si>
  <si>
    <t>Sector Development Fund and Jobs and Market Fund /Funding Source 2022-23 onward: New funding from 2021-22 MYEFO under measure Delivering Australia’s Disability Strategy 2021 – 2031</t>
  </si>
  <si>
    <t>Evidence and Evaluation Support</t>
  </si>
  <si>
    <t>Supports FaC Activity service providers to plan and implement high quality evidence-based programs, measure outcomes and conduct evaluations.</t>
  </si>
  <si>
    <t>Family Reunification after FDV (Uni SA)</t>
  </si>
  <si>
    <t>Family Violence in newly-arrived migrant and refugee communities (Uni Melbourne)</t>
  </si>
  <si>
    <t>Flinders University Confronting Everyday Harms: preventing abuse of people with disability PHD Scholarship</t>
  </si>
  <si>
    <t>ARC research grant to identify the everyday harms experienced by young people in their paid support relationships, and develop a practice framework that prevents violence and abuse in these relationships</t>
  </si>
  <si>
    <t>End date December 2025</t>
  </si>
  <si>
    <t>Gambling Research Australia</t>
  </si>
  <si>
    <t>Research produced by Gambling Research Australia is widely used by academics, all levels of Government, the community sector, industry and the media</t>
  </si>
  <si>
    <t>Cth, S&amp;T MoU end date 30 June 2024; managed by NSW Govt</t>
  </si>
  <si>
    <t>Giving Australia</t>
  </si>
  <si>
    <t xml:space="preserve">The project is being delivered by the Queensland University of Technology (QUT) in partnership with Swinburne University of Technology and will provide critical information about giving and volunteering behaviours, attitudes and trends. It is expected to be completed in late 2016. </t>
  </si>
  <si>
    <t>The project commenced in 2014/15 and is funded over three years.</t>
  </si>
  <si>
    <t>Human Services Delivery Research Alliance</t>
  </si>
  <si>
    <t>Improving Multidisciplinary Responses program evaluation</t>
  </si>
  <si>
    <t>Evaluation of the Improving Multidisciplinary Responses program. Funding is also included for the evaluator (Arney Chong Consulting) to support grantees to develop their internal evaluation capacity through a community of practice and tailotd evaluation support.</t>
  </si>
  <si>
    <t>End date is June 2027</t>
  </si>
  <si>
    <t>Commonwealth Closing the Gap Implementation Plan 2021</t>
  </si>
  <si>
    <t>Safe and Supported: the National Framework for Protecting Australia's Children 2021-2031</t>
  </si>
  <si>
    <t>Improving Parenting Practices - CALD requirements</t>
  </si>
  <si>
    <t>Research into the support CALD families and parents require to improve parenting practices</t>
  </si>
  <si>
    <t>Research was completed in 2023-24</t>
  </si>
  <si>
    <t>Independent research and evaluation of key assumptions around the impact of problem and recreational gamblers</t>
  </si>
  <si>
    <t>Independent study on impacts of problem gambling</t>
  </si>
  <si>
    <t>Funding is total contract expenditure excluding GST. Breakdown cannot be provided across financial years.</t>
  </si>
  <si>
    <t>Indigenous Persional Safety Survey</t>
  </si>
  <si>
    <t>Further funding for PSS announced in 2022 budget</t>
  </si>
  <si>
    <t>Intercountry Adoption – Australian / International based research</t>
  </si>
  <si>
    <t>Evaluation of the Intercountry Adoptee and Family Support Services (ICAFSS)</t>
  </si>
  <si>
    <t>Program design and provider performance evaluation to determine if the program and provider are meeting the needs of the community. </t>
  </si>
  <si>
    <t>Kids in Communities Study (Murdoch Childrens Research Institute)</t>
  </si>
  <si>
    <t>Research is investigating community-level influences on child development</t>
  </si>
  <si>
    <t>DSS contributes project specific funding through a grant agreement. Kids in Communities Study receives an ARC grant.</t>
  </si>
  <si>
    <t>LGBTIQA+ National Sexual Violence Prevention Survey and First Nations LGBTIQA+ National Sexual Violence Survey (UNSW)</t>
  </si>
  <si>
    <t>The objective of the surveys is to provide benchmarked data on experiences of sexual violence and sexual harassment amongst LGBTIQA+ people. The surveys will collect data on prevalence, social norms, attitudes, beliefs, bystander actions and help-seeking behaviour and practices relating to LGBTIQA+ sexual violence prevention for people of diverse sexual orientation and gender identity, including Brotherboy and Sistergirl communities.</t>
  </si>
  <si>
    <t>The funding for this work is coming from the special account – Social Services, Services for Other Entities and Trust Moneys – Department of Families, Community Services and Indigenous Affairs Special Account (Social Services SOETM Special Account 2021)</t>
  </si>
  <si>
    <t>Meta-synthesis of qualitatve research with children (ACU)</t>
  </si>
  <si>
    <t>Contract in place to April 2017</t>
  </si>
  <si>
    <t>National Autism Strategy - Epidemiological study of the prevalence of autism in Australia</t>
  </si>
  <si>
    <t>Epidemiological study of the prevalence of autism in Australia</t>
  </si>
  <si>
    <t>To be commisioned via an RFQ</t>
  </si>
  <si>
    <t>National Autism Strategy - Knowledge translation and research body</t>
  </si>
  <si>
    <t>Establishing a knowledge translation and research body to translate credible academic research on autism into practical, evidence-based tools and guidance for service providers, and policy makers</t>
  </si>
  <si>
    <t>1 year ad hoc grant (2024-25 to 2025-26) followed by a 3 year grant via a limited competitive selection process (2026-27 to 2028-29)</t>
  </si>
  <si>
    <t xml:space="preserve">National Centre for Action on Child Sexual Abuse </t>
  </si>
  <si>
    <t>$3 million in commissioned research to identify better service models and reduce the impact of child sexual abuse over 3 years from 2022-23. Inhouse research, including the first wave of a study on community attitudes, knowledge and response to child sexual abuse.</t>
  </si>
  <si>
    <t>National Initiatives (Family Policy) - contract in place until October 2026.</t>
  </si>
  <si>
    <t>National Child and Family Investment Strategy</t>
  </si>
  <si>
    <t xml:space="preserve">Development of the National Child and Family Investment Strategy </t>
  </si>
  <si>
    <t>End date is June 2024</t>
  </si>
  <si>
    <t>National Child and Family Investment Strategy - Non-Indigenous NGO Research Report</t>
  </si>
  <si>
    <t>Research report to be completed in parallel with the National Child and Investment Strategy</t>
  </si>
  <si>
    <t>National Disability Data Asset (NDDA) Pilot project - Identification of people with disability in linked administrative data for service use and outcomes reporting</t>
  </si>
  <si>
    <t>One of five high-priority research projects within the NDDA Pilot. Led by DSS. Will test the suitability of linked administrative data for reporting against the new National Disability Strategy (NDS) Outcomes Framework, focusing on housing system.</t>
  </si>
  <si>
    <t>National Disability Data Asset (NDDA)</t>
  </si>
  <si>
    <t xml:space="preserve">National Disability Data Asset (NDDA) Pilot project - Interaction of people with disability and the criminal justice system </t>
  </si>
  <si>
    <t>One of five high-priority research projects within the NDDA Pilot. Co-led by DSS and the NSW Bureau of Criminal Statistics and Research (BOCSAR).</t>
  </si>
  <si>
    <t xml:space="preserve">National Disability Insurance Agency - Participant Outcomes, Evidence and Evaluation Branch: Commissioned research to RMIT - Examining the links between disability support, crime and release from custody </t>
  </si>
  <si>
    <t>The Centre for Innovative Justice (CIJ) at RMIT has been engaged by the National Disability Insurance Agency to examine the links between disability supports, risk and release from custody. This research project looks at people with disability who commit serious and high risk offences. It aims to better understand the relationships between these factors and explore models of support for this group of people.</t>
  </si>
  <si>
    <t>End June 2026</t>
  </si>
  <si>
    <t xml:space="preserve">National Disability Insurance Agency - Research and Evaluation Branch - Clarizen Licences </t>
  </si>
  <si>
    <t>Clarizen Licence supporting the implementation of the National Disability Insurance Agency Research and Evaluation Strategy</t>
  </si>
  <si>
    <t>Ongoing</t>
  </si>
  <si>
    <t xml:space="preserve">National Disability Insurance Agency - Research and Evaluation Branch : Commissioned research by the University of Melbourne: Employment </t>
  </si>
  <si>
    <t>Independent review for interventions to improve the economic participation and employment of people with autism, intellectual disability and/or psychosocial disabilities.</t>
  </si>
  <si>
    <t>End date 10 Feb 2021</t>
  </si>
  <si>
    <t xml:space="preserve">National Disability Insurance Agency - Research and Evaluation Branch : Commissioned research by the University of Sydney:  Home and living </t>
  </si>
  <si>
    <t xml:space="preserve">Targeted Research Project - Home and living: A systematic review of interventions to improve home and living options for people with a disability. The review aims to inform home and living policy consultation and policy development and participant decision guides. </t>
  </si>
  <si>
    <t>End date Jan 2021</t>
  </si>
  <si>
    <t>National Disability Insurance Agency - Research and Evaluation Branch: Commissioned project to IAG - Autism Participant Guides</t>
  </si>
  <si>
    <t xml:space="preserve">Autism Participant Guides - Easy Read: Translation of Participant Decision Guides on Early Intervention for Children with autism which support plan implementation to easy read version. </t>
  </si>
  <si>
    <t>12 weeks - June 2021 - August 2021</t>
  </si>
  <si>
    <t xml:space="preserve">National Disability Insurance Agency - Research and Evaluation Branch: Commissioned project to Milk Animations: Employment animations </t>
  </si>
  <si>
    <t>For the provision of  four animations for dissemination of the Employment research program findings</t>
  </si>
  <si>
    <t>End date 24 January 2022</t>
  </si>
  <si>
    <t xml:space="preserve">National Disability Insurance Agency - Research and Evaluation Branch: Commissioned research by Autism CRC: Autism </t>
  </si>
  <si>
    <t>Synthesis of Evidence for Autism Early Intervention approaches</t>
  </si>
  <si>
    <t>End date Sept 20</t>
  </si>
  <si>
    <t xml:space="preserve">National Disability Insurance Agency - Research and Evaluation Branch: Commissioned research to CSIRO - Artificial Intelligence </t>
  </si>
  <si>
    <t>For the provision of a framework for Artificial Intelligence and other innovative technologies as supports under the NDIS and a roadmap</t>
  </si>
  <si>
    <t>Duration from June 2021-December 2021</t>
  </si>
  <si>
    <t>National Disability Insurance Agency - Research and Evaluation Branch: Commissioned research to Monash University: A new NDIS Wellbeing Index</t>
  </si>
  <si>
    <t>For the provision of constructing a classification system for a new NDIS Wellbeing Index</t>
  </si>
  <si>
    <t>Contract variation commences 30 June 2022</t>
  </si>
  <si>
    <t>National Disability Insurance Agency - Research and Evaluation Branch: Implementation of the National Disability Insurance Agency Research and Evaluation Strategy .</t>
  </si>
  <si>
    <t>Quality improvement- Supporting the implementation of the National Disability Insurance Agency Research and Evaluation Strategy .</t>
  </si>
  <si>
    <t>End June 2021</t>
  </si>
  <si>
    <t>National Disability Research and Development Agenda</t>
  </si>
  <si>
    <t xml:space="preserve">The National Disability Research and Development Agenda sets out national priorities and provides focus and direction for disability related research. 
Following administrative changes resulting from National Cabinet’s acceptance of the recommendations of the Conran Review of former COAG Councils and Ministerial Forums, it was agreed the selection, progress and finalisation of the 2020 National Disability Research Special Account research projects would be progressed by Commonwealth, state and territory officials responsible for the implementation of the National Disability Strategy. The former Research and Data Working Group and the former National Disability Policy and Research Working Group managed previous research funding rounds. </t>
  </si>
  <si>
    <t>Research and Data is managed by the Research and Data Working Group, comprising Australian Government and State/territory representatives</t>
  </si>
  <si>
    <t>National Framework for Protecting Australia's Children 2021-2031</t>
  </si>
  <si>
    <t xml:space="preserve">Various research projects are supporting the implementation of the National Framework for Protecting Australia's Children 2009-2020.  The National Framework is a long-term commitment between the Commonwealth, state and territory governments, the non-government sector and key researchers.  It focuses on achieving the key goal that Australia's children and young people are safe and well.  </t>
  </si>
  <si>
    <t>Figures for each year 2011-12 to 2013-14 for Research under the National Framework for Protecting Australia’s Children were previously reported as 0.200m per year. Figures for 2011-12 and 2012-13 are revised to 0.000m due to this being cost-shared expenditure with states and territories, with the Commonwealth share expended from departmental funds. The figure for 2013-14 was revised to 0.128m to reflect the final total amount due at the conclusion of the research, and is being met by Departmental administered funds. There is no ongoing funding for this research after 2013-14. Amounts for 2014-15 are actual figures.  Amounts for 2015-16 are based on projects about to be finalised at the time of preparing this information.</t>
  </si>
  <si>
    <t>National Plan Outcomes Framework</t>
  </si>
  <si>
    <t>National Plan Outcomes framework and evalauation strategy</t>
  </si>
  <si>
    <t>National Plan to end Violence against Women and Children</t>
  </si>
  <si>
    <t>National Research on Gambling Annual Appropriation</t>
  </si>
  <si>
    <t>Research contributes to building a national research and evaluation program on the management and impacts of gambling related harm, the associated risks and how they can be addressed. This includes the staged evaluation of the National Framework.</t>
  </si>
  <si>
    <t>Ongoing annual appropriation allocated since the 2001-02 Budget. In some years, the appropriation has been directed to the Gambling Research Australia program listed separately.</t>
  </si>
  <si>
    <t>National Survey of Family and Relationship Services and Specialist Family Violence Services (AIFS)</t>
  </si>
  <si>
    <t>End date April 2018</t>
  </si>
  <si>
    <t>National Survey on Community Attitudes to Violence Against Women (VicHealth and then ANROWS from June 2016)</t>
  </si>
  <si>
    <t>Further funding for Personal Safety Survey announced in 2021-22 Budget</t>
  </si>
  <si>
    <t>National survey on the impact of tenancy laws on women and children escaping violence  (Uni SA)</t>
  </si>
  <si>
    <t>NHMRC - Latrobe University Hamrony Project</t>
  </si>
  <si>
    <t>Outcomes Measurement (Drummond Street)</t>
  </si>
  <si>
    <t>End date August 2019</t>
  </si>
  <si>
    <t>Paid Parental Leave Evaluation</t>
  </si>
  <si>
    <t>The 2022–23 October Budget measure Boosting Parental Leave to Enhance Economic Security, Support and Flexibility for Australia’s Families will enhance economic security, improve gender equality, and enhance and provide more flexibility for shared care arrangements through the Paid Parental Leave scheme at a cost to the budget of $531.6 million over 4 years  These costs included funding to support an evaluation to assess changes to the Paid Parental Leave scheme supporting the measure. A further $15 million in funding was allocated in the 2023–24 MYEFO, which included an extension of funding for the Evaluation to 2028–29. It is envisaged that the results of this evaluation will inform future reforms and development of the scheme.</t>
  </si>
  <si>
    <t xml:space="preserve">The cost numbers provided in this table represent estimates of the research costs of the evaluation and department staffing costs supporting it and other elements of the PPL reforms, a component of the Budget measure.  </t>
  </si>
  <si>
    <t>Paid Parental Leave Evaluation 2010-2014</t>
  </si>
  <si>
    <t>DSS contracted the Institute for Social Science Research (ISSR) at the University of Queensland to conduct an evaluation of the PPL scheme from 2009-10 to 2012‑13. The evaluation considered the impact of the PPL scheme on mothers in the domains of health, work, gender equity and work/life balance. It also considered the impact on employers and how well the scheme was implemented from both mothers’ and employers’ perspectives. ISSR was also contracted in 2012 to conduct an evaluation of Dad and Partner Pay (DAPP). The DAPP evaluation gathered information on partners’ leave eligibility and uptake, caring for a newborn and partner, and employers’ perspectives.</t>
  </si>
  <si>
    <t>The PPL evaluation used a mixed method design, involving large scale telephone surveys of new mothers who met the eligibility criteria for the PPL scheme both before and after the introduction of the scheme, complemented by in-depth interviews. A sample of employers, including small and medium businesses, was also surveyed. 
The DaPP component of the evaluation involved two large surveys of partners whose babies were born before and after the introduction of DAPP. The surveys were complemented by in-depth interviews with partners and employers.
Further information can be found at: https://www.dss.gov.au/our-responsibilities/families-and-children/programmes-services/paid-parental-leave-scheme/paid-parental-leave-evaluation</t>
  </si>
  <si>
    <t>Perpetrator programs - Female perpetrators (Uni Melbourne)</t>
  </si>
  <si>
    <t>Perpetrator Programs - LGBTIQ Perpetrators (Drummond Street)</t>
  </si>
  <si>
    <t>Perpetrator Programs - Young Perpetrators (University of Newcastle)</t>
  </si>
  <si>
    <t>End date June 2020</t>
  </si>
  <si>
    <t>Personal Safety Survey (Australian Bureau of Statistics)</t>
  </si>
  <si>
    <t>Research into drivers of plan utilisation in the NDIS</t>
  </si>
  <si>
    <t>Study using mixed-methods to examine the factors affecting support utilisation from a NDIS participant perspective.</t>
  </si>
  <si>
    <t>End date 30 June 2021</t>
  </si>
  <si>
    <t>Sector Development Fund and Jobs and Market Fund</t>
  </si>
  <si>
    <t xml:space="preserve">Research into pricing for effective operations of the market for NDIS services (Developing improved approaches to pricing and payments in the NDIS / Pricing and Payments Project) </t>
  </si>
  <si>
    <t>Study on approaches to improve the effective operations of the market for NDIS services, including pricing, market confidence, interventions and capability, and consumer choice and regulation.</t>
  </si>
  <si>
    <t>End date 30 June 2022 (expected to end next financial year)</t>
  </si>
  <si>
    <t>Research projects under the Social Policy Research Investment Strategy (SPRIS)</t>
  </si>
  <si>
    <t>Longitudinal study</t>
  </si>
  <si>
    <t>Research selected responses to the ALSWH using the composite abuse scale (University  of Newcastle)</t>
  </si>
  <si>
    <t>Resources on how to obtain consent when working with Aboriginal and Torres Strait Islander children who have experienced family and domestic violence (ACU)</t>
  </si>
  <si>
    <t>Restacking the Odds (Murdoch Childrens Research Institute)</t>
  </si>
  <si>
    <t>Research is investigating if there is a cumulative effect on a child's development by stacking five foundational early years services and strategies</t>
  </si>
  <si>
    <t>DSS contributes project specific funding through a grant agreement. Restacking the Odds also receives philanthropic grants.</t>
  </si>
  <si>
    <t>Safe at Home project (UNSW)</t>
  </si>
  <si>
    <t>End date November 2019</t>
  </si>
  <si>
    <t>Service Delivery Reform Research</t>
  </si>
  <si>
    <t>Service system responses to the needs of children to keep them safe from violence  (ACU)</t>
  </si>
  <si>
    <t>Study on FDSV in Aboriginal and Torres Strait Islander communities (ANU)</t>
  </si>
  <si>
    <t>University of New South Wales. National Workforce Survey (FDSV)</t>
  </si>
  <si>
    <t>Treasury</t>
  </si>
  <si>
    <t>Australian Housing and Urban Research Institute Limited (AHURI Ltd) National Housing Research Program</t>
  </si>
  <si>
    <t xml:space="preserve">The primary objective of the program is to manage and deliver a high quality and policy relevant National Housing Research Program for the purposes of supporting Commonwealth, State and Territory reforms and policy development in housing, urban development and homelessness (commensurate with the funding provided by the Commonwealth, States and Territories). In support of this primary objective, research reports will be made publicly available to promote community interest and awareness of housing issues. In addition, researchers, policy analysts and practitioners will be engaged to develop an understanding and commitment to evidence based policy practice and assist in the development of research reports
</t>
  </si>
  <si>
    <t>Veterans' Affairs</t>
  </si>
  <si>
    <t>Australian War Memorial - Official Histories</t>
  </si>
  <si>
    <t xml:space="preserve">Since its inception, the Memorial has sponsored Australia's official war histories. Official histories are "official" in the sense they are commissioned by government as the national record of Australia’s involvement in particular conflicts. The official historians are granted unrestricted access to closed period and security classified government records. The Australian official war histories contain the authors' own interpretations and judgements and do not follow any official or government line.
The official war histories are our enduring national record providing a comprehensive, authoritative, and accessible account of the Australian experience of war.
</t>
  </si>
  <si>
    <t>AWM confirms the research component of this activity has been completed, therefore nil value in 2023-24 through to 2027-28.</t>
  </si>
  <si>
    <t>Department of Veterans' Affairs Applied Research Program</t>
  </si>
  <si>
    <t xml:space="preserve">An administered appropriation provided under Program 2.5 for Health and Medical Research. The Applied Research Program is the Department’s formal research program and provides best practice research about the health and wellbeing needs of Australia’s veteran community and identifies ways to improve DVA’s services and care. </t>
  </si>
  <si>
    <t>Phoenix Australia - Centre for Posttraumatic Mental Health</t>
  </si>
  <si>
    <t>Phoenix Australia (formerly Australian Center for Posttraumatic Mental Health) is contracted to provide a centre of excellence in military and veteran mental health research. The current contract expires June 2018.</t>
  </si>
  <si>
    <t>Veteran Health Research</t>
  </si>
  <si>
    <t>Is an administered appropriation delivered under the Treatment Principles of the Veterans Entitlement Act (VEA) to commission best practice research to improve health services for entitled veterans.</t>
  </si>
  <si>
    <t>Program replaces the Centre for Military and Veterans' Health</t>
  </si>
  <si>
    <t>Total</t>
  </si>
  <si>
    <t>Counts of programs/activities, by size category</t>
  </si>
  <si>
    <t>Very small (x&lt;$1m)</t>
  </si>
  <si>
    <t>Small ($1m=&lt;x&lt;$10m)</t>
  </si>
  <si>
    <t>Medium ($10m=&lt;x&lt;$100m)</t>
  </si>
  <si>
    <t>Large (x=&gt;$100m)</t>
  </si>
  <si>
    <t>Aggregate value of programs/activities, by size category</t>
  </si>
  <si>
    <t>Proportion of total investment accounted for by programs/activities per size category</t>
  </si>
  <si>
    <t>Government investment in science, research &amp; innovation (not including R&amp;D)* by program/activity ($m current prices)</t>
  </si>
  <si>
    <t>*The programs and activities included in this dataset were reported by departments and agencies on the basis that they were "explicitly intended to support science, research and/or innovation", as these terms are defined within the Definitions tab.</t>
  </si>
  <si>
    <t>This dataset does not include R&amp;D programs and activities. Where a program supports both R&amp;D and Other SRI activities, the associated budget appropriations are reported separately within this table and the R&amp;D table.</t>
  </si>
  <si>
    <t>Estimated
Actual</t>
  </si>
  <si>
    <t>Budget
Estimate</t>
  </si>
  <si>
    <t>S&amp;R priorities</t>
  </si>
  <si>
    <t>Allocation method</t>
  </si>
  <si>
    <t>Socio-Economic Objective</t>
  </si>
  <si>
    <t>Sector</t>
  </si>
  <si>
    <t>Animal Welfare, Biosecurity and Exotic Disease Preparedness Programs</t>
  </si>
  <si>
    <t>Multisector</t>
  </si>
  <si>
    <t>Ongoing administered programs to safeguard Australia's animal health status to maintain overseas markets and protect the economy and environment from impact of exotic pests and diseases.</t>
  </si>
  <si>
    <t>The item includes expenditure from three programs. Animal Biosecurity and Response Reform (ABRR); Other Exotic Disease Preparedness Program.</t>
  </si>
  <si>
    <t>Future Drought Fund (includes Innovation Grants (2023-24 only) and Innovation Challenges from 2025-26 onwards)</t>
  </si>
  <si>
    <r>
      <t xml:space="preserve">The Future Drought Fund is the key investment by the Australian Government to build drought resilience in Australia’s agriculture sector, the agricultural landscape, and communities. It is a $5 billion commitment with $100 million made available each year </t>
    </r>
    <r>
      <rPr>
        <strike/>
        <sz val="10"/>
        <rFont val="Arial"/>
        <family val="2"/>
      </rPr>
      <t>allocated</t>
    </r>
    <r>
      <rPr>
        <sz val="10"/>
        <rFont val="Arial"/>
        <family val="2"/>
      </rPr>
      <t xml:space="preserve"> to drought resilience programs.</t>
    </r>
  </si>
  <si>
    <t>Mechanical Fuel Load Reduction Trial</t>
  </si>
  <si>
    <t>Program has terminated.</t>
  </si>
  <si>
    <t>The budget for this program is held within Treasury. 2015-16 estimated actual has been updated from the prior year's return.</t>
  </si>
  <si>
    <t>Modernising Agricultural Trade - Protecting Australia's Clean, Green Brand
(Traceability Grants Program)</t>
  </si>
  <si>
    <t xml:space="preserve">The Traceability Grants Program provides grants to successful applicants to enhance agricultural supply chain traceability systems. </t>
  </si>
  <si>
    <t xml:space="preserve">15 projects were funded under round 1, 14 projects were funded under round 2 and 11 projects are currently funded under round 3. </t>
  </si>
  <si>
    <t>Pest Animals and Weeds Initiative (ad hoc projects)</t>
  </si>
  <si>
    <t>ABARES' established pest animals and weeds related projects under the $49.1 million Supporting Communites Manage Pest Animals and Weeds Program.</t>
  </si>
  <si>
    <t xml:space="preserve">Ongoing administered program to strengthen plant biosecurity through: protecting agricultural industries from the potential impact of plant pests on crop yields, quality and costs of production; and providing the means to demonstrate pest-free status to support access to overseas markets.
</t>
  </si>
  <si>
    <t>Priorities for Australia's Biosecurity System – Environmental Protection</t>
  </si>
  <si>
    <t xml:space="preserve">An ongoing annual appropriation of $825,000, which supports the ACEBO to deliver priorities for Australia’s biosecurity system. It funds projects to improve our capability and capacity to prevent, prepare, detect, identify and respond to exotic environmental pests, weeds and diseases. </t>
  </si>
  <si>
    <t>Priority pest and disease planning and response</t>
  </si>
  <si>
    <t>Ongoing administered program to strengthen Australia’s ability to prevent, prepare, detect and respond to emergency and emerging priority pests and diseases by reducing the likelihood of a pest or disease entering or establishing in Australia and by mitigating the impact of those pests and diseases entering or establishing in Australia and by mitigating the impact of those pests and diseases. This initiative aims to develop reference laboratory capability (including personnel, equipment and protocols) for providing diagnostics for priority and emergency plant pests.</t>
  </si>
  <si>
    <t>Protecting Australia from escalating EAD risks</t>
  </si>
  <si>
    <t>This program is departmental funding intended to support biosecurity and is not specific to R&amp;D. It includes both some research to support ppolicy outcomes and a stakeholder engagement workshop</t>
  </si>
  <si>
    <t>Regional Food Producers/Seafood Industry Innovation and Productivity Program</t>
  </si>
  <si>
    <t>Science and Innovation Awards for Young People in Agriculture, Fisheries and Forestry</t>
  </si>
  <si>
    <t>Secretary's Awards for Innovation</t>
  </si>
  <si>
    <t>Government</t>
  </si>
  <si>
    <t>Smart Fruit Fly Management - Commonwealth to lead reform</t>
  </si>
  <si>
    <t>Stronger Farmers, Stronger Economy - Improvements to access premium markets - improve biosecurity</t>
  </si>
  <si>
    <t>Training, conferences and events in innovation related fields</t>
  </si>
  <si>
    <t>Program/activity has terminated.</t>
  </si>
  <si>
    <t>AquaWatch4Lakes: Indonesia Inland Water Quality Monitoring Demonstrator</t>
  </si>
  <si>
    <t>Using CSIRO’s AquaWatch inland water quality monitoring products for Indonesia’s selected priority lake, focusing on: Equipping partners with tools to support improved water quality management practices (i.e. sustainable aquaculture and food security). Providing access to real-time in-situ water quality data to enable informed decision-making. Providing access to time series of optical satellite information to understand longer term trends in lake condition. Building capacity among Indonesian partners for sustainable water monitoring practices. Laying the foundation for future scalability across additional lakes across Indonesia.</t>
  </si>
  <si>
    <t>Australian Marine Parks Research</t>
  </si>
  <si>
    <t xml:space="preserve">The marine science program will deliver actions to provide necessary scientific knowledge and understanding or marine park values, pressures and adequacy of responses for effective management. </t>
  </si>
  <si>
    <t>Australian Marine Parks Science Atlas</t>
  </si>
  <si>
    <t>The atlas aims to communicate the science and research underpinning Australian Marine Parks and assist with the dissemination, promotion, and discovery of contemporary science relevant to Australian Marine Parks, especially recent research by NESP Marine Biodiversity Hub partners.</t>
  </si>
  <si>
    <t>Australia-Singapore Initiative on Low Emissions Technology for Maritime and Port Operations</t>
  </si>
  <si>
    <t>The initiative funds industry-led pilot and demonstration projects to increase investment and improve commercial readiness of low emissions fuels and technologies in maritime and port operations</t>
  </si>
  <si>
    <t>This is a one off funded program, drawn from the Strategic International Partnerships program</t>
  </si>
  <si>
    <t>Basin Condition Monitoring Project</t>
  </si>
  <si>
    <t>Develop and deliver new monitoring and reporting of economic, social, cultural, and environmental conditions in the Murray–Darling Basin.</t>
  </si>
  <si>
    <t xml:space="preserve">Behavioural Insights projects </t>
  </si>
  <si>
    <t xml:space="preserve">As part of the Department's focus on evidence based policy and programs, we have partnered with the BehaviourWorks Australia Research Consortium (Monash University) to do research about what works in improving recycling. </t>
  </si>
  <si>
    <t>Build of physical innovation space</t>
  </si>
  <si>
    <t xml:space="preserve">The innovation space provides staff with a dedicated physical area in which to pursue innovation related activities and creative thinking.  It gives staff the freedom and time to think more deeply about changing the way we operate and reinforces the need to continually design, pilot, evaluate and refine ideas. </t>
  </si>
  <si>
    <t>$70,000 from the Accommodation Fixed budget. Remaining estimates to come from Design and Analytics Section budget.</t>
  </si>
  <si>
    <t>Carbon Farming Futures - Action on the Ground</t>
  </si>
  <si>
    <t>The Action on the Ground programme assists farmers and land managers to undertake on-farm trials of abatement technologies and practices to measure and demonstrate how they can reduce agricultural greenhouse gas emissions or sequester carbon in soil while maintaining or improving farm productivity</t>
  </si>
  <si>
    <t xml:space="preserve">Carbon Farming Futures - Extension and Outreach </t>
  </si>
  <si>
    <t>Carbon Farming Futures - Filling the Research Gap</t>
  </si>
  <si>
    <t>The Filling the Research Gap programme funds nationally coordinated research that will deliver practical options for land managers to reduce greenhouse gas emissions, build soil carbon and adapt to changes in climate</t>
  </si>
  <si>
    <t>Carbon Farming Initiative</t>
  </si>
  <si>
    <t>Carbon Farming Outreach Program</t>
  </si>
  <si>
    <t>Business enterprise</t>
  </si>
  <si>
    <t>The Carbon Farming Outreach Program aims to support Australian farmers and land managers to reduce emissions and sequester carbon to contribute to Australia’s climate change commitments. A training package will be developed to empower Australian farmers and land managers, including First Nations peoples, to participate in carbon markets and integrate low emission technologies and practices into their farming operations and land management practices. The training will be delivered to farmers and land managers by grantees.</t>
  </si>
  <si>
    <t>Clean Energy Innovation Fund - CEFC</t>
  </si>
  <si>
    <t xml:space="preserve">The Clean Energy Finance Corporation was established to facilitate increased flows of finance into the clean energy sector. Virescent Ventures manages the Clean Energy Innovation Fund on behalf of the CEFC. The Clean Energy Innovation Fund is the largest dedicated cleantech investor in Australia, created to invest $200 million in early-stage clean technology companies. The Innovation Fund is operated in consultation with ARENA, drawing on the complementary experience and expertise of the two organisations. </t>
  </si>
  <si>
    <t>Emerging Technologies Lab, Metinsight, Bureau of Meteorology</t>
  </si>
  <si>
    <t xml:space="preserve">Metinsight applies emerging technologies to deliver enhanced visualisation of weather and notifications to meet industry needs. </t>
  </si>
  <si>
    <t>A flexible cloud based platform using brokers, API's and application microservices, blended with communication technology to serve traditional and smart mobile devices.</t>
  </si>
  <si>
    <t>Grid Enhancing Technologies grants program</t>
  </si>
  <si>
    <t>The Grid Enhancing Technologies competitive grants program aims to deliver benefits for energy consumers by accelerating the development, trialling and application of grid enhancing technologies in Australian electricity networks. </t>
  </si>
  <si>
    <t>HyGate</t>
  </si>
  <si>
    <t>This initiative supports a joint renewable hydrogen technology incubator, which will devlier pilot and demonstration hydrogen projects in Australia</t>
  </si>
  <si>
    <t>This is a one-off funded program, drawn from the Strategic International Partnerships program</t>
  </si>
  <si>
    <t>Maugean Skate Program</t>
  </si>
  <si>
    <t>The Maugean Skate Program will work with stakeholders to deliver identified recovery actions for the Maugean Skate within the Macquarie Harbour including oxygenation and research</t>
  </si>
  <si>
    <t>MDB Integrated River Modelling Uplift</t>
  </si>
  <si>
    <t>A River Modelling Uplift Program to uplift river models into the National Hydrological Modelling Platform</t>
  </si>
  <si>
    <t>Murray-Darling Basin Water and Environment Research Program</t>
  </si>
  <si>
    <t>Expanding scientific research and knowledge on the MDB to address knowledge gaps for better water and environmental management.</t>
  </si>
  <si>
    <t xml:space="preserve">This is an MoU arrangement with the Department but given this relates to Science, and we could not sight it in the spreadsheet otherwise, it has been included separately. </t>
  </si>
  <si>
    <t>National Plan for Environmental Information, Bureau of Meteorology</t>
  </si>
  <si>
    <t>The NPEI initiative aims to improve the discovery, access and re-use of environmental information..</t>
  </si>
  <si>
    <t>Primarily through building and operating a core national environmental information infrastructure and a network of government custodians and users of environmental information</t>
  </si>
  <si>
    <t>National Soil Carbon Innovation Challenge</t>
  </si>
  <si>
    <t xml:space="preserve">The program supports industry and researchers to develop low-cost, accurate technological solutions for soil carbon measurement that encourage increased uptake of soil carbon projects and improved agricultural productivity. </t>
  </si>
  <si>
    <t>Total funding $39.9m.</t>
  </si>
  <si>
    <t>Natural Heritage Trust - National Koala Monitoring Program</t>
  </si>
  <si>
    <t>The National Koala Monitoring Program aims to develop a robust and repeatable method for modelling the national population on koalas, including population and occupation trends over time.</t>
  </si>
  <si>
    <t>Powering Australia Technology Fund - CEFC</t>
  </si>
  <si>
    <t>The Clean Energy Finance Corporation was established to facilitate increased flows of finance into the clean energy sector. The Powering Australia Technology Fund (PATF) will look to support the growth and expansion of projects and businesses that are driving the development, commercialisation or take up of clean energy technologies. This will include climate tech and other solutions that facilitate the achievement of Australia's greenhouse gas emissions reduction targets.</t>
  </si>
  <si>
    <t>Recycling Modernisation Fund</t>
  </si>
  <si>
    <t>The Recycling Modernisation Fund (RMF) is a national initiative that is expanding Australia’s capacity to sort, process and remanufacture glass, plastic, tyres, paper and cardboard. The additional recycling capacity funded by the RMF supports Australia to regulate the export of waste glass, plastic, tyres, paper and cardboard. Increased recycling capacity supports Australia’s transition to a circular economy, by allowing more products to be reused, recycled or remanufactured when they are no longer useful or required for their initial purpose.</t>
  </si>
  <si>
    <t>Reef 2050 (NHT) Implementation Funding</t>
  </si>
  <si>
    <t>Qld River Management Framework, Reef WQ Scientific Consensus Statement, P2R, MPA Targets, LIDAR and Regional report cards</t>
  </si>
  <si>
    <t>Reef 2050 Integrated Monitoring and Reporting Program (RIMReP)</t>
  </si>
  <si>
    <t xml:space="preserve">Reef Authority's coordination of RIMReP, and the Reef Authority's associated projects. For example, includes the Reef Authority's coordination and implementation of the Marine Monitoring Program for inshore seagrass, coral and water quality. </t>
  </si>
  <si>
    <t>Reef Trust</t>
  </si>
  <si>
    <t>Reef Restoration and adaptation program, Citizen Science and Traditional Owner Implementation Plan</t>
  </si>
  <si>
    <t>Funded through new $1b Reef Protection Package</t>
  </si>
  <si>
    <t xml:space="preserve">Revision of the Australian and New Zealand Guidelines for Fresh and Marine Water Quality </t>
  </si>
  <si>
    <t>The Australian and New Zealand Guidelines for Fresh and Marine Water Quality were last revised in 2000, substantial new scientific data and techniques for establishing guideline values (GVs), and for monitoring and assessment, have become available. This best available science has been incorporated into the revised guidelines. The revisions also make the guidelines easier to use.</t>
  </si>
  <si>
    <t xml:space="preserve">The guidelines provide water managers with tools and guidance to assess, manage and monitor the water quality of aquatic systems in Australia and New Zealand. The guidelines are designed to help sustain all community values associated with aquatic systems. The These values include plants and animals that live in water, a range of community uses, primary industries and Indigenous cultural and spiritual values. The revision draws on funds held in a special water account of the National Environment Proctection Council administerd by the Department of the Environment and Energy. </t>
  </si>
  <si>
    <t>National Environment Protection Council</t>
  </si>
  <si>
    <t>Sustainable Rivers Audit</t>
  </si>
  <si>
    <t>An updated SRA will track and report on the health of the Basin rivers, providing an up-to-date assessment of conditions.</t>
  </si>
  <si>
    <t>Sustainable Yield Audit</t>
  </si>
  <si>
    <t>The study will provide contemporary catchment-scale information about how much water will be available in the Murray–Darling Basin under climate change.</t>
  </si>
  <si>
    <t>Understanding Marine Park use</t>
  </si>
  <si>
    <t xml:space="preserve">Contract for data scientist skills to analyse multiple data streams. </t>
  </si>
  <si>
    <t>Business process automation PostingConnect</t>
  </si>
  <si>
    <t xml:space="preserve">The project is designed to integrate with business partners (Toll and Defence Housing Australia (DHA)) so that posting Australian Defence Force (ADF) members and their families have an integrated service solution, enabling a more streamlined transparent user centric experience. </t>
  </si>
  <si>
    <t>Centre for Defence Industry Capability (CDIC) Innovation initiatives</t>
  </si>
  <si>
    <t xml:space="preserve">The CDIC is a cornerstone of the Government’s strategy for resetting the defence-industry partnership. CDIC will help facilitate innovation and build the capability and capacity of Australian industry to meet the Department of Defence’s requirements, through the provision of advisory services and grants. </t>
  </si>
  <si>
    <t>Directorate Clean Energy Trransition, Renewable Energy, Energy Security Program</t>
  </si>
  <si>
    <t>Directorate of Clean Energy Transition seeks to investigate emerging renewable energy technologies and mitigate risks such as cyber and interference to energy supply to ensure energy resilience and security to Defence</t>
  </si>
  <si>
    <t>Service Connect Reform</t>
  </si>
  <si>
    <t>The Estate and Infrastructure Group (E&amp;IG) currently manages over two thousand pdf smart forms (2,000) within the Department of Defence. These forms primarily relate to the fulfilment of services. Defence is currently undertaking a review for a future delivery of a mobile-based digital means of connecting customers to services to allow an intuitive service fulfilment experience when requesting and accessing services and base information. This service fulfilment experience will replace or greatly reduce the number of forms through web accessible applications. The solution will be inclusive of all customer facing services as a single service fulfilment option to enable Integrated Service Delivery (ISD) across all enabling Defence Groups (E&amp;IG, Defence People Group, Defence Finance Group, Chief Information Officer Group and Defence Security and Vetting Services)</t>
  </si>
  <si>
    <t>Australian Mathmatical Sciences Institute - Securing Australia's Mathematical Workforce</t>
  </si>
  <si>
    <t>Higher education</t>
  </si>
  <si>
    <t>The project provides annual summer and winter schools; and well as industry training symposia for university students studying mathematical sciences.</t>
  </si>
  <si>
    <t>The program has ended.</t>
  </si>
  <si>
    <t>Data Integration Partnership for Australia</t>
  </si>
  <si>
    <t>The DIPA brings together data assets from across the Government and builds a robust, secure and scalable whole-of-Government data integration and policy analysis capability, to improve the APS' advice on complex policy issues.</t>
  </si>
  <si>
    <t>This is a cross-portfolio initiative, with a number of agencies involved. PM&amp;C has provided headline figures as the lead agency, but suggest cross-checking with other agencies' input</t>
  </si>
  <si>
    <t>Public Service Modernisation Fund</t>
  </si>
  <si>
    <t>Embracing the Digital Age</t>
  </si>
  <si>
    <t>The program supports science, technology, engineering and mathematics engagement at the schooling level to acheieve academic exellence and provide the skills neede for the jobs of the 21st century.</t>
  </si>
  <si>
    <t>The initiative is part of the $64 million allocated for early childhood and school education iniatives to inspire all children and young people in STEM under the NISA</t>
  </si>
  <si>
    <t xml:space="preserve">2015 NISA initiative </t>
  </si>
  <si>
    <t>Excellence in Research for Australia (ERA)</t>
  </si>
  <si>
    <t>Expenses provided from 2009-10 to 2015-16 include Administered expenses and allocated Departmental expenses. From 2016-17 onwards it only includes Administered expenses as ARC's Departmental expenses have been reported in a separated program since 2016-17. 
Through the Excellence in Research for Australia (ERA) program the ARC aims to improve Australia's research capacity by evaluating research at eligible higher education research institutions against international benchmarks and identifying excellence across the full spectrum of research activities (note: the ERA program also includes the Engagement and Impact Assessment described in the Knowledge Transfer and Research Commercialisation tab). 
The ARC is developing a transition plan for ERA to move to a more modern data driven approach, informed by expert review. This will be delivered to Government by the end of 2022.</t>
  </si>
  <si>
    <t>The initiative involves the Australian Research Council (ARC) using quantitative and qualitative analysis to evaluate the quality of research conducted by Australia's tertiary education institutions. From this analysis, the ARC will be able to detail, by institution and by discipline, those areas in which research is world leading or internationally competitive. This will allow Australia's academic achievements to be more readily measured against international peers.</t>
  </si>
  <si>
    <t xml:space="preserve">An Innovation and Higher Education System for the 21st Century </t>
  </si>
  <si>
    <t>Good to Great Schools Australia Pilot Program</t>
  </si>
  <si>
    <t>The Good to Great Schools Australia (GGSA) Pilot Program aims to improve the literacy, numeracy and science outcomes of students and increase teacher pedagogical skills in schools with a high proportion of Indigenous students through the use of Explicit Instruction. As part of the 2020-21 Budget, the Student Support Package (SSP) measure provided $5.37 million to the GGSA Pilot Program.  In 2021, under the Scaling Up Proven Primary Reading Programs measure the GGSA Pilot Program was extended by $5 million funding. In the 2024-25 Budget, an additional $5.29 million extended the program until 2025-26.</t>
  </si>
  <si>
    <t>Note: funding provided under two different measures. $5.37 million under the SSP (announced in the 2020-21 Budget) was provided to the GGSA Pilot Program ($0.895 million in 2020-2021, $1.79 million in 2021-22 and $1.79 million in 2022-23 and $0.895 million in 2023-24). Further program funding of $10.29 million was provided under the Closing the Gap Scaling up Proven Reading Program measure ($0.75 million in 2021-22, $1.75 million in 2022-23, $1.75 million in 2023-24, $3.395 million in 2024-25 and $2.645 million in 2025-26).</t>
  </si>
  <si>
    <t>Inspiring STEM Literacy</t>
  </si>
  <si>
    <t>The initiative was part of the $64 million allocated for early childhood and school education initiatives to inspire all children and young people in STEM under the NISA</t>
  </si>
  <si>
    <t>Maths and Science Participation</t>
  </si>
  <si>
    <t>The initiative was $5 million allocated in the 2014 budget to continue existing programs - Primary Connections and Science by Doing</t>
  </si>
  <si>
    <t>Innovation and Science Agenda</t>
  </si>
  <si>
    <t>Online Teaching and Learning Courses to Support Mathematics</t>
  </si>
  <si>
    <t xml:space="preserve">This program will strengthen the capacity of teachers across the country to teach mathematics through freely available, nationally coordinated, high quality professional learning and resources. </t>
  </si>
  <si>
    <t>Funding of $9.5 million was announced in the 2019-20 Budget under the measure ‘Online Teaching and Learning Courses’ for a period of 4 years commencing in 2019-20. An additional $1 million was provided from the Emerging Priorities Program in 2020-21 to develop explicit teaching modules, and $499,600 was approved by the Minister from the National Schools Reform fund in 2023-24.</t>
  </si>
  <si>
    <t>Pathways in Technology (P-TECH) Pilot</t>
  </si>
  <si>
    <t>The P-TECH pilot involves establishing long-term partnerships between schools, industry and tertiary education providers that enable businesses to play an active role in the learning and development of young people. P-TECH offers secondary school students an industry supported education pathway to a STEM related post-school qualification.</t>
  </si>
  <si>
    <t>-</t>
  </si>
  <si>
    <t>Industry Innovation and Competitiveness Agenda</t>
  </si>
  <si>
    <t>Science, Technology, Engineering &amp; Mathematics (STEM)</t>
  </si>
  <si>
    <t>The program supports science, technology, engineering and mathematics engagement at the schooling level to acheieve academic exellence and provide the skills needed for the jobs of the 21st century.</t>
  </si>
  <si>
    <t>The initiative was initially part of the $12 million allocated to restore the focus on and increase student uptake of STEM subjects in primary and secondary schools; more recently funds have been allocated for the Curious Minds program, which supports participation of girls in STEM (including an additional $550k in 2023-24 to extend the program for a further year)
In the 2025-26 Budget, the Government confirmed it will provide $0.7 million to continue delivery of the Curious Mind Program for an additional year. The cost of the extension will be met from within the existing resourcing of the Department of Education.</t>
  </si>
  <si>
    <t>Industry, Innovation and Competiveness Agenda</t>
  </si>
  <si>
    <t>Startup Year</t>
  </si>
  <si>
    <t>Startup Year, a new income contingent loan</t>
  </si>
  <si>
    <t>The program is intended to build a pool of knowledgeable new entrepreneurs and potential new companies to drive innovation and job creation in Australia and grow much-needed links between higher education providers, industry and the startup community</t>
  </si>
  <si>
    <t>Student Support Package</t>
  </si>
  <si>
    <t>As part of the 2020-21 Budget, the Student Support Package (SSP) provided $27.3 million to improve science, technology, engineering and mathematics (STEM) engagement and skills in early learners and school students through a variety of STEM programs, to achieve academic exellence and provide the skills needed for the jobs of the 21st century.</t>
  </si>
  <si>
    <t>Funding of 0.5 million in 2021-22 is provided for Research into Best Practice Models for Teaching of Mathematics project under the Emerging Priorities Program. An additional $250,000 is provided to Australian Science Teachers Association for Science ASSIST for 2021-22.</t>
  </si>
  <si>
    <t>Supporting Artificial Intelligence in Schools</t>
  </si>
  <si>
    <t>The program supports science, technology, engineering and mathematics engagement at the schooling level to achieve academic excellence and provide the skills needed for the jobs of the 21st century.</t>
  </si>
  <si>
    <t>The initiative is designed to support teaching about emerging technologies and artificial intelligence in schools, aligned with the Australian Curriculum - part of a $29.9m package managed by DISER (the Building Australia’s Artificial Intelligence capability to support business measure).</t>
  </si>
  <si>
    <t>Australian Technology and Science Growth Plan</t>
  </si>
  <si>
    <t>Teacher Resource Hubs</t>
  </si>
  <si>
    <t xml:space="preserve">This initiative provides continued funding for a suite of curriculum and wellbeing resources, including the Mathematics MOOCs and Hub (formerly Online Teaching and Learning Courses to support Mathematics) and Digital Technologies Hub. </t>
  </si>
  <si>
    <t>The initiative was announced in the 2024-25 Budget</t>
  </si>
  <si>
    <t>Women in STEM Cadetships and Advanced Apprenticeships Program</t>
  </si>
  <si>
    <t>The Women in STEM Program was originally announced in the 2020-21 Budget as part of the Government’s second Women’s Economic Security Statement. It aims to promote equality of opportunity in higher education, through increasing the access to and participation of women in higher education STEM fields of education.</t>
  </si>
  <si>
    <t>The program was extended to 2026-27 in the 2023-24 Budget</t>
  </si>
  <si>
    <t>Employment and Workplace Relations</t>
  </si>
  <si>
    <t xml:space="preserve">Business Research and Innovation Initiative (BRII) – Workplace Relations Usability Challenge </t>
  </si>
  <si>
    <t xml:space="preserve">The BRII employment data API challenge will seek innovative ideas that maximise the Government's investment and deliver lower cost solutions to address market gaps. This grant to AGD forms part of Industry's Business Research and Innovation Initiative (BRII), a pilot competitive grants programme announced as part of the “Government as Exemplar” pillar of the National Innovation and Science Agenda. </t>
  </si>
  <si>
    <t>Industry Skills Fund</t>
  </si>
  <si>
    <t>The objective of the Industry Skills Fund is to support Australian businesses to identify and access the skills training they need to become more productive, competitive and sustainable in domestic and global markets, and to support the skills development of Small to Medium Enterprises (SMEs).</t>
  </si>
  <si>
    <t xml:space="preserve">As of 31 December 2016, the Industry Skills Fund was closed to applications. </t>
  </si>
  <si>
    <t>Finance</t>
  </si>
  <si>
    <t>Additional Funding for Austrade Landing Pads</t>
  </si>
  <si>
    <t>As part of NISA Austrade received $13.6 million to: establish five Landing Pads; organise an annual innovation forum in Australia and incorporate innovation streams into Ministerial Business Missions.The objective of the Landing Pads program is to provide market-ready startups/scaleups with potential for rapid growth a cost effective option to land and expand into major global innovations hubs around the world. Five Landing Pads have been established in San Francisco, Tel Aviv, Shanghai, Berlin and Singapore. Landing Pads provide market-ready startups with a ninety day residency in a co-working space to help them grow their business by facilitating in-market business development, introductions to investors and mentor networks and strategic partnership opportunities.</t>
  </si>
  <si>
    <t>Aus-Ger HFS</t>
  </si>
  <si>
    <t>Feasibility Study on Australia-Germany Trade and Investment in Hydrogen produced from Renewables</t>
  </si>
  <si>
    <t>Australia-India Cyber and Critical Technology Partnership - Framework</t>
  </si>
  <si>
    <t>Operationalising Ethical Frameworks in the critical technologies industries operating in India and Australia</t>
  </si>
  <si>
    <t>Australia-India Cyber and Critical Technology Partnership - Grant Round 1</t>
  </si>
  <si>
    <t>Next Generation Telecommunications Networks: Privacy and Security Challenges, Regulatory Interventions and Policy Framework Project</t>
  </si>
  <si>
    <t>Australia-India Cyber and Critical Technology Partnership - Project</t>
  </si>
  <si>
    <t>Grant Agreement- Quantum Meta-ethics: A Project to Develop Normative Frameworks, Best Practices and Effective Accords for Emerging Quantum Technologies</t>
  </si>
  <si>
    <t>Australian Tropical Medicine Commercialisation Grants</t>
  </si>
  <si>
    <t>The ATMC Programme is an $8.5 million competitive grants programme over three years to commercialise research in new tropical therapeutics and diagnostics undertaken in Australia.</t>
  </si>
  <si>
    <t>Our North, Our Future: White Paper on Developing Northern Australia</t>
  </si>
  <si>
    <t>Comprehensive Strategic Partnership with India - Centre of Excellence for Critical and Emerging Technology Policy</t>
  </si>
  <si>
    <t>This project will build the foundations for a long-term partnership between India and Australia</t>
  </si>
  <si>
    <t>Comprehensive Strategic Partnership with India - Matri Grants and Fellow ships Program</t>
  </si>
  <si>
    <t>Comprehensive Strategic Partnership with India - Matri Scholars Program</t>
  </si>
  <si>
    <t>Global Innovation Strategy - Landing Pads</t>
  </si>
  <si>
    <t xml:space="preserve">In 2016, as part of NISA Austrade received funding to establish Landing Pads that provide market-ready scaleups a cost-effective option to land and expand into major global innovations hubs. Austrade continues to deliver support for Australian technology exporters through the Landing Pads program in key markets.  </t>
  </si>
  <si>
    <t>Looking at the Universe with ultraviolet glasses</t>
  </si>
  <si>
    <t>This project will build the foundations for a long-term partnership between India and Australia in the field of space science, by combining Indian leadership in the development of ultraviolet space-telescopes with Australia's internationally recognised expertise in galaxy evolution studies</t>
  </si>
  <si>
    <t>National Foundation for Australia-China Relations</t>
  </si>
  <si>
    <t>This project will build the foundations for a long-term partnership between China and Australia</t>
  </si>
  <si>
    <t>Aged Care Research and Industry Innovation Australia (formerly Aged Care Centre of Growth and Translational Research)</t>
  </si>
  <si>
    <t>Developing a CGTR for aged care workforce</t>
  </si>
  <si>
    <t>Breakdown of forward estimates to be finalised. Appropriation of $34.9m over five years (commencing 19-20). Note: nothing spent in 19-20.</t>
  </si>
  <si>
    <t>Australian National Creutzfeldt-Jakob Disease Registry</t>
  </si>
  <si>
    <t>On behalf of the Australian Government, the Australian National Creutzfeldt-Jakob Disease Registry (ANCJDR) undertakes research, monitors new cases of CJD in Australia and overseas, examines risk factors such as blood transfusions, produces annual reports; and provides expertise when required to committees and working groups on transmissible spongiform encephalopathies (TSE) and infection control.</t>
  </si>
  <si>
    <t>Information on funding levels pre-2006 are not readily available.</t>
  </si>
  <si>
    <t>Australian Radiation Protection and Nuclear Safety Agency (ARPANSA) -  Construction
of an anechoic chamber and purchase of fiield measurement equipment</t>
  </si>
  <si>
    <t>Construction of a new anechoic chamber that would cater for millimetre wave frequencies that would be used in future 5G technologies, and purchase of associated field measurement equipment.  Appropriation Bill 2 equity injection</t>
  </si>
  <si>
    <t>Australian Radiation Protection and Nuclear Safety Agency (ARPANSA) - Investing in Medical Research and Technology</t>
  </si>
  <si>
    <t>Purchase of a linear accelerator and refurbishment of the associated laboratory.</t>
  </si>
  <si>
    <t>Australian Radiation Protection and Nuclear Safety Agency (ARPANSA) - Radiation Oncology</t>
  </si>
  <si>
    <t>Promoting the safe and effective use of ionising radiation in medicine.  Appropriation Bill 2 equity injection</t>
  </si>
  <si>
    <t>Australian Radiation Protection and Nuclear Safety Agency (ARPANSA) - Radio Frequency Electromagnetic Energy Program Enhanced</t>
  </si>
  <si>
    <t>The Electromagnetic Energy (EME) Program aims to build public confidence in the safety of telecommunications networks, and address misinformation about EME emissions. The program will provide the public with clear, reliable and reputable information on new EME based technologies like 5G, and advice on how to use this technology safely. ARPANSA will support this vision by delivering evidence-based scientific advice on EME and health.</t>
  </si>
  <si>
    <t>Australian Sports Commission (ASC) Innovation Programs - Extramural</t>
  </si>
  <si>
    <t>The ASC's extramural innovation programs enables national sporting organisations and universities to undertake and benefit from innovative and applied research work. This type of activity leads to performance and equipment enhancements that contribute to the success of Australian athletes and teams in Olympic, Paralympic and World Champion level competitions. The outcomes from this research have cross sport and cross industry applications.</t>
  </si>
  <si>
    <t>Australian Sports Commission (ASC) Innovation Programs - Intramural</t>
  </si>
  <si>
    <t>The ASC's intramural innovation programs supports the delivery of extramural innovation programs for national sporting organisations.</t>
  </si>
  <si>
    <t>This is the total funding for the Department of Health and the AIHW. This is a cross-portfolio initiative, with a number of agencies involved. PM&amp;C has provided headline figures as the lead agency, but suggest cross-checking with other agencies' input</t>
  </si>
  <si>
    <t>Dementia and Aged Care Services Research and Innovation Funding</t>
  </si>
  <si>
    <t>Private non-profit</t>
  </si>
  <si>
    <t xml:space="preserve">The Dementia and Aged Care Services Fund (DACS) Research and Innovation Funding Round 2016 is designed to support activities that respond to existing and emerging challenges including dementia care, better support services  targeting people form diverse social and cultural backgrounds, and support special measures for Aboriginal and Torres Strait Islander people.  </t>
  </si>
  <si>
    <t>Funding for Aged Care Research &amp; Industry Innovation Australia (ARIIA) was provided to support the advancement of the aged care workforce capability by promoting and facilitating innovation and research to improve the quality of aged care for all Australians.</t>
  </si>
  <si>
    <t>Development of materials relating to debilitating symptom complexes attributed to ticks care, awareness and education.</t>
  </si>
  <si>
    <t>Development of an evidence-based pathway and multidisciplinary care model for patients suffering from debilitating syptom complexes attributed to ticks (DSCATT). Additionally, this project also consts of the development of education and awareness materials for health/medical professionals and the general public relating to DSCATT.</t>
  </si>
  <si>
    <t>Evaluation to the Tackling Indigenous Smoking Program</t>
  </si>
  <si>
    <t>The Cultural and Indigenous Research Centre Australia (CIRCA) has been contracted to undertake evaluations of the Tackling Indigenous Smoking Program 2014-15 to 2017-18 and 2018-19 to 2021-22. The Australian National University (ANU) has been contracted to evaluate (quantify) the impact and outcomes of the TIS program on changes in smoking prevalence and other related indicators.</t>
  </si>
  <si>
    <t>Feasibility review of a nationally networked laboratory information management system (LIMS) environment</t>
  </si>
  <si>
    <t>Scoping study to test the feasibility of introducing a nationally connected LIMS environment primarily for public health laboratories to enhance communicable disease surveillance</t>
  </si>
  <si>
    <t>Insecticide Resistance Project for Exotic Mosquitoes</t>
  </si>
  <si>
    <t>Australia is largely free of mosquitoes that act as disease vectors. Under the Biosecurity Act 2015, all aircraft entering Australia are treated with insecticides to prevent the entry and establishment of exotic mosquitoes and the diseases they carry. Resistance to commonly used insecticides by exotic mosquitoes may pose an increased biosecurity risk to Australia. This project will determine the effectiveness of current insecticides used in managing exotic mosquito incursions.</t>
  </si>
  <si>
    <t>Public Service Modernisation Fund - agency sustainability</t>
  </si>
  <si>
    <t>Streamlining and Enhancing National Health and Medical Research Council Grant Assignment and Outcomes Reporting.  This project will undertake a full-scale implementation of two prototype software applications (apps) that automate resource intensive and repetitive tasks within the grants administration process. The Research Impact and Grant Application Assignment prototype apps both use advanced text analytics and algorithms to complete administrative tasks more quickly and accurately than public servants and the health and medical research (HMR) community, freeing them to do more complex and value-added tasks such as quality assurance, application assessments, and evaluation of the outcomes of research.</t>
  </si>
  <si>
    <t>Research into structural varriers to consent for vaccination in residential aged care settings, with a focus on COVID-19 vaccination</t>
  </si>
  <si>
    <t>Understanding and addressing low uptake of vaccinations in aged care</t>
  </si>
  <si>
    <t>Review of the public health response to Creutzfeldt-Jakob disease</t>
  </si>
  <si>
    <t>Examination of the public health response to Creutzfeldt-Jakob diseas (CJD) by PricewaterhouseCooper through an independent review of the Australian National CJD Registry, the CJD Support Group Network and the ongoing needs of participants of the legacy Australian Human Pituitary Hormones Program.</t>
  </si>
  <si>
    <t>Services for the development and maintenance of AusTrakka, a national pathogen genomic surveillance system</t>
  </si>
  <si>
    <t>Provision of a central, secure and private online location for the storage and analysis of national SRAS-Co-2 genomic data and the continuation of building capacity for pathogen genomic sequencing and analysis, and tranlate this capacity to investigate other pathogens of interest.</t>
  </si>
  <si>
    <t>Stroke Golden Hour Program</t>
  </si>
  <si>
    <t>This project provides funding to the Australian Stroke Alliance to support critical stroke support services, including a national digital telestroke platform, stroke smart road and air ambulances and prehospital clinical training, as well as embedding telestroke care in standard pre-hospital care.</t>
  </si>
  <si>
    <t>Tackling Indigenous Smoking - Innovation Grants</t>
  </si>
  <si>
    <t>Innovation project grants - provides funding for evidence-based, innovative research, coupled with services, to address the most difficult and critical Indigenous smoking behaviours (such as very high smoking rates in pregnant women and in remote areas). University of Newcastle has been contracted from 2018-19 to 2021-22 to implement the iSistaQuit Program and related services to address smoking in pregnancy in Indigenous women.</t>
  </si>
  <si>
    <t>Disability Inclusive Emergency Management Project (formerly called the Disability Inclusive Disaster Risk Reduction Project)</t>
  </si>
  <si>
    <t>The project aims to improve national capability and safety and wellbeing outcomes for people with disability through policy guidance, resource development and a toolkit for operational planning</t>
  </si>
  <si>
    <t>Leading border Innovation</t>
  </si>
  <si>
    <t>These allocations are targeted at supporting a key driver of the Department which is to "Lead border innovation".  We look to enhance technology and business processes to strengthen border operations; develop organisational and technological capability to efficiently manage border flows and build effective partnerships within and outside Australia to support our objectives.</t>
  </si>
  <si>
    <t>National Natural Hazards Disaster Risk Profile</t>
  </si>
  <si>
    <t xml:space="preserve">This allocation is for the development of a national natural hazard disaster risk profile supporting targeted investments and mitigations and increasing awareness and resilience against natural hazards.  </t>
  </si>
  <si>
    <t>Risk Management Innovation</t>
  </si>
  <si>
    <t>This allocation is targeted at developing a strengthened process and defensibility of outcomes for risk identification and risk analysis of Australia's national critical infrastructure. To support process development, innovative methodologies and analytical techniques are begin researched and tailored to allow adaptability for all-hazards risk management across varying infrastructure sectors.</t>
  </si>
  <si>
    <t>Artificial Intelligence Initiatives</t>
  </si>
  <si>
    <t>The Artificial Intelligence Initiatives include a range of programs to grow Australia's AI ecosytem and pool of talent. These programs are:
- Next Generation AI Graduates
- Next Generation Emerging Technology Graduates
- AI Adopt Program
From 2021-22 to 2023-24 this included funding for the National AI Centre.</t>
  </si>
  <si>
    <t>Australian Centre for Quantum Growth</t>
  </si>
  <si>
    <t>The Australian Centre for Quantum Growth grant opportunity will provide funding to support the provision of a range of industry growth services supporting the development of the Australian quantum technology sector. The Centre will catalyse demand for Australian quantum products and services and help build a thriving Australian quantum technology sector, including by: connecting end users of quantum technology to Australian researchers and start-ups for collaborative R&amp;D projects, educating adjacent industries on the benefits of adopting quantum technologies, and building relationships with key international counterparts to facilitate export and collaboration opportunities.</t>
  </si>
  <si>
    <t>Australian Quantum Graduates</t>
  </si>
  <si>
    <t>The Australian Quantum Graduates Program (the program) will fund a national scholarships program to attract and train the next generation of quantum technology specialists. The program was announced as part of the Department of Industry, Science and Resources 2022-23 October Budget.</t>
  </si>
  <si>
    <t xml:space="preserve">Automotive Innovation Lab Access Grants </t>
  </si>
  <si>
    <t>Automotive Innovation Lab Access Grants to support businesses undertaking automotive product development at existing facilities.</t>
  </si>
  <si>
    <t>Boosting Female Founders Initiative</t>
  </si>
  <si>
    <t>The Boosting Female Founders Initiative provides majority women-owned and led startups with access to co-funded grants and expert mentoring and advice. The program aims to help them scale into domestic and global markets.</t>
  </si>
  <si>
    <t>Building Future Battery Capabilities Program - Future Battery Industries Demonstrator Stream</t>
  </si>
  <si>
    <t>Closed non-competitive</t>
  </si>
  <si>
    <t>The Building Future Battery Capabilities Program - Future Battery Industries Demonstrator Stream provides $9.93 million to deliver an innovation and scale-up program for the commercialisation of Australian battery technologies, a national battery supply chain navigator tool, and support the delivery of nationally consistent best practice guidelines and standards for industry on how to safely install, maintain, transport and handle (including recycle) batteries.</t>
  </si>
  <si>
    <t>Funding provided through this grant stream supports a range of activities, including some that may fall outside of the scope of science, research and innovation.</t>
  </si>
  <si>
    <t>Building Future Battery Capabilities Program - Powering Australia Industry Growth Centre Training Stream</t>
  </si>
  <si>
    <t>The Building Future Battery Capabilities Program - Powering Australia Industry Growth Centre Training Stream provides $10 million grant funding to design and deliver targeted training relating to battery design, manufacturing, and handling, in consultation with relevant stakeholders and jurisdictions. Grant funding will also facilitate access to specialised equipment for training purposes and to promote other career pathway initiatives that will help to build a robust and skilled Australian battery workforce.</t>
  </si>
  <si>
    <t>Business Research and Innovation Initiative (BRII)</t>
  </si>
  <si>
    <t>The Business Research and Innovation Initiative (BRII) provides opportunities for Australian startups and small to medium enterprises (SMEs) to work with Australian Public Service (APS) agencies to develop innovative solutions to public policy and service delivery challenges.</t>
  </si>
  <si>
    <t>Figures do not include funding for additional BRII rounds funded by other agencies and delivered through DISR.</t>
  </si>
  <si>
    <t>Commercialisation Australia</t>
  </si>
  <si>
    <t>Commercialisation Australia was established in 2009 to support companies and innovators during the commercialisation phase of developing their products and ideas. Program closed 30 June 2014.</t>
  </si>
  <si>
    <t>Competitive Pre-Seed Fund</t>
  </si>
  <si>
    <t>Expenditure in Pre-Seed in 2013-14 is a negative due to the fund received a return of uninvested monies.</t>
  </si>
  <si>
    <t>Venture Capital Tax Measure</t>
  </si>
  <si>
    <t>The program will test solutions to market-led challenges of national significance using quantum technologies, potentially in conjunction with other advanced technologies, and accelerate quantum technologies from an early-readiness phase when private capital is hard to secure.</t>
  </si>
  <si>
    <t xml:space="preserve">There are two rounds of the program taking place. Both rounds consist with two stages. The First stage is Feasability and the second is Demonstrator </t>
  </si>
  <si>
    <t>Cyber Security Skills Business Connect and Protect</t>
  </si>
  <si>
    <t>The Program aims to provide funding to trusted organisations that provide business advice to small and medium enterprises (SMEs) and have a demonstrated reach and influence over a large number of SMEs across regional and metropolitan Australia.</t>
  </si>
  <si>
    <t xml:space="preserve">This is a once off program </t>
  </si>
  <si>
    <t>Cyber Security Skills Innovation Partnership Fund</t>
  </si>
  <si>
    <t xml:space="preserve">The Fund is expected to provide organisations or consortia with funding for cyber security related projects such as scholarships, cadetships/apprenticeships, development of specialist cyber security courses, retraining initiatives, internships, Executive level development, and training platforms. </t>
  </si>
  <si>
    <t>This is a one off funded program</t>
  </si>
  <si>
    <t>Daintree Microgrid Program</t>
  </si>
  <si>
    <t>The Daintree Microgrid Program will support deployment of a renewable energy microgrid incorporating hydrogen for the Daintree region in far north Queensland. The microgrid will consist of 7 MW solar generation, 20 MWh battery storage and a 1 MW green hydrogen electrolyser. The microgrid aims to improve the security and reliability of energy supply to the Daintree community while reducing the consumption of costly diesel fuel. Avoiding the use of diesel fuel will result in emissions reductions benefits.</t>
  </si>
  <si>
    <t>This funding is allocated to the CSIRO. This is a cross-portfolio initiative, with a number of agencies involved. PM&amp;C has provided headline figures as the lead agency, but suggest cross-checking with other agencies' input</t>
  </si>
  <si>
    <t>Development of a roadmap for AI standards</t>
  </si>
  <si>
    <t xml:space="preserve">The Australian Government will work with Standards Australia to develop a roadmap for standards development in artificial intelligence </t>
  </si>
  <si>
    <t>This is a once off funded programme.</t>
  </si>
  <si>
    <t xml:space="preserve">Artificial Intelligence Budget Measure </t>
  </si>
  <si>
    <t xml:space="preserve">Digital Careers </t>
  </si>
  <si>
    <t>The grant was established as a limited tender to support the CSIRO’s education and outreach activities and is aimed at assisting to address Australia’s Information and Communication Technology (ICT) skills shortage.</t>
  </si>
  <si>
    <t>This program has closed</t>
  </si>
  <si>
    <t xml:space="preserve">Digital Directors </t>
  </si>
  <si>
    <t xml:space="preserve">This measure will provide funding to lift the digital literacy of Australians directors, senior exeuctives and business owners. </t>
  </si>
  <si>
    <t>This is a once off funded measure.This program has closed</t>
  </si>
  <si>
    <t>Digital Business Plan</t>
  </si>
  <si>
    <t>Digital Skills Finder Platform </t>
  </si>
  <si>
    <t xml:space="preserve">This measure will provide funding to promote digital skills training to Australians and Australian small businesses. </t>
  </si>
  <si>
    <t>This is a once off funded measure. This program has closed</t>
  </si>
  <si>
    <t>Diversity in STEM intiatives</t>
  </si>
  <si>
    <t>A collection of women in stem and, from 2024-25 Budget, diversity in stem programs and measures. From 24-25 it includes Superstars of STEM, Women in STEM and Entrepreneurship, Science in Australia Gender and Equity (ADSAF), Diversity in STEM Toolkit, Elevate: Boosting Diversity in STEM, and the STEM Equity Monitor. It does not include science engagement programs, which are in the Inspiring Australia entry (#124) below.</t>
  </si>
  <si>
    <t>Budget measures 2016-17, 2018-19, 2019-20, 2020-21, 2022-23 (Oct). 2019-20 &amp; 2021-22 MYEFO, Budget 2024-25</t>
  </si>
  <si>
    <t>Empowering Business to Go Digital</t>
  </si>
  <si>
    <t>ad-hoc</t>
  </si>
  <si>
    <t xml:space="preserve">he Program addresses recommendations in the Small Business Digital Taskforce report. A single grant of $1.9 million in matched funding was awarded to Digital Coaching International Pty Ltd to improve information sharing between business, government, industry associations and the small business commissioners. The project will establish a website that will draw together existing digital resources from across government and the private sector, providing a one-stop-shop in empowering a digitised society. </t>
  </si>
  <si>
    <t>Entrepreneurs' Programme (excluding Single Service Delivery and Innovation Connections Grants)</t>
  </si>
  <si>
    <t>Multimethod</t>
  </si>
  <si>
    <t>The Entrepreneurs’ Programme delivers advice and grants to enable high potential SME businesses to strengthen, grow, innovate and commercialise nationally and globally. In addition to improving outcomes for businesses, this benefits the broader economy, as well as regions, sectors and communities. The program offers a variety of service offerings to support businesses in achieving their business goals, designed to support and transform businesses, facilitated through expert advice and grant funding. </t>
  </si>
  <si>
    <t>Expenditure and commitments relate to the budgets for all EP offerings except Innovation Connections Grants (reported in the R&amp;D programs tab) and Single Services Delivery.</t>
  </si>
  <si>
    <t>Industry 4.0 Testlabs for Australia</t>
  </si>
  <si>
    <t xml:space="preserve">A $5 million grant opportunity that will establish five new Industry 4.0 testlabs at five Australian universities.  Testlabs will accelerate collaboration between educational institutions and industry, with a focus on small and medium enterprises, in order to develop the skills needed to address the challenges and opportunities presented by Industry 4.0. Up to $1 million will be awarded, with each each university providing matched cash funding. </t>
  </si>
  <si>
    <t xml:space="preserve">Industry Growth Centres </t>
  </si>
  <si>
    <t>Industry Growth Centres are provided with Project funding to support individual innovative projects that are submitted to them by their own stakeholders. Funds support a range of individual projects, including commercialisation activities and for R&amp;D.  The Initiative's funding allocation includes Commercialisation funds to specifically support commercialisation activities. These funds are provided to Accelerating Commercialisation (part of the Entrepreneurs' Programme).
The figures shown include both Project and Commercialisation funds.</t>
  </si>
  <si>
    <t>Funding for this IGCI for the Fin Year 2021-22 in the PBS 2022-23 is now reported in the Additional Support for Manufacturing and Supply Chains (refer pg 42 of DISER 2022-23 PBS). Funding in the future years of the IGCI has been redirected to other programs.</t>
  </si>
  <si>
    <t>Industry Growth Centres - Commercialisation Fund</t>
  </si>
  <si>
    <t xml:space="preserve">The Commercialisation Fund will provide grants to Australian companies to commercialise new
products and processes based upon already existing IP. The Commercialisation Fund is intended
to fund later stage commercialisation, not early stage research based programs. However, projects
are still encouraged to include collaboration with research partners.
</t>
  </si>
  <si>
    <t>Funding for the Commercialisation Fund  was for the financial years 2020-21 &amp; 2021-22 only, there will be no further updates to the SRI Budget tables for this measure.</t>
  </si>
  <si>
    <t>Industry Growth Centres Initiative - Accelerating Commercialisation Fund (Entrepreneurs Program)</t>
  </si>
  <si>
    <t>The portion of the Industry Growth Centres that is reflected here is the allocation provided to Accelerating Commercialisation (part of the Entrepreneurs' Programme).</t>
  </si>
  <si>
    <t>Funding for this IGCI for the Fin Year 2021-22 in the PBS 2022-23 is now reported in the Additional Support for Manufacturing and Supply Chains (refer pg 42 of DISER 2022-23 PBS). Funding in the future years of the IGCI - Accelerating Commercialisation has been redirected to the Entrepreneurs Program.</t>
  </si>
  <si>
    <t>Industry Growth Program</t>
  </si>
  <si>
    <t xml:space="preserve">​The Industry Growth Program (IGP) supports innovative startups and small and medium enterprises (SMEs) with high growth potential to transform and significantly scale up their business. The IGP provides an Advisory service and  matched grant opportunities ($50,000 to $5 million). </t>
  </si>
  <si>
    <t>Industry Innovation and Science Australia (IISA) Board</t>
  </si>
  <si>
    <t>IISA is an independent Board that provides strategic advice to whole of Government on industry innovation, science and research matters. IISA also monitors and oversees several innovation programs through five committees.</t>
  </si>
  <si>
    <t>Innovation Investment Fund including Innovation Investment Follow-on Fund</t>
  </si>
  <si>
    <t>The Innovation Investment Fund is a co-investment venture capital equity programme. The programme was closed to new applicants as of May 2014. The Department manages contractual arrangements for the remaining funds, including payments, reporting and compliance. The Innovation Investment Follow-on Fund was a short-term fund established in response to the global financial crisis and the resulting impact on venture capital funding in Australia. It supported existing investments made through government equity funds. The programme is closed to new applicants and all funds are fully invested.</t>
  </si>
  <si>
    <t>This program was transferred from the R&amp;D table in 2017-18</t>
  </si>
  <si>
    <t>Inspiring Australia | Science Engagement Programme</t>
  </si>
  <si>
    <t>The programme supports science communication and engagement activities to inspire, motivate and cultivate a scientifically engaged community across Australia. These include competitive funding rounds for National Science Week Grants, Prime Minister’s Prizes for Science and Sponsorship and Maker Projects grants.</t>
  </si>
  <si>
    <t>2015 NISA Initiative</t>
  </si>
  <si>
    <t>International Science Council Asia Pacific Regional Office Program</t>
  </si>
  <si>
    <t>00. Multiple Categories</t>
  </si>
  <si>
    <t>Rest of the world</t>
  </si>
  <si>
    <t xml:space="preserve">The Regional Office’s programs strengthen existing science linkages and scale-up initiatives in the Asia-Pacific.  It will support the onshoring of international conventions and symposiums and deliver two “Flagship Projects”, one in Southeast Asia and the other in the Pacific. </t>
  </si>
  <si>
    <t>In the October 2022 Budget, the Government committed $10 million over six years, for Australia to host the International Science Council’s Asia Pacific Regional Office from 2023 to 2028.</t>
  </si>
  <si>
    <t>International Space Investment Initiative</t>
  </si>
  <si>
    <t>The International Space Investment initiative will provide grants to strategic space projects that generate employment and business opportunities for Australians</t>
  </si>
  <si>
    <t>Local Industry Grants - Flinder's University Factory of the Future</t>
  </si>
  <si>
    <t>This proposal supports the expansion of the Flinders University Factory of the Future and to expand the Manufacturing Growth Accelerator and establish the Strategic Industry Research Program.</t>
  </si>
  <si>
    <t xml:space="preserve">This is an adhoc program </t>
  </si>
  <si>
    <t>Local Industry Grants</t>
  </si>
  <si>
    <t>Moon to Mars Initiative</t>
  </si>
  <si>
    <t>The Moon to Mars initiative supports Australian businesses and researchers the opportunity to contribute their knowledge and capabilities in projects that can join with NASA’s Moon to Mars program.</t>
  </si>
  <si>
    <t xml:space="preserve">National Science and Technology Council </t>
  </si>
  <si>
    <t>2023-24 Budget included $6.129 million over four years from 2023-24 to 2026-27 to improve the National Science and Technology Council’s provision of science and technology advice to the Government</t>
  </si>
  <si>
    <t>Open Geocoded National Address File</t>
  </si>
  <si>
    <t>The Geocoded National Address File (G-NAF) is produced by PSMA Australia Limited, a company owned by the nine governments of Australia. The G-NAF is Australia's authoritative, geocoded address file. It is one of the most ubiquitous and powerful spatial datasets and contains more than 13 million Australian physical address records. The G-NAF was released as free open data to the economy to enable innovation and encourage information sharing across Government agencies to inform policy decisions.</t>
  </si>
  <si>
    <t>National Innovation Science Agenda</t>
  </si>
  <si>
    <t>Digital Transformation</t>
  </si>
  <si>
    <t>Protecting Australia's National Interest in Critical and Emerging Technologies Standards</t>
  </si>
  <si>
    <t>The measure seeks to increase Australian participation in the development of international technology standards for critical technologies</t>
  </si>
  <si>
    <t>PsiQuantum Investment</t>
  </si>
  <si>
    <t>The Government provided $466.4 million for a financing package of equity and loans provided by Export Finance Australia on the National Interest Account to PsiQuantum to support the construction and operation of quantum computing capabilities in Brisbane, and associated investment in industry and research development, as part of a joint investment with the Queensland Government. Annual breakdowns of the financing package are not for publication due to commercial sensitivities.</t>
  </si>
  <si>
    <t xml:space="preserve">Questacon - Base Funding </t>
  </si>
  <si>
    <t>Questacon promotes hands-on experiential learning and delivers interactive presentations by young scientists and trained science communicators. As Australia’s National Science and Technology Centre, Questacon is able to offer significant educational support for schools, teachers, families and communities across Australia.  Questacon is a world leader in the development and delivery of cost effective science centre outreach programs</t>
  </si>
  <si>
    <t>These figures include revenue raised through provision of services and annual appropriations for Questacon operations and outreach programs. Note from 2010-11 depreciation funding ceased.</t>
  </si>
  <si>
    <t xml:space="preserve">Questacon - Base </t>
  </si>
  <si>
    <t>Questacon - Critical Sustainment for Questacon</t>
  </si>
  <si>
    <t>The Critical Sustainment for Questacon addresses the urgent short term business, building and strategic risks facing Questacon, including supporting strong STEM skills development in young Australians, particularly by maintaining opportunity in regional and remote areas.</t>
  </si>
  <si>
    <t>This funding is for critical short term requirements:  building, exhibitions, and Engineering is Elementary and  Science Circus national outreach programs</t>
  </si>
  <si>
    <t>Questacon - MYEFO 2021-22</t>
  </si>
  <si>
    <t>Questacon - Cyber Australia Program</t>
  </si>
  <si>
    <t>As part of the larger Cyber Security National Workforce Growth Program, Questacon is delivering the Cyber ready program for young Australians comprising a national focussed and regionally delivered professional skills development masterclass, a national travelling program delivering professional learning to non-STEM teachers, a national forum of leading thinkers in cyber and STEM engagement and a multi-jurisdictional hands-on design thinking challenge for students. All of these programs will be supported through support material aligned to cyber themes.</t>
  </si>
  <si>
    <t>Questacon PBS 2020-21</t>
  </si>
  <si>
    <t>Questacon - Engineering is Elementary - (Consolidated into Expanding Questacon’s Education Outreach)</t>
  </si>
  <si>
    <t>Note:  This Program  ceases 31/12/2022 to be replaced by Extending Questacon's Education Outreach</t>
  </si>
  <si>
    <t>Questacon - Expanding The Questacon Science Circus In Regional Australia - (Consolidated into Expanding Questacon’s Education Outreach)</t>
  </si>
  <si>
    <t>Questacon - Extending Questacon's Education Outreach</t>
  </si>
  <si>
    <t>This program delivers education and outreach activities, enabling Questacon to each more young people and education facilities across Australia, including in remote and regional communities. Delivered through expanding two of its educational outreach programs; the Questacon Science Circus and Engineering is Elementary.</t>
  </si>
  <si>
    <t>Note:  This Program is an extension of Expanding Questcon's Education Outreach measure</t>
  </si>
  <si>
    <t>Questacon 2022-23</t>
  </si>
  <si>
    <t>Questacon - Inspiring All Australians in digital literacy and STEM</t>
  </si>
  <si>
    <t>The programme supports science communication and engagement activities to inspire, motivate and cultivate a scientifically engaged community across Australia. This is the component manged by Questacon for National Science Week, Prime Minister’s Prizes for Science, Science Tourism, smart skills and social equity.</t>
  </si>
  <si>
    <t>Note: Prime Ministers Prizes transferred to Ausindustry in 2017-18 (grants programs) and to Corporate Division in March 2018 for organising the PM's Prizes function</t>
  </si>
  <si>
    <t xml:space="preserve">Questacon - 2015 NISA initiative </t>
  </si>
  <si>
    <t xml:space="preserve">Questacon - Science Communications and Outreach Program </t>
  </si>
  <si>
    <t>The programme support outreach activites to regional, rural, remote and outer netropolitan communities throughout Australia delivered through a range of media including exhibitions, in-school presentations and interactive digital online programs</t>
  </si>
  <si>
    <t xml:space="preserve">Questacon -2009-10 </t>
  </si>
  <si>
    <t>Questacon - Science for Australia's Future (Inspiring Australia)</t>
  </si>
  <si>
    <t>The programme supports science communication and engagement activities to inspire, motivate and cultivate a scientifically engaged community across Australia. This is the component manged by Questacon for National Science Week, Prime Minister’s Prizes for Science, Science Tourism, smart skills and social equity including grants.</t>
  </si>
  <si>
    <t>Note Programme ceased 30/06/2018 replaced by Inspiring all Australians in digital literacy and STEM</t>
  </si>
  <si>
    <t>Questacon - 2014-15</t>
  </si>
  <si>
    <t>Questacon - Science: Inspiring Australia</t>
  </si>
  <si>
    <t>Note Programme ceased 30/06/2014 replaced by Scince for Australia's Future (Inspiring Australia)</t>
  </si>
  <si>
    <t>Questacon 2011-12</t>
  </si>
  <si>
    <t>Questacon - Securing Questacon’s Critical and Core Operations and Safety</t>
  </si>
  <si>
    <t xml:space="preserve">See overview - new measure for Questacon announcement in PBS however not approved at Exec Board for Internal Division level until Budget 2023-24 </t>
  </si>
  <si>
    <t>Questacon PBS 2023-24</t>
  </si>
  <si>
    <t>Resources Methane Abatement Fund</t>
  </si>
  <si>
    <t>This program will support the development of emerging technologies that will abate highly warming methane produced during the extraction of coal and gas.</t>
  </si>
  <si>
    <t xml:space="preserve">Soil Carbon Measurement Innovation Challenge </t>
  </si>
  <si>
    <t xml:space="preserve">Funding goes to 2025-26 ($10.080m). Total funding of $36.717m. </t>
  </si>
  <si>
    <t>Space Infrastructure Fund</t>
  </si>
  <si>
    <t>The Fund will support projects which will accelerate the growth of Australia's space industry</t>
  </si>
  <si>
    <t xml:space="preserve">The total announced funding for the program is $19.5m and this combines administered and departmental funding. Totals shown here for each year are admin and dept added together (as discussed with Eve). Break-down is (2018-19: $0.237m dept only; 2019-20: $5.1m admin, $0.920 dept; 2020-21: $6.8m admin, $1.161m dept; 2021-22: $4.9m admin, $0.363 dept) </t>
  </si>
  <si>
    <t>Advancing Space: Australian Civil Space Strategy 2019-2028</t>
  </si>
  <si>
    <t>Space Literacy and Workforce Progam - Kids in Space</t>
  </si>
  <si>
    <t>This program delivers education and outreach activities to inspire, motivate and cultivate an engaged and diverse Australian space workforce.</t>
  </si>
  <si>
    <t>Grant opened for closed, non-competitive appplication May 2024</t>
  </si>
  <si>
    <t>Space Literacy and Workforce Program - National Indigenous Space Academy</t>
  </si>
  <si>
    <t>Supports First Nations STEM students to participate in the NISA internship. The grant purpose is to inspire, motivate and cultivate an engaged and diverse Australian space workforce.</t>
  </si>
  <si>
    <t>Grant guidelines drafting June 2024</t>
  </si>
  <si>
    <t xml:space="preserve">Using blockchain technology to reduce business compliance costs </t>
  </si>
  <si>
    <t>This measure will support two pilot projects that will show how blockchain technology can improve business productivity and reduce regulation costs. The first pilot will build a component of a national ethical certification scheme for critical minerals, a sector with significant export growth potential and the second pilot will focus on food provenance.</t>
  </si>
  <si>
    <t>This is a once off funded measure.</t>
  </si>
  <si>
    <t>Victorian Innovation and Investment Fund (Geelong Region Innovation and Investment Fund and Melbourne's North Innovation and Investment Fund)</t>
  </si>
  <si>
    <t xml:space="preserve">A $54 million structural adjustment to support business transition in Geelong and Melbourne’s North. It was a joint response by the Australian and Victorian governments following Ford’s announcement that it would close manufacturing operations in Australia in 2016.
</t>
  </si>
  <si>
    <t>Fund announced 14 May 2013. 37 recipients are undertaking projects that aim to create over 1,300 jobs through two elements - GRIIF and MNIIF.
• Geelong Region Innovation and Investment Fund (GRIIF): 17 recipients receiving grants totalling $26.9 million to leverage investment of over $210 million and create 818 jobs.
• Melbourne’s North Innovation and Investment Fund (MNIIF): Two rounds completed. 20 recipients receiving grant totalling $18.8 million to leverage investment of over $92.5 million and create 487 jobs.</t>
  </si>
  <si>
    <t>Decision of the Australian and Victorian Governments announced 23 May 2013</t>
  </si>
  <si>
    <t>NMA - Cultural shared services centre</t>
  </si>
  <si>
    <t>NMA will work in partnership with collecting entities to provide corporate services. This funding will enable NMA to create a collaborative arrangement with other collecting agencies to provide coprorate and business services such as IT services, business systems gosting. payroll administration, training and process.</t>
  </si>
  <si>
    <t>Building Digital Capability</t>
  </si>
  <si>
    <t>Build the digital skills of the Australian Public Service (APS) to transform its services to make them easier, cheaper and faster to use. This proposal puts in place strategies to attract and retain staff with specialist digital skills, build on their skills and improve senior leaders’ capability to guide the transformation and mentor specialist staff</t>
  </si>
  <si>
    <t>Digital Platforms</t>
  </si>
  <si>
    <t>Whole of government (WofG) digital platforms (platforms) are ICT systems, including the governance and financing of those systems, that provide the core functionality that multiple agencies can use to deliver services to users. They are a foundational building block for the Government’s digital transformation agenda and offer significant cost saving opportunities to government and strong benefits for users</t>
  </si>
  <si>
    <t>Oversight of Significant Digital and ICT Intiatives</t>
  </si>
  <si>
    <t>This proposal is to establish oversight and assurance of high-profile APS Modernisation Fund proposals through the DTA Digital Investment Management Office (DIMO).</t>
  </si>
  <si>
    <t>Scotdesco</t>
  </si>
  <si>
    <t>This proposal will  contribute towards the investigation and delivery of a permanent solution to drinking water for the remote community of Scotdesco, South Australia</t>
  </si>
  <si>
    <t xml:space="preserve">The project will be developed and implemented in conjunction with the South Australian Government. </t>
  </si>
  <si>
    <t>Closing the Gap Outcomes and Evidence Fund</t>
  </si>
  <si>
    <t xml:space="preserve">The Outcomes and Evidence Fund will provide up to $30 million until 2025-2026 to support First Nations people, organisations and communities to co-design, trial and evaluate projects that contribute to Closing the Gap Outcomes 12 (Aboriginal and Torres Strait Islander children are not over-represented in the child protection system) and 13 (Aboriginal and Torres Strait Islander families and households are safe) and improve the evidence base for the Australian Government and First Nations people. All trial projects will be subject to an independent local and national evaluation. The objective of the evaluation is to collect evidence and assess trial outcomes. All trial projects will also contribute to an overarching evaluation of the Fund.  </t>
  </si>
  <si>
    <t>Commonwealth Outcomes Fund</t>
  </si>
  <si>
    <t>Through the 2023-24 Budget process, the Government committed $100.0 million over 5 years from 2024-25 to establish a social impact investment Outcomes Fund to make contractual payments to states, territories and service providers based on delivering agreed, measurable outcomes through specific projects, with funding to be provisioned in the Contingency Reserve pending the outcome of a co-design process with stakeholders, including states and territories. Through the 2024-25 Budget, a further $5.5 million was committed to establish, manage, and evaluate the Outcomes Fund. It was further agreed that the $100 million would be released over 10 years, and not 5. In 2024-25, $21.02 million was committed towards 4 projects, with $78.98 remaining for future projects.</t>
  </si>
  <si>
    <t>Data Integration Partnership for Australia - Enhancement and Expansion of the DSS Data Exchange (DEX)</t>
  </si>
  <si>
    <t>In the 2017-18 Budget, the Government committed $130.8m over three years for the Data Integration Partnership for Australia (DIPA) as part of the Transformation and Innovation stream of the Public Sector Modernisation Fund. Under the DIPA, DSS will recieve $29.8m in funding over the next three years for the expansion of the Data Exchange (DEX) to enhance the ICT components of the current infrastructure. DEX is the Department's grant program reporting system which provides a standard way of collecting and measuring service delivery and outcomes information from funded organisations.</t>
  </si>
  <si>
    <t>Design, Practice and Innovation Programme</t>
  </si>
  <si>
    <t>This programme focuses on end to end design of services for Whole of Government. We do this by taking a customer-centred approach by bringing the voice of the customer through user research, insights and co-design to inform future state design of services that supports policy and programme teams. This is a fundamental shift in how Services Australia manages transformation projects, aiming to drive more innovation activities across the Agency and Whole of Government and aligning to the Digital Government Strategy.</t>
  </si>
  <si>
    <t>Digitisation of payment process</t>
  </si>
  <si>
    <t xml:space="preserve">Services Australia is replacing the welfare payment system through a business-led, people centred, technology enabled transformation. This is an important long-term investment, allowing the Government to properly address the challenges facing Australia’s welfare system and maximise the benefits of digital transformation, while reducing the costs of administering the system for taxpayers. The new capability will capitalise on digital technology to give people access to more online services, delivering significant benefits to government, tax payers and welfare recipients. </t>
  </si>
  <si>
    <t>Innovation and Ideation</t>
  </si>
  <si>
    <t>Activities include: Cybernetics program, Innovation Research, Technology Innovation Engagement and Research Partnerships.</t>
  </si>
  <si>
    <t>Investment Approaches to Welfare</t>
  </si>
  <si>
    <t xml:space="preserve">Announced in the 2015-16 Budget, the Australian Priority Investment Approach to Welfare uses actuarial analysis to provide insights on how Australians are projected to interact with the social security system across the life course. Insights from the analysis identify groups most at risk of long-term disadvantage, informing early intervention and support. Valuation Reports and associated products are available on the Department of Social Services website.
</t>
  </si>
  <si>
    <t xml:space="preserve">The Australian Priority Investment Approach to Welfare is funded on an ongoing basis. </t>
  </si>
  <si>
    <t>myGov capacity development</t>
  </si>
  <si>
    <t xml:space="preserve">MyGov provides Australians with a single entry portal to government digital services. The development work has involved intensive user-centred design and technological development work. The myGov web service has been enhanced.
</t>
  </si>
  <si>
    <t>National Disability Data Asset (NDDA) Pilot</t>
  </si>
  <si>
    <t xml:space="preserve">The NDDA Pilot is a data integration project bringing together Commonwealth and state data about people with disability. The pilot deliverables include pilot asset build, reporting against five high-priority research projects, and recommendations on enduring asset design. </t>
  </si>
  <si>
    <t>The NDDA Pilot is funded at $15.0 million in total; the reported amount is the total Pilot funding less the two DSS-led Pilot research projects reported on the R&amp;D tab. The Pilot will run from April 2020 to September 2021.</t>
  </si>
  <si>
    <t>National Disability Insurance Scheme Jobs and Market Fund</t>
  </si>
  <si>
    <t>In the 2018-19 Budget, the Australian Government announced $64.3 million over three years for a Jobs and Market Fund and broader communication activity to support National Disability Insurance Scheme market and workforce growth. $45.6 million has been allocated to the Fund for projects to develop the market and workforce, including innnovative models of service delivery.</t>
  </si>
  <si>
    <t>Social Impact Investing - Outcomes measurement initiative</t>
  </si>
  <si>
    <t>$3.5 million over four years to build the capacity of the Australian SII sector to measure outcomes by undertaking longitudinal studies and through the development of an impact framework aligning with the Australian Government principles for SII.</t>
  </si>
  <si>
    <t>This program was part of government funding between 2017-18 to 2026-27 to grow the SII market in Australia. The trials were to test the effectiveness of different financial models to address social disadvantage and other initiatives aimed to improve understanding of how the government can support and strengthen the SII sector.</t>
  </si>
  <si>
    <t>Social Impact Investing - Payment by Outcomes Trials</t>
  </si>
  <si>
    <t>$15.7 million over 8 years to co-develop, implement and evaluate 3 payment by outcomes (PBOs) trials in the social services sector. This measure supports partnerships with state governments to design and implement social impact investments, and develops the capacity of non-government and private organisations to design and deliver more social impact investing opportunities that help promote independence from welfare through employment.</t>
  </si>
  <si>
    <t>This program was part of government funding  between 2017-18 to 2026-27 to grow the SII market in Australia. The trials were to test the effectiveness of different financial models to address social disadvantage and other initiatives aimed to improve understanding of how the government can support and strengthen the SII sector.</t>
  </si>
  <si>
    <t>Social Impact Investing - Sector Readiness Fund</t>
  </si>
  <si>
    <t>$8 million is committed to build the skills and capabilities of organisations with a social purpose to bring new social impact investments to market.</t>
  </si>
  <si>
    <t>Social Impact Investing - Social Enterprise Development Initiative (SELF)</t>
  </si>
  <si>
    <t>$1.2 million in 2025–26 to partner with White Box Enterprises to establish a Social Enterprise Loan Fund to offer small loans to social enterprises, including work integration social enterprises, to support employment for disadvantaged Australians.</t>
  </si>
  <si>
    <t>Social Impact Investing - Social Enterprise Development Initiative Program</t>
  </si>
  <si>
    <t>The SEDI Program aims to support social enterprises to be more efficient and effective in delivering social benefits to vulnerable Australians. SEDI supports social enterprises by providing funding for capability building support through grants to individual social enterprises and online resources for the broader sector.</t>
  </si>
  <si>
    <t>Social impact investing - State and Territory Partnership Trials (homelessness)</t>
  </si>
  <si>
    <t>$8.18 million is committed over 10 years to support state governments to develop social impact investments that help young people at risk of homelessness as part of the Government’s Housing Package</t>
  </si>
  <si>
    <t>Social impact investing - State and Territory Partnership Trials (priority groups)</t>
  </si>
  <si>
    <t>$8.437 million is committed over 10 years to support state and territory governments to trial social impact investments for other priority groups, which will be identified through analysis of Commonwealth, state and territory data. Of this funding, $2 million has been allocated to facilitate this analysis</t>
  </si>
  <si>
    <t>Stronger Places, Stronger People - Clear Horizons</t>
  </si>
  <si>
    <t>Approximately 100 days of measurement and evaluation support was delivered across three communities (Bourke NSW, Logan QLD and Burnie TAS). This support was tailored to community needs to progress local measurement and evaluation prorities under the Stronger Places, Stronger People initiative by taking an iterative and adaptive approach in keeping with collective impact practice and principles.</t>
  </si>
  <si>
    <t>Stronger Places, Stronger People - Collaboration for Impact</t>
  </si>
  <si>
    <t>To support learning and capacity building across the Stronger Places, Stronger People initiative, including the development of an online knowledge and learning platform, with tools and resources for communties practicing place-based change, and development and delivery of the Stronger Places, Stronger People Leadership, Development and Sustainment Strategy.</t>
  </si>
  <si>
    <t>Support for NDIS Providers Grants Program: Digital solution for NDIS Providers complaints handling</t>
  </si>
  <si>
    <t xml:space="preserve">This grant opportunity seeks to develop innovative approaches to support participants to raise concerns directly with their provider through a digital system that is accessible, simple to use, convenient and allows the timely resolution of concerns and complaints. 
Develop and trial digital complaint resolution tools that may include mobile apps and online platforms that are easy and user-friendly for participants to use, and enable providers to meet their responsibilities under the Complaints Rules and Practice Standards.
</t>
  </si>
  <si>
    <t>NDIS Commission Support for NDIS Providers Grants Program</t>
  </si>
  <si>
    <t>Technology Innovation Centres</t>
  </si>
  <si>
    <t>The role of the Technology Innovation Centre is a key touch point for research and discovery of new and emerging technologies. Research applying a critical lens will enable us to identify suitable opportunities for responsible adoption of technology and enable us to become leaders in public service delivery.  Utilise existing spaces across all locations demonstrate existing Proof of Concepts and Pilots with tangible innovative technologies harnessed to allow physical and virtual interactions through technology showcases and demonstrations. This will allow evidence-based decision making on the selection and use of current, new and emerging technology to drive service improvements for the agency</t>
  </si>
  <si>
    <t xml:space="preserve">Transition Funding for Successful Try, Test and Learn Projects </t>
  </si>
  <si>
    <t xml:space="preserve">The Government will provide $12.6 million over two years from 1 July 2021 to further support a number of projects from the Try, Test and Learn Fund that have been successful in supporting vulnerable groups into employment. </t>
  </si>
  <si>
    <t>Try, Test and Learn Fund</t>
  </si>
  <si>
    <t>The Commonwealth Government announced a $96.1 Try, Test and Learn Fund to finance innovative policy interventions to help people find jobs and avoid getting trapped on welfare. This was the result of the NPP submitted to Cabinet in early 2016. The proposal was entitled Investment Approach: Creation of a Try, Test and Learn Fund.</t>
  </si>
  <si>
    <t>User Experience Centres</t>
  </si>
  <si>
    <t>As part of efforts to ensure that customers are actively and frequently engaged throughout Services Australia design to implementation processes, Services Australia has established user experience centres in Canberra and Brisbane. The space provides dedicated resources and rooms to allow small to medium engagements with members of the public by various groups across the agency.</t>
  </si>
  <si>
    <t>This funding is allocated to the ABS, in the Treasury Portfolio. There is no option to select the Treasury Portfolio. 
This is a cross-portfolio initiative, with a number of agencies involved. PM&amp;C has provided headline figures as the lead agency, but suggest cross-checking with other agencies' input</t>
  </si>
  <si>
    <t>Tax Incentives for Early Stage Investors (Early Stage Innovation Company - ESIC)</t>
  </si>
  <si>
    <t xml:space="preserve">The Australian Government venture capital programs provide favourable tax treatment for businesses and individuals investing into Australian venture capital and early stage businesses. </t>
  </si>
  <si>
    <t xml:space="preserve">This item previously comprised tax expenditure data for two programs: ‘Early stage investors – non-refundable tax offset’ (B58 in the 2024-25 Tax Expenditures and Insights Statement) and ‘Early stage investors – capital gains tax exemption’ (E17 in the 2024-25 Tax Expenditures and Insights Statement). The tax expenditure for the capital gains tax exemption has been unquantifiable since the 2023-24 TEIS, so data cannot be provided for this program. The estimates in this row have been updated to reflect tax expenditure of the non-refundable tax offset. We added "non-refundable tax offset'  to  the Program/Activity name to reflect this change. </t>
  </si>
  <si>
    <r>
      <rPr>
        <b/>
        <sz val="10"/>
        <color theme="1"/>
        <rFont val="Arial"/>
        <family val="2"/>
      </rPr>
      <t>Note</t>
    </r>
    <r>
      <rPr>
        <sz val="11"/>
        <color theme="1"/>
        <rFont val="Calibri"/>
        <family val="2"/>
        <scheme val="minor"/>
      </rPr>
      <t>: While 'innovation', as defined in the Definitions tab, includes R&amp;D, the programs included in this spreadsheet either involve no reportable R&amp;D, or else have had their R&amp;D component reported separately in the R&amp;D table. Adoption of this approach allows the totals for this spreadsheet to be non-overlapping with those of the R&amp;D table</t>
    </r>
  </si>
  <si>
    <r>
      <rPr>
        <b/>
        <sz val="10"/>
        <color theme="1"/>
        <rFont val="Arial"/>
        <family val="2"/>
      </rPr>
      <t>Note</t>
    </r>
    <r>
      <rPr>
        <sz val="11"/>
        <color theme="1"/>
        <rFont val="Calibri"/>
        <family val="2"/>
        <scheme val="minor"/>
      </rPr>
      <t>: Collection of data on Other SRI programs commenced in 2017-18. Totals before this date may not be accurate.</t>
    </r>
  </si>
  <si>
    <r>
      <rPr>
        <b/>
        <sz val="10"/>
        <color theme="1"/>
        <rFont val="Arial"/>
        <family val="2"/>
      </rPr>
      <t>Note:</t>
    </r>
    <r>
      <rPr>
        <sz val="11"/>
        <color theme="1"/>
        <rFont val="Calibri"/>
        <family val="2"/>
        <scheme val="minor"/>
      </rPr>
      <t xml:space="preserve"> Forward estimates are unavailable for some programs and some years. As a consequence, no totals have been provided for the forward estimate years.</t>
    </r>
  </si>
  <si>
    <t>SRI programs and program elements that support knowledge transfer and/or research commercialisation (KT&amp;RC)</t>
  </si>
  <si>
    <t>Knowledge Transfer &amp; Research Commercialisation activities</t>
  </si>
  <si>
    <t xml:space="preserve">Systemic </t>
  </si>
  <si>
    <t>Knowledge transfer</t>
  </si>
  <si>
    <t>Commercialisation</t>
  </si>
  <si>
    <t>Portfolio/Agency</t>
  </si>
  <si>
    <t>Program or program element</t>
  </si>
  <si>
    <t>Strategic coordination and direction setting</t>
  </si>
  <si>
    <t>Physical precinct creation, enhancement, and expansion</t>
  </si>
  <si>
    <t>Supports research infrastructure</t>
  </si>
  <si>
    <t>Supports research training</t>
  </si>
  <si>
    <t>Encourages PFROs to engage with businesses and other end-users</t>
  </si>
  <si>
    <t>Encourages businesses and other end-users to engage with PFROs</t>
  </si>
  <si>
    <t>Supports introduction of products, processes or services to market</t>
  </si>
  <si>
    <t>Supports incubators and accelerators</t>
  </si>
  <si>
    <t>Supports start-ups</t>
  </si>
  <si>
    <t>Supports exports</t>
  </si>
  <si>
    <t>Sum per element</t>
  </si>
  <si>
    <t>Description of how program/activity supports knowledge transfer and/or commercialisation</t>
  </si>
  <si>
    <t>Grouping</t>
  </si>
  <si>
    <t>Centre of Excellence for Biosecuirty Risk Analysis and Research</t>
  </si>
  <si>
    <t>CEBRA plays an important role in providing the Australian and New Zealand governments with expert biosecurity risk analysis and advice to ensure biosecurity regulatory standards, procedures and tools are underpinned by world-class research</t>
  </si>
  <si>
    <t xml:space="preserve">Development of Australia's Seaweed Farming </t>
  </si>
  <si>
    <t>Development of Australia's Seaweed Farming Program will support the seaweed sector to undertake research and establish a National Hatchery Network to support the acceleration of the development of Australia's seaweed farming industry and commercialisation of the seaweed, Asparagopsis, into a feed supplement for livestock to reduce methane emissions.</t>
  </si>
  <si>
    <t xml:space="preserve">Drought Resilience Adoption and Innovation Hubs </t>
  </si>
  <si>
    <t>The Drought Resilience Research and Adoption Program will invest $86 million over four years to invest in collaborative research, development, extension, adoption and commercialisation (RDEA&amp;C) activities aimed at helping primary producers and rural and regional communities to become more prepared for, and resilient to future droughts.</t>
  </si>
  <si>
    <t>Future Drought Fund</t>
  </si>
  <si>
    <t>The Future Drought Fund is the key investment by the Australian Government to build drought resilience in Australia’s agriculture sector, the agricultural landscape, and communities. It is a $5 billion commitment with $100 million made available each year to drought resilience programs.</t>
  </si>
  <si>
    <t>National Agriculture Traceability Grants Program - Brand Australia International Traceability Symposiums Grant</t>
  </si>
  <si>
    <t>The grant will help enhance Australia’s reputation in the Australian agricultural traceability field and encourage trading partners to align their traceability efforts with Australia.</t>
  </si>
  <si>
    <t>National Agriculture Traceability Grants Program - Building Trust in Australian Agricultural Traceability and Credentials in Southeast Asia Grant Round</t>
  </si>
  <si>
    <t>Projects under this grant round include facilitating information sharing and ongoing business to business engagement across Southeast Asia markets to develop resilient and transparent supply chains.</t>
  </si>
  <si>
    <t>National Agriculture Traceability Grants Program - Data Enabled Traceability Proof of Concepts Grant</t>
  </si>
  <si>
    <t xml:space="preserve">The grant includes increasing farm and industry data sharing to support data-enabled traceability along supply chains and export trade and infromation sharing and cross commodity uptake of innovative traceability systems and data standards. </t>
  </si>
  <si>
    <t>National Agriculture Traceability Grants Program - Evidence-based Sustainability Credentials and Next Steps for the Australian Agricultural Sustainability Framework Grant</t>
  </si>
  <si>
    <t>The grant will drive traceability system uplift and help enhance Australia's international standing on sustainable agriculture and climate action through the development of Stage 2 of the Australian Agricultural Sustainability Framework (AASF). Including communication, outreach and education with farmers, industry and domestic supply-chain companies, finance and agribusiness to build awareness and engaement with the AASF.</t>
  </si>
  <si>
    <t xml:space="preserve">National Agriculture Traceability Grants Program - Export Readiness Pilot for First Nations Agriculture Grant </t>
  </si>
  <si>
    <t xml:space="preserve">The insights achieved through this pilot grant include barriers to export adoption to Indigenous businesses and it will deliver tangible recommendations for key actions, requirements and support needed for the broader adoption of exporting Indigenous products across the Indigenous agricultural sector. </t>
  </si>
  <si>
    <t>National Agriculture Traceability Grants Program - Indigenous Agricultural Product Framework, Research and Insights Grant Round</t>
  </si>
  <si>
    <t>The grants project will provide an evidence base to help establish Indigenous agricultural product credentials that can verify provenance, support value-added benefits to First Nations people and secure economic benefit for domestic and exported products.</t>
  </si>
  <si>
    <t>National Agriculture Traceability Grants Program - Livestock and Animal Traceability Development, Implementation, and Improvement Grant Round</t>
  </si>
  <si>
    <t>Projects under this grant round enahce indurty capacity and capability to meet national traceability outcomes and comply with current and emerging requirements. Enhancing traceability for livestock, animals and animal products will support Australia’s access to existing and new markets; enhance our ability to respond to exotic pest, disease, and food safety incidents; and help to demonstrate how our livestock, animal and animal product sectors meet changing consumer expectations.</t>
  </si>
  <si>
    <t>National Agriculture Traceability Grants Program – National Beehive Traceability System Feasibility Grant</t>
  </si>
  <si>
    <t xml:space="preserve">Beehive traceability aims to enhance the preparedness of the honeybee industry and hobbyists for exotic bee pests, provide support for international trade and protect the pollination reliant industries from the (further) impacts of an exotic bee pest incursion. </t>
  </si>
  <si>
    <t>National Agriculture Traceability Grants Program - Regulatory Technology Research and Insights Grant Round</t>
  </si>
  <si>
    <t>The RegTech Research and Insights grants provide the opportunity to contribute to the development of new proposals to increase the use of RegTech along agricultural supply chains.</t>
  </si>
  <si>
    <t>National Agriculture Traceability Grants Program - Sustainability Reporting Uplift Grant Round</t>
  </si>
  <si>
    <t>The Sustainability Reporting grants will help build the agriculture sector’s data capabilities to meet emerging international requirements and industry standards and support development of consistent sustainability frameworks.</t>
  </si>
  <si>
    <t>National Agriculture Traceability Grants Program - Traceability Grants Program - Round 3</t>
  </si>
  <si>
    <t>The program includes the delivery of projects that aim to embed technology and innovation in our agricultural supply chain traceability systems, such as the development and trialling of technologies that digitise information flow.</t>
  </si>
  <si>
    <t xml:space="preserve">National Livestock Traceability Reform to Enhance Agricultural Biosecurity and Exports - National Livestock Identification System (NLIS) Database Uplift </t>
  </si>
  <si>
    <t>The grant supports the upgrade and enhancement of the National Livestock Identification System and its supporting systems.</t>
  </si>
  <si>
    <t>National Livestock Traceability Reform to Enhance Agricultural Biosecurity and Exports - National Livestock Identification System (NLIS) Database Uplift Transition Support Grant</t>
  </si>
  <si>
    <t>The grant includes targeted and fit-for-purpose funding to support activities to upgrade government (excluding the Commonwealth) and industry ancillary and supporting systems in line with the NLIS database uplift.</t>
  </si>
  <si>
    <t>Priority Pest and Disease Planning and Response</t>
  </si>
  <si>
    <t>Facilitates engagement of scientific experts through annual workshops and sharing of plant biosecurity knowledge through presentations, workshops and  joint research activities.</t>
  </si>
  <si>
    <t>Priority Pest and Disease Planning and Response- DIAGNOSTIC &amp; REFERENCE LABORATORY - PLANT</t>
  </si>
  <si>
    <t xml:space="preserve">Facilitates engagement of scientific experts through the Annual Diagnostician's Workshop, and sharing of plant biosecurity diagnostics knowledge through presentations, workshops, trainings and residential placements. 
Knowledge transfer will support the development of DNA reference libraries for priority plant pests, enhancing diagnostic detection capabilities leading to improved biosecurity outcomes. </t>
  </si>
  <si>
    <t>Rural Research and Development (R&amp;D) Corporations</t>
  </si>
  <si>
    <t>RDCs invest in R&amp;D to improve the profitability, productivity, competitiveness and long-term sustainability of Australia's primary industries. There are currently 15 RDCs—five Commonwealth statutory bodies and 1 industry-owned companies (IOCs). All manage R&amp;D services, with most IOCs also providing other industry services, mainly marketing. Statutory RDCs are also able to undertake marketing at industry request, where supported by a statutory marketing levy</t>
  </si>
  <si>
    <t>Primarily from statutory commodity levies</t>
  </si>
  <si>
    <t>Australian Centre for International Agricultural Research</t>
  </si>
  <si>
    <t>ACIAR works in Australia’s national interest by contributing to economic growth and poverty reduction in the Indo-Pacific region. ACIAR continues to improve the productivity, sustainability and profitability of agricultural systems, through international agricultural research and training partnerships and the empowerment of women and girls.</t>
  </si>
  <si>
    <t>Australian Research Council (ARC)</t>
  </si>
  <si>
    <t>ARC Centres of Excellence Scheme</t>
  </si>
  <si>
    <t>Supports significant collaborations between universities, publicly funded research organisations, other research bodies, governments and businesses in Australia and overseas, to establish ARC Centres of Excellence that undertake highly innovative and potentially transformational research.</t>
  </si>
  <si>
    <t>Linkage Program</t>
  </si>
  <si>
    <t>ARC Industry Fellowships Scheme</t>
  </si>
  <si>
    <t>The schemes will provide opportunities for early career, mid-career and senior/laureate researchers to collaborate with industry.</t>
  </si>
  <si>
    <t>Engagement and Impact Assessment</t>
  </si>
  <si>
    <t xml:space="preserve">EI is the national assessment of the engagement and impact of university research. It assess how well researchers are engaging with end-users of research, and shows how universities are translating their research into economic, social, environmental, cultural and other impacts. Through transparent reporting of university performance across all disciplines, EI encourages greater university focus on research engagement and translation (including knowledge transfer and commercialisation). Following the pause of ERA, EI was also paused with delivery of the next round pending finalisation of a new approach to research evaluation (the transition plan).
</t>
  </si>
  <si>
    <t>Excellence in Research for Australia (ERA) Program</t>
  </si>
  <si>
    <t>Industrial Transformation Research Program</t>
  </si>
  <si>
    <t>Supports collaborative research activity between university-based researchers and industry sector to address issues facing the new industrial economies and training the future workforce through innovative Higher Degree by Research (HDR) and postdoctoral training through placement in industry.</t>
  </si>
  <si>
    <t>Industry Laureate Fellowships</t>
  </si>
  <si>
    <t>Creates pathways to support academic researchers in establishing careers in industry, and industry-based researchers to work in university settings, with the aim of increased two-way mobility and skill building in research collaboration, translation and commercialisation.</t>
  </si>
  <si>
    <t>Linkage Infrastructure, Equipment and Facilities Scheme</t>
  </si>
  <si>
    <t>Provides funding for research infrastructure, equipment and facilities. Enables researchers to participate in cooperative initiatives so that expensive research infrastructure, equipment and facilities can be shared between higher education organisations and also with industry.</t>
  </si>
  <si>
    <t>Linkage Projects Scheme</t>
  </si>
  <si>
    <t>Promotes national and international research partnerships between researchers and business, industry, community organisations and other publicly funded research agencies. By supporting the development of partnerships, the ARC encourages the transfer of skills, knowledge and ideas as a basis for securing commercial and other benefits of research.</t>
  </si>
  <si>
    <t>Supports pilot and demonstration projects that would support the uptake of AquaWatch technologies and supports water management decisions in Indonesia</t>
  </si>
  <si>
    <t>CSIRO Services</t>
  </si>
  <si>
    <t>AquaWatch Australia - CSIRO</t>
  </si>
  <si>
    <t>The Australian Biological Research Study, through its National Taxonomy Research Grant Program, helps build research capacity within universities and biological research institutions. Grant funding assists institutions launch multi-year research projects, hire the required research scientists (many of which are early career researchers) and help train these recruits in taxonomic science.</t>
  </si>
  <si>
    <t>National Taxonomy Research Grant Program</t>
  </si>
  <si>
    <t xml:space="preserve">Australian Renewable Energy Agency </t>
  </si>
  <si>
    <t xml:space="preserve">Improves the competitiveness and supply of renewable energy technologies in Australia including through the ARENA knowledge sharing platform </t>
  </si>
  <si>
    <t>Knowledge sharing an integral aspect of ARENA</t>
  </si>
  <si>
    <t>Clean Energy Finance Corporation</t>
  </si>
  <si>
    <t>Facilitates increased flows of finance into the clean energy sector including through investments in businesses that are commercialising novel technologies.</t>
  </si>
  <si>
    <t>HyGATE is a renewable hydrogen technology incubator which will support the development of Australia's hydrogen export industry</t>
  </si>
  <si>
    <t>Ocean Discovery and Restoration</t>
  </si>
  <si>
    <t>The Ocean Discovery and Restoration Program leverages co-investment from philanthropic, private and research sectors for projects that improve the understanding and conservation of Australian Marine Parks</t>
  </si>
  <si>
    <t>Singapore-Australia Initiative on Low Emissions Technology for Maritime and Port Operations</t>
  </si>
  <si>
    <t>Supports pilot and demonstration projects that would support the uptake of low emissions fuels and technologies in maritime and port operations</t>
  </si>
  <si>
    <t>Supporting commercialisation of CuriosityTM bait for feral cats</t>
  </si>
  <si>
    <t xml:space="preserve">The department has a licence agreement with Tréidlia Biovet to commercialise the Curiosity bait for feral cats. </t>
  </si>
  <si>
    <t>CSIRO</t>
  </si>
  <si>
    <t>Australian National Research Collections</t>
  </si>
  <si>
    <t>Collections of animal and plant specimens that contribute to national and international biological knowledge. Together, they constitute a vast storehouse of information about Australia’s biodiversity and underpin a significant part of the country’s taxonomic, genetic, agricultural and ecological research - making these vital resources for conservation and the development of sustainable land and marine management systems.</t>
  </si>
  <si>
    <t>CSIRO National Facilities &amp; Collections</t>
  </si>
  <si>
    <t xml:space="preserve">Australian National Research Facilities </t>
  </si>
  <si>
    <t>Australia’s national research facilities and scientific infrastructure are hosted on behalf of the nation to assist with the delivery of research. These research facilities and specialised laboratories are available to both international and Australian users from industry and research.</t>
  </si>
  <si>
    <t>CSIRO Education</t>
  </si>
  <si>
    <t>For more than 35 years, CSIRO has proudly delivered innovative learning opportunities to schools, teachers and the wider community.</t>
  </si>
  <si>
    <t>CSIRO Science Connect</t>
  </si>
  <si>
    <t>https://www.csiro.au/en/Education</t>
  </si>
  <si>
    <t>CSIRO Futures</t>
  </si>
  <si>
    <t>CSIRO Futures is the strategic advisory arm of CSIRO.  We draw on our vast network of science and technology experts and industry partners, to help Australian businesses and government organisations prepare for the future.</t>
  </si>
  <si>
    <t>CSIRO Impact Science business</t>
  </si>
  <si>
    <t>Main research business of CSIRO, which includes knowledge transfer and commercialisation as part of the core business</t>
  </si>
  <si>
    <t>CSIRO Impact Science</t>
  </si>
  <si>
    <t>CSIRO Industry PhD Program</t>
  </si>
  <si>
    <t>Actively promotes collaboration between academia, industry and the research sectors to shape the future of industrial research training. Seeks to attract high calibre candidates with the vision of developing Australia’s future research leaders.</t>
  </si>
  <si>
    <t>CSIRO Innovation Fund</t>
  </si>
  <si>
    <t>The Fund will invest in start-up and spin off companies, and SMEs engaged in the translation of research generated in the publicly funded research sector.</t>
  </si>
  <si>
    <t>CSIRO subsidiary</t>
  </si>
  <si>
    <t>CSIRO ON Program</t>
  </si>
  <si>
    <t>The ON Program is centred on equipping researchers with the entrepreneurial and commercialisation skills they need to help them engage with business and drive greater uptake of their research and ideas.</t>
  </si>
  <si>
    <t>CSIRO Publishing</t>
  </si>
  <si>
    <t>Excellence in science publishing</t>
  </si>
  <si>
    <t>https://www.publish.csiro.au/</t>
  </si>
  <si>
    <t>CSIRO SME Connect</t>
  </si>
  <si>
    <t>Links Australian businesses with researchers, facilitating and enabling innovation-driven partnerships through funding, support and resources.</t>
  </si>
  <si>
    <t>SIEF STEM++ Business Fellowship Program</t>
  </si>
  <si>
    <t>Provides a mechanism for Early Career Researchers (ECR) to build new skills and relationships with industry. ECR, research organisations and small and medium sized (SME) Australian businesses will work together to develop innovative commercial solutions that build Australia’s national competitiveness.</t>
  </si>
  <si>
    <t>Defence - ADFHQ</t>
  </si>
  <si>
    <t>The Defence Innovation Hub funded through the Single Innovation Fund (SIF) is the two government's signature defence innovation development program, established in December 2016. The Innovation Hub provides a single innovation development pipeline for defence industry and research organisations to develop new and innovative defence capability.</t>
  </si>
  <si>
    <t xml:space="preserve">Advanced Strategic Capabilities Accelerator </t>
  </si>
  <si>
    <t>ASCA's funding and priorities is driven by the National Defence Strategy and AUKUS Pillar II - Advanced Capabilities.</t>
  </si>
  <si>
    <t>Next Generation Technologies Fund</t>
  </si>
  <si>
    <t xml:space="preserve">The NGTF focuses on fundamental research and development of future game-changing concepts that can be further matured and realised into military capability through the Defence Innovation Hub. </t>
  </si>
  <si>
    <t>Defence - DST Group</t>
  </si>
  <si>
    <t>Collaborative Industry Relationships</t>
  </si>
  <si>
    <t>Supports the transition of knowledge toward the potential for a commercialised capability.</t>
  </si>
  <si>
    <t>Partnerships and Engagement</t>
  </si>
  <si>
    <t>Funding arrangements dependent on approval of specific activities within the Program.</t>
  </si>
  <si>
    <t>Commercialisation Activities</t>
  </si>
  <si>
    <t>International Collaborative Relationships</t>
  </si>
  <si>
    <t>Knowledge sharing activities through arrangements with international collaborative partners towards development of capability beneficial to both parties.</t>
  </si>
  <si>
    <t>Help build Australia’s capability in cyber security through encouraging more students to study cyber security, increase the number of highly skilled post-graduates, and support research addressing key challenges.</t>
  </si>
  <si>
    <t>Australian Mathematical Sciences Institute National Research Internships Program</t>
  </si>
  <si>
    <t>Supports industry-based training of PhD research students, with a focus on women in STEM.</t>
  </si>
  <si>
    <t>Australia's Economic Accelerator</t>
  </si>
  <si>
    <t>AEA supports collaboration between university research teams and industry by funding university-led research projects with commercial potential that address at least one of the Australian Government identified priority areas of the economy, as outlined in the National Reconstruction Fund Corporation (Priority Areas) Declaration 2023.</t>
  </si>
  <si>
    <t>Create Positive flow-on effect by creating more opportunities for residents to pursue post-graduate qualifications and opening up more opportunities to develop local industry</t>
  </si>
  <si>
    <t>National Collaborative Research Infrastructure Strategy (NCRIS)</t>
  </si>
  <si>
    <t>Provides funding to enable continued operation of National Research Infrstructure.</t>
  </si>
  <si>
    <t>$15 million per annum ongoing (indexed) from 1 July 217. $1.9 bn from 217-18 to 28-29 through 218 Research Infrastructure Investment Plan.</t>
  </si>
  <si>
    <t>Provides systemic support. Funds can be used on any research activity, including knowledge transfer and research commercialisation.</t>
  </si>
  <si>
    <t>Supports HDR students' knowledge transfer and research commercialisation activities.</t>
  </si>
  <si>
    <t>Support universities to remove engagement barriers in local communities to improve collaboration with businesses through undertaking innovative activities</t>
  </si>
  <si>
    <t xml:space="preserve">The program aims to provide a short-term boost to the selected universities to build research translation and commercialisation capability. </t>
  </si>
  <si>
    <t>BRII provides SMEs with critical early stage finance to develop innovative solutions for which there is genuine demand by government agencies.</t>
  </si>
  <si>
    <t>Australian Climate Service</t>
  </si>
  <si>
    <t>This activity will better connect and leverage the government's extensive data, information and capabilities to inform climate and disaster risk management.</t>
  </si>
  <si>
    <t>Geoscientific and Spatial Information Services</t>
  </si>
  <si>
    <t>Program has ended</t>
  </si>
  <si>
    <t>Critical Minerals Production Tax Incentive</t>
  </si>
  <si>
    <t>This activity supportsthe design and development of the critical Minerals Production Tax Incentive and establish an independent mineral testing function</t>
  </si>
  <si>
    <t>Critical Minerals Research and Development Hub</t>
  </si>
  <si>
    <t>This activity diverts existing resources to provide support for the development of competitive and reliable end-to-end critical minerals supply chains</t>
  </si>
  <si>
    <t xml:space="preserve">Digital Atlas of Australia </t>
  </si>
  <si>
    <t>This activity will develop an interactive geospatial map that will provide better information to allow governments, businesses and the community to make more informed decisions about planning, infrastructure and investment at the local and national level.</t>
  </si>
  <si>
    <t>Digital Earth Australia</t>
  </si>
  <si>
    <t>This activity provides free and open satellite data and derived information products to support Australian governments to make better decisions on policy and investment, and Australian businesses to create new capabilities that increase efficiency, productivity and emplyment opportunities.</t>
  </si>
  <si>
    <t>Exploring for the Future (Phase 2)</t>
  </si>
  <si>
    <t>This activity supports the Australian Government initiative dedicated to boosting investment in resource exploration in northern Australia. The activity will deliver a resource prospectus for minerals, energy and groundwater that will attract industry investment and support a vibrant mining, equipment and services industry.</t>
  </si>
  <si>
    <t>Landsat Next</t>
  </si>
  <si>
    <t>This activity establishes and deliver a partnership with the United States on their flagship Landsat satellite land imaging program</t>
  </si>
  <si>
    <t>National Positioning Infrastructure Capability</t>
  </si>
  <si>
    <t>This activity delivers real-time positioning, navigation data</t>
  </si>
  <si>
    <t>National Space Mission for Earth Observation (NSMEO)</t>
  </si>
  <si>
    <t>This activity establishes a National Space Mission for Earth Observation to secure access to key earth observation data streams</t>
  </si>
  <si>
    <t>Positioning Australia</t>
  </si>
  <si>
    <t>This activity will establish a national ground station network for positioning, navigation and timing data that will deliver accurate (3-5 cm), near real time positioning data across Australia's mobile network. This will support sectors such as agriculture, logistics and construction.</t>
  </si>
  <si>
    <t>Resourcing Australia's Prosperity</t>
  </si>
  <si>
    <t>This activity enables Geoscience Australia to map the whole of onshore Australia by 2060</t>
  </si>
  <si>
    <t>SouthPAN</t>
  </si>
  <si>
    <t>Strategic Basin Plans - additional funding (Data Driven Discoveries -Cooper and Adavale Basins)</t>
  </si>
  <si>
    <t>This activity develop a Digital Atlas of Australia for precompetitive data collection</t>
  </si>
  <si>
    <t>Great Barrier Reef Marine Park Authority</t>
  </si>
  <si>
    <t>Crown-of-thorns Starfish Control Program</t>
  </si>
  <si>
    <t>ReefHQ Aquarium the National Education Centre for the Great Barrier Reef</t>
  </si>
  <si>
    <t>Reef HQ Aquarium isrecognised nationally and internationally as a centre of excellence in environmental education. The education programs provide a highly efficient mechanism for influencing community perceptions about the Reef at all levels (local, regional, national, and international). Reef HQ Aquarium has been the centrepiece for the delivery of educational programs, enabling the Reef Authority to achieve its strategic policy outcomes as outlined in the Great Barrier Reef Marine Park Act 1975.</t>
  </si>
  <si>
    <t xml:space="preserve">Upon reopening in 226, Reef HQ Aquarium aims to be a global destination of excellence in tropical reef education. The reimagined Aquarium’s education programs will:
•strengthen the commitment to the ongoing improvement of the skills of First Nations peoples in the region, through employment, work experience or other learning and development opportunities
•develop vocational education and training through traineeship programs (primarily Indigenous traineeships and apprenticeships). There are potential partnership/s with registered training organisation/s to deliver vocational education and training providing nationally accredited courses
•demonstrate corporate social responsibility by providing businesses with opportunities to contribute to their societal goals of a philanthropic, environmental, or charitable nature by engaging in ethically oriented practices focused on Reef protection and conservation
•enable international collaboration and capacity building through government-to-government level by providing a dedicated location for sharing knowledge and experience
https://www.reefhq.com.au/transformation-overview/  </t>
  </si>
  <si>
    <t xml:space="preserve">Aged Care Research &amp; Industry Innovation Australia (ARIIA) </t>
  </si>
  <si>
    <t>Aged Care Research &amp; Industry Innovation Australia is working with the aged care workforce, partners, researchers, thought leaders, and businesses to harness opportunities for growth and innovation in aged care in Australia.</t>
  </si>
  <si>
    <t>Aged Care Research &amp; Industry Innovation Australia is funded to 3 June 224 when the Aged Sector will be expected to identify alternative funding sources for its continued operation.</t>
  </si>
  <si>
    <t>Australian Genomic Cancer Medicine Program (Omico</t>
  </si>
  <si>
    <t>The expected outcomes of the delivery of the Australian Genomic Cancer Medicine Program includes the discovery of novel therapeutic approaches for patients with incurable rare and less common cancers, and enhanced basic and translational research into applications of genomics in clinical management.</t>
  </si>
  <si>
    <t>Biomedical Translation Fund</t>
  </si>
  <si>
    <t>Makes venture capital investments in promising biomedical innovations with commercialisation potential in Australia.</t>
  </si>
  <si>
    <t>$25 million (matched with private capital)</t>
  </si>
  <si>
    <t>Supplementation of $172.5 million in 2021-22 and $52.0 million in 2022-23 for the Medical Research Future Fund to address the shortfall in annual disbursement for the MRFF grants due to the reduction in the Maximum Annual Distribution Amount. Maintains commitments to the 21 initiatives outlined in the 2nd MRFF 10 Year Investment Plan to address unmet needs and drive transformation in health care and outcomes.</t>
  </si>
  <si>
    <t>Medical Research Future Fund (MRFF)</t>
  </si>
  <si>
    <t>Provides grants of financial assistance to support health and medical research and innovation, with the objective of improving the health and wellbeing of Australians.</t>
  </si>
  <si>
    <t xml:space="preserve">The National Centre of Excellence in Youth Mental Health (Orygen) </t>
  </si>
  <si>
    <t xml:space="preserve">The National Centre of Excellence in Youth Mental Health provides national leadership for youth mental health, advice to Government on improving services to young Australians affected by mental health issues and facilitates the translation and dissemination of research into evidence-based practice and policy. It aims to enhance innovation, workforce development and to investigate the outcomes of enhanced mental health services.  </t>
  </si>
  <si>
    <t>The National Centre of Excellence in Youth Mental Health has been funded since 214 and will receive ongoing funding of $13.5 million from 218-19 to 22-21, and a further $9. million from 22-21 to 222-23</t>
  </si>
  <si>
    <t>Mental Health Early Intervention and Prevention Research – Infrastructure Grant contributes to the construction of a new facility for Orygen National Centre of Excellence in Youth Mental Health Integrated Healthcare and Translational Research Facility.</t>
  </si>
  <si>
    <t>Organisational Resilience Research - Healthcheck Tool and Guide Updates</t>
  </si>
  <si>
    <t xml:space="preserve">Home Affairs (the Department) holds the responsibility for the maintenance and currency of the Government website, and resources, at https://www.cisc.gov.au/how-we-support-industry/organisational-resilience. The Department has engaged the services of University of Tasmania (UTAS) to conduct a statistical analysis of available data from the Organisational Resilience HealthCheck Tool (found on the CISC website), and the creation of a prototype Critical Infrastructure 'State of Organisational Resilience’ in Australia dashboard using the available data. 
The outputs from this project will take a holistic approach to organisational resilience and as such, will not only be applicable to organisations within the critical infrastructure sector, but will be equally applicable to organisations from other sectors and importantly, relevant across all-hazards.
</t>
  </si>
  <si>
    <t>Academic consulting</t>
  </si>
  <si>
    <t xml:space="preserve">Public funding has been provided to UTAS to undertaken this work, which reflects Academic consulting </t>
  </si>
  <si>
    <t>Advanced Manufacturing Early Stage Research Fund</t>
  </si>
  <si>
    <t>Funding for the Advanced Manufacturing Growth Centre to support small scale and pilot research projects in advanced manufacturing.</t>
  </si>
  <si>
    <t>Encourages further research, investment in emerging engineers and scientists, provide facilities to test new products and develop business capability to ensure advanced manufacturing businesses are world‑leaders in competitive global markets.</t>
  </si>
  <si>
    <t>Advancing Women in STEM strategy</t>
  </si>
  <si>
    <t>Supports strategic direction setting on gender equity issues in STEM</t>
  </si>
  <si>
    <t>Antarctic Science Collaboration Initiative (ASCI)</t>
  </si>
  <si>
    <t>Australia-China Science and Research Fund (ACSRF)</t>
  </si>
  <si>
    <t>The Australia-China Science and Research Fund (ACSRF) supports strategic science, technology and innovation collaboration of mutual benefit to Australia and China. The ACSRF builds critical mass in areas of strategic priority and supports enduring partnerships between Australian and Chinese researchers.</t>
  </si>
  <si>
    <t>Global Science and Technology Diplomacy Fund (GSTDF)</t>
  </si>
  <si>
    <t>Delivered via GSTDF from the 2021-22 Budget.</t>
  </si>
  <si>
    <t>Australia-India Strategic Research Fund (AISRF)</t>
  </si>
  <si>
    <t>The Australia-India Strategic Research Fund (AISRF) supports Australian researchers from public and private sectors to participate with Indian scientists in leading-edge scientific research projects and workshops.</t>
  </si>
  <si>
    <t xml:space="preserve">The Australian Centre for Quantum Growth helps educate adjacent industries on the benefits of quantum technologies, helps facilitate collaborative R&amp;D projects and links in with international counterparts for potential collaboration opportunities. </t>
  </si>
  <si>
    <t>Australian Venture Capital Fund of Funds (AFOF)</t>
  </si>
  <si>
    <t>Facilitates the development and uptake of new ideas and technology and translates them into commercial activity. Increases productivity; improves Australia’s competitiveness and drives economic growth.</t>
  </si>
  <si>
    <t>The Building Future Battery Capabilities Program - Future Battery Industries Demonstrator Stream provides $9.93 million to Powering Australia Limited to deliver an innovation and scale-up program for the commercialisation of Australian battery technologies, deliver a national battery supply chain navigator tool, and support the delivery of nationally-consistent best practice guidelines and standards. The innovation and scale up element of the program will also include an annual industry showcase, offering a platform for industry to forge connections, match suppliers, share insights and best practice, and build networks.</t>
  </si>
  <si>
    <t>The Building Future Battery Capabilities Program - Powering Australia Industry Growth Centre Training Stream provides $10 million grant funding to the Powering Australia Industry Growth Centre to design and deliver targeted training relating to battery design, manufacturing, and handling. Grant funding will also facilitate access to specialised equipment for training purposes.</t>
  </si>
  <si>
    <t>Supports the commercialisation of research from universities and Australian Government research agencies.</t>
  </si>
  <si>
    <t xml:space="preserve">Competitive, merit based grant program that supports industry-led and outcome-focused collaborative research partnerships between industry, researchers and the community. The CRC Program has two streams: CRCs and CRC Projects. CRC Projects must have SME participants, creating a new pathway for SMEs to engage in collaborative research. </t>
  </si>
  <si>
    <t>$838 million (2024-25 to 2027-28)</t>
  </si>
  <si>
    <t>The Critical Technologies Challenge Program supports knowledge transfer and commercialisation by de-risking industry adoption of quantum technologies and incentiving collaboration between quantum researchers and industry partners. By working together to address a challenge of national significance using quantum technologies, the project teams will demonstrate potential commercial or industrial applications for quantum technologies for further investment or development.</t>
  </si>
  <si>
    <t>Decadal Plan for Women in Science</t>
  </si>
  <si>
    <t>The Government is providing a grant to the Academy of Science to develop the plan. The Plan will involve significant consultation and knowledge transfer within the sceince sector (PFROs and busiensses alike). The plan will focus on encouraging more women to pursue studies and careers in STEM fields and eliminate the systemic and cultural barriers that prevent them from doing so</t>
  </si>
  <si>
    <t>Women in STEM</t>
  </si>
  <si>
    <t>Early Stage Venture Capital Limited Partnerships (ESVCLP)</t>
  </si>
  <si>
    <t>Elevate: Boosting Diversity in STEM</t>
  </si>
  <si>
    <t>This program aims to grow a pool of future women STEM leaders by co-funding, in partnership with industry, a scholarship program</t>
  </si>
  <si>
    <t>women in STEM</t>
  </si>
  <si>
    <t>Updated title.</t>
  </si>
  <si>
    <t>EP – Accelerating Commercialisation</t>
  </si>
  <si>
    <t xml:space="preserve">Provides guidance and connections to help businesses and researchers commercialise their novel product, process or service. After receiving commercialisation advice, businesses may apply for competitive matched grants of up to $1 million to assist in commercialisation. </t>
  </si>
  <si>
    <t>Entrepreneurs’ Programme (EP)</t>
  </si>
  <si>
    <t>EP – Growth</t>
  </si>
  <si>
    <t xml:space="preserve">Provides small and medium businesses access to expert advice that helps businesses improve their capabilities, become more competitive, and take advantage of growth opportunities.  Businesses may also access matched Growth Grants of up to $2, to action recommendations from facilitators. </t>
  </si>
  <si>
    <t>EP – Incubator Support</t>
  </si>
  <si>
    <t xml:space="preserve">Provides grant funding to incubators to deliver high-quality services and advice for start-ups, improving their chances of commercial success in international markets. </t>
  </si>
  <si>
    <t>EP – Innovation Connections</t>
  </si>
  <si>
    <t>Assists SME businesses to understand their research needs, connect with the research sector and undertake collaborative research projects. Businesses can also access grants of up to $5, to support collaborative research projects. </t>
  </si>
  <si>
    <t>Global Science and Technology Diplomacy Fund - Strategic Element</t>
  </si>
  <si>
    <t>The Global Science and Technology Diplomacy Fund - Strategic Element (GSTDF-SE) supports strategically important science and technology collaborations with global partners.</t>
  </si>
  <si>
    <t>The Global Science and Technology Diplomacy Fund (GSTDF) was announced as part of the 2021-22 Budget. Includes a bilateral element (ACSRF and AISRF) as well as a strategic element.</t>
  </si>
  <si>
    <t xml:space="preserve">Pawsey is a critical component of Australia’s national research and innovation system, and underpins important research, business and government services. $7 million will be provided as a one-off grant in 217-18 to replace the Magnus and Galaxy computers housed at Pawsey, and upgrade associated data storage systems. </t>
  </si>
  <si>
    <t xml:space="preserve">This $7 million will be provided as a on-off grant in 217-218 only, to replace the Magnus and Galaxy computers at Pawsey. </t>
  </si>
  <si>
    <t>Industry Growth Centres Initiative</t>
  </si>
  <si>
    <t>An industry-led initiative driving innovation, productivity and competitiveness by focusing on sectors of competitive strength and strategic priority.</t>
  </si>
  <si>
    <t>$239.2 million (217-18 to 22-21)</t>
  </si>
  <si>
    <t xml:space="preserve">The Industry Growth Program (the IGP) provides tailored advice to support small to medium enterprises (SMEs) and startups to commercialise their ideas and grow their operations. After receiving advice, eligible businesses may apply for matched grants  to assist in commercialisation. </t>
  </si>
  <si>
    <t>Innovation and Science Australia (ISA) Board</t>
  </si>
  <si>
    <t>Innovation and Science Australia (ISA) is an independent board, responsible for providing strategic whole-of-government advice on all science, research and innovation matters</t>
  </si>
  <si>
    <t>Promotes the commercialisation of Australian research and development by technology-based companies at the seed, start up or early expansion stages of their development.</t>
  </si>
  <si>
    <t xml:space="preserve">The Regional Office’s programs strengthen existing science linkages and scale-up initiatives in the Asia-Pacific.  It will support the onshoring of international conventions and symposiums and deliver two “Flagship Projects” on disaster risk reduction and leadership training for the Pacific. Discussions with the Academy are progressing and they are ready to respond once the grant round is opened. </t>
  </si>
  <si>
    <t>International Engagement</t>
  </si>
  <si>
    <r>
      <t>Corrected the funding amount - In the October 2</t>
    </r>
    <r>
      <rPr>
        <sz val="10"/>
        <color rgb="FFFF0000"/>
        <rFont val="Arial"/>
        <family val="2"/>
      </rPr>
      <t>0</t>
    </r>
    <r>
      <rPr>
        <sz val="10"/>
        <color theme="1"/>
        <rFont val="Arial"/>
        <family val="2"/>
      </rPr>
      <t>22 Budget, the Government committed $1</t>
    </r>
    <r>
      <rPr>
        <sz val="10"/>
        <color rgb="FFFF0000"/>
        <rFont val="Arial"/>
        <family val="2"/>
      </rPr>
      <t>0.3m</t>
    </r>
    <r>
      <rPr>
        <sz val="10"/>
        <color theme="1"/>
        <rFont val="Arial"/>
        <family val="2"/>
      </rPr>
      <t xml:space="preserve"> million over six years, for Australia to host the International Science Council’s Asia Pacific Regional Office from 2023 to 2027.</t>
    </r>
  </si>
  <si>
    <t>Male Champions of Change for STEM</t>
  </si>
  <si>
    <r>
      <t xml:space="preserve">Supports strategic direction setting within PFRO's and business on geder </t>
    </r>
    <r>
      <rPr>
        <sz val="10"/>
        <color rgb="FFFF0000"/>
        <rFont val="Arial"/>
        <family val="2"/>
      </rPr>
      <t>e</t>
    </r>
    <r>
      <rPr>
        <sz val="10"/>
        <color theme="1"/>
        <rFont val="Arial"/>
        <family val="2"/>
      </rPr>
      <t>quity issues in STEM. Supports engagement betwween PFRO and business/end users - CSIRO, ANSTO, UQ, MYOB, ANU, Engineers Australia are examples of members.</t>
    </r>
  </si>
  <si>
    <t>Women in STEM and Entrepreneurship</t>
  </si>
  <si>
    <t>This program ceased in 2019</t>
  </si>
  <si>
    <t>National Measurement Institute</t>
  </si>
  <si>
    <t xml:space="preserve">NMI provides training services to PFROs, industry and academia (including undergraduate internships, work experience and mentoring/training PhD students). NMI supports tech transfer by working with innovators (industry and academia) to solve measurement problems for prototype instruments or products; including in meeting regulatory requirements or compliance with documentary or other standards. NMI provides services that enable regulated entities to demonstrate compliance of new approaches or instruments in the market (e.g. including for clinical, commercial, legal, trade and industrial use). </t>
  </si>
  <si>
    <t>National Quantum Strategy</t>
  </si>
  <si>
    <t>Through establishment of the Quantum Commercialisation Hub, to foster strategic partnerships with likeminded countries to commercialise Australia’s quantum research and help Australian businesses access new markets and investors.</t>
  </si>
  <si>
    <t>Pooled Development Funds</t>
  </si>
  <si>
    <t>to increase the supply of capital to growing Australian small and medium-sized enterprises, including start-up, expansion and growth companies.</t>
  </si>
  <si>
    <t>Powering Australia Industry Growth Centre Program</t>
  </si>
  <si>
    <t>The Powering Australia Industry Growth Centre (PAIGC) fosters knowledge transfer by facilitating partnerships between governments, research institutions, and industry to drive the development and adoption of renewable technologies in Australia; and by supporting First Nations businesses to contribute to the development of renewable technologies through engagement of a First Nations Business Advisor. The PAIGC also supports local manufacturing of renewable technologies and commercialisation of local ideas.</t>
  </si>
  <si>
    <t>Science in Australia Gender and Equity</t>
  </si>
  <si>
    <t>Supports strategic direction setting on gender equity issues in STEM within PFROs.</t>
  </si>
  <si>
    <t>Updated title</t>
  </si>
  <si>
    <t>Thermochemical Conversion Technology Trial Facility</t>
  </si>
  <si>
    <t xml:space="preserve">Grant funding to address pre-construction risks associated with constructing and operating the first thermochemical conversion trial facility for treating asbestos waste in Australia.  </t>
  </si>
  <si>
    <t>Venture Capital Limited Partnerships (VCLP)</t>
  </si>
  <si>
    <t>WISE Grants Program</t>
  </si>
  <si>
    <t xml:space="preserve">Competetive, merit based grant program that provides funding for projects that support girls and women's participation in STEM and Entreprenuership. </t>
  </si>
  <si>
    <t>Women in STEM Ambassador</t>
  </si>
  <si>
    <t>The Ambassador will advocate gender equity in science and technology, raise awareness of issues, prosecute the case for change, and build visibility and promote women in STEM.</t>
  </si>
  <si>
    <t>This program ceased in 2024</t>
  </si>
  <si>
    <t>Women in STEM Decadal Plan</t>
  </si>
  <si>
    <t>Corrected title. Plan was delivered in 2019.</t>
  </si>
  <si>
    <t>Centres of Research Excellence</t>
  </si>
  <si>
    <t>Provides support for teams of researchers to pursue collaborative research and develop capacity in clinical, population health and health services research.</t>
  </si>
  <si>
    <t>Clinical Trials and Cohort Studies</t>
  </si>
  <si>
    <t xml:space="preserve">Provides funding to successful grantees to support high-quality clinical trials and cohort studies that address important gaps in knowledge, leading to relevant and implementable findings for the benefit of human health. </t>
  </si>
  <si>
    <t>$7 million is available for the 219 grant opportunity (for funding commencing in 22)</t>
  </si>
  <si>
    <t>Development Grants</t>
  </si>
  <si>
    <t>Supports health and medical research at the proof-of-concept stage that specifically drives towards a commercial outcome within a foreseeable timeframe.</t>
  </si>
  <si>
    <t>Equipment Grants</t>
  </si>
  <si>
    <t>Provides funding annually to NHMRC approved Administering Institutions to facilitate the procurement of equipment designed to support high quality health and medical research,</t>
  </si>
  <si>
    <t>Ideas Grants</t>
  </si>
  <si>
    <t>The objective of the Ideas Grant scheme is to support innovative research projects addressing a specific question(s).</t>
  </si>
  <si>
    <t>Independent Research Institute Infrastructure Support Scheme</t>
  </si>
  <si>
    <t>Provides funding annually for overhead infrastructure costs to NHMRC approved Administering Institutions that are independent medical research institutes.</t>
  </si>
  <si>
    <t>Investigator Grants</t>
  </si>
  <si>
    <t>Investigator Grants consolidate separate fellowship and research support into one grant scheme that provides the highest-performing researchers at all career stages with funding for their salary (if required) and a significant research support package. These grants provide the investigator with flexibility to pursue important new research directions as they arise and to form collaborations as needed, rather than being restricted to the scope of a specific research project.</t>
  </si>
  <si>
    <t>Partnership Projects</t>
  </si>
  <si>
    <t>Provides funding and support to create new opportunities for researchers and policy makers to work together to define research questions, undertake research, interpret the findings and implement the findings into policy and practice.</t>
  </si>
  <si>
    <t>Synergy Grants</t>
  </si>
  <si>
    <t>Synergy Grants support outstanding multidisciplinary teams of investigators to work together to answer major questions that cannot be answered by a single investigator.</t>
  </si>
  <si>
    <t xml:space="preserve">Confronting Everyday Harms: preventing abuse of people with disability </t>
  </si>
  <si>
    <t>Funding contribution by NQSC for reseacrh by Flinders University</t>
  </si>
  <si>
    <t>The National Disability Research Partnership has been established to develop and implement a national disability research agenda aligned with Australia's Disability Strategy 2021-2031, build Australian disability research capacity and take a leading role in disability research and knowledge translation to drive change in policy and practice that will improve the lives of people with disability.</t>
  </si>
  <si>
    <t>National Centre for Action on Child Sexual Abuse</t>
  </si>
  <si>
    <t xml:space="preserve">The National Centre for Action on Child Sexual Abuse has been funded to commission multi-year, multi-disciplinary collaborations to fill priority gaps identified, evaluate research and programs to drive best practice, identify better service models and reduce the impact of child sexual abuse.  </t>
  </si>
  <si>
    <t>Australian Government Organisations Register (AGOR) – SRI-related bodies</t>
  </si>
  <si>
    <t>This dataset is based on: the Australian Government Organisations Register (AGOR) as of 31/12/2024</t>
  </si>
  <si>
    <r>
      <t xml:space="preserve">R&amp;D active
</t>
    </r>
    <r>
      <rPr>
        <sz val="10"/>
        <rFont val="Arial"/>
        <family val="2"/>
      </rPr>
      <t xml:space="preserve">Does this body undertake R&amp;D as an essential and ongoing element of its </t>
    </r>
    <r>
      <rPr>
        <u/>
        <sz val="10"/>
        <rFont val="Arial"/>
        <family val="2"/>
      </rPr>
      <t>core business</t>
    </r>
    <r>
      <rPr>
        <sz val="10"/>
        <rFont val="Arial"/>
        <family val="2"/>
      </rPr>
      <t>?</t>
    </r>
    <r>
      <rPr>
        <b/>
        <sz val="10"/>
        <rFont val="Arial"/>
        <family val="2"/>
      </rPr>
      <t xml:space="preserve">
</t>
    </r>
  </si>
  <si>
    <r>
      <t xml:space="preserve">Research engaged
</t>
    </r>
    <r>
      <rPr>
        <sz val="10"/>
        <rFont val="Arial"/>
        <family val="2"/>
      </rPr>
      <t xml:space="preserve">Does this body employ or engage with scientists and researchers as an essential and ongoing element of its </t>
    </r>
    <r>
      <rPr>
        <u/>
        <sz val="10"/>
        <rFont val="Arial"/>
        <family val="2"/>
      </rPr>
      <t>core business?</t>
    </r>
    <r>
      <rPr>
        <b/>
        <sz val="10"/>
        <rFont val="Arial"/>
        <family val="2"/>
      </rPr>
      <t xml:space="preserve">
</t>
    </r>
  </si>
  <si>
    <r>
      <t xml:space="preserve">SRI-enabler
</t>
    </r>
    <r>
      <rPr>
        <sz val="10"/>
        <rFont val="Arial"/>
        <family val="2"/>
      </rPr>
      <t xml:space="preserve">Does this body enable science, research and/or innovation as an essential and ongoing element of its </t>
    </r>
    <r>
      <rPr>
        <u/>
        <sz val="10"/>
        <rFont val="Arial"/>
        <family val="2"/>
      </rPr>
      <t>core business</t>
    </r>
    <r>
      <rPr>
        <sz val="10"/>
        <rFont val="Arial"/>
        <family val="2"/>
      </rPr>
      <t>?</t>
    </r>
    <r>
      <rPr>
        <b/>
        <sz val="10"/>
        <rFont val="Arial"/>
        <family val="2"/>
      </rPr>
      <t xml:space="preserve">
</t>
    </r>
  </si>
  <si>
    <t>Agricultural Finance Forum</t>
  </si>
  <si>
    <t>Agriculture Ministers' Meeting</t>
  </si>
  <si>
    <t>Agriculture Senior Officials Committee</t>
  </si>
  <si>
    <t>Agriculture Senior Officials Committee - Agvet Chemicals Task Group</t>
  </si>
  <si>
    <t>Agriculture Senior Officials Committee - Primary Industries Technical Market Access &amp; Trade Development Task Group</t>
  </si>
  <si>
    <t>AMM Working Group on Drought</t>
  </si>
  <si>
    <t>Animal Health Committee</t>
  </si>
  <si>
    <t>Australian Egg Corporation Limited</t>
  </si>
  <si>
    <t>Australian Fisheries Management Forum</t>
  </si>
  <si>
    <t>Australian Livestock Export Corporation Ltd</t>
  </si>
  <si>
    <t>Australian Meat Processor Corporation Limited</t>
  </si>
  <si>
    <t>Australian Pesticides and Veterinary Medicines Authority</t>
  </si>
  <si>
    <t>Australian Plague Locust Commission</t>
  </si>
  <si>
    <t>Bass Strait Central Zone Scallop Fishery Management Advisory Committee</t>
  </si>
  <si>
    <t>Beef Industry Advisory Committee</t>
  </si>
  <si>
    <t>Biosecurity Research Steering Committee</t>
  </si>
  <si>
    <t>Cotton Research and Development Corporation Selection Committee</t>
  </si>
  <si>
    <t>Dairy Export Industry Consultative Committee</t>
  </si>
  <si>
    <t>Department of Agriculture, Fisheries and Forestry</t>
  </si>
  <si>
    <t>Director of Biosecurity</t>
  </si>
  <si>
    <t>Drought Resilience Adoption and Innovation Hubs Advisory Committee</t>
  </si>
  <si>
    <t>Environment and Invasives Committee</t>
  </si>
  <si>
    <t>Export Meat Industry Advisory Committee</t>
  </si>
  <si>
    <t>Export Wild Game Meat Industry Consultative Committee</t>
  </si>
  <si>
    <t>Fisheries Research and Development Corporation Selection Committee</t>
  </si>
  <si>
    <t>Food and Grocery Sector Group</t>
  </si>
  <si>
    <t>Food Export Regulators Steering Committee</t>
  </si>
  <si>
    <t>Forest and Wood Products Council</t>
  </si>
  <si>
    <t>Forestry and Forest Products Committee</t>
  </si>
  <si>
    <t>Future Drought Fund Consultative Committee</t>
  </si>
  <si>
    <t>Grains Research and Development Corporation Selection Committee</t>
  </si>
  <si>
    <t>Great Australian Bight Trawl Sector Management Advisory Committee</t>
  </si>
  <si>
    <t>Halal Consultative Committee</t>
  </si>
  <si>
    <t>Import Industry Finance Consultative Committee</t>
  </si>
  <si>
    <t>Inspector-General of Animal Welfare and Live Animal Exports</t>
  </si>
  <si>
    <t>Inspector-General of Biosecurity</t>
  </si>
  <si>
    <t>Live Animal Export Finance Industry Consultative Committee</t>
  </si>
  <si>
    <t>Marine Pest Sectoral Committee</t>
  </si>
  <si>
    <t>National Biosecurity Committee</t>
  </si>
  <si>
    <t>National Biosecurity Communication and Engagement Network</t>
  </si>
  <si>
    <t>National Biosecurity Emergency Preparedness Expert Group</t>
  </si>
  <si>
    <t>National Biosecurity Management Group</t>
  </si>
  <si>
    <t>National Committee for Land Use and Management Information</t>
  </si>
  <si>
    <t>National Committee on Soil and Terrain</t>
  </si>
  <si>
    <t>National Fishing Advisory Council</t>
  </si>
  <si>
    <t>National Forest Inventory Steering Committee</t>
  </si>
  <si>
    <t>National Management Group</t>
  </si>
  <si>
    <t>National Recreational Fishing Council</t>
  </si>
  <si>
    <t>National Rural Advisory Council</t>
  </si>
  <si>
    <t>Northern Prawn Fishery Management Advisory Committee</t>
  </si>
  <si>
    <t>Northern Territory Fisheries Joint Authority</t>
  </si>
  <si>
    <t>Plant Health Committee</t>
  </si>
  <si>
    <t>Queensland Fisheries Joint Authority</t>
  </si>
  <si>
    <t>Regional Investment Corporation</t>
  </si>
  <si>
    <t>Research, Development and Extension Governance Committee</t>
  </si>
  <si>
    <t>Rural Industries Research and Development Corporation (trading as AgriFutures Australia)</t>
  </si>
  <si>
    <t>Rural Industries Research and Development Corporation Selection Committee</t>
  </si>
  <si>
    <t>SAFEMEAT</t>
  </si>
  <si>
    <t>Scientific Advisory Group</t>
  </si>
  <si>
    <t>Seafood Exporters Consultative Committee</t>
  </si>
  <si>
    <t>Shark-Plan Representative Group</t>
  </si>
  <si>
    <t>Small Pelagic Fishery, Southern Squid Jig Fishery, Commonwealth Trawl Sector and Gillnet, Hook and Trap Sectors Management Advisory Committee</t>
  </si>
  <si>
    <t>Southern Bluefin Tuna Fishery Management Advisory Committee</t>
  </si>
  <si>
    <t>Statutory Fishing Rights Allocation Review Panel</t>
  </si>
  <si>
    <t>Sub-Antarctic Fisheries Management Advisory Committee</t>
  </si>
  <si>
    <t>Sub-committee on Aquatic Animal Health</t>
  </si>
  <si>
    <t>Sub-committee on Market Access Risk and Trade</t>
  </si>
  <si>
    <t>Sub-committee on National Plant Health Surveillance</t>
  </si>
  <si>
    <t>Sub-committee on Plant Health Diagnostics</t>
  </si>
  <si>
    <t>The Centre for Invasive Species Solutions (Invasive Animals Ltd)</t>
  </si>
  <si>
    <t>Torres Strait Protected Zone Joint Authority</t>
  </si>
  <si>
    <t>Tropical Tuna Management Advisory Committee</t>
  </si>
  <si>
    <t>Western Australian Fisheries Joint Authority</t>
  </si>
  <si>
    <t>Wine Australia Selection Committee</t>
  </si>
  <si>
    <t>Administrative Review Council</t>
  </si>
  <si>
    <t>Administrative Review Tribunal</t>
  </si>
  <si>
    <t>Admiralty Rules Committee</t>
  </si>
  <si>
    <t>Attorney-General's Department</t>
  </si>
  <si>
    <t>Australian Anti-Slavery Commissioner</t>
  </si>
  <si>
    <t>Australian Criminal Intelligence Commission</t>
  </si>
  <si>
    <t>Australian Cybercrime Online Reporting Network - Joint Management Group</t>
  </si>
  <si>
    <t>Australian Federal Police</t>
  </si>
  <si>
    <t>Australian Financial Security Authority</t>
  </si>
  <si>
    <t>Australian Government Solicitor</t>
  </si>
  <si>
    <t>Australian Human Rights Commission</t>
  </si>
  <si>
    <t>Australian Institute of Criminology</t>
  </si>
  <si>
    <t>Australian Institute of Police Management</t>
  </si>
  <si>
    <t>Australian Law Reform Commission</t>
  </si>
  <si>
    <t>Australian Security Intelligence Organisation</t>
  </si>
  <si>
    <t>Australian Transaction Reports and Analysis Centre</t>
  </si>
  <si>
    <t>Bankruptcy Reform Consultative Forum</t>
  </si>
  <si>
    <t>Copyright Tribunal of Australia</t>
  </si>
  <si>
    <t>Defence Force Discipline Appeal Tribunal</t>
  </si>
  <si>
    <t>Family Law Council</t>
  </si>
  <si>
    <t>Federal Circuit and Family Court of Australia (Division 1)</t>
  </si>
  <si>
    <t>Federal Circuit and Family Court of Australia (Division 2)</t>
  </si>
  <si>
    <t>Federal Court of Australia</t>
  </si>
  <si>
    <t>Firearms and Weapons Policy Working Group</t>
  </si>
  <si>
    <t>Identity Verification Services Advisory Board</t>
  </si>
  <si>
    <t>Independent National Security Legislation Monitor</t>
  </si>
  <si>
    <t>Information Advisory Committee</t>
  </si>
  <si>
    <t>Inspector of the National Anti-Corruption Commission</t>
  </si>
  <si>
    <t>Inspector of Transport Security</t>
  </si>
  <si>
    <t>Interception Consultative Committee</t>
  </si>
  <si>
    <t>Inter-Governmental Committee on the Australian Crime Commission</t>
  </si>
  <si>
    <t>Law Courts Ltd</t>
  </si>
  <si>
    <t>Meeting of Attorneys-General</t>
  </si>
  <si>
    <t>Modern Slavery Expert Advisory Group</t>
  </si>
  <si>
    <t>National Anti-Corruption Commission</t>
  </si>
  <si>
    <t>National Clinical Reference Group</t>
  </si>
  <si>
    <t>National Cybercrime Working Group</t>
  </si>
  <si>
    <t>National Identity Security Coordination Group</t>
  </si>
  <si>
    <t>National Native Title Tribunal</t>
  </si>
  <si>
    <t>National Strategy Advisory Board</t>
  </si>
  <si>
    <t>NJCA</t>
  </si>
  <si>
    <t>Office of Parliamentary Counsel</t>
  </si>
  <si>
    <t>Office of the Australian Information Commissioner</t>
  </si>
  <si>
    <t>Office of the Commonwealth Ombudsman</t>
  </si>
  <si>
    <t>Office of the Director of Public Prosecutions</t>
  </si>
  <si>
    <t>Office of the Inspector-General of Intelligence and Security</t>
  </si>
  <si>
    <t>Office of the Special Investigator</t>
  </si>
  <si>
    <t>Open Government Forum</t>
  </si>
  <si>
    <t>Precursor Advisory Group</t>
  </si>
  <si>
    <t>Precursor Industry Reference Group</t>
  </si>
  <si>
    <t>Privacy Advisory Committee</t>
  </si>
  <si>
    <t>Respect@Work Council</t>
  </si>
  <si>
    <t>Royal Commission into Defence and Veteran Suicide</t>
  </si>
  <si>
    <t>Royal Commission into Violence, Abuse, Neglect and Exploitation of People with Disability</t>
  </si>
  <si>
    <t>Advisory Committee on Social, Economic and Environmental Sciences</t>
  </si>
  <si>
    <t>Advisory Committee on the Environmental Management of Industrial Chemicals</t>
  </si>
  <si>
    <t>Alligator Rivers Region Advisory Committee</t>
  </si>
  <si>
    <t>Alligator Rivers Region Technical Committee</t>
  </si>
  <si>
    <t>Australian Antarctic Science Council</t>
  </si>
  <si>
    <t>Australian Energy Infrastructure Commissioner</t>
  </si>
  <si>
    <t>Australian Energy Market Commission</t>
  </si>
  <si>
    <t>Australian Energy Market Operator</t>
  </si>
  <si>
    <t>Australian Energy Regulator</t>
  </si>
  <si>
    <t>Australian Heritage Council</t>
  </si>
  <si>
    <t>Australian Institute of Marine Science</t>
  </si>
  <si>
    <t>Australian Renewable Energy Agency</t>
  </si>
  <si>
    <t>Australian World Heritage Advisory Committee</t>
  </si>
  <si>
    <t>Australia-Netherlands Committee on Old Dutch Shipwrecks</t>
  </si>
  <si>
    <t>Basin Officials Committee</t>
  </si>
  <si>
    <t>Basin Plan Implementation Committee</t>
  </si>
  <si>
    <t>Booderee Board of Management</t>
  </si>
  <si>
    <t>Bureau of Meteorology</t>
  </si>
  <si>
    <t>Carbon Net Intergovernmental Steering Committee</t>
  </si>
  <si>
    <t>CEFC Investments Pty Ltd</t>
  </si>
  <si>
    <t>Circular Economy Ministerial Advisory Group</t>
  </si>
  <si>
    <t>Clean Energy Regulator</t>
  </si>
  <si>
    <t>Climate Change Authority</t>
  </si>
  <si>
    <t>Commonwealth Environmental Water Holder</t>
  </si>
  <si>
    <t>Commonwealth Environmental Water Office</t>
  </si>
  <si>
    <t>Connection Media Pty Ltd</t>
  </si>
  <si>
    <t>Contact Peaker Australia Pty Ltd</t>
  </si>
  <si>
    <t>Coral Sea Marine Park Advisory Committee</t>
  </si>
  <si>
    <t>Department of Climate Change, Energy, the Environment and Water</t>
  </si>
  <si>
    <t>Direct Connect Australia Pty Ltd</t>
  </si>
  <si>
    <t>Director of National Parks</t>
  </si>
  <si>
    <t>Emagy Pty Ltd</t>
  </si>
  <si>
    <t>Emissions Reduction Assurance Committee</t>
  </si>
  <si>
    <t>Energy Consumers Australia</t>
  </si>
  <si>
    <t>Energy Ministers' Meeting</t>
  </si>
  <si>
    <t>Energy Senior Officials Meeting</t>
  </si>
  <si>
    <t>First Nations Clean Energy and Climate Change Advisory Committee</t>
  </si>
  <si>
    <t>Fuel Standards Consultative Committee</t>
  </si>
  <si>
    <t>Great Artesian Basin Stakeholder Advisory Committee</t>
  </si>
  <si>
    <t>Greenhouse and Energy Minimum Standards (GEMS) Regulator</t>
  </si>
  <si>
    <t>Independent Energy Appointments Selection Panel</t>
  </si>
  <si>
    <t>Independent Expert Scientific Committee on Unconventional Gas Development and Large Coal Mining Development</t>
  </si>
  <si>
    <t>Indigenous Advisory Committee</t>
  </si>
  <si>
    <t>Indigenous Reef Advisory Committee</t>
  </si>
  <si>
    <t>Inspector-General of Water Compliance</t>
  </si>
  <si>
    <t>Kakadu Board of Management</t>
  </si>
  <si>
    <t>Lake Eyre Basin Community Advisory Committee</t>
  </si>
  <si>
    <t>Lake Eyre Basin Scientific Advisory Panel</t>
  </si>
  <si>
    <t>Land Sector Carbon and Biodiversity Board</t>
  </si>
  <si>
    <t>Latrobe Valley BV</t>
  </si>
  <si>
    <t>Local Marine Advisory Committees - Bowen-Burdekin</t>
  </si>
  <si>
    <t>Local Marine Advisory Committees - Burnett</t>
  </si>
  <si>
    <t>Local Marine Advisory Committees - Cairns</t>
  </si>
  <si>
    <t>Local Marine Advisory Committees - Cape York</t>
  </si>
  <si>
    <t>Local Marine Advisory Committees - Capricorn Coast</t>
  </si>
  <si>
    <t>Local Marine Advisory Committees - Cassowary Coast</t>
  </si>
  <si>
    <t>Local Marine Advisory Committees - Douglas</t>
  </si>
  <si>
    <t>Local Marine Advisory Committees - Gladstone</t>
  </si>
  <si>
    <t>Local Marine Advisory Committees - Hinchinbrook</t>
  </si>
  <si>
    <t>Local Marine Advisory Committees - Mackay</t>
  </si>
  <si>
    <t>Local Marine Advisory Committees - Townsville</t>
  </si>
  <si>
    <t>Local Marine Advisory Committees - Whitsunday</t>
  </si>
  <si>
    <t>Lumo Energy (NSW) Pty Ltd</t>
  </si>
  <si>
    <t>Lumo Energy (QLD) Pty Ltd</t>
  </si>
  <si>
    <t>Lumo Energy (SA) Pty Ltd</t>
  </si>
  <si>
    <t>Lumo Energy Australia Pty Ltd</t>
  </si>
  <si>
    <t>Lumo Energy Telecommunications Pty Ltd</t>
  </si>
  <si>
    <t>Lumo Generation NSW Pty Ltd</t>
  </si>
  <si>
    <t>Lumo Generation SA Pty Ltd</t>
  </si>
  <si>
    <t>Murray-Darling Basin Authority</t>
  </si>
  <si>
    <t>Murray-Darling Basin Community Committee</t>
  </si>
  <si>
    <t>Murray-Darling Basin Ministerial Council</t>
  </si>
  <si>
    <t>National Operating Committee on Jet Fuel Assurance</t>
  </si>
  <si>
    <t>National Wildlife Corridors Committee</t>
  </si>
  <si>
    <t>Natural Heritage Ministerial Board</t>
  </si>
  <si>
    <t>Nature Finance Council</t>
  </si>
  <si>
    <t>Nature Repair Committee</t>
  </si>
  <si>
    <t>North Marine Parks Network Advisory Committee</t>
  </si>
  <si>
    <t>North-west Marine Parks Network Advisory Committee</t>
  </si>
  <si>
    <t>Office of the Threatened Species Commissioner</t>
  </si>
  <si>
    <t>Red Energy Pty Ltd</t>
  </si>
  <si>
    <t>Reef 2050 Advisory Committee</t>
  </si>
  <si>
    <t>Reef 2050 Plan Independent Expert Panel</t>
  </si>
  <si>
    <t>Reef Integrated Monitoring and Reporting Program - Steering Group</t>
  </si>
  <si>
    <t>Reef Water Quality Independent Science Panel</t>
  </si>
  <si>
    <t>Reef Water Quality Protection Plan Partnership Committee</t>
  </si>
  <si>
    <t>River Murray Operations Committee</t>
  </si>
  <si>
    <t>Rock Art Foundation Committee</t>
  </si>
  <si>
    <t>Snowy Hydro Ltd</t>
  </si>
  <si>
    <t>Snowy Hydro Trading Pty Ltd</t>
  </si>
  <si>
    <t>South-east Marine Parks Network Advisory Committee</t>
  </si>
  <si>
    <t>Southern Connected Basin Environmental Watering Committee</t>
  </si>
  <si>
    <t>South-west Marine Parks Network Advisory Committee</t>
  </si>
  <si>
    <t>Sustainable Diversion Limit Adjustment Assessment Committee</t>
  </si>
  <si>
    <t>Sydney Harbour Conservancy</t>
  </si>
  <si>
    <t>Sydney Harbour Foundation Management Ltd</t>
  </si>
  <si>
    <t>Sydney Harbour Federation Trust</t>
  </si>
  <si>
    <t>Temperate East Marine Park Advisory Committee</t>
  </si>
  <si>
    <t>TFI Partners Pty Ltd</t>
  </si>
  <si>
    <t>Threatened Species Scientific Committee</t>
  </si>
  <si>
    <t>Tourism Reef Advisory Committee</t>
  </si>
  <si>
    <t>Uluru-Kata Tjuta Board of Management</t>
  </si>
  <si>
    <t>Underwater Cultural Heritage Delegates</t>
  </si>
  <si>
    <t>Valley Power Pty Ltd</t>
  </si>
  <si>
    <t>Water Efficiency Labelling and Standards Regulator</t>
  </si>
  <si>
    <t>AAF Company (Trustee of Army Amenities Fund and Messes Trust Fund)</t>
  </si>
  <si>
    <t>Afghanistan Inquiry Implementation Oversight Panel</t>
  </si>
  <si>
    <t>Army and Air Force Canteen Service</t>
  </si>
  <si>
    <t>Asia Pacific Centre for Military Law</t>
  </si>
  <si>
    <t>Australian Air Force (Royal Australian Air Force)</t>
  </si>
  <si>
    <t>Australian Army</t>
  </si>
  <si>
    <t>Australian Civil-Military Centre</t>
  </si>
  <si>
    <t>Australian Cyber Security Centre</t>
  </si>
  <si>
    <t>Australian Defence College</t>
  </si>
  <si>
    <t>Australian Defence Force Cover Scheme (ADF Cover)</t>
  </si>
  <si>
    <t>Australian Defence Force Financial Services Consumer Centre</t>
  </si>
  <si>
    <t>Australian Defence Force Superannuation Scheme (ADF Super)</t>
  </si>
  <si>
    <t>Australian Geospatial Intelligence Organisation</t>
  </si>
  <si>
    <t>Australian Government Security Vetting Agency</t>
  </si>
  <si>
    <t>Australian Hydrographic Service</t>
  </si>
  <si>
    <t>Australian Maritime Defence Council</t>
  </si>
  <si>
    <t>Australian Military Forces Relief Trust Fund</t>
  </si>
  <si>
    <t>Australian Navy (Royal Australian Navy)</t>
  </si>
  <si>
    <t>Australian Signals Directorate</t>
  </si>
  <si>
    <t>Australian Strategic Policy Institute Limited</t>
  </si>
  <si>
    <t>Australian Submarine Agency</t>
  </si>
  <si>
    <t>Chief Judge Advocate</t>
  </si>
  <si>
    <t>Chief of the Defence Force</t>
  </si>
  <si>
    <t>Computer Emergency Response Team Australia</t>
  </si>
  <si>
    <t>Crace Developments - Investments in Associates</t>
  </si>
  <si>
    <t>Defence Families of Australia</t>
  </si>
  <si>
    <t>Defence Force Advocate</t>
  </si>
  <si>
    <t>Defence Health Limited</t>
  </si>
  <si>
    <t>Defence Honours and Awards Appeals Tribunal</t>
  </si>
  <si>
    <t>Defence Housing Australia</t>
  </si>
  <si>
    <t>Defence Intelligence Organisation</t>
  </si>
  <si>
    <t>Defence Science and Technology Group</t>
  </si>
  <si>
    <t>Department of Defence</t>
  </si>
  <si>
    <t>Departments of Defence and Veterans' Affairs Human Research Ethics Committee</t>
  </si>
  <si>
    <t>DHA Advisory Committee</t>
  </si>
  <si>
    <t>DHA Investment Management Ltd</t>
  </si>
  <si>
    <t>Director of Defence Counsel Services</t>
  </si>
  <si>
    <t>Director of Military Prosecutions</t>
  </si>
  <si>
    <t>First Principles Review Oversight Board</t>
  </si>
  <si>
    <t>Forces Entertainment Board</t>
  </si>
  <si>
    <t>Inspector-General of the Australian Defence Force</t>
  </si>
  <si>
    <t>Judge Advocate General and Deputy Judge Advocate Generals</t>
  </si>
  <si>
    <t>Lyons Joint Venture</t>
  </si>
  <si>
    <t>Navy Health Ltd</t>
  </si>
  <si>
    <t>Office of Reserve Service Protection</t>
  </si>
  <si>
    <t>RAAF Welfare Recreational Company</t>
  </si>
  <si>
    <t>Registrar of Military Justice</t>
  </si>
  <si>
    <t>Religious Advisory Committee to the Services</t>
  </si>
  <si>
    <t>Royal Australian Air Force Veterans' Residences Trust Fund</t>
  </si>
  <si>
    <t>Royal Australian Air Force Welfare Trust Fund</t>
  </si>
  <si>
    <t>Royal Australian Navy Central Canteens Board (Royal Australian Navy Central Canteens Fund)</t>
  </si>
  <si>
    <t>Royal Australian Navy Relief Trust Fund</t>
  </si>
  <si>
    <t>Stay Smart Online</t>
  </si>
  <si>
    <t>Submarine Advisory Committee</t>
  </si>
  <si>
    <t>The Sanctuary - Wattle Grove - Interest in Joint Venture Development</t>
  </si>
  <si>
    <t>Vice Chief of the Defence Force</t>
  </si>
  <si>
    <t>Woomera Prohibited Area Advisory Board</t>
  </si>
  <si>
    <t>Young Endeavour Youth Scheme</t>
  </si>
  <si>
    <t>Aboriginal and Torres Strait Islander Education Advisory Group</t>
  </si>
  <si>
    <t>ANU (UK) Foundation</t>
  </si>
  <si>
    <t>ANU Enterprise Ltd</t>
  </si>
  <si>
    <t>ANU Enterprise Pty Limited</t>
  </si>
  <si>
    <t>ANU International Holdings Pty Ltd</t>
  </si>
  <si>
    <t>ANU MTAA Super Venture Capital Partnership, LP</t>
  </si>
  <si>
    <t>ANU MTAA Super Venture Capital Pty Limited</t>
  </si>
  <si>
    <t>Australia India Education Council</t>
  </si>
  <si>
    <t>Australia Indonesia Centre</t>
  </si>
  <si>
    <t>Australia's Economic Accelerator Advisory Board</t>
  </si>
  <si>
    <t>Australian Children's Education and Care Quality Authority</t>
  </si>
  <si>
    <t>Australian Curriculum, Assessment and Reporting Authority</t>
  </si>
  <si>
    <t>Australian Education Research Organisation Limited (AERO)</t>
  </si>
  <si>
    <t>Australian Education Senior Officials Committee (AESOC)</t>
  </si>
  <si>
    <t>Australian Institute for Teaching and School Leadership Limited</t>
  </si>
  <si>
    <t>Australian National University</t>
  </si>
  <si>
    <t>Australian Research Council</t>
  </si>
  <si>
    <t>Australian Research Council Advisory Committee</t>
  </si>
  <si>
    <t>Australian Research Council Indigenous Forum</t>
  </si>
  <si>
    <t>Australian Scientific Instruments Pty Limited</t>
  </si>
  <si>
    <t>Australian Universities Accord Implementation Advisory Committee</t>
  </si>
  <si>
    <t>Australian-American Fulbright Commission</t>
  </si>
  <si>
    <t>Civic Engagement Youth Advisory Group</t>
  </si>
  <si>
    <t>Copyright Advisory Group</t>
  </si>
  <si>
    <t>Council for International Education</t>
  </si>
  <si>
    <t>Creative Industries Youth Advisory Group</t>
  </si>
  <si>
    <t>Department of Education</t>
  </si>
  <si>
    <t>Early Childhood Policy Group</t>
  </si>
  <si>
    <t>Education Ministers Meeting</t>
  </si>
  <si>
    <t>Education Services Australia</t>
  </si>
  <si>
    <t>Employment Youth Advisory Group</t>
  </si>
  <si>
    <t>Equity in Higher Education Panel</t>
  </si>
  <si>
    <t>First Nations Education Youth Advisory Group</t>
  </si>
  <si>
    <t>Higher Education Standards Panel</t>
  </si>
  <si>
    <t>Initial Teacher Education Quality Assurance Oversight Board</t>
  </si>
  <si>
    <t>National Education and Care Services</t>
  </si>
  <si>
    <t>National Research Infrastructure (NRI) Advisory Group</t>
  </si>
  <si>
    <t>National Respectful Relationships Education Expert Working Group</t>
  </si>
  <si>
    <t>National School Resourcing Board</t>
  </si>
  <si>
    <t>Preschool Outcomes Measure Expert Advisory Group</t>
  </si>
  <si>
    <t>Prevention of Gender-Based Violence Youth Advisory Group</t>
  </si>
  <si>
    <t>Quality Indicators for Learning and Teaching Working Group</t>
  </si>
  <si>
    <t>Regional Education Commissioner</t>
  </si>
  <si>
    <t>Safe and Supported Youth Advisory Group</t>
  </si>
  <si>
    <t>Schools Policy Group</t>
  </si>
  <si>
    <t>Tertiary Education Quality and Standards Agency</t>
  </si>
  <si>
    <t>The Social Research Centre Pty Limited</t>
  </si>
  <si>
    <t>Tuition Protection Service Advisory Board</t>
  </si>
  <si>
    <t>Tuition Protection Service Director</t>
  </si>
  <si>
    <t>Youth Steering Committee</t>
  </si>
  <si>
    <t>Asbestos and Silica Safety and Eradication Agency</t>
  </si>
  <si>
    <t>Asbestos and Silica Safety and Eradication Council</t>
  </si>
  <si>
    <t>Australian Skills Quality Authority (National Vocational Education and Training Regulator)</t>
  </si>
  <si>
    <t>Coal Mining Industry (Long Service Leave Funding) Corporation</t>
  </si>
  <si>
    <t>Comcare</t>
  </si>
  <si>
    <t>Department of Employment and Workplace Relations</t>
  </si>
  <si>
    <t>Fair Work Commission</t>
  </si>
  <si>
    <t>Federal Safety Commissioner</t>
  </si>
  <si>
    <t>Foundation Skills Advisory Group</t>
  </si>
  <si>
    <t>Jobs and Skills Australia</t>
  </si>
  <si>
    <t>Jobs and Skills Australia Ministerial Advisory Board</t>
  </si>
  <si>
    <t>National Careers Institute (retired from 1 July 2025)</t>
  </si>
  <si>
    <t>National Careers Institute Advisory Board (retired from 1 July 2025)</t>
  </si>
  <si>
    <t>National Centre for Vocational Education Research Ltd</t>
  </si>
  <si>
    <t>National Construction Industry Forum</t>
  </si>
  <si>
    <t>National Vocational Education and Training Regulator Advisory Council</t>
  </si>
  <si>
    <t>National Workplace Relations Consultative Council</t>
  </si>
  <si>
    <t>Office of the Fair Work Ombudsman</t>
  </si>
  <si>
    <t>Qualification Reform Design Group</t>
  </si>
  <si>
    <t>Road Transport Advisory Group</t>
  </si>
  <si>
    <t>Safe Work Australia</t>
  </si>
  <si>
    <t>Safety, Rehabilitation and Compensation Commission</t>
  </si>
  <si>
    <t>Seafarers Safety, Rehabilitation and Compensation Authority</t>
  </si>
  <si>
    <t>Secure Jobs, Better Pay Review</t>
  </si>
  <si>
    <t>Skills and Workforce Ministerial Council</t>
  </si>
  <si>
    <t>SRC Act Review</t>
  </si>
  <si>
    <t>Student Identifiers Registrar</t>
  </si>
  <si>
    <t>Trades Recognition Australia</t>
  </si>
  <si>
    <t>Access Opportunity LP</t>
  </si>
  <si>
    <t>Adams Street Global Opportunities Secondary Fund II-A, L.P.</t>
  </si>
  <si>
    <t>Adams Street Partnership Fund - 2009 Non-US Emerging Markets Fund-A, L.P.</t>
  </si>
  <si>
    <t>ADT MMC 2018 (F) Blocker LLC</t>
  </si>
  <si>
    <t>Advent International GPE VII-F L.P.</t>
  </si>
  <si>
    <t>AFF Feeder SCSp</t>
  </si>
  <si>
    <t>Apax Intercept Syndication LP</t>
  </si>
  <si>
    <t>Archer Capital GF Trust 2C</t>
  </si>
  <si>
    <t>Archer Capital Trust 5C</t>
  </si>
  <si>
    <t>Ares Credit Strategies Feeder Fund III L.P.</t>
  </si>
  <si>
    <t>Ares Credit Strategies Feeder III UK, LP</t>
  </si>
  <si>
    <t>Ares Credit Strategies Fund III, L.P.</t>
  </si>
  <si>
    <t>Ares CSF III Luxembourg SARL</t>
  </si>
  <si>
    <t>Ares Private Debt Strategies Fund III, L.P.</t>
  </si>
  <si>
    <t>Ares SSG Direct Lending, L.P</t>
  </si>
  <si>
    <t>ASC AWD Shipbuilder Pty Ltd</t>
  </si>
  <si>
    <t>ASC Modules Pty Ltd</t>
  </si>
  <si>
    <t>ASC OPV Shipbuilder Pty Ltd</t>
  </si>
  <si>
    <t>ASC Pty Ltd</t>
  </si>
  <si>
    <t>ASP Offshore Company Limited - 2009 Non-US Emerging Markets Fund-A</t>
  </si>
  <si>
    <t>ASP Offshore Company Limited - Global Opportunities Secondary Fund II-A</t>
  </si>
  <si>
    <t>Athanor International AUD Fund, Ltd</t>
  </si>
  <si>
    <t>Athanor International Fund 2, Ltd</t>
  </si>
  <si>
    <t>Atom Overseas Ltd</t>
  </si>
  <si>
    <t>AU Special Investments II, L.P.</t>
  </si>
  <si>
    <t>AU Special Investments, L.P.</t>
  </si>
  <si>
    <t>AU VC, L.P.</t>
  </si>
  <si>
    <t>Australian Electoral Commission</t>
  </si>
  <si>
    <t>Australian Naval Infrastructure Pty Ltd</t>
  </si>
  <si>
    <t>Australian Political Exchange Council</t>
  </si>
  <si>
    <t>Bain Capital Credit Holdings Investors (MRF), LP</t>
  </si>
  <si>
    <t>Bain Capital Distressed and Special Situations 2016 (F), LP</t>
  </si>
  <si>
    <t>Bain Capital Distressed and Special Situations 2016 (F-EU), L.P.</t>
  </si>
  <si>
    <t>Bain Capital Griffin International Master Fund Blocker 4, LLC</t>
  </si>
  <si>
    <t>Bain Capital Middle Market Credit 2014 (F), LP</t>
  </si>
  <si>
    <t>Bain Capital Middle Market Credit 2018 (F), LP</t>
  </si>
  <si>
    <t>Baymount Master Fund LP</t>
  </si>
  <si>
    <t>Baymount Offshore Fund I (AUD) Ltd</t>
  </si>
  <si>
    <t>BCC Distressed &amp; Special Situations (F) Holdings LP</t>
  </si>
  <si>
    <t>BCC DSS 2019 Holdings (F), L.P.</t>
  </si>
  <si>
    <t>BCC DSS 2019 US Holdings (F), LLC</t>
  </si>
  <si>
    <t>BCC Foreland Holdings (E), LLC</t>
  </si>
  <si>
    <t>BCC Frontera (DSS19 F), LP</t>
  </si>
  <si>
    <t>Berkshire FF Multifamily Co-Investment Fund, L.P.</t>
  </si>
  <si>
    <t>Berkshire FF Multifamily Co-Investment REIT</t>
  </si>
  <si>
    <t>Blackbird Guardians Coinvestment Trust</t>
  </si>
  <si>
    <t>Blue Jay Fund Ltd</t>
  </si>
  <si>
    <t>Blue Jay Reinsurance Ltd</t>
  </si>
  <si>
    <t>Bridgewater Pure Alpha Fund III Ltd</t>
  </si>
  <si>
    <t>Brookfield Real Estate Partners F L.P.</t>
  </si>
  <si>
    <t>BSREP III Australia AIV LP</t>
  </si>
  <si>
    <t>BSREP III Australia Sub LP</t>
  </si>
  <si>
    <t>BSREP THG AIV A-FF Australia LP</t>
  </si>
  <si>
    <t>BSREP THG AIV A-FF2 Australia LP</t>
  </si>
  <si>
    <t>Budget and Financial Framework Advisory Committee</t>
  </si>
  <si>
    <t>Bulk Maritime Partners III Ltd</t>
  </si>
  <si>
    <t>Burnet Core Portfolio Fund, Ltd</t>
  </si>
  <si>
    <t>Burnet Discretionary Portfolio Fund, Ltd</t>
  </si>
  <si>
    <t>BVP VII Special Opportunity Fund L.P.</t>
  </si>
  <si>
    <t>Cape Otway Trust</t>
  </si>
  <si>
    <t>Clocktower FF LP</t>
  </si>
  <si>
    <t>ClockTower MRFF LP</t>
  </si>
  <si>
    <t>Clocktower Technologies FF LP</t>
  </si>
  <si>
    <t>Clocktower Technologies Opportunities I LP</t>
  </si>
  <si>
    <t>Co-Investment Fund (Parallel) LP (formerly BlackRock Co-Investment Fund III (Parallel) L.P)</t>
  </si>
  <si>
    <t>Columbia Capital Equity Partners V (NON-US), LP</t>
  </si>
  <si>
    <t>Columbia Capital Equity Partners VII (NON-US) LP</t>
  </si>
  <si>
    <t>Columbia Capital Opportunities Fund I-B, LP</t>
  </si>
  <si>
    <t>Columbia SIG CV, L.P.</t>
  </si>
  <si>
    <t>COMCAR</t>
  </si>
  <si>
    <t>Comcover</t>
  </si>
  <si>
    <t>Commonwealth Superannuation Corporation</t>
  </si>
  <si>
    <t>Commonwealth Superannuation Scheme</t>
  </si>
  <si>
    <t>CP Venture I, LP</t>
  </si>
  <si>
    <t>Data and Digital Ministers' Meeting</t>
  </si>
  <si>
    <t>Deem Global Macro (AUD) Fund Ltd</t>
  </si>
  <si>
    <t>Deep Blue Tech Pty Ltd</t>
  </si>
  <si>
    <t>Defence Force Retirement and Death Benefits Scheme</t>
  </si>
  <si>
    <t>Department of Finance</t>
  </si>
  <si>
    <t>Diamond Trust</t>
  </si>
  <si>
    <t>Digital Transformation Agency</t>
  </si>
  <si>
    <t>Dymon Asia Multi-Strategy Investment Fund</t>
  </si>
  <si>
    <t>Elementum Eccles Fund Ltd</t>
  </si>
  <si>
    <t>Elementum Tranquillius Fund Ltd</t>
  </si>
  <si>
    <t>EMD Flexi Dynamic Australian Feeder Fund</t>
  </si>
  <si>
    <t>EMD2 Flexi Dynamic Australian Feeder Fund</t>
  </si>
  <si>
    <t>Epicentre Co-Investment 1 LP</t>
  </si>
  <si>
    <t>EQT Infrastructure VI Co-Invest (G) SCSP</t>
  </si>
  <si>
    <t>FF Bearcat Holdings LP</t>
  </si>
  <si>
    <t>FFH No.3 Trust</t>
  </si>
  <si>
    <t>FRM Argyle Limited</t>
  </si>
  <si>
    <t>Future Fund Board of Guardians</t>
  </si>
  <si>
    <t>Future Fund Designated Actuary</t>
  </si>
  <si>
    <t>Future Fund Investment Company No.1 Pty Ltd</t>
  </si>
  <si>
    <t>Future Fund Investment Company No.2 Pty Ltd</t>
  </si>
  <si>
    <t>Future Fund Investment Company No.3 Pty Ltd</t>
  </si>
  <si>
    <t>Future Fund Investment Company No.4 Pty Ltd</t>
  </si>
  <si>
    <t>Future Fund Investment Company No.5 Pty Ltd</t>
  </si>
  <si>
    <t>Future Fund Investment Company No.6 Pty Ltd</t>
  </si>
  <si>
    <t>Future Fund Management Agency</t>
  </si>
  <si>
    <t>GIP Bell Aggregator Hold Trust</t>
  </si>
  <si>
    <t>GIP II - D1 Intermediate (Scot), L.P.</t>
  </si>
  <si>
    <t>GIP II D1 Holding I L.P.</t>
  </si>
  <si>
    <t>GIP II D3 Holding 1 (Eagle US) LLC</t>
  </si>
  <si>
    <t>GIP II D5 Holding I (FLNGI Option Offshore), L.P. Inc.</t>
  </si>
  <si>
    <t>GIP II D6 Holding 1 (FLNG U.S.), LLC</t>
  </si>
  <si>
    <t>GIP II D7 Holding 1 (CPV U.S.), LLC</t>
  </si>
  <si>
    <t>GIP II D8 Holding 1 (Blue U.S.), LLC</t>
  </si>
  <si>
    <t>GIP II-D1 AIV Unit Trust</t>
  </si>
  <si>
    <t>GIP II-D1 Intermediate CPV AIV 1, L.P.</t>
  </si>
  <si>
    <t>GIP II-D1 Intermediate Eagle AIV 1 L.P.</t>
  </si>
  <si>
    <t>GIP IV-C2 AIV Sharon Trust</t>
  </si>
  <si>
    <t>Global Infrastructure Partners - Co-Invest IV L.P.</t>
  </si>
  <si>
    <t>Global Infrastructure Partners II-D1, L.P.</t>
  </si>
  <si>
    <t>GMO Allegro Trust</t>
  </si>
  <si>
    <t>GPE VI-A OT Co-Investment L.P.</t>
  </si>
  <si>
    <t>GPE VII-A OT Co-Investment L.P.</t>
  </si>
  <si>
    <t>Greenspring GE (Offshore) , L.P.</t>
  </si>
  <si>
    <t>Greenspring GE II (Offshore), L.P.</t>
  </si>
  <si>
    <t>Greenspring GE III Master LP</t>
  </si>
  <si>
    <t>Greenspring GE IV Master LP</t>
  </si>
  <si>
    <t>Greenspring Growth Equity II (Cayman), L.P.</t>
  </si>
  <si>
    <t>Greenspring Growth Equity II, L.P.</t>
  </si>
  <si>
    <t>Greenspring Growth Equity IV, L.P.</t>
  </si>
  <si>
    <t>Greenspring Growth Equity, L.P.</t>
  </si>
  <si>
    <t>Greenspring Master MR, L.P</t>
  </si>
  <si>
    <t>Greystar GEPE Feeder (UK) I LP</t>
  </si>
  <si>
    <t>GS Neo Co-invest Vehicle LP</t>
  </si>
  <si>
    <t>Hayfin Opal 2020 (A) LP</t>
  </si>
  <si>
    <t>Hayfin Opal 2020 (B) LP</t>
  </si>
  <si>
    <t>Hayfin Opal III LP</t>
  </si>
  <si>
    <t>Heads of Treasury Accounting and Reporting Advisory Committee (Australia)</t>
  </si>
  <si>
    <t>HERE Co-Investment Feeder Fund I, L.P.</t>
  </si>
  <si>
    <t>HERE Co-Investment Fund I, L.P.</t>
  </si>
  <si>
    <t>Highstar Capital IV-A L.P.</t>
  </si>
  <si>
    <t>Horsley Bridge Strategic Fund, L.P.</t>
  </si>
  <si>
    <t>Independent Communications Committee</t>
  </si>
  <si>
    <t>Independent Parliamentary Expenses Authority</t>
  </si>
  <si>
    <t>Independent Parliamentary Standards Commission</t>
  </si>
  <si>
    <t>Infrastructure Co-Investment Partners III (F) L.P.</t>
  </si>
  <si>
    <t>Ionic Volatility Arbitrage Fund III Ltd</t>
  </si>
  <si>
    <t>Ionic Volatility Arbitrage Master Fund III Ltd</t>
  </si>
  <si>
    <t>Kiskadee ILS Fund SAC Ltd</t>
  </si>
  <si>
    <t>Lantau Overseas Fund II, L.P.</t>
  </si>
  <si>
    <t>Lantau Overseas Fund L.P.</t>
  </si>
  <si>
    <t>Lantern Co-Investment Partners (F) L.P.</t>
  </si>
  <si>
    <t>Lantern Co-Investment Partners (F-II) L.P.</t>
  </si>
  <si>
    <t>Lazard Emerging Market Debt Total Return Debt Fund 2</t>
  </si>
  <si>
    <t>Lotus Infrastructure Fund II Canada LP</t>
  </si>
  <si>
    <t>Lotus infrastructure Fund II Co-Invest FF LLC</t>
  </si>
  <si>
    <t>Man Opal Fund Limited</t>
  </si>
  <si>
    <t>Melbourne Holdings 1, L.P.</t>
  </si>
  <si>
    <t>Melbourne Holdings 2, L.P.</t>
  </si>
  <si>
    <t>Melbourne Holdings 8, L.P.</t>
  </si>
  <si>
    <t>Metropolitan Fund L.P.</t>
  </si>
  <si>
    <t>Military Superannuation and Benefits Scheme</t>
  </si>
  <si>
    <t>Motive Acacia Co-Investment LP</t>
  </si>
  <si>
    <t>Motive InvestCloud Co-Investment LP</t>
  </si>
  <si>
    <t>MRFF Investment Company No.1 Pty Ltd</t>
  </si>
  <si>
    <t>MRFF Investment Company No.2 Pty Ltd</t>
  </si>
  <si>
    <t>National Data Advisory Council</t>
  </si>
  <si>
    <t>Niara Investments SPC, Ltd</t>
  </si>
  <si>
    <t>North Haven Real Estate Fund VIII Co-Investments No.1 LP</t>
  </si>
  <si>
    <t>Oaktree Epsilon EMDTR</t>
  </si>
  <si>
    <t>Oaktree FF Emerging Markets Opportunities Fund (Feeder), L.P</t>
  </si>
  <si>
    <t>Oaktree FF Emerging Markets Opportunities Fund, L.P</t>
  </si>
  <si>
    <t>Oaktree FF Investment Fund AIF (Delaware), L.P.</t>
  </si>
  <si>
    <t>Oaktree FF Investment Fund AIF Restructuring AIF (Delaware), L.P.</t>
  </si>
  <si>
    <t>Oaktree FF Investment Fund Class F Holdings, L.P.</t>
  </si>
  <si>
    <t>Oaktree FF Investment Fund Restructuring AIV (Cayman), L.P.</t>
  </si>
  <si>
    <t>Oaktree FF Investment Fund, L.P.</t>
  </si>
  <si>
    <t>Oaktree FF-A (Cayman) 1 CTB Ltd.</t>
  </si>
  <si>
    <t>OCM DB Holdings 1, Ltd.</t>
  </si>
  <si>
    <t>OCM Luxembourg OPPS FFF SARL</t>
  </si>
  <si>
    <t>Office of the National Data Commissioner</t>
  </si>
  <si>
    <t>OHA FD Custom Credit AIV LP</t>
  </si>
  <si>
    <t>OHA FD Custom Credit Fund BL LP</t>
  </si>
  <si>
    <t>OHA FD Custom Credit Fund BL Subsidiary LP</t>
  </si>
  <si>
    <t>OHA FD Custom Credit Fund LP</t>
  </si>
  <si>
    <t>OHA Highlands, L.P.</t>
  </si>
  <si>
    <t>Olympus Peak Trade Claims Opportunities Fund I Offshore LP</t>
  </si>
  <si>
    <t>Pacific Alliance-FF Asia Special Situations Fund L.P.</t>
  </si>
  <si>
    <t>Pacific Alliance-FF Feeder Fund L.P.</t>
  </si>
  <si>
    <t>Parliamentary Retiring Allowances Trust</t>
  </si>
  <si>
    <t>Parliamentary Workplace Support Service (PWSS)</t>
  </si>
  <si>
    <t>Parliamentary Workplace Support Service Advisory Board</t>
  </si>
  <si>
    <t>Point Lonsdale Fund, L.P.</t>
  </si>
  <si>
    <t>Public Sector Superannuation Accumulation Plan</t>
  </si>
  <si>
    <t>Public Sector Superannuation Scheme</t>
  </si>
  <si>
    <t>QS FF Emerging Markets Feeder L.P.</t>
  </si>
  <si>
    <t>QS FF Emerging Markets II Feeder, L.P.</t>
  </si>
  <si>
    <t>QS FF Emerging Markets II, L.P.</t>
  </si>
  <si>
    <t>QS FF Emerging Markets L.P.</t>
  </si>
  <si>
    <t>QSEF A1 Co-Investment Trust</t>
  </si>
  <si>
    <t>Quadrant Private Equity A2C Co-Investment Trust</t>
  </si>
  <si>
    <t>Quadrant Private Equity MotorOne Trust C</t>
  </si>
  <si>
    <t>Quadrant Private Equity No.3C</t>
  </si>
  <si>
    <t>Quadrant Private Equity No.4C</t>
  </si>
  <si>
    <t>Quadrant Private Equity No.5C</t>
  </si>
  <si>
    <t>Quadrant Private Equity No.6C</t>
  </si>
  <si>
    <t>Quadrant Private Equity No.7C</t>
  </si>
  <si>
    <t>Quadrant Strategic Equity Fund</t>
  </si>
  <si>
    <t>Quantix Commodities Opportunities Fund LP</t>
  </si>
  <si>
    <t>Queenscliff Trust</t>
  </si>
  <si>
    <t>RCP FF Small Buyout Co-Investment Fund II, L.P.</t>
  </si>
  <si>
    <t>RCP FF Small Buyout Co-Investment Fund III, LP</t>
  </si>
  <si>
    <t>RCP FF Small Buyout Co-Investment Fund, L.P.</t>
  </si>
  <si>
    <t>Schonfeld Strategic AWF Fund LP</t>
  </si>
  <si>
    <t>Seidler Equity Australia I L.P.</t>
  </si>
  <si>
    <t>Sorrento Trust</t>
  </si>
  <si>
    <t>Squarepoint Moebius International Feeder Limited</t>
  </si>
  <si>
    <t>SWG Arlington IV-A FIV Sub, LLC</t>
  </si>
  <si>
    <t>SWG Griffith IV-A FIV Sub, LLC</t>
  </si>
  <si>
    <t>SWG IV-A Interco LLC</t>
  </si>
  <si>
    <t>The Freycinet Fund Core Portfolio, Ltd</t>
  </si>
  <si>
    <t>The Freycinet Fund Discretionary Portfolio, Ltd</t>
  </si>
  <si>
    <t>Turquoise Special Account Topco LP</t>
  </si>
  <si>
    <t>Wellington Pagosa Fund (Cayman) II, Ltd.</t>
  </si>
  <si>
    <t>Worden Fund, L.P.</t>
  </si>
  <si>
    <t>APEC Business Advisory Council (ABAC)</t>
  </si>
  <si>
    <t>Australia-ASEAN Council (AAC)</t>
  </si>
  <si>
    <t>Australia-Indonesia Institute (AII)</t>
  </si>
  <si>
    <t>Australia-Japan Foundation</t>
  </si>
  <si>
    <t>Australia-Korea Foundation</t>
  </si>
  <si>
    <t>Australian Infrastructure Financing Facility for the Pacific (AIFFP)</t>
  </si>
  <si>
    <t>Australian National Commission for UNESCO</t>
  </si>
  <si>
    <t>Australian Safeguards and Non-Proliferation Office</t>
  </si>
  <si>
    <t>Australian Secret Intelligence Service</t>
  </si>
  <si>
    <t>Australian Standing Committee on Tourism</t>
  </si>
  <si>
    <t>Australian Trade and Investment Commission (Austrade)</t>
  </si>
  <si>
    <t>Australia's Nation Brand Advisory Council</t>
  </si>
  <si>
    <t>Centre for Australia-India Relations (CAIR)</t>
  </si>
  <si>
    <t>Commission for International Agricultural Research (ACIAR)</t>
  </si>
  <si>
    <t>Council for Australian-Arab Relations (CAAR)</t>
  </si>
  <si>
    <t>Council on Australia Latin America Relations (COALAR)</t>
  </si>
  <si>
    <t>Department of Foreign Affairs and Trade</t>
  </si>
  <si>
    <t>Editorial Advisory Board</t>
  </si>
  <si>
    <t>Export Finance Australia (EFA)</t>
  </si>
  <si>
    <t>Ministerial Council on Trade and Investment</t>
  </si>
  <si>
    <t>National Foundation for Australia-China Relations (NFACR)</t>
  </si>
  <si>
    <t>National Investment Advisory Board</t>
  </si>
  <si>
    <t>Pacific Security College (PSC)</t>
  </si>
  <si>
    <t>Partnerships for a Healthy Region Technical Reference Group</t>
  </si>
  <si>
    <t>Policy Advisory Council (for International Agricultural Research)</t>
  </si>
  <si>
    <t>Senior Official Trade and Investment Group</t>
  </si>
  <si>
    <t>Simplified Trade Systems (STS) Industry Advisory Council</t>
  </si>
  <si>
    <t>Tourism Access Working Group</t>
  </si>
  <si>
    <t>Tourism Australia</t>
  </si>
  <si>
    <t>Tourism Ministers Meeting</t>
  </si>
  <si>
    <t>Tourism Research Australia</t>
  </si>
  <si>
    <t>Tourism Research Committee</t>
  </si>
  <si>
    <t>Trade 2040 Taskforce</t>
  </si>
  <si>
    <t>Aboriginal and Torres Strait Islander Health Practice Board of Australia</t>
  </si>
  <si>
    <t>Administrator of the National Health Funding Pool</t>
  </si>
  <si>
    <t>Advisory Committee on Biologicals</t>
  </si>
  <si>
    <t>Advisory Committee on Chemicals Scheduling</t>
  </si>
  <si>
    <t>Advisory Committee on Complementary Medicines</t>
  </si>
  <si>
    <t>Advisory Committee on Medical Devices</t>
  </si>
  <si>
    <t>Advisory Committee on Medicines</t>
  </si>
  <si>
    <t>Advisory Committee on Medicines Scheduling</t>
  </si>
  <si>
    <t>Advisory Committee on Vaccines</t>
  </si>
  <si>
    <t>Aged Care Clinical Advisory Committee - Reducing the Inappropriate use of Restraint in Residential Aged Care</t>
  </si>
  <si>
    <t>Aged Care Quality and Safety Advisory Council</t>
  </si>
  <si>
    <t>Aged Care Quality and Safety Commission</t>
  </si>
  <si>
    <t>Agency Management Committee</t>
  </si>
  <si>
    <t>Australian Bleeding Disorders Registry Steering Committee</t>
  </si>
  <si>
    <t>Australian Commission on Safety and Quality in Health Care</t>
  </si>
  <si>
    <t>Australian Commission on Safety and Quality in Health Care's Inter-Jurisdictional Committee</t>
  </si>
  <si>
    <t>Australian Commission on Safety and Quality in Health Care's Primary Care Committee</t>
  </si>
  <si>
    <t>Australian Commission on Safety and Quality in Health Care's Private Hospital Sector Committee</t>
  </si>
  <si>
    <t>Australian Community Pharmacy Authority</t>
  </si>
  <si>
    <t>Australian Digital Health Agency</t>
  </si>
  <si>
    <t>Australian Digital Health Agency - Clinical and Technical Advisory Committee</t>
  </si>
  <si>
    <t>Australian Digital Health Agency - Consumer Advisory Committee</t>
  </si>
  <si>
    <t>Australian Digital Health Agency - Jurisdictional Advisory Committee</t>
  </si>
  <si>
    <t>Australian Digital Health Agency - Privacy Security and Advisory Committee</t>
  </si>
  <si>
    <t>Australian Health Practitioner Regulation Agency</t>
  </si>
  <si>
    <t>Australian Health Protection Principal Committee</t>
  </si>
  <si>
    <t>Australian Industrial Chemicals Introduction Scheme</t>
  </si>
  <si>
    <t>Australian Institute of Health and Welfare</t>
  </si>
  <si>
    <t>Australian Medical Research Advisory Board</t>
  </si>
  <si>
    <t>Australian National Advisory Council on Alcohol and other Drugs</t>
  </si>
  <si>
    <t>Australian National Preventive Health Agency</t>
  </si>
  <si>
    <t>Australian Organ and Tissue Donation and Transplantation Advisory Board</t>
  </si>
  <si>
    <t>Australian Radiation Protection and Nuclear Safety Agency</t>
  </si>
  <si>
    <t>Australian Sports Drug Medical Advisory Committee</t>
  </si>
  <si>
    <t>Australian Sports Foundation Limited</t>
  </si>
  <si>
    <t>Australian Strategic and Technical Advisory Group on AMR</t>
  </si>
  <si>
    <t>Australian Technical Advisory Group on Immunisation</t>
  </si>
  <si>
    <t>Cancer Australia</t>
  </si>
  <si>
    <t>Cancer Australia Advisory Council</t>
  </si>
  <si>
    <t>Cardiovascular Expert Clinical Advisory Group</t>
  </si>
  <si>
    <t>Chinese Medicine Board of Australia</t>
  </si>
  <si>
    <t>Chiropractic Board of Australia</t>
  </si>
  <si>
    <t>Clinical Governance Committee</t>
  </si>
  <si>
    <t>Clinical Trials Jurisdictional Working Group</t>
  </si>
  <si>
    <t>Communicable Diseases Network Australia</t>
  </si>
  <si>
    <t>Council of Elders</t>
  </si>
  <si>
    <t>Dental Board of Australia</t>
  </si>
  <si>
    <t>Department of Health and Aged Care</t>
  </si>
  <si>
    <t>Digital Health Oversight Committee</t>
  </si>
  <si>
    <t>Director of Human Biosecurity</t>
  </si>
  <si>
    <t>Eye and Tissue Advisory Committee</t>
  </si>
  <si>
    <t>Fifth Review of the Dental Benefits Act 2008 Panel</t>
  </si>
  <si>
    <t>First Nations General Practice Training Committee</t>
  </si>
  <si>
    <t>Food Ministers' Meeting</t>
  </si>
  <si>
    <t>Food Standards Australia New Zealand</t>
  </si>
  <si>
    <t>Gene Technology Ethics and Community Consultative Committee</t>
  </si>
  <si>
    <t>Gene Technology Ministers' Meeting</t>
  </si>
  <si>
    <t>Gene Technology Regulator</t>
  </si>
  <si>
    <t>Gene Technology Standing Committee</t>
  </si>
  <si>
    <t>Gene Technology Technical Advisory Committee</t>
  </si>
  <si>
    <t>General Practice Training Advisory Committee</t>
  </si>
  <si>
    <t>General Surgery Expert Clinical Advisory Group</t>
  </si>
  <si>
    <t>Haemovigilance Advisory Committee</t>
  </si>
  <si>
    <t>Health Chief Executives Forum</t>
  </si>
  <si>
    <t>Health Ministers' Meeting Forum</t>
  </si>
  <si>
    <t>Health Star Rating Advisory Committee</t>
  </si>
  <si>
    <t>Healthdirect Australia Board</t>
  </si>
  <si>
    <t>Hip and Knee Expert Clinical Advisory Group</t>
  </si>
  <si>
    <t>Independent Health and Aged Care Pricing Authority</t>
  </si>
  <si>
    <t>Independent Health and Aged Care Pricing Authority Aged Care Advisory Committee</t>
  </si>
  <si>
    <t>Independent Health and Aged Care Pricing Authority Clinical Advisory Committee</t>
  </si>
  <si>
    <t>Infection Prevention and Control Expert Group</t>
  </si>
  <si>
    <t>Jurisdictional Advisory Group</t>
  </si>
  <si>
    <t>Jurisdictional Blood Committee</t>
  </si>
  <si>
    <t>Life Saving Drugs Program Expert Panel</t>
  </si>
  <si>
    <t>Medical Board of Australia</t>
  </si>
  <si>
    <t>Medical Devices and Human Tissue Advisory Committee (MDHTAC)</t>
  </si>
  <si>
    <t>Medical Radiation Practice Board of Australia</t>
  </si>
  <si>
    <t>Medical Services Advisory Committee</t>
  </si>
  <si>
    <t>Medical Workforce Reform Advisory Committee</t>
  </si>
  <si>
    <t>Medicare Benefits Schedule Review Advisory Committee (MRAC)</t>
  </si>
  <si>
    <t>Medicare Benefits Schedule Review Taskforce</t>
  </si>
  <si>
    <t>Medicare Participation Review Committee</t>
  </si>
  <si>
    <t>MRFF Australian Brain Cancer Mission Expert Advisory Panel</t>
  </si>
  <si>
    <t>MRFF Genomic Health Futures Mission Expert Advisory Panel</t>
  </si>
  <si>
    <t>MRFF Primary Health Research Plan Expert Advisory Panel</t>
  </si>
  <si>
    <t>National Advisory Group for Aboriginal and Torres Strait Islander Aged Care</t>
  </si>
  <si>
    <t>National Aged Care Advisory Council NACAC</t>
  </si>
  <si>
    <t>National Blood Authority</t>
  </si>
  <si>
    <t>National Health and Medical Research Council</t>
  </si>
  <si>
    <t>National Health and Medical Research Council - Australian Health Ethics Committe</t>
  </si>
  <si>
    <t>National Health and Medical Research Council - Commissioner of Complaints</t>
  </si>
  <si>
    <t>National Health and Medical Research Council - Council</t>
  </si>
  <si>
    <t>National Health and Medical Research Council - Embryo Research and Licensing Com</t>
  </si>
  <si>
    <t>National Health and Medical Research Council - Health Research Impact Committee</t>
  </si>
  <si>
    <t>National Health and Medical Research Council - Research Committee</t>
  </si>
  <si>
    <t>National Health Funding Body</t>
  </si>
  <si>
    <t>National Health Practitioner Ombudsman and Privacy Commissioner</t>
  </si>
  <si>
    <t>National Immunisation Committee</t>
  </si>
  <si>
    <t>National Immunoglobulin Governance Advisory Committee</t>
  </si>
  <si>
    <t>National Medical Workforce Strategy Service Registrars Working Group</t>
  </si>
  <si>
    <t>National Medical Workforce Strategy Steering Committee</t>
  </si>
  <si>
    <t>National Pathology Accreditation Advisory Council</t>
  </si>
  <si>
    <t>National Rural Health Commissioner</t>
  </si>
  <si>
    <t>National Sports Tribunal</t>
  </si>
  <si>
    <t>Nuclear Safety Committee</t>
  </si>
  <si>
    <t>Nursing and Midwifery Board of Australia</t>
  </si>
  <si>
    <t>Occupational Therapy Board of Australia</t>
  </si>
  <si>
    <t>Office of the Inspector-General of Aged Care</t>
  </si>
  <si>
    <t>Ophthalmic Expert Clinical Advisory Group</t>
  </si>
  <si>
    <t>Optometry Board of Australia</t>
  </si>
  <si>
    <t>Organ and Tissue Authority</t>
  </si>
  <si>
    <t>Osteopathy Board of Australia</t>
  </si>
  <si>
    <t>Paramedicine Board of Australia</t>
  </si>
  <si>
    <t>Patient Blood Management Advisory Committee</t>
  </si>
  <si>
    <t>Pharmaceutical Benefits Advisory Committee</t>
  </si>
  <si>
    <t>Pharmaceutical Benefits Remuneration Tribunal</t>
  </si>
  <si>
    <t>Pharmaceutical Services Federal Committee of Inquiry</t>
  </si>
  <si>
    <t>Pharmacy Board of Australia</t>
  </si>
  <si>
    <t>Physiotherapy Board of Australia</t>
  </si>
  <si>
    <t>Podiatry Board of Australia</t>
  </si>
  <si>
    <t>Professional Services Review</t>
  </si>
  <si>
    <t>Professional Services Review - Determining Authority</t>
  </si>
  <si>
    <t>Professional Services Review Panel</t>
  </si>
  <si>
    <t>Psychology Board of Australia</t>
  </si>
  <si>
    <t>Public Health Laboratory Network</t>
  </si>
  <si>
    <t>Quality Use of Pathology Committee</t>
  </si>
  <si>
    <t>Radiation Health and Safety Advisory Council</t>
  </si>
  <si>
    <t>Radiation Health Committee</t>
  </si>
  <si>
    <t>Specialist Orthopaedics Expert Clinical Advisory Group</t>
  </si>
  <si>
    <t>Spinal and Neurosurgical Expert Clinical Advisory Group</t>
  </si>
  <si>
    <t>Sport Integrity Australia</t>
  </si>
  <si>
    <t>Strengthening Medicare Taskforce</t>
  </si>
  <si>
    <t>Therapeutic Goods Advertising Consultative Committee</t>
  </si>
  <si>
    <t>Transplant Liaison Reference Group</t>
  </si>
  <si>
    <t>Vigilance and Surveillance Expert Advisory Committee</t>
  </si>
  <si>
    <t>Australian Border Force Commissioner</t>
  </si>
  <si>
    <t>Australian Multicultural Council</t>
  </si>
  <si>
    <t>Australia-New Zealand Counter-Terrorism Committee</t>
  </si>
  <si>
    <t>Australia-New Zealand Emergency Management Committee</t>
  </si>
  <si>
    <t>Aviation Security Identification Card Issuing Bodies</t>
  </si>
  <si>
    <t>Community Protection Board</t>
  </si>
  <si>
    <t>Customs Advisory Board</t>
  </si>
  <si>
    <t>Department of Home Affairs</t>
  </si>
  <si>
    <t>Education Visa Consultative Committee</t>
  </si>
  <si>
    <t>Executive Cyber Council</t>
  </si>
  <si>
    <t>Maritime Security Identification Card Issuing Bodies</t>
  </si>
  <si>
    <t>Ministerial Advisory Council on Skilled Migration</t>
  </si>
  <si>
    <t>Ministerial Advisory Council on Skilled Migration Expert Sub-committee</t>
  </si>
  <si>
    <t>Ministerial Migration Roundtable</t>
  </si>
  <si>
    <t>National Accreditation Authority for Translators and Interpreters</t>
  </si>
  <si>
    <t>National Border Targeting Centre</t>
  </si>
  <si>
    <t>National Committee on Trade Facilitation</t>
  </si>
  <si>
    <t>National Customs Brokers Licensing Advisory Committee</t>
  </si>
  <si>
    <t>National Cyber Intel Partnership</t>
  </si>
  <si>
    <t>National Emergency Management Agency</t>
  </si>
  <si>
    <t>National Emergency Management Ministers' Meeting</t>
  </si>
  <si>
    <t>National Office of Cyber Security</t>
  </si>
  <si>
    <t>National Passenger Facilitation Committee</t>
  </si>
  <si>
    <t>National Sea Passenger Facilitation Committee</t>
  </si>
  <si>
    <t>Operation Sovereign Borders (Joint Agency Task Force)</t>
  </si>
  <si>
    <t>Secret Network Owners Committee</t>
  </si>
  <si>
    <t>Senior Officers Group on Organised Crime</t>
  </si>
  <si>
    <t>Settlement Advisory Council</t>
  </si>
  <si>
    <t>Skilled Migration Officials Group</t>
  </si>
  <si>
    <t>TIS National</t>
  </si>
  <si>
    <t>Tourism Visa Advisory Group</t>
  </si>
  <si>
    <t>Trusted Information Sharing Network</t>
  </si>
  <si>
    <t>University Foreign Interference Taskforce</t>
  </si>
  <si>
    <t>Anti-Dumping Commission</t>
  </si>
  <si>
    <t>Anti-Dumping Review Panel</t>
  </si>
  <si>
    <t>Australia and New Zealand Land Information Council (ANZLIC)</t>
  </si>
  <si>
    <t>Australia Telescope National Facility Steering Committee</t>
  </si>
  <si>
    <t>Australia Telescope Time Assignment Committee</t>
  </si>
  <si>
    <t>Australia Telescope User Committee</t>
  </si>
  <si>
    <t>Australian Building Codes Board</t>
  </si>
  <si>
    <t>Australian Industry Participation Authority</t>
  </si>
  <si>
    <t>Australian Nuclear Science and Technology Organisation</t>
  </si>
  <si>
    <t>Australian Radioactive Waste Agency (ARWA)</t>
  </si>
  <si>
    <t>Australian SKA Science Advisory Committee</t>
  </si>
  <si>
    <t>Australian Space Agency</t>
  </si>
  <si>
    <t>Australian Space Agency Advisory Board</t>
  </si>
  <si>
    <t>Australian Square Kilometre Array Coordination Committee</t>
  </si>
  <si>
    <t>Building Ministers' Meeting</t>
  </si>
  <si>
    <t>Chief Scientist</t>
  </si>
  <si>
    <t>COAG Industry and Skills Council</t>
  </si>
  <si>
    <t>Commercial Building Disclosure Forum</t>
  </si>
  <si>
    <t>Commonwealth Scientific and Industrial Research Organisation</t>
  </si>
  <si>
    <t>Critical Minerals Independent Technical Panel</t>
  </si>
  <si>
    <t>CSIRO Custodial Services Pty Ltd</t>
  </si>
  <si>
    <t>CSIRO Financial Services Pty Ltd</t>
  </si>
  <si>
    <t>CSIRO FollowOn Services 2 Pty Ltd</t>
  </si>
  <si>
    <t>CSIRO FollowOn Services Pty Ltd</t>
  </si>
  <si>
    <t>CSIRO Follow-on Sponsor Trust</t>
  </si>
  <si>
    <t>CSIRO Fund of Funds, LP (an AFOF)</t>
  </si>
  <si>
    <t>CSIRO General Partner 2 Pty Ltd</t>
  </si>
  <si>
    <t>CSIRO General Partner Pty Ltd</t>
  </si>
  <si>
    <t>CSIRO Innovation Coinvestment Fund</t>
  </si>
  <si>
    <t>CSIRO Innovation Coinvestment Services Pty Ltd</t>
  </si>
  <si>
    <t>CSIRO Innovation Follow-on Fund 1 (a Managed Investment Trust)</t>
  </si>
  <si>
    <t>CSIRO Innovation Follow-on Fund 2 (a Managed Investment Trust)</t>
  </si>
  <si>
    <t>CSIRO Innovation Fund 1, LP (an ESVCLP)</t>
  </si>
  <si>
    <t>CSIRO Innovation Fund 2 Discretionary Trust</t>
  </si>
  <si>
    <t>CSIRO Innovation Fund 2, LP (an ESVCLP)</t>
  </si>
  <si>
    <t>CSIRO Innovation Fund Discretionary Trust</t>
  </si>
  <si>
    <t>CSIRO Innovation Holding Trust</t>
  </si>
  <si>
    <t>CSIRO Innovation Services Pty Ltd</t>
  </si>
  <si>
    <t>CSIRO Innovations LLC</t>
  </si>
  <si>
    <t>CSIRO Management Partnership 2, LP</t>
  </si>
  <si>
    <t>CSIRO Management Partnership, LP</t>
  </si>
  <si>
    <t>CSIRO USA LLC</t>
  </si>
  <si>
    <t>CSIROGP Fund 2 Pty Ltd</t>
  </si>
  <si>
    <t>Fundación CSIRO Chile Research</t>
  </si>
  <si>
    <t>Industry Capability Network Limited</t>
  </si>
  <si>
    <t>Industry Innovation and Science Australia</t>
  </si>
  <si>
    <t>Industry Innovation and Science Australia - Cooperative Research Centres Advisor</t>
  </si>
  <si>
    <t>Industry Innovation and Science Australia - Entrepreneurs' Programme Committee</t>
  </si>
  <si>
    <t>Industry Innovation and Science Australia - Industry Growth Program Committee</t>
  </si>
  <si>
    <t>Industry Innovation and Science Australia - Innovation Investment Committee</t>
  </si>
  <si>
    <t>Industry Innovation and Science Australia - R&amp;D Incentives Committee</t>
  </si>
  <si>
    <t>International Trade Remedies Forum</t>
  </si>
  <si>
    <t>IP Australia</t>
  </si>
  <si>
    <t>Joint Accreditation System of Australia/New Zealand Governing Board</t>
  </si>
  <si>
    <t>Main Sequence Atmosphere Fund</t>
  </si>
  <si>
    <t>Main Sequence Core Fund 3, LP (an ESVCLP)</t>
  </si>
  <si>
    <t>Main Sequence GP Fund 3 Pty Ltd</t>
  </si>
  <si>
    <t>Main Sequence Management Partnership 3, LP</t>
  </si>
  <si>
    <t>Main Sequence NGS Coinvestment Fund</t>
  </si>
  <si>
    <t>Main Sequence NGS Pty Ltd</t>
  </si>
  <si>
    <t>Main Sequence Opportunity Fund 3 (a Managed Investment Trust)</t>
  </si>
  <si>
    <t>Main Sequence Opportunity Fund 3 Pty Ltd</t>
  </si>
  <si>
    <t>Main Sequence Parallel Fund 3 (a Managed Investment Trust)</t>
  </si>
  <si>
    <t>Main Sequence Parallel Fund Pty Ltd</t>
  </si>
  <si>
    <t>Maralinga Land and Environment Management Committee</t>
  </si>
  <si>
    <t>Marine National Facility National Benefit Advisory Committee</t>
  </si>
  <si>
    <t>Marine National Facility Research Advisory Committee</t>
  </si>
  <si>
    <t>Marine National Facility Steering Committee (MNFSC)</t>
  </si>
  <si>
    <t>Marine National Facility Supplementary Scheduling Committee</t>
  </si>
  <si>
    <t>National ICT Australia limited</t>
  </si>
  <si>
    <t>National Marine Science Committee</t>
  </si>
  <si>
    <t>National Offshore Petroleum Safety and Environmental Management Authority</t>
  </si>
  <si>
    <t>National Offshore Petroleum Safety and Environmental Management Authority Board</t>
  </si>
  <si>
    <t>National Offshore Petroleum Titles Administrator</t>
  </si>
  <si>
    <t>National Rail Manufacturing Advocate</t>
  </si>
  <si>
    <t>National Reconstruction Fund Corporation</t>
  </si>
  <si>
    <t>National Science and Technology Council</t>
  </si>
  <si>
    <t>NICTA IPR Pty Ltd</t>
  </si>
  <si>
    <t>Offshore Infrastructure Registrar</t>
  </si>
  <si>
    <t>PETTECH Solutions Pty Ltd</t>
  </si>
  <si>
    <t>Questacon Advisory Council</t>
  </si>
  <si>
    <t>Rail Industry Innovation Council </t>
  </si>
  <si>
    <t>Science and Industry Endowment Fund</t>
  </si>
  <si>
    <t>Science and Industry Endowment Fund Advisory Councils</t>
  </si>
  <si>
    <t>Silicon Quantum Computing Pty Ltd</t>
  </si>
  <si>
    <t>Strategic Examination of R&amp;D Independent Panel</t>
  </si>
  <si>
    <t>Trans-Tasman IP Attorneys Board</t>
  </si>
  <si>
    <t>Trans-Tasman IP Attorneys Disciplinary Tribunal</t>
  </si>
  <si>
    <t>ABC Advisory Council</t>
  </si>
  <si>
    <t>Acting Administrator of the Indian Ocean Territories (Christmas Island and Cocos (Keeling) Island)</t>
  </si>
  <si>
    <t>Administrator of Norfolk Island</t>
  </si>
  <si>
    <t>Administrator of the Indian Ocean Territories (Christmas Island and Cocos (Keeling) Islands)</t>
  </si>
  <si>
    <t>Administrator of the Northern Territory</t>
  </si>
  <si>
    <t>Administrator of Vehicle Standards</t>
  </si>
  <si>
    <t>Advisory Committee for Indigenous Repatriation</t>
  </si>
  <si>
    <t>Aircraft Noise Ombudsman</t>
  </si>
  <si>
    <t>Airport Building Controllers</t>
  </si>
  <si>
    <t>Airport Environment Officers</t>
  </si>
  <si>
    <t>Airservices Australia</t>
  </si>
  <si>
    <t>AP Global Holdings Pty Ltd</t>
  </si>
  <si>
    <t>AP Global Logistics (Guangzhou) Co., Ltd</t>
  </si>
  <si>
    <t>AP International Holdings Pty Ltd</t>
  </si>
  <si>
    <t>APost Accelerator Pty Ltd</t>
  </si>
  <si>
    <t>APost Innovation Pty Ltd</t>
  </si>
  <si>
    <t>Associate Administrators of Vehicle Standards</t>
  </si>
  <si>
    <t>Australia Post Digital iD Pty Ltd</t>
  </si>
  <si>
    <t>Australia Post Global eCommerce Solutions (Aust) Pty Ltd</t>
  </si>
  <si>
    <t>Australia Post Global eCommerce Solutions (UK) Limited</t>
  </si>
  <si>
    <t>Australia Post Global eCommerce Solutions (USA) Inc.</t>
  </si>
  <si>
    <t>Australia Post Global eCommerce Solutions Private Limited</t>
  </si>
  <si>
    <t>Australia Post Licensee Advisory Council Limited</t>
  </si>
  <si>
    <t>Australia Post Services Pty Ltd</t>
  </si>
  <si>
    <t>Australia Post Stakeholder Council</t>
  </si>
  <si>
    <t>Australia Post Transaction Services Pty Ltd</t>
  </si>
  <si>
    <t>Australian Broadcasting Corporation</t>
  </si>
  <si>
    <t>Australian Children's Television Foundation Board</t>
  </si>
  <si>
    <t>Australian Communications and Media Authority</t>
  </si>
  <si>
    <t>Australian Communications Consumer Action Network</t>
  </si>
  <si>
    <t>Australian Express Freight Pty. Limited</t>
  </si>
  <si>
    <t>Australian Express Transport Pty. Limited</t>
  </si>
  <si>
    <t>Australian Film, Television and Radio School</t>
  </si>
  <si>
    <t>Australian Jet Zero Council</t>
  </si>
  <si>
    <t>Australian Maritime Safety Authority</t>
  </si>
  <si>
    <t>Australian Motor Vehicle Certification Board</t>
  </si>
  <si>
    <t>Australian National Maritime Museum Foundation</t>
  </si>
  <si>
    <t>Australian Postal Corporation</t>
  </si>
  <si>
    <t>Australian Rail Track Corporation Limited</t>
  </si>
  <si>
    <t>Australian Road Research Board Group Limited</t>
  </si>
  <si>
    <t>Australian Transport Assessment and Planning Steering Committee</t>
  </si>
  <si>
    <t>Australian Transport Safety Bureau</t>
  </si>
  <si>
    <t>Austroads</t>
  </si>
  <si>
    <t>AUX Investments Pty Ltd</t>
  </si>
  <si>
    <t>Aviation Access Forum</t>
  </si>
  <si>
    <t>Black Spot Consultative Panels</t>
  </si>
  <si>
    <t>Brisbane Airport Post Implementation Review Advisory Forum</t>
  </si>
  <si>
    <t>Bundanon Trust</t>
  </si>
  <si>
    <t>Canberra National Memorials Committee</t>
  </si>
  <si>
    <t>Child Welfare Officer</t>
  </si>
  <si>
    <t>Christmas Island Emergency Management Committee</t>
  </si>
  <si>
    <t>Christmas Island Strategic Assessment Reference Group</t>
  </si>
  <si>
    <t>Cities Reference Group</t>
  </si>
  <si>
    <t>Civil Aviation Safety Authority</t>
  </si>
  <si>
    <t>Classification Board</t>
  </si>
  <si>
    <t>Classification Review Board</t>
  </si>
  <si>
    <t>Cocos (Keeling) Islands Emergency Management Committee</t>
  </si>
  <si>
    <t>Communications Sector Group</t>
  </si>
  <si>
    <t>Community Broadcasting Foundation Limited</t>
  </si>
  <si>
    <t>Consumer Consultative Forum</t>
  </si>
  <si>
    <t>Creative Australia</t>
  </si>
  <si>
    <t>Creative Workplaces Council</t>
  </si>
  <si>
    <t>Darra No. 1 Trust</t>
  </si>
  <si>
    <t>Darra No. 2 Trust</t>
  </si>
  <si>
    <t>Decipha Pty Ltd</t>
  </si>
  <si>
    <t>Department of Infrastructure, Transport, Regional Development, Communications and the Arts</t>
  </si>
  <si>
    <t>Deputy Administrator of the Indian Ocean Territories (Christmas Island and Cocos (Keelings) Islands)</t>
  </si>
  <si>
    <t>Digital Radio Planning Committee</t>
  </si>
  <si>
    <t>eSafety Advisory Committee</t>
  </si>
  <si>
    <t>eSafety Commissioner</t>
  </si>
  <si>
    <t>eSafety Youth Council</t>
  </si>
  <si>
    <t>Film Certification Advisory Board</t>
  </si>
  <si>
    <t>First Nations Board</t>
  </si>
  <si>
    <t>First Nations Digital Inclusion Advisory</t>
  </si>
  <si>
    <t>First Nations Digital Inclusion Advisory Group</t>
  </si>
  <si>
    <t>Forum on Western Sydney Airport</t>
  </si>
  <si>
    <t>Freeview Australia Limited</t>
  </si>
  <si>
    <t>General Aviation Advisory Network</t>
  </si>
  <si>
    <t>Gordon Darling Australia Pacific Print Fund</t>
  </si>
  <si>
    <t>Heavy Vehicle Rest Areas Steering Committee</t>
  </si>
  <si>
    <t>High Speed Rail Authority</t>
  </si>
  <si>
    <t>Indian Ocean Territories Health Service Community Advisory Committee</t>
  </si>
  <si>
    <t>Infrastructure and Transport Minister Meeting</t>
  </si>
  <si>
    <t>Infrastructure and Transport Senior Officials? Committee</t>
  </si>
  <si>
    <t>Infrastructure Australia</t>
  </si>
  <si>
    <t>Infrastructure Working Group</t>
  </si>
  <si>
    <t>International Air Services Commission</t>
  </si>
  <si>
    <t>Jervis Bay Territory Emergency Management Committee</t>
  </si>
  <si>
    <t>Jervis Bay Territory Fire Management Committee</t>
  </si>
  <si>
    <t>Joint Agency Coordination Centre</t>
  </si>
  <si>
    <t>Joint Commonwealth and Tasmanian Economic Council</t>
  </si>
  <si>
    <t>Joint Commonwealth and Tasmanian Economic Council Business Members Group</t>
  </si>
  <si>
    <t>Kingston and Arthur's Vale Historic Area Advisory Committee</t>
  </si>
  <si>
    <t>Mardarne No. 1 Trust</t>
  </si>
  <si>
    <t>Mardarne Pty. Ltd.</t>
  </si>
  <si>
    <t>MediaHub Australia Pty Ltd</t>
  </si>
  <si>
    <t>Minchinbury No. 1 Trust</t>
  </si>
  <si>
    <t>Minchinbury No. 2 Trust</t>
  </si>
  <si>
    <t>Moorebank Intermodal Development Investment Nominees Pty Ltd</t>
  </si>
  <si>
    <t>Moorebank Intermodal Development Rail Nominees Pty Ltd</t>
  </si>
  <si>
    <t>Moorebank Precinct Nominees Pty Ltd</t>
  </si>
  <si>
    <t>Motor Vehicle Standards Review Panel</t>
  </si>
  <si>
    <t>Music Australia Council</t>
  </si>
  <si>
    <t>National Accessible Public Transport Advisory Committee</t>
  </si>
  <si>
    <t>National Accessible Transport Steering Committee</t>
  </si>
  <si>
    <t>National Accessible Transport Taskforce</t>
  </si>
  <si>
    <t>National Archives of Australia</t>
  </si>
  <si>
    <t>National Archives of Australia Advisory Council</t>
  </si>
  <si>
    <t>National Capital Authority</t>
  </si>
  <si>
    <t>National Cultural Heritage Committee</t>
  </si>
  <si>
    <t>National DAB Licence Company Ltd</t>
  </si>
  <si>
    <t>National Film and Sound Archive of Australia</t>
  </si>
  <si>
    <t>National Freight and Supply Chain Strategy Industry Reference Panel</t>
  </si>
  <si>
    <t>National Gallery of Australia</t>
  </si>
  <si>
    <t>National Gallery of Australia Foundation</t>
  </si>
  <si>
    <t>National Heavy Vehicle Regulator</t>
  </si>
  <si>
    <t>National Intermodal Corporation Limited</t>
  </si>
  <si>
    <t>National Library of Australia</t>
  </si>
  <si>
    <t>National Maritime Safety Regulator</t>
  </si>
  <si>
    <t>National Museum of Australia</t>
  </si>
  <si>
    <t>National Portrait Gallery of Australia</t>
  </si>
  <si>
    <t>National Portrait Gallery of Australia Foundation</t>
  </si>
  <si>
    <t>National Transport Commission</t>
  </si>
  <si>
    <t>NBN Co Limited</t>
  </si>
  <si>
    <t>Nomination Panel for ABC and SBS Board Appointments</t>
  </si>
  <si>
    <t>Norfolk Island Governance Committee</t>
  </si>
  <si>
    <t>Norfolk Island Health and Residential Aged Care Service</t>
  </si>
  <si>
    <t>Northern Australia Infrastructure Facility</t>
  </si>
  <si>
    <t>Numbering Advisory Committee</t>
  </si>
  <si>
    <t>Office of the National Rail Safety Regulator</t>
  </si>
  <si>
    <t>Old Parliament House</t>
  </si>
  <si>
    <t>POLi Payments Pty Ltd</t>
  </si>
  <si>
    <t>POSTlogistics (Hong Kong) Pte Limited</t>
  </si>
  <si>
    <t>Public Lending Right Committee</t>
  </si>
  <si>
    <t>Rail Industry Safety and Standards Board</t>
  </si>
  <si>
    <t>RDA ACT Australian Capital Territory</t>
  </si>
  <si>
    <t>RDA NSW Central Coast</t>
  </si>
  <si>
    <t>RDA NSW Central West</t>
  </si>
  <si>
    <t>RDA NSW Far South Coast</t>
  </si>
  <si>
    <t>RDA NSW Far West</t>
  </si>
  <si>
    <t>RDA NSW Hunter</t>
  </si>
  <si>
    <t>RDA NSW Illawarra Shoalhaven</t>
  </si>
  <si>
    <t>RDA NSW Mid North Coast</t>
  </si>
  <si>
    <t>RDA NSW Murray</t>
  </si>
  <si>
    <t>RDA NSW Northern Inland</t>
  </si>
  <si>
    <t>RDA NSW Northern Rivers</t>
  </si>
  <si>
    <t>RDA NSW Orana</t>
  </si>
  <si>
    <t>RDA NSW Riverina</t>
  </si>
  <si>
    <t>RDA NSW Southern NSW and ACT</t>
  </si>
  <si>
    <t>RDA NSW Sydney</t>
  </si>
  <si>
    <t>RDA NT Northern Territory</t>
  </si>
  <si>
    <t>RDA QLD Brisbane</t>
  </si>
  <si>
    <t>RDA QLD Central and Western Queensland Inc</t>
  </si>
  <si>
    <t>RDA QLD Darling Downs &amp; South West</t>
  </si>
  <si>
    <t>RDA QLD Gold Coast</t>
  </si>
  <si>
    <t>RDA QLD Greater Whitsundays</t>
  </si>
  <si>
    <t>RDA QLD Ipswich &amp; West Moreton</t>
  </si>
  <si>
    <t>RDA QLD Logan &amp; Redlands</t>
  </si>
  <si>
    <t>RDA QLD Moreton Bay</t>
  </si>
  <si>
    <t>RDA QLD Moreton Bay and Sunshine Coast</t>
  </si>
  <si>
    <t>RDA QLD Townsville &amp; North West</t>
  </si>
  <si>
    <t>RDA QLD Tropical North</t>
  </si>
  <si>
    <t>RDA QLD Wide Bay Burnett</t>
  </si>
  <si>
    <t>RDA SA Adelaide Hills, Fleurieu &amp; Kangaroo Island</t>
  </si>
  <si>
    <t>RDA SA Adelaide Metropolitan</t>
  </si>
  <si>
    <t>RDA SA Barossa Gawler Light Adelaide Plains</t>
  </si>
  <si>
    <t>RDA SA Eyre Peninsula</t>
  </si>
  <si>
    <t>RDA SA Far North</t>
  </si>
  <si>
    <t>RDA SA Limestone Coast</t>
  </si>
  <si>
    <t>RDA SA Murraylands &amp; Riverland</t>
  </si>
  <si>
    <t>RDA SA Yorke &amp; Mid North</t>
  </si>
  <si>
    <t>RDA TAS Tasmania</t>
  </si>
  <si>
    <t>RDA VIC Barwon South West</t>
  </si>
  <si>
    <t>RDA VIC Gippsland</t>
  </si>
  <si>
    <t>RDA VIC Grampians</t>
  </si>
  <si>
    <t>RDA VIC Hume</t>
  </si>
  <si>
    <t>RDA VIC Loddon Mallee</t>
  </si>
  <si>
    <t>RDA VIC Melbourne</t>
  </si>
  <si>
    <t>RDA WA Goldfields Esperance</t>
  </si>
  <si>
    <t>RDA WA Great Southern</t>
  </si>
  <si>
    <t>RDA WA Kimberley</t>
  </si>
  <si>
    <t>RDA WA Mid West and Gascoyne</t>
  </si>
  <si>
    <t>RDA WA Peel</t>
  </si>
  <si>
    <t>RDA WA Perth</t>
  </si>
  <si>
    <t>RDA WA Pilbara</t>
  </si>
  <si>
    <t>RDA WA South West</t>
  </si>
  <si>
    <t>RDA WA Wheatbelt</t>
  </si>
  <si>
    <t>Regional Telecommunications Independent Review Committee</t>
  </si>
  <si>
    <t>Registrar of Liner Shipping</t>
  </si>
  <si>
    <t>SBS Community Advisory Committee</t>
  </si>
  <si>
    <t>SBS Relocation Feasibility Study Steering Committee</t>
  </si>
  <si>
    <t>Screen Australia</t>
  </si>
  <si>
    <t>SecurePay Holdings Pty Ltd</t>
  </si>
  <si>
    <t>SecurePay Pty. Ltd.</t>
  </si>
  <si>
    <t>Slot Compliance Committee</t>
  </si>
  <si>
    <t>Special Broadcasting Service Corporation</t>
  </si>
  <si>
    <t>Special Magistrate of the Jervis Bay Territory</t>
  </si>
  <si>
    <t>Star Track Express Holdings Pty Limited</t>
  </si>
  <si>
    <t>Star Track Express Investments Pty Limited</t>
  </si>
  <si>
    <t>Star Track Express Pty Limited</t>
  </si>
  <si>
    <t>StarTrack Retail Pty Ltd</t>
  </si>
  <si>
    <t>Strategic Vehicle Safety and Environment Group</t>
  </si>
  <si>
    <t>Supreme Court of Norfolk Island (Board)</t>
  </si>
  <si>
    <t>Sydney Airport Community Forum</t>
  </si>
  <si>
    <t>Sydney Airport Slot Manager</t>
  </si>
  <si>
    <t>Technical Liaison Group</t>
  </si>
  <si>
    <t>The News Channel Pty Ltd</t>
  </si>
  <si>
    <t>Transport Certification Australia Limited</t>
  </si>
  <si>
    <t>Urban Policy Forum</t>
  </si>
  <si>
    <t>WSA Co Limited</t>
  </si>
  <si>
    <t>WSI LandCo Pty Ltd</t>
  </si>
  <si>
    <t>Parliamentary Departments (not a portfolio)</t>
  </si>
  <si>
    <t>Department of Parliamentary Services</t>
  </si>
  <si>
    <t>Department of the House of Representatives</t>
  </si>
  <si>
    <t>Department of the Senate</t>
  </si>
  <si>
    <t>Parliamentary Budget Office</t>
  </si>
  <si>
    <t>Aboriginal and Torres Strait Islander Mental Health and Suicide Prevention Advisory Group</t>
  </si>
  <si>
    <t>Aboriginal Hostels Limited</t>
  </si>
  <si>
    <t>Anangu Communities Foundation</t>
  </si>
  <si>
    <t>Anindilyakwa Land Council</t>
  </si>
  <si>
    <t>Australian Bravery Decorations Council</t>
  </si>
  <si>
    <t>Australian Government Consulting</t>
  </si>
  <si>
    <t>Australian Institute of Aboriginal and Torres Strait Islander Studies</t>
  </si>
  <si>
    <t>Australian National Audit Office</t>
  </si>
  <si>
    <t>Australian Public Service Commission</t>
  </si>
  <si>
    <t>CDC Nominees (TCTP) Pty Limited</t>
  </si>
  <si>
    <t>Central Australia Plan Aboriginal Leadership Group</t>
  </si>
  <si>
    <t>Central Land Council</t>
  </si>
  <si>
    <t>Council for the Order of Australia</t>
  </si>
  <si>
    <t>Darwin Hotel Holdings Pty Limited</t>
  </si>
  <si>
    <t>Darwin Hotel Holdings Trust</t>
  </si>
  <si>
    <t>Darwin Hotel Partnership</t>
  </si>
  <si>
    <t>Darwin Hotel Pty Ltd</t>
  </si>
  <si>
    <t>Defence Force Remuneration Tribunal</t>
  </si>
  <si>
    <t>Department of the Prime Minister and Cabinet</t>
  </si>
  <si>
    <t>Executive Director Township Leasing</t>
  </si>
  <si>
    <t>First Nations Reference Group for the Remote Jobs and Economic Development program</t>
  </si>
  <si>
    <t>Gagudju Lodge Cooinda Trust</t>
  </si>
  <si>
    <t>Hotel Enterprises Pty Limited</t>
  </si>
  <si>
    <t>Hotel Holdings Trust</t>
  </si>
  <si>
    <t>IBA Asset Management Pty Ltd</t>
  </si>
  <si>
    <t>IBA Northam Solar PTY LTD</t>
  </si>
  <si>
    <t>IBA Property Investments Pty Limited</t>
  </si>
  <si>
    <t>IBA Retail Asset Management Pty Ltd</t>
  </si>
  <si>
    <t>IBA Retail Property Trust</t>
  </si>
  <si>
    <t>IBA Wilpena Solar PTY LTD</t>
  </si>
  <si>
    <t>IBA Wilpena Solar Trust</t>
  </si>
  <si>
    <t>Ikara Wilpena Enterprises Pty Ltd</t>
  </si>
  <si>
    <t>Ikara Wilpena Holdings Trust</t>
  </si>
  <si>
    <t>Indigenous Business Australia</t>
  </si>
  <si>
    <t>Indigenous Evaluation Committee</t>
  </si>
  <si>
    <t>Indigenous Land and Sea Corporation</t>
  </si>
  <si>
    <t>Indigenous Prosperity Fund - Growth Fund</t>
  </si>
  <si>
    <t>Indigenous Prosperity Fund - Income Fund</t>
  </si>
  <si>
    <t>Indigenous Real Estate Investment Trust-Head Trust</t>
  </si>
  <si>
    <t>Joint Council on Closing the Gap</t>
  </si>
  <si>
    <t>Kakadu Tourism (GCH) Pty Limited</t>
  </si>
  <si>
    <t>Kakadu Tourism (GLC) Pty Limited</t>
  </si>
  <si>
    <t>National Australia Day Council Limited</t>
  </si>
  <si>
    <t>National Cabinet</t>
  </si>
  <si>
    <t>National Centre of Indigenous Excellence Ltd</t>
  </si>
  <si>
    <t>National Emergency Medal Committee</t>
  </si>
  <si>
    <t>National Indigenous Australians Agency</t>
  </si>
  <si>
    <t>National NAIDOC Committee</t>
  </si>
  <si>
    <t>Net Zero Economy Authority</t>
  </si>
  <si>
    <t>Northern Australia Strategic Partnership</t>
  </si>
  <si>
    <t>Northern Land Council</t>
  </si>
  <si>
    <t>Northern Territory Aboriginal Investment Corporation</t>
  </si>
  <si>
    <t>Office of the Aboriginal Land Commissioner</t>
  </si>
  <si>
    <t>Office of the Merit Protection Commissioner</t>
  </si>
  <si>
    <t>Office of the Official Secretary to the Governor-General</t>
  </si>
  <si>
    <t>Office of the Registrar of Aboriginal and Torres Strait Islander Corporations</t>
  </si>
  <si>
    <t>Outback Stores Pty Ltd</t>
  </si>
  <si>
    <t>Primary Partners Pty Ltd</t>
  </si>
  <si>
    <t>Remuneration Tribunal</t>
  </si>
  <si>
    <t>Tennant Creek Enterprises Pty Limited</t>
  </si>
  <si>
    <t>Tennant Creek Enterprises Trust</t>
  </si>
  <si>
    <t>Tennant Creek Foodbarn Partnership</t>
  </si>
  <si>
    <t>Tennant Creek Land Holding Trust</t>
  </si>
  <si>
    <t>Territories Stolen Generations Redress Scheme External Advisory Board</t>
  </si>
  <si>
    <t>The Owners-Strata Plan No. 86156</t>
  </si>
  <si>
    <t>The Trustee for IBA Northam Solar Trust (commonly referred to as IBA Northam Solar Trust)</t>
  </si>
  <si>
    <t>Tiwi Land Council</t>
  </si>
  <si>
    <t>Tjapukai Aboriginal Cultural Park Partnership</t>
  </si>
  <si>
    <t>Torres Strait Regional Authority</t>
  </si>
  <si>
    <t>Treaties Council</t>
  </si>
  <si>
    <t>Voyages Indigenous Tourism Australia Pty Ltd</t>
  </si>
  <si>
    <t>Wilpena Pound Aerodrome Services Pty Ltd</t>
  </si>
  <si>
    <t>Women and Women's Safety Ministerial Council</t>
  </si>
  <si>
    <t>Workplace Gender Equality Agency</t>
  </si>
  <si>
    <t>Wreck Bay Aboriginal Community Council</t>
  </si>
  <si>
    <t>Australian Hearing Services (Hearing Australia)</t>
  </si>
  <si>
    <t>Australian Institute of Family Studies</t>
  </si>
  <si>
    <t>Australian Institute of Family Studies Expert Advisory Committee</t>
  </si>
  <si>
    <t>Australia's National Research Organisation for Women's Safety</t>
  </si>
  <si>
    <t>Chief Executive Centrelink</t>
  </si>
  <si>
    <t>Chief Executive Medicare</t>
  </si>
  <si>
    <t>Child Support National Stakeholder Engagement Group</t>
  </si>
  <si>
    <t>Child Support Registrar</t>
  </si>
  <si>
    <t>Department of Social Services</t>
  </si>
  <si>
    <t>Disability Reform Ministers' meetings</t>
  </si>
  <si>
    <t>Domestic, Family and Sexual Violence Commission</t>
  </si>
  <si>
    <t>Intercountry Adoption Central Authorities</t>
  </si>
  <si>
    <t>National Disability Insurance Agency</t>
  </si>
  <si>
    <t>National Disability Insurance Scheme Actuary</t>
  </si>
  <si>
    <t>National Disability Insurance Scheme Independent Advisory Council</t>
  </si>
  <si>
    <t>National Disability Insurance Scheme Reviewing Actuary</t>
  </si>
  <si>
    <t>National Multicultural Advisory Group</t>
  </si>
  <si>
    <t>NDIS Quality and Safeguards Commission</t>
  </si>
  <si>
    <t>Our Watch</t>
  </si>
  <si>
    <t>Portfolio Advisory Council</t>
  </si>
  <si>
    <t>Services Australia</t>
  </si>
  <si>
    <t>Stakeholder Consultative Group</t>
  </si>
  <si>
    <t>ACCC Consumer Consultative Committee</t>
  </si>
  <si>
    <t>ACCC Performance Consultative Committee</t>
  </si>
  <si>
    <t>Agriculture Consultative Committee</t>
  </si>
  <si>
    <t>ASIC Consumer Consultative Panel</t>
  </si>
  <si>
    <t>AusNCP Governance and Advisory Board</t>
  </si>
  <si>
    <t>Australia and New Zealand Electronic Invoicing Board</t>
  </si>
  <si>
    <t>Australian Bureau of Statistics</t>
  </si>
  <si>
    <t>Australian Charities and Not-for-Profits Commission</t>
  </si>
  <si>
    <t>Australian Charities and Not-for-Profits Commission Advisory Board</t>
  </si>
  <si>
    <t>Australian Competition and Consumer Commission</t>
  </si>
  <si>
    <t>Australian Competition Tribunal</t>
  </si>
  <si>
    <t>Australian Government Actuary</t>
  </si>
  <si>
    <t>Australian Government Competitive Neutrality Complaints Office</t>
  </si>
  <si>
    <t>Australian Housing &amp; Urban Research Institute</t>
  </si>
  <si>
    <t>Australian Loan Council</t>
  </si>
  <si>
    <t>Australian Office of Financial Management</t>
  </si>
  <si>
    <t>Australian Office of Financial Management Advisory Board</t>
  </si>
  <si>
    <t>Australian Prudential Regulation Authority</t>
  </si>
  <si>
    <t>Australian Reinsurance Pool Corporation</t>
  </si>
  <si>
    <t>Australian Securities and Investments Commission</t>
  </si>
  <si>
    <t>Australian Small Business and Family Enterprise Ombudsman</t>
  </si>
  <si>
    <t>Australian Small Business and Family Enterprise Ombudsman Reviewer</t>
  </si>
  <si>
    <t>Australian Statistics Advisory Council</t>
  </si>
  <si>
    <t>Australian Taxation Office</t>
  </si>
  <si>
    <t>Board of Taxation</t>
  </si>
  <si>
    <t>Commonwealth Grants Commission</t>
  </si>
  <si>
    <t>Companies Auditors Disciplinary Board</t>
  </si>
  <si>
    <t>Competition Expert Advisory Panel</t>
  </si>
  <si>
    <t>Council of Financial Regulators</t>
  </si>
  <si>
    <t>Council on Federal Financial Relations</t>
  </si>
  <si>
    <t>Data Standards Chair</t>
  </si>
  <si>
    <t>Department of the Treasury</t>
  </si>
  <si>
    <t>Expert Advisory Panel on Whistleblower Protections</t>
  </si>
  <si>
    <t>Financial Reporting Council</t>
  </si>
  <si>
    <t>Financial Services and Credit Panel</t>
  </si>
  <si>
    <t>FinTech Advisory Group</t>
  </si>
  <si>
    <t>Food and Grocery Code Independent Reviewer</t>
  </si>
  <si>
    <t>Foreign Investment Review Board</t>
  </si>
  <si>
    <t>Fuel Consultative Committee</t>
  </si>
  <si>
    <t>Global Infrastructure Hub</t>
  </si>
  <si>
    <t>GST Stewardship Group</t>
  </si>
  <si>
    <t>Heads of Treasuries</t>
  </si>
  <si>
    <t>Housing Australia</t>
  </si>
  <si>
    <t>Independent Expert Panel Review of Financial System's External Dispute Resolution</t>
  </si>
  <si>
    <t>Individuals Stewardship Group</t>
  </si>
  <si>
    <t>Infrastructure Consultative Committee</t>
  </si>
  <si>
    <t>Inspector-General of Taxation</t>
  </si>
  <si>
    <t>Large Business Stewardship Group</t>
  </si>
  <si>
    <t>Legislative and Governance Forum for Corporations</t>
  </si>
  <si>
    <t>Motor Vehicle Service and Repair Information Scheme Adviser</t>
  </si>
  <si>
    <t>National Competition Council</t>
  </si>
  <si>
    <t>National Housing Supply and Affordability Council</t>
  </si>
  <si>
    <t>National Tax Liaison Group</t>
  </si>
  <si>
    <t>Note Printing Australia Ltd</t>
  </si>
  <si>
    <t>Not-for-Profit Stewardship Group</t>
  </si>
  <si>
    <t>Office of the Auditing and Assurance Standards Board</t>
  </si>
  <si>
    <t>Office of the Australian Accounting Standards Board</t>
  </si>
  <si>
    <t>Payments System Board</t>
  </si>
  <si>
    <t>Private Groups Stewardship Group</t>
  </si>
  <si>
    <t>Productivity Commission</t>
  </si>
  <si>
    <t>Reserve Bank of Australia</t>
  </si>
  <si>
    <t>Review of Treasury's Macroeconomic Forecasting Capabilities: Expert Panel</t>
  </si>
  <si>
    <t>Royal Australian Mint</t>
  </si>
  <si>
    <t>Scams Awareness Network</t>
  </si>
  <si>
    <t>Scamwatch</t>
  </si>
  <si>
    <t>Small Business &amp; Franchising Consultative Committee</t>
  </si>
  <si>
    <t>Small Business Stewardship Group</t>
  </si>
  <si>
    <t>Steering Committee for the Review of Government Service Provision</t>
  </si>
  <si>
    <t>Superannuation Complaints Tribunal Advisory Committee</t>
  </si>
  <si>
    <t>Superannuation Industry Stewardship Group</t>
  </si>
  <si>
    <t>Takeovers Panel</t>
  </si>
  <si>
    <t>Tax Practitioner Stewardship Group</t>
  </si>
  <si>
    <t>Tax Practitioners Board</t>
  </si>
  <si>
    <t>Trans-Tasman Accounting and Auditing Standards Advisory Group</t>
  </si>
  <si>
    <t>Trans-Tasman Council on Banking Supervision</t>
  </si>
  <si>
    <t>Utility Regulators Forum</t>
  </si>
  <si>
    <t>Veterans' Affairs (part of the Defence Portfolio)</t>
  </si>
  <si>
    <t>Australian War Memorial</t>
  </si>
  <si>
    <t>Chief Health Officer Mental Health Expert Advisory Group</t>
  </si>
  <si>
    <t>Commemorations Grants Advisory Committee</t>
  </si>
  <si>
    <t>Commonwealth, State and Territory Committee</t>
  </si>
  <si>
    <t>Defence Services Homes Insurance Scheme</t>
  </si>
  <si>
    <t>Department of Veterans' Affairs</t>
  </si>
  <si>
    <t>Director of the Office of Australian War Graves</t>
  </si>
  <si>
    <t>DVA Health Providers Partnership Forum</t>
  </si>
  <si>
    <t>ESO (Ex-Service Organisation) Round Table</t>
  </si>
  <si>
    <t>Gulf War Serum Management Committee</t>
  </si>
  <si>
    <t>Industry Advisory Committee on Veterans? Employment</t>
  </si>
  <si>
    <t>Military Rehabilitation and Compensation Commission</t>
  </si>
  <si>
    <t>National Aged and Community Care Forum</t>
  </si>
  <si>
    <t>Open Arms National Advisory Committee</t>
  </si>
  <si>
    <t>Open Arms Veterans and Families Counselling</t>
  </si>
  <si>
    <t>Repatriation Commission</t>
  </si>
  <si>
    <t>Repatriation Medical Authority</t>
  </si>
  <si>
    <t>Repatriation Pharmaceutical Reference Committee</t>
  </si>
  <si>
    <t>Research Board</t>
  </si>
  <si>
    <t>Specialist Medical Review Council</t>
  </si>
  <si>
    <t>State / Territory consultation forum</t>
  </si>
  <si>
    <t>Study of Health Outcomes in Aircraft Maintenance Personnel Serum Management Committee</t>
  </si>
  <si>
    <t>Veterans Mental Health Clinical Reference Group</t>
  </si>
  <si>
    <t>Veterans' Review Board</t>
  </si>
  <si>
    <t>Younger Veterans - Contemporary Needs Forum</t>
  </si>
  <si>
    <t>Australian Government investment in R&amp;D by sector and sub-sector, &amp; other analyses</t>
  </si>
  <si>
    <t>CONTENTS</t>
  </si>
  <si>
    <t>Table 1. Aust. Govt. investment in R&amp;D by sub-sector, 1978-79 to 2025-26 ($m current prices)</t>
  </si>
  <si>
    <t>Table 2. Aust. Govt. Budgetary Allocation of R&amp;D (GBARD) and Industry R&amp;D tax measures, 1978-79 to 2025-26 ($m current prices)</t>
  </si>
  <si>
    <t>Table 3. Aust. Govt. investment in R&amp;D by sector, 1978-79 to 2025-26 ($m current prices)</t>
  </si>
  <si>
    <t>Table 4. Aust. Govt. investment in R&amp;D by sector as a percentage of total investment, 1978-79 to 2025-26</t>
  </si>
  <si>
    <t>Table 5. Aust. Govt. investment in R&amp;D, 1978-79 to 2025-26 ($m inflation adjusted, 2022-23 dollars)</t>
  </si>
  <si>
    <t>Table 6. Aust. Govt. investment in R&amp;D as a % of Gross Domestic Product (GDP), 1978-79 to 2025-26</t>
  </si>
  <si>
    <t>Table 7. Aust. Govt. investment in R&amp;D as a % of all Aust. Govt. payments, 1978-79 to 2025-26</t>
  </si>
  <si>
    <t>Table 8. Aust. Govt. investment in R&amp;D - Budget Estimates and current values, 1986-87 to 2025-26 ($m)</t>
  </si>
  <si>
    <t>Table 9. NHMRC financial year expenditure by sector, 1990-91 to 2025-26 ($m current prices)</t>
  </si>
  <si>
    <t>Table 1. Aust. Govt. investment in R&amp;D by sub-sector, 1978-79 to 2025-26
($m current prices)</t>
  </si>
  <si>
    <t>% of 2025-26 total</t>
  </si>
  <si>
    <t>Investment in intramural R&amp;D</t>
  </si>
  <si>
    <t>The categorisations used within this table are an amalgam of those used within editions of the tables from 1989-90.</t>
  </si>
  <si>
    <t xml:space="preserve">Australian Government research activities    </t>
  </si>
  <si>
    <t xml:space="preserve">Defence Science &amp; Technology (DST) Group </t>
  </si>
  <si>
    <t>Australian Government (Other R&amp;D)</t>
  </si>
  <si>
    <t>Sub-total</t>
  </si>
  <si>
    <t>Investment in extramural R&amp;D</t>
  </si>
  <si>
    <t>Business Enterprise sector</t>
  </si>
  <si>
    <t>Industry R&amp;D Tax Measures</t>
  </si>
  <si>
    <r>
      <t xml:space="preserve">Higher Education sector </t>
    </r>
    <r>
      <rPr>
        <b/>
        <i/>
        <vertAlign val="superscript"/>
        <sz val="10"/>
        <rFont val="Arial"/>
        <family val="2"/>
      </rPr>
      <t xml:space="preserve"> </t>
    </r>
  </si>
  <si>
    <t>NHMRC (University)</t>
  </si>
  <si>
    <t>Research Block Grants</t>
  </si>
  <si>
    <t>Former funding framework</t>
  </si>
  <si>
    <t>Higher Education (Other R&amp;D)</t>
  </si>
  <si>
    <t>National Health &amp; Medical Research Council (NHMRC)</t>
  </si>
  <si>
    <t>Total R&amp;D investment figures from Table 1 may not match with total R&amp;D investment figures from R&amp;D tab for years before 2014-2015 as NHMRC figures in table 9 are not consolidated for this period</t>
  </si>
  <si>
    <t>NHMRC (Government, MRI, Hospital, Other)</t>
  </si>
  <si>
    <t>Other Health</t>
  </si>
  <si>
    <t>Cooperative Research Centres (CRCs)</t>
  </si>
  <si>
    <t>Rural R&amp;D Corporations</t>
  </si>
  <si>
    <t xml:space="preserve">Other Rural R&amp;D </t>
  </si>
  <si>
    <t>Energy and the Environment</t>
  </si>
  <si>
    <t>Other R&amp;D</t>
  </si>
  <si>
    <t>Private Non-profit sector</t>
  </si>
  <si>
    <t>Total R&amp;D investment (current prices)</t>
  </si>
  <si>
    <t>Government Budgetary Allocation of R&amp;D - (GBARD)</t>
  </si>
  <si>
    <t>Table 3. Aust. Govt. investment in R&amp;D by sector, 1978-79 to 2025-26 
($m current prices)</t>
  </si>
  <si>
    <r>
      <t xml:space="preserve">Higher Education sector </t>
    </r>
    <r>
      <rPr>
        <i/>
        <vertAlign val="superscript"/>
        <sz val="10"/>
        <rFont val="Arial"/>
        <family val="2"/>
      </rPr>
      <t xml:space="preserve"> </t>
    </r>
  </si>
  <si>
    <t>Inflation was undertaken using ABS publication:</t>
  </si>
  <si>
    <t>Table 5. Aust. Govt. investment in R&amp;D, 1978-79 to 2024-25 ($m inflation adjusted, 2022-23 dollars)</t>
  </si>
  <si>
    <t>Forecast</t>
  </si>
  <si>
    <t>5204.0 Australian System of National Accounts</t>
  </si>
  <si>
    <t>ABS index year</t>
  </si>
  <si>
    <t>Latest ISSUE Released on 25/10/2024</t>
  </si>
  <si>
    <t>GDP deflator</t>
  </si>
  <si>
    <t xml:space="preserve"> - Table 4. Expenditure on Gross Domestic Product (GDP), Implicit price deflators </t>
  </si>
  <si>
    <t>Index based to 2022-23</t>
  </si>
  <si>
    <t xml:space="preserve"> - Series A2420916F, Gross Domestic Product</t>
  </si>
  <si>
    <t>GDP deflator forecasts obtained from Budget Paper No. 1, Statement 2: Economic Outlook, Table 2.2 Domestic Economy- detailed forecasts.</t>
  </si>
  <si>
    <t>Budget Paper 2025-26</t>
  </si>
  <si>
    <t>Total R&amp;D investment (current price)</t>
  </si>
  <si>
    <t>For further details refer to the:</t>
  </si>
  <si>
    <t>Total R&amp;D investment (2022-23 dollars)</t>
  </si>
  <si>
    <t>NOTES</t>
  </si>
  <si>
    <t>GDP was undertaken using ABS publication:</t>
  </si>
  <si>
    <t>5204.0 - Australian System of National Accounts</t>
  </si>
  <si>
    <t>Latest ISSUE Released on 28/10/2023</t>
  </si>
  <si>
    <t>Gross domestic product: Current prices ($millions)</t>
  </si>
  <si>
    <t xml:space="preserve"> - Table 2. Expenditure on Gross Domestic Product (GDP)</t>
  </si>
  <si>
    <t xml:space="preserve"> - Series A2420638T, GROSS DOMESTIC PRODUCT: Current prices ;</t>
  </si>
  <si>
    <t>Average</t>
  </si>
  <si>
    <t>Nominal GDP time series obtained from Budget Paper No. 1, Statement 2: Economic Outlook, Table 2.2 Domestic Economy - detailed forecasts.</t>
  </si>
  <si>
    <t>Total R&amp;D investment as a percentage of GDP</t>
  </si>
  <si>
    <t>Estimates</t>
  </si>
  <si>
    <t>Australian Government general government payments ($millions)</t>
  </si>
  <si>
    <t>Total R&amp;D investment as a percentage of total Australian Government payments</t>
  </si>
  <si>
    <t>Data on Australian Government general government payments is obtainable from:</t>
  </si>
  <si>
    <t>Budget Paper 1, Statement 10, Table 10.1 &amp; 10.2</t>
  </si>
  <si>
    <t>Original Budget Estimate</t>
  </si>
  <si>
    <t>Current value</t>
  </si>
  <si>
    <t>Difference between current value and original Budget Estimate</t>
  </si>
  <si>
    <t>% difference between current value and original Budget Estimate</t>
  </si>
  <si>
    <t>Difference between Budget Estimates from one year to the next</t>
  </si>
  <si>
    <t>% difference between Budget Estimates from one year to the next</t>
  </si>
  <si>
    <t>Changed formula to calculate "% difference between Budget Estimates from one year to the next" from previous year</t>
  </si>
  <si>
    <t>Table 9. NHMRC financial year expenditure by sector, 1990-91 to 2025-26
($m current prices)</t>
  </si>
  <si>
    <t xml:space="preserve"> 2017-18</t>
  </si>
  <si>
    <t>Figures for 2024-25 and 2025-26 are PBS estimates, apportioned to sectors based on prior years. NHMRC totals prior to 2013-14 in this table do not always match the total reported in the R&amp;D table, due to differences in how the timing of payments are reported within this disaggregated data. This disparity has been corrected for 2013-14 onwards.</t>
  </si>
  <si>
    <t>Hospital</t>
  </si>
  <si>
    <t>Medical Research Institute (MRI)</t>
  </si>
  <si>
    <t>University</t>
  </si>
  <si>
    <t>This data in this table is used to reallocate NHMRC investment between the Higher Education sector and Multisector in Tables 1 and 2.</t>
  </si>
  <si>
    <t>Proportion University</t>
  </si>
  <si>
    <t>Proportion non-University</t>
  </si>
  <si>
    <t>NHMRC total from R&amp;D tab</t>
  </si>
  <si>
    <t>Australian Government investment in R&amp;D by government portfolio, 2013-14 to 2025-26 ($m current prices)</t>
  </si>
  <si>
    <t xml:space="preserve"> 2013-14</t>
  </si>
  <si>
    <t xml:space="preserve"> 2014-15</t>
  </si>
  <si>
    <t xml:space="preserve"> 2015-16</t>
  </si>
  <si>
    <t>The portfolios listed in the table are the portfolios that have any R&amp;D programs or activities listed in the 'R&amp;D' tab</t>
  </si>
  <si>
    <t>Large Australian Government R&amp;D programs and activities valued at over $100m in 2025-26</t>
  </si>
  <si>
    <t>Table 1. Australian Government R&amp;D programs and activities valued at over $100 million in 2025-26, 2013-14 to 2025-26 ($m current prices)</t>
  </si>
  <si>
    <t>Table 2. Australian Government R&amp;D programs and activities valued at over $100 million in 2025-25, 2013-14 to 2025-26 ($m inflation adjusted, 2022-23 dollars)</t>
  </si>
  <si>
    <t>Table 3. Count of programs/activities by size category</t>
  </si>
  <si>
    <t>Table 4. Aggregate value of programs/activities by size category</t>
  </si>
  <si>
    <t>Table 5. Proportion of total investment accounted for by programs/activities per size category</t>
  </si>
  <si>
    <t>Table 1. Australian Government R&amp;D programs and activities valued at over $100 million in 2025-26, 2013-14 to 2025-26
($m current prices)</t>
  </si>
  <si>
    <t>Program/activity</t>
  </si>
  <si>
    <r>
      <t>Note</t>
    </r>
    <r>
      <rPr>
        <sz val="8"/>
        <color rgb="FF000000"/>
        <rFont val="Arial"/>
        <family val="2"/>
      </rPr>
      <t>: Forward estimates are not available for all programs.</t>
    </r>
    <r>
      <rPr>
        <b/>
        <sz val="8"/>
        <color rgb="FF000000"/>
        <rFont val="Arial"/>
        <family val="2"/>
      </rPr>
      <t xml:space="preserve">
* Blank return ( - ) </t>
    </r>
    <r>
      <rPr>
        <sz val="8"/>
        <color rgb="FF000000"/>
        <rFont val="Arial"/>
        <family val="2"/>
      </rPr>
      <t>signifies the current Program/activity:
  o   was not active for that year
  o   replaced a previous program/activity or
  o   did not commence until the first year reporting a positive figure.</t>
    </r>
  </si>
  <si>
    <t>Table 2. Australian Government R&amp;D programs and activities valued at over $100 million in 2025-26, 2013-14 to 2025-26
($m inflation adjusted, 2022-23 dollars)</t>
  </si>
  <si>
    <t>Australian Government investment in R&amp;D by Socio-Economic Objective (SEO)</t>
  </si>
  <si>
    <t>Total Australian Government investment in R&amp;D by SEO</t>
  </si>
  <si>
    <t>Australian Government investment in R&amp;D by SEO for select programmes and agencies:</t>
  </si>
  <si>
    <t>Bureau of Meteorology (BoM)</t>
  </si>
  <si>
    <t>All other programs</t>
  </si>
  <si>
    <t>Total Australian Government investment in R&amp;D by socio-economic objective,
1988-89 to 2025-26, ($m current prices)</t>
  </si>
  <si>
    <t>Socio-Economic Objective (SEO)</t>
  </si>
  <si>
    <t>R&amp;D expenditure categorised by Thematic Priority was published within the SRI Budget Tables between 1998-99 and 2002-03.</t>
  </si>
  <si>
    <t xml:space="preserve">R&amp;D expenditure categorised by Socio-Economic Objective was reported from 2003-04 onwards, however the SEO categories varied over that time. </t>
  </si>
  <si>
    <t>This time series has been created by concording the Thematic Priority and SEO categorisations as shown in the following two columns. The original, unconcorded data is provided within the 2015-16 edition (and earlier editions) of the tables.</t>
  </si>
  <si>
    <t xml:space="preserve">The summation across each of these two timeseries does not always equal the amounts shown in the summation across the Sector timeseries. The Sector timeseries total amounts should be taken as authoritative. 
</t>
  </si>
  <si>
    <t>General advancement of knowledge</t>
  </si>
  <si>
    <t>Australian Government investment in R&amp;D by socio-economic objective for select programmes and agencies, 2005-06 to 2025-26, ($m current prices)</t>
  </si>
  <si>
    <t>Total AIATSIS</t>
  </si>
  <si>
    <t>Total AIMS</t>
  </si>
  <si>
    <t>Total ANSTO</t>
  </si>
  <si>
    <t xml:space="preserve">Based on the advice from the SRI team and due to the changes in the conversion tables for codes last year, the change to ARC table was made in 2024-25. The figures from 01. Exploration and exploitation of the Earth were moved to 02. Environment from 2015-16 onwards. </t>
  </si>
  <si>
    <t>Please note 2024-25 figures have been corrected.</t>
  </si>
  <si>
    <t>Total ARC</t>
  </si>
  <si>
    <t>Total BoM</t>
  </si>
  <si>
    <t xml:space="preserve">2023-24 actuals updated with Jun/Jul 2024 SEO survey data. </t>
  </si>
  <si>
    <t>2024-25 Estimated actuals based on program budget as per tab 1.R&amp;D Programs, to be updated after 2025 July survey.</t>
  </si>
  <si>
    <t>2025-26 Estimated based on program budget as per the R&amp;D tab.</t>
  </si>
  <si>
    <t>Total CSIRO</t>
  </si>
  <si>
    <t>Total NCRIS</t>
  </si>
  <si>
    <t>Total Geoscience Australia</t>
  </si>
  <si>
    <t>The methodology used to produce SEO allocations for the R&amp;D Tax Measures is described within the Notes tab. Treasury did not provide the SEO allocations.</t>
  </si>
  <si>
    <t>Total Industry R&amp;D Tax Measures</t>
  </si>
  <si>
    <t>Total All other programs</t>
  </si>
  <si>
    <t>Rural research levies and programs</t>
  </si>
  <si>
    <t>Rural research levies, 1978-79 to 2025-26
($m current prices)</t>
  </si>
  <si>
    <t>Levy disbursed to corporations</t>
  </si>
  <si>
    <t>AgriFutures</t>
  </si>
  <si>
    <t>R&amp;D levy only. Previously reported as Rural R&amp;D Corporation. From 2016-17, actual amounts represent total cash payments made in respective financial year. Amounts for a financial year may be paid in subsequent financial year. The actual amounts are sourced from the disbursement download report by the disbursed date of each financial year from the levies business information system, Phoenix. Budget estimates and Forward Estimates are based on the GEUS report for the administered expenses for Budget March 2025-26.</t>
  </si>
  <si>
    <t>R&amp;D levy only (Laying Chicken). From 2016-17, actual amounts represent total cash payments made in respective financial year. Amounts for a financial year may be paid in subsequent financial year. The actual amounts are sourced from the disbursement download report by the disbursed date of each financial year from the levies business information system, Phoenix. Budget estimates and Forward Estimates are based on the estimates provided by Australian Eggs for the administered expenses for Budget March 2025-26.</t>
  </si>
  <si>
    <t>Australian Meat Processors Corporation</t>
  </si>
  <si>
    <t>R&amp;D levy only. From 2016-17, actual amounts represent total cash payments made in respective financial year. Amounts for a financial year may be paid in subsequent financial year. The actual amounts are sourced from the disbursement download report by the disbursed date of each financial year from the levies business information system, Phoenix. Budget estimates and Forward Estimates are based on the GEUS report for the administered expenses for Budget March 2025-26.</t>
  </si>
  <si>
    <t>Australian Wool Innovation</t>
  </si>
  <si>
    <t>This is a General Services Levy which can be used by the recipient body for marketing or research. From 2016-17, actual amounts represent total cash payments made in respective financial year. Amounts for a financial year may be paid in subsequent financial year. The actual amounts are sourced from the disbursement download report by the disbursed date of each financial year from the levies business information system, Phoenix. Budget estimates and Forward Estimates are based on the GEUS report for the administered expenses for Budget March 2025-26.</t>
  </si>
  <si>
    <t>Barley</t>
  </si>
  <si>
    <t>Included in the Grains Research and Development Corporation - Grains from 1990-91 onwards.</t>
  </si>
  <si>
    <t>Chicken Meat</t>
  </si>
  <si>
    <t>Not reported separately from 2018-19 for financial year 2016-17 onward. Included in figures reported for AgriFutures.</t>
  </si>
  <si>
    <t>Coal</t>
  </si>
  <si>
    <t>Dried Fruit</t>
  </si>
  <si>
    <t>Grain Legumes</t>
  </si>
  <si>
    <t>Grains Research and Development Corporation - Grains</t>
  </si>
  <si>
    <t>Grains Research and Development Corporation - Wheat</t>
  </si>
  <si>
    <t>Honey</t>
  </si>
  <si>
    <r>
      <t xml:space="preserve">R&amp;D levy only. From 2016-17, actual amounts represent total cash payments made in respective financial year. Amounts for a financial year may be paid in subsequent financial year. The actual amounts are sourced from the disbursement download report by the disbursed date of each financial year from the levies business information system, Phoenix. Budget estimates and Forward Estimates are based on the GEUS report for the administered expenses for Budget </t>
    </r>
    <r>
      <rPr>
        <sz val="10"/>
        <color rgb="FFFF0000"/>
        <rFont val="Arial"/>
        <family val="2"/>
      </rPr>
      <t>March 2025-26.</t>
    </r>
  </si>
  <si>
    <t>LiveCorp</t>
  </si>
  <si>
    <t>Meat</t>
  </si>
  <si>
    <t>Not aggregated from 2018-19 for financial year 2016-17 onward. Reported as individual recipients MLA, AMPC and Livecorp.</t>
  </si>
  <si>
    <t>Meat and Livestock Australia</t>
  </si>
  <si>
    <t>Oilseeds</t>
  </si>
  <si>
    <t>Special Rural</t>
  </si>
  <si>
    <t>Tobacco</t>
  </si>
  <si>
    <t>R&amp;D levy only, excludes Wine Exports and Wine Grapes - Tonnage for actuals. From 2016-17, actual amounts represent total cash payments made in respective financial year. Amounts for a financial year may be paid in subsequent financial year. The actual amounts are sourced from the disbursement download report by the disbursed date of each financial year from the levies business information system, Phoenix. Budget estimates and Forward Estimates are based on the estimates for wine grapes and grape research levy as provided by Wine Australia for the administered expenses for Budget March 2025-26.</t>
  </si>
  <si>
    <t>Rural R&amp;D Corporations, 1978-79 to 2025-26
($m current prices)</t>
  </si>
  <si>
    <t>Commonwealth matching payments to corporations</t>
  </si>
  <si>
    <t>AgriFutures Australia</t>
  </si>
  <si>
    <t>Previously included under 'Rural Industries R&amp;D Corporation' and included Bill 1 Approp which is now excluded and reported separately. From 2016-17, Commonwealth Matching only. Actual amounts represent total cash payments made in respective financial year. Amounts for a financial year may be paid in subsequent financial year. The actual amounts are sourced from the disbursement download report by the disbursed date of each financial year from the levies business information system, Phoenix. Budget estimates and Forward Estimates are based on administered expenses for Budget March 2025-26.</t>
  </si>
  <si>
    <t>Commonwealth Matching only. From 2016-17, actual amounts represent total cash payments made in respective financial year. Amounts for a financial year may be paid in subsequent financial year. The actual amounts are sourced from the disbursement download report by the disbursed date of each financial year from the levies business information system, Phoenix. Budget estimates and Forward Estimates are based on administered expenses for Budget March 2025-26.</t>
  </si>
  <si>
    <t>Previously included under 'Meat Research' but reported separately from 2018-19 for 2016-17 financial year onward. Commonwealth Matching only. From 2016-17, actual amounts represent total cash payments made in respective financial year. Amounts for a financial year may be paid in subsequent financial year. The actual amounts are sourced from the disbursement download report by the disbursed date of each financial year from the levies business information system, Phoenix. Budget estimates and Forward Estimates are based on administered expenses for Budget March 2025-26.</t>
  </si>
  <si>
    <t>Previously included under 'Other Rural Research' but reported separately from 2018-19 for 2016-17 financial year onward. Commonwealth Matching only. From 2016-17, actual amounts represent total cash payments made in respective financial year. Amounts for a financial year may be paid in subsequent financial year. The actual amounts are sourced from the disbursement download report by the disbursed date of each financial year from the levies business information system, Phoenix. Budget estimates and Forward Estimates are based on administered expenses for Budget March 2025-26.</t>
  </si>
  <si>
    <t>Land and Water Australia</t>
  </si>
  <si>
    <t>Land &amp; Water Australia was closed in December 2009 as part of the government's 2009-10 Budget.</t>
  </si>
  <si>
    <t>Previously included under 'Meat Research' but reported separately from 2018-19 for 2016-17 financial year onward; 
The department doesn't pay commonwealth matching directly to Australian Meat Processing Corporation (AMPC) and Australian Livestock Export Corporation Limited (Livecorp). AMPC and Livecorp can make contributions to R&amp;D spend by MLA, who can claim common matching from the department. Commonwealth Matching only. From 2016-17, actual amounts represent total cash payments made in respective financial year. Amounts for a financial year may be paid in subsequent financial year. The actual amounts are sourced from the disbursement download report by the disbursed date of each financial year from the levies business information system, Phoenix. Budget estimates and Forward Estimates are based on administered expenses for Budget March 2025-26</t>
  </si>
  <si>
    <t>Meat Research</t>
  </si>
  <si>
    <t>Not aggregated from 2018-19 for financial year 2016-17 onward. Reported as individual recipients APL and MLA.</t>
  </si>
  <si>
    <t>Other Rural Research</t>
  </si>
  <si>
    <t>Not aggregated from 2018-19 for financial year 2016-17 onward. Reported as individual recipients SRA, CRDC, Wine Australia.</t>
  </si>
  <si>
    <t>Definitions</t>
  </si>
  <si>
    <t>Science</t>
  </si>
  <si>
    <t>Science is the pursuit and application of knowledge and understanding of the natural and social world following a systematic methodology based on evidence.
Scientific methodology includes the following:</t>
  </si>
  <si>
    <t>·</t>
  </si>
  <si>
    <t>Objective observation: Measurement and data (possibly although not necessarily using mathematics as a tool)</t>
  </si>
  <si>
    <t>Evidence</t>
  </si>
  <si>
    <t>Experiment and/or observation as benchmarks for testing hypotheses</t>
  </si>
  <si>
    <t>Induction: reasoning to establish general rules or conclusions drawn from facts or examples</t>
  </si>
  <si>
    <t>Repetition</t>
  </si>
  <si>
    <t>Critical analysis</t>
  </si>
  <si>
    <t>Verification and testing: critical exposure to scrutiny, peer review and assessment.</t>
  </si>
  <si>
    <t>Source:</t>
  </si>
  <si>
    <t>UK Science Council</t>
  </si>
  <si>
    <t>Research and Experimental Development (R&amp;D)</t>
  </si>
  <si>
    <t>Research and experimental development (R&amp;D) comprise creative and systematic work undertaken in order to increase the stock of knowledge –including knowledge of humankind, culture and society – and to devise new applications of available knowledge.</t>
  </si>
  <si>
    <t>The SRI Budget Tables seek to capture funding for R&amp;D activities. R&amp;D activities may be one part of a larger government funded program, or may cover all activities within a program. A set of common features identifies R&amp;D activities, even if these are carried out by different performers. R&amp;D activities may be aimed at achieving either specific or general objectives. R&amp;D is always aimed at new findings, based on original concepts (and their interpretation) or hypotheses. It is largely uncertain about its final outcome (or at least about the quantity of time and resources needed to achieve it), it is planned for and budgeted (even when carried out by individuals), and it is aimed at producing results that could be either freely transferred or traded in a marketplace. For an activity to be an R&amp;D activity, it must satisfy five core criteria.</t>
  </si>
  <si>
    <t>The activity must be:</t>
  </si>
  <si>
    <t>novel</t>
  </si>
  <si>
    <t>creative</t>
  </si>
  <si>
    <t>uncertain</t>
  </si>
  <si>
    <t>systematic</t>
  </si>
  <si>
    <t>transferable and/or reproducible.</t>
  </si>
  <si>
    <t>All five criteria are to be met, at least in principle, every time an R&amp;D activity is undertaken whether on a continuous or occasional basis.</t>
  </si>
  <si>
    <t xml:space="preserve">The term R&amp;D covers three types of activity: basic research, applied research and experimental development. Basic research is experimental or theoretical work undertaken primarily to acquire new knowledge of the underlying foundations of phenomena and observable facts, without any particular application or use in view. Applied research is original investigation undertaken in order to acquire new knowledge. It is, however, directed primarily towards a specific, practical aim or objective. Experimental development is systematic work, drawing on knowledge gained from research and practical experience and producing additional knowledge, which is directed to producing new products or processes or to improving existing products or processes. </t>
  </si>
  <si>
    <t>Chapter 2 of the Frascati Manual 2015</t>
  </si>
  <si>
    <t>Innovation</t>
  </si>
  <si>
    <r>
      <t xml:space="preserve">A key tenet of the </t>
    </r>
    <r>
      <rPr>
        <i/>
        <sz val="11"/>
        <color rgb="FF000000"/>
        <rFont val="Arial"/>
        <family val="2"/>
      </rPr>
      <t xml:space="preserve">Oslo Manual </t>
    </r>
    <r>
      <rPr>
        <sz val="11"/>
        <color rgb="FF000000"/>
        <rFont val="Arial"/>
        <family val="2"/>
      </rPr>
      <t>is that innovation can and should be measured. The requirement for measurability is an essential criterion for selecting the concepts, definitions and classifications in this manual. This feature sets this manual apart from other documents that conceptualise and define innovation. Key components of the concept of innovation include the role of knowledge as a basis for innovation, novelty and utility, and value creation or preservation as the presumed goal of innovation. The requirement for implementation differentiates innovation from other concepts such as invention, as an innovation must be implemented, i.e. put into use or made available for others to use. The term ‘innovation’ can signify both an activity and the outcome of the activity. This manual provides definitions for both. 
The general definition of an innovation is as follows:</t>
    </r>
    <r>
      <rPr>
        <b/>
        <i/>
        <sz val="11"/>
        <color rgb="FF000000"/>
        <rFont val="Arial"/>
        <family val="2"/>
      </rPr>
      <t xml:space="preserve"> An innovation is a new or improved product or process (or combination thereof) that differs significantly from the unit’s previous products or processes and that has been made available to potential users (product) or brought into use by the unit (process).
</t>
    </r>
    <r>
      <rPr>
        <sz val="11"/>
        <color rgb="FF000000"/>
        <rFont val="Arial"/>
        <family val="2"/>
      </rPr>
      <t xml:space="preserve">
This definition uses the generic term “unit” to describe the actor responsible for innovations. It refers to any institutional unit in any sector, including households and their individual members. This definition is further developed and operationalised to provides the basis for the practical guidelines in this manual for the business sector. Although the concept of innovation is inherently subjective, its application is rendered fairly objective and comparable by applying common reference points for novelty and utility, requiring a significant difference to be appreciated. This facilitates the collection and reporting of comparable data on innovation and related activities for firms in different countries and industries and for firms of different sizes and structures, ranging from small single-product firms to large multinational firms that produce a wide range of goods or services. 
</t>
    </r>
    <r>
      <rPr>
        <b/>
        <i/>
        <sz val="11"/>
        <color rgb="FF000000"/>
        <rFont val="Arial"/>
        <family val="2"/>
      </rPr>
      <t xml:space="preserve">Innovation activities </t>
    </r>
    <r>
      <rPr>
        <i/>
        <sz val="11"/>
        <color rgb="FF000000"/>
        <rFont val="Arial"/>
        <family val="2"/>
      </rPr>
      <t>include all developmental, financial and commercial activities undertaken by a firm that are intended to result in an innovation for the firm.</t>
    </r>
    <r>
      <rPr>
        <sz val="11"/>
        <color rgb="FF000000"/>
        <rFont val="Arial"/>
        <family val="2"/>
      </rPr>
      <t xml:space="preserve">  
</t>
    </r>
    <r>
      <rPr>
        <i/>
        <sz val="11"/>
        <color rgb="FF000000"/>
        <rFont val="Arial"/>
        <family val="2"/>
      </rPr>
      <t xml:space="preserve">A </t>
    </r>
    <r>
      <rPr>
        <b/>
        <i/>
        <sz val="11"/>
        <color rgb="FF000000"/>
        <rFont val="Arial"/>
        <family val="2"/>
      </rPr>
      <t>business innovation</t>
    </r>
    <r>
      <rPr>
        <i/>
        <sz val="11"/>
        <color rgb="FF000000"/>
        <rFont val="Arial"/>
        <family val="2"/>
      </rPr>
      <t xml:space="preserve"> is a new or improved product or business process (or combination thereof) that differs significantly from the firm's previous products or business processes and that has been introduced on the market or brought into use by the firm.</t>
    </r>
    <r>
      <rPr>
        <sz val="11"/>
        <color rgb="FF000000"/>
        <rFont val="Arial"/>
        <family val="2"/>
      </rPr>
      <t xml:space="preserve"> 
Compared to the previous edition, a major change for the definition of business innovation in this manual has been the reduction, informed by cognitive testing work, in the complexity of the previous list-based definition of four types of innovations (product, process, organisational and marketing), to two main types: product innovations and business process innovations. The revised definition also reduces the ambiguity of the requirement for a “significant” change by comparing both new and improved innovations to the firm’s existing products or business processes. The basic definitions of a product and business process innovation are as follows: 
</t>
    </r>
    <r>
      <rPr>
        <i/>
        <sz val="11"/>
        <color rgb="FF000000"/>
        <rFont val="Arial"/>
        <family val="2"/>
      </rPr>
      <t>A</t>
    </r>
    <r>
      <rPr>
        <b/>
        <i/>
        <sz val="11"/>
        <color rgb="FF000000"/>
        <rFont val="Arial"/>
        <family val="2"/>
      </rPr>
      <t xml:space="preserve"> product innovation </t>
    </r>
    <r>
      <rPr>
        <i/>
        <sz val="11"/>
        <color rgb="FF000000"/>
        <rFont val="Arial"/>
        <family val="2"/>
      </rPr>
      <t>is a new or improved good or service that differs significantly from the firm’s previous goods or services and that has been introduced on the market.</t>
    </r>
    <r>
      <rPr>
        <sz val="11"/>
        <color rgb="FF000000"/>
        <rFont val="Arial"/>
        <family val="2"/>
      </rPr>
      <t xml:space="preserve"> 
</t>
    </r>
    <r>
      <rPr>
        <i/>
        <sz val="11"/>
        <color rgb="FF000000"/>
        <rFont val="Arial"/>
        <family val="2"/>
      </rPr>
      <t xml:space="preserve">A </t>
    </r>
    <r>
      <rPr>
        <b/>
        <i/>
        <sz val="11"/>
        <color rgb="FF000000"/>
        <rFont val="Arial"/>
        <family val="2"/>
      </rPr>
      <t>business process innovation</t>
    </r>
    <r>
      <rPr>
        <i/>
        <sz val="11"/>
        <color rgb="FF000000"/>
        <rFont val="Arial"/>
        <family val="2"/>
      </rPr>
      <t xml:space="preserve"> is a new or improved business process for one or more business functions that differs significantly from the firm’s previous business processes and that has been brought into use by the firm.</t>
    </r>
    <r>
      <rPr>
        <sz val="11"/>
        <color rgb="FF000000"/>
        <rFont val="Arial"/>
        <family val="2"/>
      </rPr>
      <t xml:space="preserve"> 
Business process innovations concern six different functions of a firm, as identified in the business management literature. Two functions relate to a firm’s core activity of producing and delivering products for sale, while the other functions concern supporting operations. The taxonomy of business functions proposed in this manual maps reasonably well onto the previous edition’s categories of process, marketing and organisational innovations.
(Oslo Manual 2018: Guidelines for Collecting, Reporting and Using Data on Innovation, 4th Edition. Refer to the pages 20-21 of the Executive summarly OSLO Manual 2018.)</t>
    </r>
  </si>
  <si>
    <t>Oslo Manual 2018</t>
  </si>
  <si>
    <t>Research commercialisation and Knowledge-transfer</t>
  </si>
  <si>
    <t>Research commercialisation refers to the process through which ideas or research can be exploited by firms and researchers themselves so as to generate economic and social value and industrial development.</t>
  </si>
  <si>
    <t>Knowledge transfer refers to the multiple channels through which knowledge may be exchanged between the publicly-funded research sector and other sectors of the economy. These channels include:</t>
  </si>
  <si>
    <t xml:space="preserve">Publishing </t>
  </si>
  <si>
    <t>The most traditional and widespread mode of transmission of knowledge; mostly limited to published papers.</t>
  </si>
  <si>
    <t>Conferencing, networking</t>
  </si>
  <si>
    <t>Professional conferences, informal relations, casual contact and conversations.</t>
  </si>
  <si>
    <t>Collaborative research and research partnerships</t>
  </si>
  <si>
    <t>Situations where scientists and private companies jointly commit resources and research efforts to projects; research carried out jointly and may be cofounded (in relation to contract research); these range from small-scale projects to strategic partnerships with multiple members and stakeholders (i.e. public-private partnerships).</t>
  </si>
  <si>
    <t xml:space="preserve">Contract research </t>
  </si>
  <si>
    <t>Commissioned by a private firm to pursue a solution to a problem of interest; distinct from most types of consulting; involves creating new knowledge per the specifications or goals of client; usually more applied than collaborative research.</t>
  </si>
  <si>
    <t>Research or advisory services provided by researchers to industry clients. There are three different types: research-, opportunity- and commercialisation-driven consulting.</t>
  </si>
  <si>
    <t>Student hiring by or placement in Industry</t>
  </si>
  <si>
    <t>Includes joint supervision of theses, internships, and collaborative research.</t>
  </si>
  <si>
    <t>Patenting and licensing</t>
  </si>
  <si>
    <t>The grant of a patent confers upon a patent holder the exclusive right to exploit an invention, or to authorise another person to exploit an invention, during the patent term. A patent holder may license any or all of its patent rights to a third party.</t>
  </si>
  <si>
    <t>Public research startups/spin-offs</t>
  </si>
  <si>
    <t>Start-up companies are companies or traders as persons engaged in businesses that were partially or entirely dependent upon licensing or assignment of a PFRO's technology for initiation.</t>
  </si>
  <si>
    <t>Personnel exchanges/intersectoral mobility</t>
  </si>
  <si>
    <t>May take many forms; usually university or industry researchers spending time in the alternate settings; the most important form is employment by industry.</t>
  </si>
  <si>
    <t xml:space="preserve">Standards </t>
  </si>
  <si>
    <t>Documents based on various degrees of consensus.</t>
  </si>
  <si>
    <t>Source:  (with some modification)</t>
  </si>
  <si>
    <t>Commercialising Public Research: New Trends and Strategies, OECD 2013</t>
  </si>
  <si>
    <t>SRI-enabling activities</t>
  </si>
  <si>
    <t>A program, activity or organisation is considered SRI-enabling if it undertakes any of the following activities with respect to science, research and/or innovation (SRI):</t>
  </si>
  <si>
    <t>Policy</t>
  </si>
  <si>
    <t>Setting strategic directions and leadership; establishing priorities; implementing policies and programs; regulating behaviour; procuring, purchasing and commissioning; educating the public.</t>
  </si>
  <si>
    <t>Money</t>
  </si>
  <si>
    <t>Provision of funding for SRI policies and programs, activities and agencies; policies and program related to SRI investment, expenditure, finance and funding including: tax offsets; venture capital; foreign investment; philanthropy; employee share schemes and crowd-sourcing.</t>
  </si>
  <si>
    <t>Infrastructure</t>
  </si>
  <si>
    <t>Support for the development of, or provision of access to, key SRI infrastructure such as:
• research infrastructure (e.g. the Australian Synchrotron; the Square Kilometre Array);
• information assets and data infrastructure (e.g. ABS data collections; Australian National Data Service (ANDS));
• intellectual property system (e.g. IP Australia).</t>
  </si>
  <si>
    <t>Skills</t>
  </si>
  <si>
    <t>Support for the development of SRI-relevant skills. This includes policies and programs relating to the supply and quality of skills, talent, competencies and/or experience for science, research and/or innovation. Key skill areas include:</t>
  </si>
  <si>
    <t xml:space="preserve">Basic skills </t>
  </si>
  <si>
    <t>Covering numeracy, reading and comprehension, written expression (literacy), active learning, oral expression, problem-solving, critical thinking, self-awareness and digital literacy. These basic skills are sometimes referred to in the business community as employability skills.</t>
  </si>
  <si>
    <t xml:space="preserve">Knowledge skills </t>
  </si>
  <si>
    <t>Covering knowledge drawn from science, technology, engineering and mathematics (STEM) and the humanities, arts and social sciences (HASS). Knowledge skills lie at the foundation of ‘knowledge organisations’ (that is, organisations that create, manage, use and transfer knowledge-based products or services).</t>
  </si>
  <si>
    <t xml:space="preserve">Technical and technician skills </t>
  </si>
  <si>
    <t>Covering areas such as equipment maintenance, installation, repair, operation and control, machine programming and software maintenance, quality control, technology and user experience design, troubleshooting.</t>
  </si>
  <si>
    <t xml:space="preserve">Creativity, design and cross-cultural skills </t>
  </si>
  <si>
    <t>Covering idea and opportunity creation (which may or may not be sourced from science and technology), problem-solving, integrative thinking, ingenuity and end user (customer) orientation including cross-cultural understanding within and across multiple global markets.</t>
  </si>
  <si>
    <t xml:space="preserve">Entrepreneurial skills </t>
  </si>
  <si>
    <t>Covering abilities related to starting a business, whether as a start-up company or as a new venture in an established organisation, including an ability to focus on satisfying customer needs and end user wants.</t>
  </si>
  <si>
    <t xml:space="preserve">Business skills </t>
  </si>
  <si>
    <t>Covering implementation and administration of critical business systems and processes, including sales and marketing, accounting and finance, materials procurement and supply, project delivery, recruitment and motivation of employees and contractors, and management of time.</t>
  </si>
  <si>
    <t xml:space="preserve">Management and leadership skills </t>
  </si>
  <si>
    <t>Covering judgment and decision-making, communicating and coordinating with others, emotional intelligence, negotiation, persuasion, organisational culture, training and teaching others.</t>
  </si>
  <si>
    <t>Networks</t>
  </si>
  <si>
    <r>
      <t xml:space="preserve">Support for the development of SRI-related networks. These include structures, roles and mechanisms designed to increase the cost-effectiveness of collaboration (or otherwise facilitate collaboration) to increase or improve science, research and innovation. Networks can be broadly classified according to the main strategy which supports their formation and maintenance (noting that networks which fall into one group may secondarily also fall into others):
• </t>
    </r>
    <r>
      <rPr>
        <u/>
        <sz val="11"/>
        <color theme="1"/>
        <rFont val="Arial"/>
        <family val="2"/>
      </rPr>
      <t>facilitated</t>
    </r>
    <r>
      <rPr>
        <sz val="11"/>
        <color theme="1"/>
        <rFont val="Arial"/>
        <family val="2"/>
      </rPr>
      <t xml:space="preserve">: networks facilitated by people or organisations with specific roles as intermediaries;
• </t>
    </r>
    <r>
      <rPr>
        <u/>
        <sz val="11"/>
        <color theme="1"/>
        <rFont val="Arial"/>
        <family val="2"/>
      </rPr>
      <t>co-located</t>
    </r>
    <r>
      <rPr>
        <sz val="11"/>
        <color theme="1"/>
        <rFont val="Arial"/>
        <family val="2"/>
      </rPr>
      <t xml:space="preserve">: networks based on geographical proximity;
• </t>
    </r>
    <r>
      <rPr>
        <u/>
        <sz val="11"/>
        <color theme="1"/>
        <rFont val="Arial"/>
        <family val="2"/>
      </rPr>
      <t>virtual</t>
    </r>
    <r>
      <rPr>
        <sz val="11"/>
        <color theme="1"/>
        <rFont val="Arial"/>
        <family val="2"/>
      </rPr>
      <t xml:space="preserve">: networks that use digital internet and communications technologies to build and maintain relationships between people and organisations;
• </t>
    </r>
    <r>
      <rPr>
        <u/>
        <sz val="11"/>
        <color theme="1"/>
        <rFont val="Arial"/>
        <family val="2"/>
      </rPr>
      <t>incentivised</t>
    </r>
    <r>
      <rPr>
        <sz val="11"/>
        <color theme="1"/>
        <rFont val="Arial"/>
        <family val="2"/>
      </rPr>
      <t xml:space="preserve">: networks formed around specific shared problems, strategies or other incentives that facilitate collaboration or reduce barriers to it;
• </t>
    </r>
    <r>
      <rPr>
        <u/>
        <sz val="11"/>
        <color theme="1"/>
        <rFont val="Arial"/>
        <family val="2"/>
      </rPr>
      <t>co-resourced</t>
    </r>
    <r>
      <rPr>
        <sz val="11"/>
        <color theme="1"/>
        <rFont val="Arial"/>
        <family val="2"/>
      </rPr>
      <t>: formalised sharing of staff or co-funding commitments.</t>
    </r>
  </si>
  <si>
    <t>Culture</t>
  </si>
  <si>
    <t>Support for SRI culture, whether at the organisational or national level. This may include SRI-related programs that focus on: gender; social diversity; development of a multicultural society; or science communication, among other things.</t>
  </si>
  <si>
    <t xml:space="preserve">Source: </t>
  </si>
  <si>
    <t>Innovation and Science Australia (ISA) Performance Review of the Australian Science and Research System 2016</t>
  </si>
  <si>
    <r>
      <t xml:space="preserve">This column of the tables provides information on the sector of the economy within which R&amp;D expenditure is taking place. The overarching sector classifications are specified within the </t>
    </r>
    <r>
      <rPr>
        <i/>
        <sz val="11"/>
        <rFont val="Arial"/>
        <family val="2"/>
      </rPr>
      <t>Frascati Manual 2015</t>
    </r>
    <r>
      <rPr>
        <sz val="11"/>
        <rFont val="Arial"/>
        <family val="2"/>
      </rPr>
      <t xml:space="preserve"> (ref. p.89).</t>
    </r>
  </si>
  <si>
    <t>Business</t>
  </si>
  <si>
    <t>The chart below, which was extracted from p.91 of the 2015 Frascati Manual, provides advice on the categorisation of programs and activities.</t>
  </si>
  <si>
    <r>
      <t xml:space="preserve"> - If a program or activity provides funding to more than one of these sectors and a financial breakdown of expenditure between sectors is available then this program is categorised as '</t>
    </r>
    <r>
      <rPr>
        <b/>
        <sz val="11"/>
        <color theme="1"/>
        <rFont val="Arial"/>
        <family val="2"/>
      </rPr>
      <t>Multisector</t>
    </r>
    <r>
      <rPr>
        <sz val="11"/>
        <color theme="1"/>
        <rFont val="Arial"/>
        <family val="2"/>
      </rPr>
      <t xml:space="preserve">'. Details of the SEO breakdown are incorporated within the </t>
    </r>
    <r>
      <rPr>
        <b/>
        <sz val="11"/>
        <color theme="1"/>
        <rFont val="Arial"/>
        <family val="2"/>
      </rPr>
      <t>SEO tables tab</t>
    </r>
    <r>
      <rPr>
        <sz val="11"/>
        <color theme="1"/>
        <rFont val="Arial"/>
        <family val="2"/>
      </rPr>
      <t xml:space="preserve"> of this document.</t>
    </r>
  </si>
  <si>
    <t xml:space="preserve"> - If a program or activity primarily provides funding to one or more organisations outside of Australia then it is categorised as 'Rest of the world'.</t>
  </si>
  <si>
    <t xml:space="preserve">Frascati Manual 2015 </t>
  </si>
  <si>
    <t>Socio-Economic Objectives</t>
  </si>
  <si>
    <t>SEOs describe the purpose of an R&amp;D activity. As there can sometimes be ambiguity about the purpose of an R&amp;D activity as compared to its R&amp;D content, the following fictitious examples indicate how the appropriate SEOs are determined:</t>
  </si>
  <si>
    <t xml:space="preserve"> - In the case of a research project to develop fuel cells to provide power in remote forestry locations, where the research activities involved are concerned with energy but where the ultimate purpose of undertaking the project is to support agriculture, the project would be classified as ‘Agriculture’.</t>
  </si>
  <si>
    <t xml:space="preserve"> - In the case of an archaeological research project on a proposed mining site, where the research activities involved belong to the humanities but where the project has been undertaken to support mining activities, the project would be classified as ’Exploration and exploitation of the Earth’.</t>
  </si>
  <si>
    <t>There are 14 SEOs as described below:</t>
  </si>
  <si>
    <t>01.</t>
  </si>
  <si>
    <t>Exploration and exploitation of the Earth</t>
  </si>
  <si>
    <t>This SEO covers funds for R&amp;D with objectives related to the exploration of the Earth’s crust and mantle, seas, oceans and atmosphere, as well as for R&amp;D on their exploitation. It also includes climatic and meteorological research, polar exploration and hydrology. It does not include R&amp;D related to soil improvement (SEO 4), land use or fishing (SEO 8), or pollution (SEO 2).</t>
  </si>
  <si>
    <t>02.</t>
  </si>
  <si>
    <t xml:space="preserve"> Environment</t>
  </si>
  <si>
    <t>This SEO covers R&amp;D aimed at improving the control of pollution, including the identification and analysis of the sources of pollution and their causes, and all pollutants, including their dispersal in the environment and the effects on humans, species (fauna, flora, micro-organisms) and the biosphere. The development of monitoring facilities for the measurement of all kinds of pollution is included, as is R&amp;D for the elimination and prevention of all forms of pollution in all types of environment.</t>
  </si>
  <si>
    <t>03.</t>
  </si>
  <si>
    <t>Exploration and exploitation of space</t>
  </si>
  <si>
    <t>This SEO covers all civil space R&amp;D relating to the scientific exploration of space, space laboratories, space travel and launch systems. Corresponding R&amp;D in defence is classified in SEO 13. Although civil space R&amp;D is not in general concerned with particular objectives, it frequently has a specific goal, such as the advancement of knowledge (e.g. astronomy) or relates to particular applications (e.g. telecommunications satellites or earth observation). The category is nonetheless maintained to facilitate reporting by countries with major space programmes. This chapter does not include corresponding R&amp;D for defence purposes.</t>
  </si>
  <si>
    <t>04.</t>
  </si>
  <si>
    <t>Transport, telecommunications and other infrastructures</t>
  </si>
  <si>
    <t>This SEO covers R&amp;D aimed at infrastructure and land development, including the construction of buildings. More generally, this SEO covers all R&amp;D relating to the general planning of land use. This includes R&amp;D into protection against harmful effects in town and country planning but not research into other types of pollution (SEO 2). This SEO also includes R&amp;D related to transport systems; telecommunication systems; general planning of land use; the construction and planning of buildings; civil engineering; and water supply.</t>
  </si>
  <si>
    <t>05.</t>
  </si>
  <si>
    <t>Energy</t>
  </si>
  <si>
    <t>This SEO covers R&amp;D aimed at improving the production, storage, transportation, distribution and rational use of all forms of energy. It also includes R&amp;D on processes designed to increase the efficiency of energy production and distribution, and the study of energy conservation. It does not include R&amp;D related to prospecting (SEO 1) or R&amp;D into vehicle and engine propulsion (SEO 6).</t>
  </si>
  <si>
    <t>06.</t>
  </si>
  <si>
    <t>Industrial production and technology</t>
  </si>
  <si>
    <t>This SEO covers R&amp;D aimed at the improvement of industrial production and technology, including R&amp;D on industrial products and their manufacturing processes, except where they form an integral part of the pursuit of other objectives (e.g. defence, space, energy, agriculture).</t>
  </si>
  <si>
    <t>07.</t>
  </si>
  <si>
    <t>Health</t>
  </si>
  <si>
    <t>This SEO covers R&amp;D aimed at protecting, promoting and restoring human health broadly interpreted to include health aspects of nutrition and food hygiene. It ranges from preventive medicine, including all aspects of medical and surgical treatment, both for individuals and groups, and the provision of hospital and home care, to social medicine and paediatric and geriatric research.</t>
  </si>
  <si>
    <t>08.</t>
  </si>
  <si>
    <t xml:space="preserve"> Agriculture</t>
  </si>
  <si>
    <t>This SEO covers all R&amp;D aimed at the promotion of agriculture, forestry, fisheries and foodstuff production, or furthering knowledge on chemical fertilisers, biocides, biological pest control and the mechanisation of agriculture, as well as concerning the impact of agricultural and forestry activities on the environment. This also covers R&amp;D aimed at improving food productivity and technology. It does not include R&amp;D on the reduction of pollution (SEO 2); on the development of rural areas; on the construction and planning of buildings; on the improvement of rural rest and recreation amenities and agricultural water supply (SEO 4); on energy measures (SEO 5); or on the food industry (SEO 8).</t>
  </si>
  <si>
    <t>09.</t>
  </si>
  <si>
    <t xml:space="preserve"> Education</t>
  </si>
  <si>
    <t>This SEO includes R&amp;D aimed at supporting general or special education, including training, pedagogy, didactics, and targeted methods for specially gifted persons or those with learning disabilities. This objective applies to all levels of education, from pre- and primary school through to tertiary education, as well as to subsidiary services to education.</t>
  </si>
  <si>
    <t>10.</t>
  </si>
  <si>
    <t xml:space="preserve"> Culture, recreation, religion and mass media</t>
  </si>
  <si>
    <t>This SEO includes R&amp;D aimed at improving the understanding of social phenomena related to cultural activities, religion and leisure activities so as to define their impact on life in society, as well as to racial and cultural integration and on socio-cultural changes in these areas. The concept of “culture” covers the sociology of science, religion, art, sport and leisure, and also comprises inter alia R&amp;D on the media, the mastery of language and social integration, libraries, archives and external cultural policy. This SEO also includes R&amp;D related to: recreational and sporting services; cultural services; broadcasting and publishing services; and religious and other community services.</t>
  </si>
  <si>
    <t>11.</t>
  </si>
  <si>
    <t>Political and social systems, structures and processes</t>
  </si>
  <si>
    <t>This SEO includes R&amp;D aimed at improving the understanding of and supporting the political structure of society; public administration issues and economic policy; regional studies and multi-level governance; social change, social processes and social conflicts; the development of social security and social assistance systems; and the social aspects of the organisation of work. This objective also includes R&amp;D related to gender-related social studies, including discrimination and familiar problems; the development of methods of combating poverty at local, national and international level; the protection of specific population categories on the social level (immigrants, delinquents, “drop outs”, etc.), on the sociological level, i.e. with regard to their way of life (young people, adults, retired people, disabled people, etc.) and on the economic level (consumers, farmers, fishermen, miners, the unemployed, etc.); and methods of providing social assistance when sudden changes (natural, technological or social) occur in society. This SEO does not include R&amp;D related to industrial health, the health control of communities from the organisational and socio-medical point of view, pollution at the place of work, the prevention of industrial accidents and the medical aspects of the causes of industrial accidents (SEO 7).</t>
  </si>
  <si>
    <t>12.</t>
  </si>
  <si>
    <t>General advancement of knowledge: R&amp;D financed from General University Funds (GUF)</t>
  </si>
  <si>
    <t>This SEO should include, by convention, all R&amp;D financed from general purpose grants from ministries of education, although in some countries many of these programmes may be relevant to other objectives.</t>
  </si>
  <si>
    <t>13.</t>
  </si>
  <si>
    <t>General advancement of knowledge: R&amp;D financed from other sources than GUF</t>
  </si>
  <si>
    <t>This SEO covers all those budget allocations that are earmarked for R&amp;D but which cannot be attributed to an objective and are financed by sources other than GUF.</t>
  </si>
  <si>
    <t>14.</t>
  </si>
  <si>
    <t>This SEO covers R&amp;D for military purposes. It may also include basic research and nuclear and space research when financed by ministries of defence. Civil research financed by ministries of defence, for example in the fields of meteorology, telecommunications and health, should be classified in the relevant SEOs.</t>
  </si>
  <si>
    <t>Source: Frascati Manual 2015</t>
  </si>
  <si>
    <t>Frascati-manual-2015_page335</t>
  </si>
  <si>
    <t>00.</t>
  </si>
  <si>
    <t>Multiple categories</t>
  </si>
  <si>
    <r>
      <t xml:space="preserve">This option is used primarily by research agencies, funding councils and programs that provide support for or engage in a variety of areas of research. Tables are provided for financial breakdowns within the </t>
    </r>
    <r>
      <rPr>
        <b/>
        <sz val="11"/>
        <rFont val="Arial"/>
        <family val="2"/>
      </rPr>
      <t>SEO tables tab.</t>
    </r>
  </si>
  <si>
    <t>Allocation Method</t>
  </si>
  <si>
    <t>This column captures information on the method used to allocate funding within a given program or activity. Options are defined here:</t>
  </si>
  <si>
    <t>Where applications for funding or entries to a competition are judged by a panel against selection criteria. This is the method used for allocating funding within competitive grants programs.</t>
  </si>
  <si>
    <t>Where funding is allocated in order to address particular challenges or to accomplish particular objectives.</t>
  </si>
  <si>
    <t>Competitive/ Targeted</t>
  </si>
  <si>
    <t>A combination of the above two categories. This category should be chosen when a program or activity makes substantial use of both mechanisms.</t>
  </si>
  <si>
    <t>Where an organisation undertaking eligible activities receives pre-specified levels of financial assistance from the Australian Government. This is the method used for allocating funding through the R&amp;D Tax Measures.</t>
  </si>
  <si>
    <t>Where organisations receive an allocation calculated according to a formula based upon their performance against specified metrics. This is the method used to allocate performance-based block funding to universities.</t>
  </si>
  <si>
    <t xml:space="preserve">Use this category when none of the above options is suitable. An entry in the Notes field of the relevant dataset may describe the allocation method that is used. </t>
  </si>
  <si>
    <t>Appropriation Type</t>
  </si>
  <si>
    <t xml:space="preserve"> There are two main categories of appropriations: annual appropriations and special (or standing) appropriations.</t>
  </si>
  <si>
    <r>
      <t>Annual Appropriation Acts provide annual funding for government operations and programmes and also for investment in assets and reduction of liabilities. Bills proposing appropriations for the forthcoming financial year are introduced into parliament on Budget Night and, when passed, fund approximately </t>
    </r>
    <r>
      <rPr>
        <b/>
        <sz val="11"/>
        <color theme="1"/>
        <rFont val="Arial"/>
        <family val="2"/>
      </rPr>
      <t>25 per cent</t>
    </r>
    <r>
      <rPr>
        <sz val="11"/>
        <color theme="1"/>
        <rFont val="Arial"/>
        <family val="2"/>
      </rPr>
      <t xml:space="preserve"> of all government expenditure for the year.
The annual Appropriation Bills propose specified amounts of appropriation for expenditure by entities to carry out the government’s outcomes. Those amounts may only be expended on the purposes for which the appropriations are provided and that expenditure must be consistent with relevant legislation and government policy. The Finance Minister is responsible, on behalf of the government, for arrangements by which entities adhere to those requirements.
Appropriations are provided for particular purposes. The purpose of departmental appropriations is to provide money for the annual operating costs of entities. For administered appropriations, those purposes are the outcomes which are shown beside the appropriation amounts. Outcomes are the results, consequences or impacts of government actions.
</t>
    </r>
  </si>
  <si>
    <t>A special appropriation is a provision within an Act (that is not an Annual Appropriation Act) that provides authority to spend money for particular purposes, for example, to finance a particular project or to make social security payments. Special appropriations account for around three quarters of all government expenditure each year.
A special appropriation (also known as a standing appropriation) is included in a specific Act (other than an Annual Appropriation Act) when it authorises a payment where an entitlement exists, or a payment of a specified amount separately identified in an annual Appropriation Act. Some special appropriations state a maximum amount that is appropriated for the particular purpose. They can be referred to as being ‘limited by amount’. Others do not state a maximum amount but the payment amount has to be calculated according to legislative criteria that determine the amount to be paid. </t>
  </si>
  <si>
    <t>Source: Department of Finance</t>
  </si>
  <si>
    <t>https://www.finance.gov.au/publications/resource-management-guides/guide-appropriations-rmg-100</t>
  </si>
  <si>
    <r>
      <rPr>
        <b/>
        <sz val="11"/>
        <color theme="1"/>
        <rFont val="Arial"/>
        <family val="2"/>
      </rPr>
      <t>Budget Estimates</t>
    </r>
    <r>
      <rPr>
        <sz val="11"/>
        <color theme="1"/>
        <rFont val="Arial"/>
        <family val="2"/>
      </rPr>
      <t xml:space="preserve"> shows the </t>
    </r>
    <r>
      <rPr>
        <b/>
        <sz val="11"/>
        <color theme="1"/>
        <rFont val="Arial"/>
        <family val="2"/>
      </rPr>
      <t>proposed allocation</t>
    </r>
    <r>
      <rPr>
        <sz val="11"/>
        <color theme="1"/>
        <rFont val="Arial"/>
        <family val="2"/>
      </rPr>
      <t xml:space="preserve"> of resources to programs or activities within the relevant portfolios in the current financial year.</t>
    </r>
  </si>
  <si>
    <r>
      <t>Estimated Actuals</t>
    </r>
    <r>
      <rPr>
        <sz val="11"/>
        <color theme="1"/>
        <rFont val="Arial"/>
        <family val="2"/>
      </rPr>
      <t xml:space="preserve"> reflect the </t>
    </r>
    <r>
      <rPr>
        <b/>
        <sz val="11"/>
        <color theme="1"/>
        <rFont val="Arial"/>
        <family val="2"/>
      </rPr>
      <t>actual expenditure</t>
    </r>
    <r>
      <rPr>
        <sz val="11"/>
        <color theme="1"/>
        <rFont val="Arial"/>
        <family val="2"/>
      </rPr>
      <t xml:space="preserve"> amounts incurred by the program or activity in the previous financial year. For example, this may be due to additional or reduced expenditure by a program or activity from the original budget estimate amount.</t>
    </r>
  </si>
  <si>
    <t>It is important to note that the amounts reported over previous years are also subject to revision due to updated information becoming available. For example, the R&amp;D Tax Incentive, provides a tax offset for eligible R&amp;D activities, and this figure can be revised over several years.</t>
  </si>
  <si>
    <r>
      <rPr>
        <b/>
        <sz val="11"/>
        <color theme="1"/>
        <rFont val="Arial"/>
        <family val="2"/>
      </rPr>
      <t>Forward Estimates</t>
    </r>
    <r>
      <rPr>
        <sz val="11"/>
        <color theme="1"/>
        <rFont val="Arial"/>
        <family val="2"/>
      </rPr>
      <t xml:space="preserve"> are rolling three-year estimates of what would be appropriated assuming that government policy is on-going. Forward Estimates therefore do not include new programs, the expansion of existing programs that the government has not agreed to, or programs that are expected to end. (Source: https://www.aph.gov.au/About_Parliament/Parliamentary_Departments/Parliamentary_Library/Publications_Archive/archive/BudgetGuide )</t>
    </r>
  </si>
  <si>
    <t>Australia's National Science and Research Priorities - August 2024</t>
  </si>
  <si>
    <t>The revitalised National Science and Research Priorities (the priorities) will guide Australian science and research efforts. They recognise matters that are important to Australians and how Australia can uniquely contribute to global research. 
They are challenge-based, overlapping, and cut across discipline, sector and knowledge system boundaries.
The critical research areas for each priority are listed below, for further information on the priorities, including the science and research outcomes please see the Departments website.
The priorities were added into the 2025-26 edition of the SRI Budget Tables. Completion of the relevant cells in the R&amp;D and Other SRI tabs was mandatory for all programs with &gt; $0 appropriations in 2025-26 and after.</t>
  </si>
  <si>
    <t>https://www.industry.gov.au/sites/default/files/2024-08/australias-national-science-and-research-priorities-2024.pdf</t>
  </si>
  <si>
    <r>
      <rPr>
        <b/>
        <sz val="11"/>
        <color theme="1"/>
        <rFont val="Arial"/>
        <family val="2"/>
      </rPr>
      <t>Where we want to be</t>
    </r>
    <r>
      <rPr>
        <sz val="11"/>
        <color theme="1"/>
        <rFont val="Arial"/>
        <family val="2"/>
      </rPr>
      <t xml:space="preserve">
Science and research will help Australia take the technological leaps needed to achieve a net zero economy by 2050, with emissions levels 43% below 2005 levels by 2030. We will develop and use new technologies, materials and processes to change energy generation and storage, heavy industries and agriculture. Australia will transition to a circular economy, turning waste into opportunity. Australia’s 
workforces will develop the skills they need to do the jobs of the future, including through a strong vocational and higher education system. 
</t>
    </r>
    <r>
      <rPr>
        <b/>
        <sz val="11"/>
        <color theme="1"/>
        <rFont val="Arial"/>
        <family val="2"/>
      </rPr>
      <t>Critical research</t>
    </r>
    <r>
      <rPr>
        <sz val="11"/>
        <color theme="1"/>
        <rFont val="Arial"/>
        <family val="2"/>
      </rPr>
      <t xml:space="preserve">
To achieve these outcomes, we need research that addresses:
• new and innovative renewable energy, grid infrastructure, grid integration and storage systems 
• mitigating the environmental impacts of efforts to decarbonise industries and infrastructure
• perceptions, beliefs, barriers and incentives regarding adopting and applying new technologies 
• approaches to partnering with Aboriginal and Torres Strait Islander communities to share the economic benefits of emissions reduction projects that occur on Country
• technological solutions for sustainably reducing, reprocessing and recycling Australia’s waste at scale
• new and innovative ways of extracting, refining and processing critical minerals while minimising environmental impact
• solutions for removing carbon dioxide from the atmosphere at scale and for hard-to-abate processes and activities such as agriculture
• advancing critical technologies such as artificial intelligence (AI), quantum and robotics to allow us to transition to net zero in environmentally responsible ways
• information, skills training and skills uptake of workers who support the transition to a net zero economy.</t>
    </r>
  </si>
  <si>
    <r>
      <t xml:space="preserve">Where we want to be
</t>
    </r>
    <r>
      <rPr>
        <sz val="11"/>
        <color theme="1"/>
        <rFont val="Arial"/>
        <family val="2"/>
      </rPr>
      <t xml:space="preserve">Scientists and researchers will work with communities and individuals to develop the technologies, tools and techniques for more Australians to enjoy healthier lives from birth well into old age. New treatments, 
medicines and therapies will help the healthcare system to better adapt to and support our ageing population. The Aboriginal and Torres Strait Islander concepts of ‘healthy Country, healthy community’ 
can play a role in achieving this vision. Australia’s healthier population will reduce pressure on our health and aged care systems and benefit our economy. Australians with disabilities will benefit from advanced technologies and societal supports.
</t>
    </r>
    <r>
      <rPr>
        <b/>
        <sz val="11"/>
        <color theme="1"/>
        <rFont val="Arial"/>
        <family val="2"/>
      </rPr>
      <t xml:space="preserve">Critical research
</t>
    </r>
    <r>
      <rPr>
        <sz val="11"/>
        <color theme="1"/>
        <rFont val="Arial"/>
        <family val="2"/>
      </rPr>
      <t xml:space="preserve">To achieve these outcomes, we need research that addresses: 
• social, cultural, developmental and environmental drivers of individual and community health, particularly in infancy and childhood, and approaches to improve them at scale
• anticipating and responding to future pandemics and infectious disease outbreaks
• healthcare literacy and motivators for behavioural change
• technological and social solutions to providing services and diagnostics for aged care, people with disability and people living in regional and remote communities
• technologies and techniques that support an affordable, inclusive, culturally appropriate, and integrated preventive health system in Australia
• therapies that use precision medicine to treat diseases 
• Aboriginal and Torres Strait Islander-led, place-based and culturally appropriate approaches to build community capacity and achieve equity for Aboriginal and Torres Strait Islander peoples in health, 
wellbeing and life expectancy 
• likely impacts of climate change on communities’ physical and mental health. </t>
    </r>
  </si>
  <si>
    <r>
      <t xml:space="preserve">Where we want to be
</t>
    </r>
    <r>
      <rPr>
        <sz val="11"/>
        <color theme="1"/>
        <rFont val="Arial"/>
        <family val="2"/>
      </rPr>
      <t xml:space="preserve">Australia celebrates the deep history and knowledge systems embedded in Aboriginal and Torres Strait Islander peoples, cultures and Countries. Aboriginal and Torres Strait Islander peoples well-established 
and sophisticated systems for trading knowledge are preserved. The science and research system will evolve to protect and elevate Aboriginal and Torres Strait Islander knowledges. It will build practices that can weave in Aboriginal and Torres Strait Islander knowledges. It will position Aboriginal and Torres Strait Islander peoples to lead research that affects them – as community leaders, traditional knowledge holders or researchers.
</t>
    </r>
    <r>
      <rPr>
        <b/>
        <sz val="11"/>
        <color theme="1"/>
        <rFont val="Arial"/>
        <family val="2"/>
      </rPr>
      <t xml:space="preserve">Critical research
</t>
    </r>
    <r>
      <rPr>
        <sz val="11"/>
        <color theme="1"/>
        <rFont val="Arial"/>
        <family val="2"/>
      </rPr>
      <t>To achieve these outcomes, we need research that addresses:
• incorporating Aboriginal and Torres Strait Islander knowledge into the development and application of critical and emerging technologies, particularly digital and data technologies
• approaches for protecting and managing Aboriginal and Torres Strait Islander cultural and intellectual property
• approaches to preserving language and promoting bilingual education
• approaches to climate change adaptation to support regional and remote communities.
To achieve the best outcomes, Aboriginal and Torres Strait Islander peoples should guide research.Supporting leadership means supporting Aboriginal and Torres Islander people to thrive through the 
education system – from early learning through to research careers.</t>
    </r>
  </si>
  <si>
    <r>
      <t xml:space="preserve">Where we want to be
</t>
    </r>
    <r>
      <rPr>
        <sz val="11"/>
        <color theme="1"/>
        <rFont val="Arial"/>
        <family val="2"/>
      </rPr>
      <t xml:space="preserve">We will harness the potential of Australia’s science and research system to protect our unique environments from the impacts of climate change and other threats. Australia will use advances in 
knowledge and techniques to monitor, restore and preserve biodiversity, landscapes and ecosystems. Genuine and appropriate partnerships between Aboriginal and Torres Strait Islander people, scientists and researchers will improve Australia’s protection and management efforts. A rich biodiverse environment will support thriving healthy communities and our transition to net zero. 
</t>
    </r>
    <r>
      <rPr>
        <b/>
        <sz val="11"/>
        <color theme="1"/>
        <rFont val="Arial"/>
        <family val="2"/>
      </rPr>
      <t xml:space="preserve">Critical research
</t>
    </r>
    <r>
      <rPr>
        <sz val="11"/>
        <color theme="1"/>
        <rFont val="Arial"/>
        <family val="2"/>
      </rPr>
      <t xml:space="preserve">To achieve these outcomes, we need research that addresses:
• past and likely future climate conditions in Australia, our coasts, neighbouring regions and Antarctica. These include tipping points, shifting weather patterns, extreme events and sea level rise
• predicting ecosystem and biodiversity changes caused by climate change and human actions 
• new and innovative approaches to discovering, protecting and restoring biodiversity
• effective partnerships and benefits sharing when using Caring for Country and Sea Country in environmental management regimes
• tools and techniques to collect and analyse environmental data 
• cumulative impacts of extractive and non-extractive uses of freshwater and marine resources
• transitioning to a more circular economy
• carbon sources and sinks in soils, vegetation, coasts and oceans in Australia and neighbouring regions. These include practical ways to manage carbon drawdown through natural processes and 
Aboriginal and Torres Strait Islander practices. </t>
    </r>
  </si>
  <si>
    <r>
      <t>Where we want to be</t>
    </r>
    <r>
      <rPr>
        <sz val="11"/>
        <color theme="1"/>
        <rFont val="Arial"/>
        <family val="2"/>
      </rPr>
      <t xml:space="preserve">
Through research, Australia will strengthen its democratic institutions and freedoms while addressing challenges from foreign interference, mis- and disinformation, and polarisation. Australia is ready for and 
able to respond to shocks caused by climate change, natural disasters, geopolitical tensions, rapid technology changes and more competition for resources and supply chains. 
</t>
    </r>
    <r>
      <rPr>
        <b/>
        <sz val="11"/>
        <color theme="1"/>
        <rFont val="Arial"/>
        <family val="2"/>
      </rPr>
      <t>Critical research</t>
    </r>
    <r>
      <rPr>
        <sz val="11"/>
        <color theme="1"/>
        <rFont val="Arial"/>
        <family val="2"/>
      </rPr>
      <t xml:space="preserve">
To achieve these outcomes, we need research that addresses: 
• secure and resilient technologies, including dual-use technology
• secure and resilient supply chains that underpin Australia’s prosperity
• technologies that support Australian resilience to natural and human-induced challenges 
• technology design frameworks (including for artificial intelligence) that increase democratic resilience and reduce risks to social cohesion, economic prosperity and national security 
• cognitive and social causes of engaging with misinformation and disinformation, and best practices for reducing their impact
• technologies for managing water and producing food under likely future Australian climate conditions 
• predicting, detecting and responding to biosecurity threats and natural disasters
• planning, design, materials and engineering of infrastructure and built environments for Australia and our region that account for likely future climate conditions.</t>
    </r>
  </si>
  <si>
    <t>Source*: Department of Industry, Science and Resources</t>
  </si>
  <si>
    <t>https://www.industry.gov.au/publications/national-science-and-research-priorities-2024</t>
  </si>
  <si>
    <t>Australian Government Organisation Register (AGOR) - SRI-Related Bodies Dataset</t>
  </si>
  <si>
    <t>The AGOR is compiled by the Department of Finance. To this dataset have been added three columns, each answering one of the following questions:
R&amp;D active - "Does this body undertake R&amp;D as an essential and ongoing element of its core business?"
Research engaged - "Does this body employ or engage with scientists and researchers as an essential and ongoing element of its core business?"
SRI-enabler - "Does this body enable science, research and/or innovation (SRI) as an essential and ongoing element of its core business?"
The original AGOR dataset is available from:</t>
  </si>
  <si>
    <t>https://www.finance.gov.au/government/managing-commonwealth-resources/structure-australian-government-public-sector/australian-government-organisations-register/agor-quarterly-report</t>
  </si>
  <si>
    <t>https://www.industry.gov.au/publications/science-research-and-innovation-sri-budget-tables</t>
  </si>
  <si>
    <t>2025-26 Science, Research and Innovation Budget Tables - Notes</t>
  </si>
  <si>
    <t>General</t>
  </si>
  <si>
    <t>Contact</t>
  </si>
  <si>
    <t>We aim to improve this data release and welcome your feedback. If you wish to provide feedback or have any questions or comments on this release, please contact the SRI Budget Tables team at:</t>
  </si>
  <si>
    <t>SRIBudgetTables@industry.gov.au</t>
  </si>
  <si>
    <t>R&amp;D Programs and Activities Dataset</t>
  </si>
  <si>
    <t>R&amp;D investment</t>
  </si>
  <si>
    <r>
      <t xml:space="preserve">The R&amp;D investments reported within these tables are compiled in accordance with the OECD's </t>
    </r>
    <r>
      <rPr>
        <i/>
        <sz val="11"/>
        <rFont val="Arial"/>
        <family val="2"/>
      </rPr>
      <t>Frascati Manual 2015: Guidelines for Collecting and Reporting Data on Research and Experimental Development: Refer:</t>
    </r>
  </si>
  <si>
    <t>Frascati Manual (2015):</t>
  </si>
  <si>
    <r>
      <t xml:space="preserve">The </t>
    </r>
    <r>
      <rPr>
        <i/>
        <sz val="11"/>
        <color theme="1"/>
        <rFont val="Arial"/>
        <family val="2"/>
      </rPr>
      <t>Frascati Manual 2015</t>
    </r>
    <r>
      <rPr>
        <sz val="11"/>
        <color theme="1"/>
        <rFont val="Arial"/>
        <family val="2"/>
      </rPr>
      <t xml:space="preserve"> notes the United Nations Statistical Commission's </t>
    </r>
    <r>
      <rPr>
        <i/>
        <sz val="11"/>
        <color theme="1"/>
        <rFont val="Arial"/>
        <family val="2"/>
      </rPr>
      <t xml:space="preserve">2008 System of National Accounts </t>
    </r>
    <r>
      <rPr>
        <sz val="11"/>
        <color theme="1"/>
        <rFont val="Arial"/>
        <family val="2"/>
      </rPr>
      <t xml:space="preserve">recommendation to treat expenditures on R&amp;D as leading to the creation of a capital asset, rather than as an expense, and thus the treatment of R&amp;D as a production and investment activity. Refer: </t>
    </r>
  </si>
  <si>
    <t>2008 System of National Accounts - s10.104, p.204</t>
  </si>
  <si>
    <t>In harmony with this approach, commencing with the 2017-18 edition of the SRI Budget Tables, the aggregation of all R&amp;D program and activity expenses is referred to as "total Australian Government investment in R&amp;D". This total is made up of three primary types of expenses as listed within the Portfolio Budget Statements:</t>
  </si>
  <si>
    <r>
      <rPr>
        <b/>
        <sz val="11"/>
        <color theme="1"/>
        <rFont val="Arial"/>
        <family val="2"/>
      </rPr>
      <t>1.</t>
    </r>
    <r>
      <rPr>
        <sz val="11"/>
        <color theme="1"/>
        <rFont val="Arial"/>
        <family val="2"/>
      </rPr>
      <t xml:space="preserve"> Direct expenditures by government upon its own R&amp;D activities (e.g. through agencies such as CSIRO, ANSTO and AIMS);</t>
    </r>
  </si>
  <si>
    <r>
      <rPr>
        <b/>
        <sz val="11"/>
        <color theme="1"/>
        <rFont val="Arial"/>
        <family val="2"/>
      </rPr>
      <t>2.</t>
    </r>
    <r>
      <rPr>
        <sz val="11"/>
        <color theme="1"/>
        <rFont val="Arial"/>
        <family val="2"/>
      </rPr>
      <t xml:space="preserve"> Funding provided to organisations in other sectors to assist them to undertake R&amp;D activities (e.g. research block grants for universities, ARC and NHMRC grants, Cooperative Research Centres program grants);</t>
    </r>
  </si>
  <si>
    <r>
      <rPr>
        <b/>
        <sz val="11"/>
        <color theme="1"/>
        <rFont val="Arial"/>
        <family val="2"/>
      </rPr>
      <t>3.</t>
    </r>
    <r>
      <rPr>
        <sz val="11"/>
        <color theme="1"/>
        <rFont val="Arial"/>
        <family val="2"/>
      </rPr>
      <t xml:space="preserve"> Indirect support provided to businesses through revenues forgone by the Australian Government through the R&amp;D Tax Incentive.</t>
    </r>
  </si>
  <si>
    <r>
      <t xml:space="preserve">As noted within the Frascati Manual 2015 (p.322), there are different ways of measuring how much governments invest in R&amp;D. One is the </t>
    </r>
    <r>
      <rPr>
        <i/>
        <sz val="11"/>
        <rFont val="Arial"/>
        <family val="2"/>
      </rPr>
      <t>performer-based approach</t>
    </r>
    <r>
      <rPr>
        <sz val="11"/>
        <rFont val="Arial"/>
        <family val="2"/>
      </rPr>
      <t>, which involves surveying those entities that perform R&amp;D (businesses, institutes, universities, etc.) in order to identify the amount they spend on R&amp;D activities that they perform in a given year.</t>
    </r>
  </si>
  <si>
    <t>This is the approach used by the Australian Bureau of Statistics (ABS) within its various R&amp;D expenditure surveys, e.g.:</t>
  </si>
  <si>
    <t>Research and Experimental Development, Government and Private Non-Profit Organisations, Australia</t>
  </si>
  <si>
    <t>Research and Experimental Development, Higher Education Organisations, Australia</t>
  </si>
  <si>
    <t>Research and Experimental Development, Businesses, Australia</t>
  </si>
  <si>
    <r>
      <t xml:space="preserve">A complementary approach - </t>
    </r>
    <r>
      <rPr>
        <i/>
        <sz val="11"/>
        <color theme="1"/>
        <rFont val="Arial"/>
        <family val="2"/>
      </rPr>
      <t>the funder-based approach</t>
    </r>
    <r>
      <rPr>
        <sz val="11"/>
        <color theme="1"/>
        <rFont val="Arial"/>
        <family val="2"/>
      </rPr>
      <t xml:space="preserve"> - measures government support for and expenditures on R&amp;D. This is the approach used within the SRI Budget Tables and involves identifying all those Australian Government R&amp;D-related programs and activities whose immediate source of funding is a budgetary appropriation, and then measuring or estimating their R&amp;D content.</t>
    </r>
  </si>
  <si>
    <t>While complementary, the performer- and funder-based approaches to measuring government funding of R&amp;D may produce different results, as the funder-based approach captures R&amp;D appropriations or outlays in the year that they are budgeted for, whereas the performer-based approach captures R&amp;D expenditures in the year that they take place, which may cover several years after they were budgeted for. For this reason the amounts reported within the ABS's R&amp;D expenditure surveys do not directly align with amounts reported within the SRI Budget Tables.</t>
  </si>
  <si>
    <r>
      <t xml:space="preserve">The specifications of funder- or performer-based data collection are described in the </t>
    </r>
    <r>
      <rPr>
        <i/>
        <sz val="11"/>
        <color theme="1"/>
        <rFont val="Arial"/>
        <family val="2"/>
      </rPr>
      <t>Frascati Manual 2015</t>
    </r>
    <r>
      <rPr>
        <sz val="11"/>
        <color theme="1"/>
        <rFont val="Arial"/>
        <family val="2"/>
      </rPr>
      <t xml:space="preserve"> and were first introduced in the manual’s third edition. Prior to the 2015 edition, funder-based data was formally referred to as 'Government budget appropriations or outlays for R&amp;D' (GBAORD), a term that is replaced in the manual's latest (2015) edition with the term of 'Government budget allocations for R&amp;D' (GBARD).</t>
    </r>
  </si>
  <si>
    <t>GBARD encompass all spending allocations for R&amp;D met from sources of government revenue foreseen within the budget. However, general government entities with individual budgets that are not fully covered by the general budget are also included for the purpose of GBARD measurement.</t>
  </si>
  <si>
    <r>
      <t xml:space="preserve">The </t>
    </r>
    <r>
      <rPr>
        <i/>
        <sz val="11"/>
        <color theme="1"/>
        <rFont val="Arial"/>
        <family val="2"/>
      </rPr>
      <t>Frascati Manual 2015</t>
    </r>
    <r>
      <rPr>
        <sz val="11"/>
        <color theme="1"/>
        <rFont val="Arial"/>
        <family val="2"/>
      </rPr>
      <t xml:space="preserve"> (p.344) notes that although tax expenditures for R&amp;D have several elements in common with GBARD, GTARD (Government Tax Relief for R&amp;D expenditures) should be measured separately and only then integrated into the overall presentation of R&amp;D statistics, particularly for international comparisons. For this reason, the GBARD statistics that Australia reports to the OECD do not include the R&amp;D Tax Measures amounts.</t>
    </r>
  </si>
  <si>
    <r>
      <t xml:space="preserve">For the purposes of the </t>
    </r>
    <r>
      <rPr>
        <i/>
        <sz val="11"/>
        <color theme="1"/>
        <rFont val="Arial"/>
        <family val="2"/>
      </rPr>
      <t>Frascati Manual 2015</t>
    </r>
    <r>
      <rPr>
        <sz val="11"/>
        <color theme="1"/>
        <rFont val="Arial"/>
        <family val="2"/>
      </rPr>
      <t>, the Government sector comprises the central (federal) government, regional (state) government and local (municipal) government subsectors. The focus of GBARD statistics is on the R&amp;D expenditure operations conducted by the government at all these levels and financed through the budget under standard budgetary approval procedures. However, local and state government budget funds are not included within the SRI Budget Tables as this data is not currently available.</t>
    </r>
  </si>
  <si>
    <t>What do the R&amp;D investment amounts reported within the tables include, and what do they exclude?</t>
  </si>
  <si>
    <t xml:space="preserve">The R&amp;D investment amounts reported within the SRI Budget Tables: </t>
  </si>
  <si>
    <t xml:space="preserve"> - include Australian Government support for R&amp;D from administered funds and expenditure on R&amp;D from departmental funds;</t>
  </si>
  <si>
    <t xml:space="preserve"> - include revenues foregone by the Australian Government through the R&amp;D Tax Incentive and other such measures;</t>
  </si>
  <si>
    <t xml:space="preserve"> - exclude expenditures through industry, innovation and science programs where these programs do not permit expenditure on R&amp;D;</t>
  </si>
  <si>
    <t xml:space="preserve"> - exclude support for and expenditures upon R&amp;D whose revenue source is not an Australian Government appropriation, but is rather another organisation, even when this is a government organisation. For example, a government agency may undertake significant amounts of R&amp;D funded by industry or by other areas of government, but these are not reported within the tables because their direct source is not a budgetary outlay or allocation. Only the agency that receives the original appropriation reports its expenditures or outlays. This approach prevents double-counting of R&amp;D allocations.</t>
  </si>
  <si>
    <t>Other SRI Programs (NON R&amp;D) Dataset</t>
  </si>
  <si>
    <r>
      <rPr>
        <i/>
        <sz val="11"/>
        <color theme="1"/>
        <rFont val="Arial"/>
        <family val="2"/>
      </rPr>
      <t>Innovation</t>
    </r>
    <r>
      <rPr>
        <sz val="11"/>
        <color theme="1"/>
        <rFont val="Arial"/>
        <family val="2"/>
      </rPr>
      <t xml:space="preserve"> has been included within the title of the tables since 2001-02, and has been used as part of the formal description of tables data since 1989-90. As noted within the OECD's Oslo Manual 2005 - "Innovation activities include all scientific, technological, organisational, financial and commercial steps which actually lead, or are intended to lead, to the implementation of innovations"(p.18). Hence, R&amp;D activities are a variety of innovation activity.</t>
    </r>
  </si>
  <si>
    <t>Notwithstanding the above, prior to the 2017-18 edition the tables provided financial details only for R&amp;D programs and activities.</t>
  </si>
  <si>
    <t>Commencing with the 2018-19 edition, the tables now include an Other SRI (non-R&amp;D) programs and activities dataset.</t>
  </si>
  <si>
    <t>The programs and activities included in this dataset were reported by departments and agencies on the basis that they (i.e. the programs and activities) were "explicitly intended to support science, research and/or innovation", as these terms are defined within the Definitions tab.</t>
  </si>
  <si>
    <t xml:space="preserve">In order to avoid double reporting programs and activities that are also listed within the R&amp;D dataset, the programs included in the 'Other SRI programs' dataset either involve no reportable R&amp;D, or else have had their R&amp;D component reported separately in the R&amp;D dataset. </t>
  </si>
  <si>
    <t>Consequently, the totals for the 'Other SRI programs' dataset are non-overlapping with the R&amp;D dataset.</t>
  </si>
  <si>
    <t>Knowledge Transfer and Commercialisation Programs and Activites</t>
  </si>
  <si>
    <t xml:space="preserve">This table was added in the 2018-19 edition. </t>
  </si>
  <si>
    <t>The purpose of this table is to provide increased information about government support for knowledge transfer and research commercialisation.</t>
  </si>
  <si>
    <t>It is anticipated that the typology used to categorise knowledge transfer and research commercialisation activities may change over time and thus this table should be treated as a pilot exercise.</t>
  </si>
  <si>
    <t>Australian Government Organisations Register (AGOR) - SRI-Related Bodies Dataset</t>
  </si>
  <si>
    <t>The AGOR is compiled by the Department of Finance. The original AGOR dataset is available from:</t>
  </si>
  <si>
    <t>To this dataset have been added three columns, each answering one of the following questions:</t>
  </si>
  <si>
    <r>
      <rPr>
        <b/>
        <sz val="11"/>
        <rFont val="Arial"/>
        <family val="2"/>
      </rPr>
      <t>R&amp;D active</t>
    </r>
    <r>
      <rPr>
        <sz val="11"/>
        <rFont val="Arial"/>
        <family val="2"/>
      </rPr>
      <t xml:space="preserve"> - "Does this body undertake R&amp;D as an essential and ongoing element of its core business?"</t>
    </r>
  </si>
  <si>
    <r>
      <rPr>
        <b/>
        <sz val="11"/>
        <rFont val="Arial"/>
        <family val="2"/>
      </rPr>
      <t>Research engaged</t>
    </r>
    <r>
      <rPr>
        <sz val="11"/>
        <rFont val="Arial"/>
        <family val="2"/>
      </rPr>
      <t xml:space="preserve"> - "Does this body employ or engage with scientists and researchers as an essential and ongoing element of its core business?"</t>
    </r>
  </si>
  <si>
    <r>
      <rPr>
        <b/>
        <sz val="11"/>
        <rFont val="Arial"/>
        <family val="2"/>
      </rPr>
      <t>SRI-enabler</t>
    </r>
    <r>
      <rPr>
        <sz val="11"/>
        <rFont val="Arial"/>
        <family val="2"/>
      </rPr>
      <t xml:space="preserve"> - "Does this body enable science, research and/or innovation (SRI) as an essential and ongoing element of its core business?"</t>
    </r>
  </si>
  <si>
    <t>Definitions for the terms 'R&amp;D', 'scientists and researchers', and SRI-enabler' are provided in the Definitions worksheet.</t>
  </si>
  <si>
    <t>Structure of R&amp;D and other related Datasets</t>
  </si>
  <si>
    <t>The R&amp;D and Other SRI datasets both consist of a number of fields. Information on the content of each field is set out below.</t>
  </si>
  <si>
    <t>This column reports the Australian Government portfolio or sub-portfolio within which a given program or activity was located at the time the tables were compiled. Machinery of government changes often result in programs being shifted from one portfolio to another, as portfolios change their titles and functions. Consequently, the collection of programs administered within any given portfolio may change significantly over time.</t>
  </si>
  <si>
    <t>Program/Activity</t>
  </si>
  <si>
    <t>This column provides the name of each program or activity for which data is available.</t>
  </si>
  <si>
    <t>Financial years</t>
  </si>
  <si>
    <t>These columns report R&amp;D or Other SRI investment in millions of dollars accurate to three decimal places (i.e. to thousands of dollars) in currect prices for each listed financial year. Only investments of over $50,000 in a financial year are required to be reported.</t>
  </si>
  <si>
    <t>Science, Research and Innovation are defined within the Definitions tab</t>
  </si>
  <si>
    <t>The final two financial year columns are titled 'Budget Estimate' and 'Estimated Actual'.</t>
  </si>
  <si>
    <t xml:space="preserve"> - the Budget Estimates column shows the estimated amounts available to spend on a program or activity in the financial year referred to in the title of the tables.</t>
  </si>
  <si>
    <t xml:space="preserve"> - the Estimated Actuals column shows the estimated amounts available to spend on a program or activity in the financial year immediately prior to the Budget Estimate year.</t>
  </si>
  <si>
    <t>While by implication, years prior to the 'Estimated Actual' year might be considered 'Actuals', in fact all amounts reported in the tables are subject to revision in future years.</t>
  </si>
  <si>
    <t>Collectively, the 'forward estimates' are a system of rolling three-year financial estimates of the revenues and costs of ongoing government policy decisions, after allowing for estimated movements in economic parameters (after the Budget year). The forward estimates for each program and activity are the level of expenses proposed by the Government for future years.</t>
  </si>
  <si>
    <t>Forward estimates are only available for some programs and activities, hence the totals for these columns provide an underestimate of the aggregate program investment.</t>
  </si>
  <si>
    <t>Forward estimates information for many government programs is available from the Department of Finance through its PBS line items dataset, which is available from:</t>
  </si>
  <si>
    <t>https://data.gov.au/data/dataset/budget-2025-2026-and-portfolio-budget-statements-pbs-tables-and-data</t>
  </si>
  <si>
    <t>This column reports the first year that a program/activity received funding.</t>
  </si>
  <si>
    <t>Last  year</t>
  </si>
  <si>
    <t>This column reports the last year that a program/activity received funding.</t>
  </si>
  <si>
    <t>Lifespan</t>
  </si>
  <si>
    <t>This column reports the number of years between the first funding year and the Budget Estimate year. Collectively, these three columns make it possible to:
 - easily group long running programs/activities within the R&amp;D time series;
 - group programs/activities that were initiated within a certain period of time; and to 
 - more easily identify programs/activities that have changed their name.</t>
  </si>
  <si>
    <t>This column provides the average of the values for all financial years, for a given program or activity, up to the Budget Estimate year. The purpose of this column is to allow programs/activities to be sorted by their scale across time.</t>
  </si>
  <si>
    <t>Allocation method, Socio-Economic Objectives and Sector classifications</t>
  </si>
  <si>
    <t>Details on the Allocation Method, Socio-Economic Objectives and Sector classification are found in Definitions.</t>
  </si>
  <si>
    <t>Science and Research Priorities</t>
  </si>
  <si>
    <t>This measure was introduced into the collection in 2019-20. Details on the Science and Research Priorities are found in Definitions.</t>
  </si>
  <si>
    <t>Appropriation type</t>
  </si>
  <si>
    <t>The SRI Budget Tables report programs and activities whose immediate funding source is a budgetary appropriation. An appropriation is a legal entitlement to spend money from the Consolidated Revenue Fund.</t>
  </si>
  <si>
    <r>
      <t xml:space="preserve"> - </t>
    </r>
    <r>
      <rPr>
        <i/>
        <sz val="11"/>
        <rFont val="Arial"/>
        <family val="2"/>
      </rPr>
      <t>Annual appropriations</t>
    </r>
    <r>
      <rPr>
        <sz val="11"/>
        <rFont val="Arial"/>
        <family val="2"/>
      </rPr>
      <t xml:space="preserve"> are contained in Annual Appropriation Acts (in particular, Appropriation Act No.1 and No.2 of a given financial year). Expenditures deriving from Annual appropriations may take place as either administered or departmental expenditures.</t>
    </r>
  </si>
  <si>
    <r>
      <t xml:space="preserve"> - A </t>
    </r>
    <r>
      <rPr>
        <i/>
        <sz val="11"/>
        <rFont val="Arial"/>
        <family val="2"/>
      </rPr>
      <t>Special appropriation</t>
    </r>
    <r>
      <rPr>
        <sz val="11"/>
        <rFont val="Arial"/>
        <family val="2"/>
      </rPr>
      <t xml:space="preserve"> is a provision within an Act that provides authority to spend money for particular purposes, such as on R&amp;D. Relevant legislation includes the </t>
    </r>
    <r>
      <rPr>
        <i/>
        <sz val="11"/>
        <rFont val="Arial"/>
        <family val="2"/>
      </rPr>
      <t>Higher Education Support Act (2003)</t>
    </r>
    <r>
      <rPr>
        <sz val="11"/>
        <rFont val="Arial"/>
        <family val="2"/>
      </rPr>
      <t xml:space="preserve">, the </t>
    </r>
    <r>
      <rPr>
        <i/>
        <sz val="11"/>
        <rFont val="Arial"/>
        <family val="2"/>
      </rPr>
      <t>Income Tax Assessment Act (1936)</t>
    </r>
    <r>
      <rPr>
        <sz val="11"/>
        <rFont val="Arial"/>
        <family val="2"/>
      </rPr>
      <t xml:space="preserve">, the </t>
    </r>
    <r>
      <rPr>
        <i/>
        <sz val="11"/>
        <rFont val="Arial"/>
        <family val="2"/>
      </rPr>
      <t>Industry Research and Development Amendment (Innovation and Science Australia) Act (2016)</t>
    </r>
    <r>
      <rPr>
        <sz val="11"/>
        <rFont val="Arial"/>
        <family val="2"/>
      </rPr>
      <t xml:space="preserve">, and the </t>
    </r>
    <r>
      <rPr>
        <i/>
        <sz val="11"/>
        <rFont val="Arial"/>
        <family val="2"/>
      </rPr>
      <t>Nation-building Funds Act (2008)</t>
    </r>
    <r>
      <rPr>
        <sz val="11"/>
        <rFont val="Arial"/>
        <family val="2"/>
      </rPr>
      <t>.</t>
    </r>
  </si>
  <si>
    <t>Further information on appropriations is available from:</t>
  </si>
  <si>
    <t>This column provides brief descriptive information about the program or activity.</t>
  </si>
  <si>
    <t>The notes column includes information that helps to clarify the nature of a program/activity, including that:</t>
  </si>
  <si>
    <t xml:space="preserve"> - an activity has changed its name;</t>
  </si>
  <si>
    <t xml:space="preserve"> - one activity has replaced another (differently named but similarly focused) activity;</t>
  </si>
  <si>
    <t xml:space="preserve"> - a new activity consolidates several previous activities;</t>
  </si>
  <si>
    <t xml:space="preserve"> - responsibility for funding an activity has been transferred from one organisation or portfolio to another; or</t>
  </si>
  <si>
    <t xml:space="preserve"> - a particular line area or division within a department or agency is responsible for the activity.</t>
  </si>
  <si>
    <t>This column enables related programs to be grouped together.</t>
  </si>
  <si>
    <t>This column enables related programs to be grouped together using additional categories that might exist in parallel with those in Group1.</t>
  </si>
  <si>
    <t>Budget Estimate (previous year)</t>
  </si>
  <si>
    <t>This column contains the Budget Estimate amounts from the previous edition of the tables. Its purpose is to facilitate determination of the major sources of change between the new and previous Budget Estimates.</t>
  </si>
  <si>
    <t>Structure of Supporting Tables</t>
  </si>
  <si>
    <t>Sector timeseries</t>
  </si>
  <si>
    <t>This table contains time series' for major sectors of R&amp;D expenditure. These time series have been compiled from data sourced from the 1989-90 and later editions of the tables. As sector category titles changed repeatedly over this period, the categories used are an amalgam. Reference should be made to specific editions of the tables to check the original category titles used.</t>
  </si>
  <si>
    <t>Sector categories</t>
  </si>
  <si>
    <t>The high-level sector categories are defined within the Definitions tab, however there are subcategories reported within the Sector dataset that require further definition.</t>
  </si>
  <si>
    <t>Government (CSIRO) - support provided to CSIRO.</t>
  </si>
  <si>
    <t>Government (DST Group) - support provided to DST Group.</t>
  </si>
  <si>
    <t>Government (Other R&amp;D) - all other support provided to Australian Government R&amp;D programs and activities.</t>
  </si>
  <si>
    <t>Business (R&amp;D Tax Measures) - support provided to Business through the R&amp;D Tax Incentive and other tax-based measures.</t>
  </si>
  <si>
    <t>Business (Other R&amp;D) - all other support for Business R&amp;D.</t>
  </si>
  <si>
    <t>Higher Ed. (ARC) - support provided to universities through the Australian Research Council (ARC).</t>
  </si>
  <si>
    <t>Higher Ed. (NHMRC) - support to universities provided through the National Health and Medical Research Council (NHMRC).</t>
  </si>
  <si>
    <t>Higher Ed. (Block Funding) - research support provided to universities through the research block grants and associated measures under the Higher Education Support Act 2003.</t>
  </si>
  <si>
    <t>Higher Ed. (Other R&amp;D) - all other support provided to the higher education sector.</t>
  </si>
  <si>
    <t>Multisector (NHMRC) - support provided through the NHMRC besides that provided to universities.</t>
  </si>
  <si>
    <t>Multisector (Health) - non-NHMRC support provided to programs and activities categorised with SEO 07. Health.</t>
  </si>
  <si>
    <t>Multisector (CRCs) - support provided through the Cooperative Research Centres (CRC) program.</t>
  </si>
  <si>
    <t>Multisector (Rural RDCs) - support provided to Rural R&amp;D Corporations.</t>
  </si>
  <si>
    <r>
      <t xml:space="preserve">Multisector (Rural) - support provided to Multisector programs and activities that relate to the needs of communities in rural or regional areas, excluding the RDCs. These are usually (but not exclusively) those that belong to SEO </t>
    </r>
    <r>
      <rPr>
        <i/>
        <sz val="11"/>
        <rFont val="Arial"/>
        <family val="2"/>
      </rPr>
      <t>08. Agriculture.</t>
    </r>
  </si>
  <si>
    <t>Multisector (Energy and Environment) - support provided to energy and environment programs or activities - usually (but not exclusively) those that belong to the following SEOs:</t>
  </si>
  <si>
    <r>
      <rPr>
        <b/>
        <i/>
        <sz val="11"/>
        <rFont val="Arial"/>
        <family val="2"/>
      </rPr>
      <t>01.</t>
    </r>
    <r>
      <rPr>
        <i/>
        <sz val="11"/>
        <rFont val="Arial"/>
        <family val="2"/>
      </rPr>
      <t xml:space="preserve"> Exploration and exploitation of the Earth</t>
    </r>
  </si>
  <si>
    <r>
      <rPr>
        <b/>
        <i/>
        <sz val="11"/>
        <rFont val="Arial"/>
        <family val="2"/>
      </rPr>
      <t>02.</t>
    </r>
    <r>
      <rPr>
        <i/>
        <sz val="11"/>
        <rFont val="Arial"/>
        <family val="2"/>
      </rPr>
      <t xml:space="preserve"> Environment</t>
    </r>
  </si>
  <si>
    <r>
      <rPr>
        <b/>
        <i/>
        <sz val="11"/>
        <rFont val="Arial"/>
        <family val="2"/>
      </rPr>
      <t>05.</t>
    </r>
    <r>
      <rPr>
        <i/>
        <sz val="11"/>
        <rFont val="Arial"/>
        <family val="2"/>
      </rPr>
      <t xml:space="preserve"> Energy</t>
    </r>
  </si>
  <si>
    <t>Multisector (Other R&amp;D) - support provided to Multisector projects not otherwise categorised.</t>
  </si>
  <si>
    <t>Inflation adjustment and expressing R&amp;D as a percentage of GDP</t>
  </si>
  <si>
    <t>The amount of R&amp;D investment reported for each year in the SRI Budget Tables is expressed in 'current prices', meaning that it represents the value of this investment in the year that it was reported, rather than its market value today. The market value (i.e. purchasing power) of a previously reported investment will usually be less now than it was previously because of inflation, which is the sustained increase in the general price level of goods and services in an economy over a period of time. Inflation results in a loss of value of currency: when the price level rises, each unit of currency buys fewer goods and services.</t>
  </si>
  <si>
    <t>Adjustment for inflation (changing the time series data from current prices to 'constant prices' or 'real' values) removes the effect of inflation.</t>
  </si>
  <si>
    <t>Inflation adjustment methodology used in the SRI Budget Tables</t>
  </si>
  <si>
    <t>The 2002 Frascati Manual annex on R&amp;D Deflators and Currency Converters - which remains current and is referred to in the 2015 Frascati Manual - notes: "In the absence of a full set of R&amp;D deflators and R&amp;D converters . . . the Manual recommends the use of the implicit gross domestic product (GDP) deflator . . . which provide[s] an approximate measure of the average real “opportunity cost” of carrying out the R&amp;D." (p.2):</t>
  </si>
  <si>
    <t>https://web-archive.oecd.org/2015-10-02/374062-Frascati-Annex-R-DDeflators-and-Currency-Converters.pdf</t>
  </si>
  <si>
    <t>Use of the GDP deflator is also referred to within the documentation accompanying the:</t>
  </si>
  <si>
    <t>OECD's Main Science and Technology Indicators</t>
  </si>
  <si>
    <t>While the ABS publishes a specific R&amp;D deflator (ABS 5204.0, Table 4, Private; Gross fixed capital formation - Intellectual property products - Research and development; A3347070K), the time series for this deflator extends back only to June 1986, whereas the Budget Tables time series extends back to 1978-79. Since the time series for the GDP deflator included within this same ABS series extends back to June 1960, this latter series has been used to deflate the Budget Tables data.</t>
  </si>
  <si>
    <t>In harmony with the approach described above, the nominal amounts reported in the SRI Budget Tables are adjusted for inflation using the following process:</t>
  </si>
  <si>
    <r>
      <rPr>
        <b/>
        <sz val="11"/>
        <color theme="1"/>
        <rFont val="Arial"/>
        <family val="2"/>
      </rPr>
      <t>1. </t>
    </r>
    <r>
      <rPr>
        <sz val="11"/>
        <color theme="1"/>
        <rFont val="Arial"/>
        <family val="2"/>
      </rPr>
      <t>The GDP deflators are obtained from the following ABS Publication:</t>
    </r>
  </si>
  <si>
    <t>Australian System of National Accounts</t>
  </si>
  <si>
    <t xml:space="preserve">· Table 4. Expenditure on Gross Domestic Product (GDP), Implicit price deflators </t>
  </si>
  <si>
    <t>· Series A2420916F, Gross Domestic Product.</t>
  </si>
  <si>
    <r>
      <rPr>
        <b/>
        <sz val="11"/>
        <color theme="1"/>
        <rFont val="Arial"/>
        <family val="2"/>
      </rPr>
      <t>2.</t>
    </r>
    <r>
      <rPr>
        <sz val="11"/>
        <color theme="1"/>
        <rFont val="Arial"/>
        <family val="2"/>
      </rPr>
      <t xml:space="preserve"> Each financial year for this series is matched to the nominal R&amp;D value within the corresponding financial year (e.g. the June-2015 deflator is matched to the 2014-15 R&amp;D value).</t>
    </r>
  </si>
  <si>
    <r>
      <rPr>
        <b/>
        <sz val="11"/>
        <color theme="1"/>
        <rFont val="Arial"/>
        <family val="2"/>
      </rPr>
      <t>3. </t>
    </r>
    <r>
      <rPr>
        <sz val="11"/>
        <color theme="1"/>
        <rFont val="Arial"/>
        <family val="2"/>
      </rPr>
      <t>A financial year is chosen as a basis for the transformation of the nominal values to real. In this (2025-26) edition of the tables, the current prices for each financial year have been re-expressed in 2022-23 dollars as this is the base year that the ABS has used within the latest edition of its GDP deflator timeseries.</t>
    </r>
  </si>
  <si>
    <r>
      <rPr>
        <b/>
        <sz val="11"/>
        <color theme="1"/>
        <rFont val="Arial"/>
        <family val="2"/>
      </rPr>
      <t>4. </t>
    </r>
    <r>
      <rPr>
        <sz val="11"/>
        <color theme="1"/>
        <rFont val="Arial"/>
        <family val="2"/>
      </rPr>
      <t>Each year's GDP deflator is divided by the deflator from chosen base year. So for example, if the June 1979 deflator was 22.6, and the June 2015 deflator was 100, then this would yield 0.226.</t>
    </r>
  </si>
  <si>
    <r>
      <rPr>
        <b/>
        <sz val="11"/>
        <color theme="1"/>
        <rFont val="Arial"/>
        <family val="2"/>
      </rPr>
      <t>5. </t>
    </r>
    <r>
      <rPr>
        <sz val="11"/>
        <color theme="1"/>
        <rFont val="Arial"/>
        <family val="2"/>
      </rPr>
      <t>The nominal R&amp;D value for each financial year is divided by the corresponding rebased GDP deflator (e.g. 2007-08 financial year R&amp;D value is divided by the rebased June 2008 GDP deflator.</t>
    </r>
  </si>
  <si>
    <r>
      <rPr>
        <b/>
        <sz val="11"/>
        <color theme="1"/>
        <rFont val="Arial"/>
        <family val="2"/>
      </rPr>
      <t>6. </t>
    </r>
    <r>
      <rPr>
        <sz val="11"/>
        <color theme="1"/>
        <rFont val="Arial"/>
        <family val="2"/>
      </rPr>
      <t>The result is a time series containing each year's R&amp;D values expressed in the dollars of the chosen base year.</t>
    </r>
  </si>
  <si>
    <r>
      <rPr>
        <b/>
        <sz val="11"/>
        <color theme="1"/>
        <rFont val="Arial"/>
        <family val="2"/>
      </rPr>
      <t>7.</t>
    </r>
    <r>
      <rPr>
        <sz val="11"/>
        <color theme="1"/>
        <rFont val="Arial"/>
        <family val="2"/>
      </rPr>
      <t xml:space="preserve"> Series A2420916F does not provide deflators for the latest two financial years, however these deflators may be forecast.</t>
    </r>
  </si>
  <si>
    <t>The process used to calculate the forecast GDP deflators is as follows:</t>
  </si>
  <si>
    <t>·  A forecast for the GDP deflator is obtained from the Mid-Year Economic and Fiscal Outlook or Budget (whichever is more recent):
   - Mid-year Economic and Financial Outlook (MYEFO) - Part 2: Economic Outlook, Table 2.2: Domestic economy — detailed forecasts, GDP deflator
   - Budget Paper No.1 - Statement 2: Economic Outlook, Table 2.2: Domestic economy — detailed forecasts, GDP deflator</t>
  </si>
  <si>
    <t>https://budget.gov.au/content/bp1/download/bp1_bs-2.docx</t>
  </si>
  <si>
    <r>
      <rPr>
        <b/>
        <sz val="11"/>
        <color theme="1"/>
        <rFont val="Arial"/>
        <family val="2"/>
      </rPr>
      <t>·</t>
    </r>
    <r>
      <rPr>
        <sz val="11"/>
        <color theme="1"/>
        <rFont val="Arial"/>
        <family val="2"/>
      </rPr>
      <t xml:space="preserve"> The following equation is then applied:</t>
    </r>
  </si>
  <si>
    <t xml:space="preserve"> - Forecast value of GDP deflator = (Previous year’s value of deflator)*(1+Growth rate of deflator/100)</t>
  </si>
  <si>
    <t xml:space="preserve"> - e.g. If the forecast increase to the GDP deflator is 4% and the previous financial year’s GDP deflator is 99.6, then the forecast index number is 99.6*(1+4/100) = 103.58</t>
  </si>
  <si>
    <r>
      <rPr>
        <b/>
        <sz val="11"/>
        <color theme="1"/>
        <rFont val="Arial"/>
        <family val="2"/>
      </rPr>
      <t>·</t>
    </r>
    <r>
      <rPr>
        <sz val="11"/>
        <color theme="1"/>
        <rFont val="Arial"/>
        <family val="2"/>
      </rPr>
      <t xml:space="preserve"> The forecast GDP deflators are then used to generate inflation adjusted R&amp;D values for their respective financial years, using the process described above.</t>
    </r>
  </si>
  <si>
    <t>NB. Mid each financial year, new forecasts are available from the: 
 - Midyear Economic and Financial Outlook (MYEFO) - Part 2: Economic Outlook, Table 2.2: Domestic Economic Forecasts, GDP deflator.</t>
  </si>
  <si>
    <t>Further information on prices indices (6.26) and price deflation (6.45) is available within ABS publication:</t>
  </si>
  <si>
    <t>Australian System of National Accounts: Concepts, Sources and Methods</t>
  </si>
  <si>
    <t>Inflation adjustment and the interactive charts</t>
  </si>
  <si>
    <t xml:space="preserve">The interactive charts include inflation-adjusted values for the Budget Estimate and Estimated Actual financial years. Because these values are calculated using both estimates from the Budget Tables (i.e. the Budget Estimate and Estimated Actual amounts) and also forecasts for the GDP deflator they are less reliable than the other depicted values. For this reason, the values for these years are indicated using dotted lines. </t>
  </si>
  <si>
    <t>Expressing R&amp;D investment as a percentage of GDP</t>
  </si>
  <si>
    <t>Another way to remove the effects of inflation from the Budget Tables data, and a way to show the level of R&amp;D investment relative to the total economic activity, is to express each year’s R&amp;D investment values as a percentage of that year’s Gross Domestic Product (GDP).</t>
  </si>
  <si>
    <t>Where the Budget Tables data is expressed as a percentage of GDP, the following process was used to calculate this proportion:</t>
  </si>
  <si>
    <r>
      <rPr>
        <b/>
        <sz val="11"/>
        <color theme="1"/>
        <rFont val="Arial"/>
        <family val="2"/>
      </rPr>
      <t>1. </t>
    </r>
    <r>
      <rPr>
        <sz val="11"/>
        <color theme="1"/>
        <rFont val="Arial"/>
        <family val="2"/>
      </rPr>
      <t>GDP amounts over time are available from the following ABS publication:</t>
    </r>
  </si>
  <si>
    <t>Australian National Accounts: National Income, Expenditure and Product</t>
  </si>
  <si>
    <t>· Table 36. Expenditure on Gross Domestic Product (GDP), Chain volume measures and Current prices, Annual</t>
  </si>
  <si>
    <t>· Series A2304617J: Gross domestic product: Current prices.</t>
  </si>
  <si>
    <t>This GDP series has been used because the R&amp;D investment values are expressed in current prices.</t>
  </si>
  <si>
    <r>
      <rPr>
        <b/>
        <sz val="11"/>
        <color theme="1"/>
        <rFont val="Arial"/>
        <family val="2"/>
      </rPr>
      <t>2.</t>
    </r>
    <r>
      <rPr>
        <sz val="11"/>
        <color theme="1"/>
        <rFont val="Arial"/>
        <family val="2"/>
      </rPr>
      <t xml:space="preserve"> Each GDP year is matched to the relevant Budget Table financial year (e.g. for Budget Tables financial year 2015-16, the GDP year is June 2016);</t>
    </r>
  </si>
  <si>
    <r>
      <rPr>
        <b/>
        <sz val="11"/>
        <color theme="1"/>
        <rFont val="Arial"/>
        <family val="2"/>
      </rPr>
      <t>3. </t>
    </r>
    <r>
      <rPr>
        <sz val="11"/>
        <color theme="1"/>
        <rFont val="Arial"/>
        <family val="2"/>
      </rPr>
      <t>The R&amp;D amount is divided by the GDP amount and then multiplied by 100 to generate a percentage.</t>
    </r>
  </si>
  <si>
    <t>NB. A forecast for the GDP amounts are obtained from the MYEFO or Budget:
   - Mid-year Economic and Financial Outlook (MYEFO) - Part 2: Economic Outlook, Table 2.2: Domestic economy — detailed forecasts, Nominal gross domestic product
   - Budget Paper No.1 - Statement 2: Economic Outlook, Table 2.2: Domestic economy — detailed forecasts, Nominal gross domestic product
The following equation is then applied:
Forecast value of GDP = (Previous year's GDP) * (1+Growth rate of GDP/100)</t>
  </si>
  <si>
    <t>Socio-Economic Objective (SEO) timeseries</t>
  </si>
  <si>
    <t>This table contains time series on the Socio-Economic Objectives (SEOs), or (previously) Thematic Priorities of Australian Government R&amp;D expenditure.</t>
  </si>
  <si>
    <t xml:space="preserve">R&amp;D expenditure categorised by Thematic Priority was published within the SRI Budget Tables between 1998-99 and 2002-03. 
R&amp;D expenditure categorised by SEO was reported from 2003-04 onwards, however the SEO categories varied over that time. 
The summation across each of these two time series does not always equal the amounts shown in the summation across the Sector time series. The Sector time series total amounts should be taken as authoritative. The categorisations used within this table are an amalgam of those used within editions of the tables between 1989-90 and 2014-15. </t>
  </si>
  <si>
    <t>Breakdowns of expenditure across SEOs are also provided for the following agencies/programs:</t>
  </si>
  <si>
    <t xml:space="preserve"> - Australian Institute of Aboriginal and Torres Strait Islander Studies (AIATSIS)</t>
  </si>
  <si>
    <t xml:space="preserve"> - Australian Institute of Marine Science (AIMS)</t>
  </si>
  <si>
    <t xml:space="preserve"> - Australian Nuclear Science &amp; Technology Organisation (ANSTO)</t>
  </si>
  <si>
    <t xml:space="preserve"> - Australian Research Council (ARC)</t>
  </si>
  <si>
    <t xml:space="preserve"> - Bureau of Meteorology (BoM)</t>
  </si>
  <si>
    <t xml:space="preserve"> - Commonwealth Scientific and Industrial Research Organisation (CSIRO)</t>
  </si>
  <si>
    <t xml:space="preserve"> - National Collaborative Research Infrastructure Strategy (NCRIS)</t>
  </si>
  <si>
    <t xml:space="preserve"> - Geoscience Australia</t>
  </si>
  <si>
    <t xml:space="preserve"> - Industry R&amp;D Tax Measures.</t>
  </si>
  <si>
    <t xml:space="preserve">Commencing with the 2015-16 tables, the methodology used to generate SEO allocations for the R&amp;D Tax Measures is as follows: </t>
  </si>
  <si>
    <r>
      <rPr>
        <b/>
        <sz val="11"/>
        <rFont val="Arial"/>
        <family val="2"/>
      </rPr>
      <t>1.</t>
    </r>
    <r>
      <rPr>
        <sz val="11"/>
        <rFont val="Arial"/>
        <family val="2"/>
      </rPr>
      <t xml:space="preserve"> The proportional distribution of business expenditure on R&amp;D (BERD) allocated to the 2008 Australian and New Zealand Standard Research Classification (ANZSRC) SEOs is determined from the latest BERD data available from the Australian Bureau of Statistics (ABS). </t>
    </r>
  </si>
  <si>
    <t>Note that BERD survey results are released by ABS every second year so the proportional distrubution of BERD will remain static for two years.</t>
  </si>
  <si>
    <r>
      <rPr>
        <b/>
        <sz val="11"/>
        <rFont val="Arial"/>
        <family val="2"/>
      </rPr>
      <t>2.</t>
    </r>
    <r>
      <rPr>
        <sz val="11"/>
        <rFont val="Arial"/>
        <family val="2"/>
      </rPr>
      <t xml:space="preserve"> These proportions are transferred to the 2007 NABS SEOs using the 2-digit concordance between the 2008 ANZSRC SEOs and the 2007 NABS SEOs shown at </t>
    </r>
    <r>
      <rPr>
        <b/>
        <sz val="11"/>
        <rFont val="Arial"/>
        <family val="2"/>
      </rPr>
      <t>Table B</t>
    </r>
    <r>
      <rPr>
        <sz val="11"/>
        <rFont val="Arial"/>
        <family val="2"/>
      </rPr>
      <t xml:space="preserve"> below. The previously used concordance is available here:</t>
    </r>
  </si>
  <si>
    <t xml:space="preserve">1297.0 - Australian and New Zealand Standard Research Classification (ANZSRC), 2008  </t>
  </si>
  <si>
    <r>
      <rPr>
        <b/>
        <sz val="11"/>
        <rFont val="Arial"/>
        <family val="2"/>
      </rPr>
      <t>3.</t>
    </r>
    <r>
      <rPr>
        <sz val="11"/>
        <rFont val="Arial"/>
        <family val="2"/>
      </rPr>
      <t xml:space="preserve"> These NABS SEO proportions are then applied to the total R&amp;D Tax Measures amount for the latest financial year, to create R&amp;D expenditure amounts for each 2007 NABS SEO. It is these figures that are included within the tables.</t>
    </r>
  </si>
  <si>
    <r>
      <rPr>
        <b/>
        <sz val="11"/>
        <rFont val="Arial"/>
        <family val="2"/>
      </rPr>
      <t xml:space="preserve">4. </t>
    </r>
    <r>
      <rPr>
        <sz val="11"/>
        <rFont val="Arial"/>
        <family val="2"/>
      </rPr>
      <t>These same proportions are re-applied for this same financial year if/when in future the R&amp;D Tax Incentive amounts for this year are altered.</t>
    </r>
  </si>
  <si>
    <t>Table B - SEO concordance between ANZSRC 2008 and NABS 2007</t>
  </si>
  <si>
    <t>ANZSRC 2008 Socio–economic objective</t>
  </si>
  <si>
    <t>NABS 2007 Socio–economic objective</t>
  </si>
  <si>
    <r>
      <rPr>
        <b/>
        <sz val="11"/>
        <rFont val="Arial"/>
        <family val="2"/>
      </rPr>
      <t>81.</t>
    </r>
    <r>
      <rPr>
        <sz val="11"/>
        <rFont val="Arial"/>
        <family val="2"/>
      </rPr>
      <t xml:space="preserve"> Defence</t>
    </r>
  </si>
  <si>
    <r>
      <rPr>
        <b/>
        <sz val="11"/>
        <rFont val="Arial"/>
        <family val="2"/>
      </rPr>
      <t>14.</t>
    </r>
    <r>
      <rPr>
        <sz val="11"/>
        <rFont val="Arial"/>
        <family val="2"/>
      </rPr>
      <t xml:space="preserve"> Defence</t>
    </r>
  </si>
  <si>
    <r>
      <rPr>
        <b/>
        <sz val="11"/>
        <rFont val="Arial"/>
        <family val="2"/>
      </rPr>
      <t>82.</t>
    </r>
    <r>
      <rPr>
        <sz val="11"/>
        <rFont val="Arial"/>
        <family val="2"/>
      </rPr>
      <t xml:space="preserve"> Plant Production and Plant Primary Products</t>
    </r>
  </si>
  <si>
    <r>
      <rPr>
        <b/>
        <sz val="11"/>
        <rFont val="Arial"/>
        <family val="2"/>
      </rPr>
      <t>08.</t>
    </r>
    <r>
      <rPr>
        <sz val="11"/>
        <rFont val="Arial"/>
        <family val="2"/>
      </rPr>
      <t xml:space="preserve"> Agriculture</t>
    </r>
  </si>
  <si>
    <r>
      <rPr>
        <b/>
        <sz val="11"/>
        <rFont val="Arial"/>
        <family val="2"/>
      </rPr>
      <t>83.</t>
    </r>
    <r>
      <rPr>
        <sz val="11"/>
        <rFont val="Arial"/>
        <family val="2"/>
      </rPr>
      <t xml:space="preserve"> Animal Production and Animal Primary Products</t>
    </r>
  </si>
  <si>
    <r>
      <rPr>
        <b/>
        <sz val="11"/>
        <rFont val="Arial"/>
        <family val="2"/>
      </rPr>
      <t>84.</t>
    </r>
    <r>
      <rPr>
        <sz val="11"/>
        <rFont val="Arial"/>
        <family val="2"/>
      </rPr>
      <t xml:space="preserve"> Mineral Resources (Excl. Energy Resources)</t>
    </r>
  </si>
  <si>
    <r>
      <rPr>
        <b/>
        <sz val="11"/>
        <rFont val="Arial"/>
        <family val="2"/>
      </rPr>
      <t>06.</t>
    </r>
    <r>
      <rPr>
        <sz val="11"/>
        <rFont val="Arial"/>
        <family val="2"/>
      </rPr>
      <t xml:space="preserve"> Industrial production and technology</t>
    </r>
  </si>
  <si>
    <r>
      <rPr>
        <b/>
        <sz val="11"/>
        <rFont val="Arial"/>
        <family val="2"/>
      </rPr>
      <t>85.</t>
    </r>
    <r>
      <rPr>
        <sz val="11"/>
        <rFont val="Arial"/>
        <family val="2"/>
      </rPr>
      <t xml:space="preserve"> Energy</t>
    </r>
  </si>
  <si>
    <r>
      <rPr>
        <b/>
        <sz val="11"/>
        <rFont val="Arial"/>
        <family val="2"/>
      </rPr>
      <t>05.</t>
    </r>
    <r>
      <rPr>
        <sz val="11"/>
        <rFont val="Arial"/>
        <family val="2"/>
      </rPr>
      <t xml:space="preserve"> Energy</t>
    </r>
  </si>
  <si>
    <r>
      <rPr>
        <b/>
        <sz val="11"/>
        <rFont val="Arial"/>
        <family val="2"/>
      </rPr>
      <t>86.</t>
    </r>
    <r>
      <rPr>
        <sz val="11"/>
        <rFont val="Arial"/>
        <family val="2"/>
      </rPr>
      <t xml:space="preserve"> Manufacturing</t>
    </r>
  </si>
  <si>
    <r>
      <rPr>
        <b/>
        <sz val="11"/>
        <rFont val="Arial"/>
        <family val="2"/>
      </rPr>
      <t>87.</t>
    </r>
    <r>
      <rPr>
        <sz val="11"/>
        <rFont val="Arial"/>
        <family val="2"/>
      </rPr>
      <t xml:space="preserve"> Construction</t>
    </r>
  </si>
  <si>
    <r>
      <rPr>
        <b/>
        <sz val="11"/>
        <rFont val="Arial"/>
        <family val="2"/>
      </rPr>
      <t>04.</t>
    </r>
    <r>
      <rPr>
        <sz val="11"/>
        <rFont val="Arial"/>
        <family val="2"/>
      </rPr>
      <t xml:space="preserve"> Transport, telecommunications and other infrastructures</t>
    </r>
  </si>
  <si>
    <r>
      <rPr>
        <b/>
        <sz val="11"/>
        <rFont val="Arial"/>
        <family val="2"/>
      </rPr>
      <t>88.</t>
    </r>
    <r>
      <rPr>
        <sz val="11"/>
        <rFont val="Arial"/>
        <family val="2"/>
      </rPr>
      <t xml:space="preserve"> Transport</t>
    </r>
  </si>
  <si>
    <r>
      <rPr>
        <b/>
        <sz val="11"/>
        <rFont val="Arial"/>
        <family val="2"/>
      </rPr>
      <t xml:space="preserve">04. </t>
    </r>
    <r>
      <rPr>
        <sz val="11"/>
        <rFont val="Arial"/>
        <family val="2"/>
      </rPr>
      <t>Transport, telecommunications and other infrastructures</t>
    </r>
  </si>
  <si>
    <r>
      <rPr>
        <b/>
        <sz val="11"/>
        <rFont val="Arial"/>
        <family val="2"/>
      </rPr>
      <t>89.</t>
    </r>
    <r>
      <rPr>
        <sz val="11"/>
        <rFont val="Arial"/>
        <family val="2"/>
      </rPr>
      <t xml:space="preserve"> Information and Communication Services</t>
    </r>
  </si>
  <si>
    <r>
      <rPr>
        <b/>
        <sz val="11"/>
        <rFont val="Arial"/>
        <family val="2"/>
      </rPr>
      <t>90.</t>
    </r>
    <r>
      <rPr>
        <sz val="11"/>
        <rFont val="Arial"/>
        <family val="2"/>
      </rPr>
      <t xml:space="preserve"> Commercial Services and Tourism</t>
    </r>
  </si>
  <si>
    <r>
      <rPr>
        <b/>
        <sz val="11"/>
        <rFont val="Arial"/>
        <family val="2"/>
      </rPr>
      <t>11.</t>
    </r>
    <r>
      <rPr>
        <sz val="11"/>
        <rFont val="Arial"/>
        <family val="2"/>
      </rPr>
      <t xml:space="preserve"> Political and social systems, structures and processes</t>
    </r>
  </si>
  <si>
    <r>
      <rPr>
        <b/>
        <sz val="11"/>
        <rFont val="Arial"/>
        <family val="2"/>
      </rPr>
      <t>91.</t>
    </r>
    <r>
      <rPr>
        <sz val="11"/>
        <rFont val="Arial"/>
        <family val="2"/>
      </rPr>
      <t xml:space="preserve"> Economic Framework</t>
    </r>
  </si>
  <si>
    <r>
      <rPr>
        <b/>
        <sz val="11"/>
        <rFont val="Arial"/>
        <family val="2"/>
      </rPr>
      <t>92.</t>
    </r>
    <r>
      <rPr>
        <sz val="11"/>
        <rFont val="Arial"/>
        <family val="2"/>
      </rPr>
      <t xml:space="preserve"> Health</t>
    </r>
  </si>
  <si>
    <r>
      <rPr>
        <b/>
        <sz val="11"/>
        <rFont val="Arial"/>
        <family val="2"/>
      </rPr>
      <t>07.</t>
    </r>
    <r>
      <rPr>
        <sz val="11"/>
        <rFont val="Arial"/>
        <family val="2"/>
      </rPr>
      <t xml:space="preserve"> Health</t>
    </r>
  </si>
  <si>
    <r>
      <rPr>
        <b/>
        <sz val="11"/>
        <rFont val="Arial"/>
        <family val="2"/>
      </rPr>
      <t>93.</t>
    </r>
    <r>
      <rPr>
        <sz val="11"/>
        <rFont val="Arial"/>
        <family val="2"/>
      </rPr>
      <t xml:space="preserve"> Education and Training</t>
    </r>
  </si>
  <si>
    <r>
      <rPr>
        <b/>
        <sz val="11"/>
        <rFont val="Arial"/>
        <family val="2"/>
      </rPr>
      <t>09.</t>
    </r>
    <r>
      <rPr>
        <sz val="11"/>
        <rFont val="Arial"/>
        <family val="2"/>
      </rPr>
      <t xml:space="preserve"> Education</t>
    </r>
  </si>
  <si>
    <r>
      <rPr>
        <b/>
        <sz val="11"/>
        <rFont val="Arial"/>
        <family val="2"/>
      </rPr>
      <t>94.</t>
    </r>
    <r>
      <rPr>
        <sz val="11"/>
        <rFont val="Arial"/>
        <family val="2"/>
      </rPr>
      <t xml:space="preserve"> Law, Politics and Community Services</t>
    </r>
  </si>
  <si>
    <r>
      <rPr>
        <b/>
        <sz val="11"/>
        <rFont val="Arial"/>
        <family val="2"/>
      </rPr>
      <t xml:space="preserve">95. </t>
    </r>
    <r>
      <rPr>
        <sz val="11"/>
        <rFont val="Arial"/>
        <family val="2"/>
      </rPr>
      <t>Cultural Understanding</t>
    </r>
  </si>
  <si>
    <r>
      <rPr>
        <b/>
        <sz val="11"/>
        <rFont val="Arial"/>
        <family val="2"/>
      </rPr>
      <t>10.</t>
    </r>
    <r>
      <rPr>
        <sz val="11"/>
        <rFont val="Arial"/>
        <family val="2"/>
      </rPr>
      <t xml:space="preserve"> Culture, recreation, religion and mass media</t>
    </r>
  </si>
  <si>
    <r>
      <rPr>
        <b/>
        <sz val="11"/>
        <rFont val="Arial"/>
        <family val="2"/>
      </rPr>
      <t>96.</t>
    </r>
    <r>
      <rPr>
        <sz val="11"/>
        <rFont val="Arial"/>
        <family val="2"/>
      </rPr>
      <t xml:space="preserve"> Environment</t>
    </r>
  </si>
  <si>
    <r>
      <rPr>
        <b/>
        <sz val="11"/>
        <rFont val="Arial"/>
        <family val="2"/>
      </rPr>
      <t>02.</t>
    </r>
    <r>
      <rPr>
        <sz val="11"/>
        <rFont val="Arial"/>
        <family val="2"/>
      </rPr>
      <t xml:space="preserve"> Environment</t>
    </r>
  </si>
  <si>
    <r>
      <rPr>
        <b/>
        <sz val="11"/>
        <rFont val="Arial"/>
        <family val="2"/>
      </rPr>
      <t>97.</t>
    </r>
    <r>
      <rPr>
        <sz val="11"/>
        <rFont val="Arial"/>
        <family val="2"/>
      </rPr>
      <t xml:space="preserve"> Expanding Knowledge</t>
    </r>
  </si>
  <si>
    <r>
      <rPr>
        <b/>
        <sz val="11"/>
        <rFont val="Arial"/>
        <family val="2"/>
      </rPr>
      <t>13.</t>
    </r>
    <r>
      <rPr>
        <sz val="11"/>
        <rFont val="Arial"/>
        <family val="2"/>
      </rPr>
      <t xml:space="preserve"> General advancement of knowledge: R&amp;D financed from other sources than GUF</t>
    </r>
  </si>
  <si>
    <t>Nil</t>
  </si>
  <si>
    <r>
      <rPr>
        <b/>
        <sz val="11"/>
        <rFont val="Arial"/>
        <family val="2"/>
      </rPr>
      <t>01.</t>
    </r>
    <r>
      <rPr>
        <sz val="11"/>
        <rFont val="Arial"/>
        <family val="2"/>
      </rPr>
      <t xml:space="preserve"> Exploration and exploitation of the Earth</t>
    </r>
  </si>
  <si>
    <r>
      <rPr>
        <b/>
        <sz val="11"/>
        <rFont val="Arial"/>
        <family val="2"/>
      </rPr>
      <t>12.</t>
    </r>
    <r>
      <rPr>
        <sz val="11"/>
        <rFont val="Arial"/>
        <family val="2"/>
      </rPr>
      <t xml:space="preserve"> General advancement of knowledge: R&amp;D financed from General University Funds (GUF)</t>
    </r>
  </si>
  <si>
    <t xml:space="preserve">Nil </t>
  </si>
  <si>
    <r>
      <rPr>
        <b/>
        <sz val="11"/>
        <rFont val="Arial"/>
        <family val="2"/>
      </rPr>
      <t>03.</t>
    </r>
    <r>
      <rPr>
        <sz val="11"/>
        <rFont val="Arial"/>
        <family val="2"/>
      </rPr>
      <t xml:space="preserve"> Exploration and exploitation of space</t>
    </r>
  </si>
  <si>
    <t xml:space="preserve">Rural </t>
  </si>
  <si>
    <t>This worksheet contains details on Rural RDCs and rural R&amp;D levies for the period 1978-79 to the latest financial year.</t>
  </si>
  <si>
    <t>The R&amp;D expenditures for rural programs exclude that component of Australian Government outlays funded from industry levies. The levy figures reported are the estimated proportion of levies that are attributable to research purposes.</t>
  </si>
  <si>
    <t xml:space="preserve">NB. The data within the Rural RDCs table should be interpreted in the context of the following historical information: </t>
  </si>
  <si>
    <t xml:space="preserve"> - The Australian Government established a compulsory producer levy for funding wool promotion and research in 1936. </t>
  </si>
  <si>
    <t xml:space="preserve"> - This model remained in place until the mid-1980s, during which time similar schemes were introduced in other rural industries.</t>
  </si>
  <si>
    <t xml:space="preserve"> - The Rural Industries Research Act 1985 (Cwlth) reformed the operating environment for sponsoring industry-focused rural R&amp;D, creating the precursor to the current RDC arrangements.</t>
  </si>
  <si>
    <t xml:space="preserve"> - The Primary Industries and Energy Research and Development Act 1989 (Cwlth) (the PIERD Act) established the current statutory model for the RDCs.</t>
  </si>
  <si>
    <t xml:space="preserve"> - Source:</t>
  </si>
  <si>
    <t>https://www.pc.gov.au/inquiries/completed/rural-research/report/rural-research.pdf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</si>
</sst>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7" formatCode="&quot;$&quot;#,##0.00;\-&quot;$&quot;#,##0.00"/>
    <numFmt numFmtId="44" formatCode="_-&quot;$&quot;* #,##0.00_-;\-&quot;$&quot;* #,##0.00_-;_-&quot;$&quot;* &quot;-&quot;??_-;_-@_-"/>
    <numFmt numFmtId="43" formatCode="_-* #,##0.00_-;\-* #,##0.00_-;_-* &quot;-&quot;??_-;_-@_-"/>
    <numFmt numFmtId="164" formatCode="_(* #,##0.00_);_(* \(#,##0.00\);_(* &quot;-&quot;??_);_(@_)"/>
    <numFmt numFmtId="165" formatCode="[$-F800]dddd\,\ mmmm\ dd\,\ yyyy"/>
    <numFmt numFmtId="166" formatCode="0.000"/>
    <numFmt numFmtId="167" formatCode="#,##0.0"/>
    <numFmt numFmtId="168" formatCode="#,##0.000"/>
    <numFmt numFmtId="169" formatCode="0.0%"/>
    <numFmt numFmtId="170" formatCode="0.00000"/>
    <numFmt numFmtId="171" formatCode="#,##0_)\ ;[Red]\(#,##0\);&quot;- &quot;\ "/>
    <numFmt numFmtId="172" formatCode="General_)"/>
    <numFmt numFmtId="173" formatCode="#,##0;[Red]\(#,##0\)"/>
    <numFmt numFmtId="174" formatCode="d/mm/yy;@"/>
    <numFmt numFmtId="175" formatCode="#,##0\ ;[Red]\(#,##0\);\-"/>
    <numFmt numFmtId="176" formatCode="#,##0\ ;[Red]\(#,##0\)"/>
    <numFmt numFmtId="177" formatCode="_-* #,##0_-;[Red]\(\ #,##0\);_-* &quot;-&quot;??_-;_-@_-"/>
    <numFmt numFmtId="178" formatCode="0.0;\-0.0;0.0;@"/>
  </numFmts>
  <fonts count="140">
    <font>
      <sz val="11"/>
      <color theme="1"/>
      <name val="Calibri"/>
      <family val="2"/>
      <scheme val="minor"/>
    </font>
    <font>
      <sz val="11"/>
      <color theme="1"/>
      <name val="Calibri"/>
      <family val="2"/>
      <scheme val="minor"/>
    </font>
    <font>
      <sz val="10"/>
      <name val="Arial"/>
      <family val="2"/>
    </font>
    <font>
      <b/>
      <sz val="18"/>
      <color theme="0"/>
      <name val="Arial"/>
      <family val="2"/>
    </font>
    <font>
      <sz val="10"/>
      <color theme="1"/>
      <name val="Arial"/>
      <family val="2"/>
    </font>
    <font>
      <b/>
      <sz val="10"/>
      <name val="Arial"/>
      <family val="2"/>
    </font>
    <font>
      <b/>
      <sz val="10"/>
      <color theme="1"/>
      <name val="Arial"/>
      <family val="2"/>
    </font>
    <font>
      <sz val="10"/>
      <color rgb="FF000000"/>
      <name val="Arial"/>
      <family val="2"/>
    </font>
    <font>
      <b/>
      <sz val="16"/>
      <color theme="0"/>
      <name val="Arial"/>
      <family val="2"/>
    </font>
    <font>
      <b/>
      <sz val="20"/>
      <color theme="0"/>
      <name val="Arial"/>
      <family val="2"/>
    </font>
    <font>
      <b/>
      <sz val="10"/>
      <color rgb="FF000000"/>
      <name val="Arial"/>
      <family val="2"/>
    </font>
    <font>
      <u/>
      <sz val="10"/>
      <color rgb="FF0000FF"/>
      <name val="Arial"/>
      <family val="2"/>
    </font>
    <font>
      <b/>
      <sz val="11"/>
      <name val="Arial"/>
      <family val="2"/>
    </font>
    <font>
      <b/>
      <sz val="16"/>
      <name val="Arial"/>
      <family val="2"/>
    </font>
    <font>
      <b/>
      <sz val="16"/>
      <color rgb="FFFFFFFF"/>
      <name val="Arial"/>
      <family val="2"/>
    </font>
    <font>
      <b/>
      <sz val="18"/>
      <color rgb="FFFFFFFF"/>
      <name val="Arial"/>
      <family val="2"/>
    </font>
    <font>
      <b/>
      <sz val="10"/>
      <color rgb="FFFF0000"/>
      <name val="Arial"/>
      <family val="2"/>
    </font>
    <font>
      <sz val="11"/>
      <color rgb="FF000000"/>
      <name val="Arial"/>
      <family val="2"/>
    </font>
    <font>
      <sz val="8"/>
      <color rgb="FF000000"/>
      <name val="Arial"/>
      <family val="2"/>
    </font>
    <font>
      <b/>
      <sz val="8"/>
      <color rgb="FF000000"/>
      <name val="Arial"/>
      <family val="2"/>
    </font>
    <font>
      <b/>
      <i/>
      <vertAlign val="superscript"/>
      <sz val="10"/>
      <name val="Arial"/>
      <family val="2"/>
    </font>
    <font>
      <i/>
      <sz val="10"/>
      <name val="Arial"/>
      <family val="2"/>
    </font>
    <font>
      <i/>
      <vertAlign val="superscript"/>
      <sz val="10"/>
      <name val="Arial"/>
      <family val="2"/>
    </font>
    <font>
      <b/>
      <sz val="13"/>
      <name val="Arial"/>
      <family val="2"/>
    </font>
    <font>
      <b/>
      <sz val="20"/>
      <color rgb="FF000000"/>
      <name val="Arial"/>
      <family val="2"/>
    </font>
    <font>
      <b/>
      <sz val="12"/>
      <name val="Arial"/>
      <family val="2"/>
    </font>
    <font>
      <b/>
      <sz val="8"/>
      <name val="Arial"/>
      <family val="2"/>
    </font>
    <font>
      <sz val="6"/>
      <name val="Times New Roman"/>
      <family val="1"/>
    </font>
    <font>
      <sz val="8"/>
      <name val="Times New Roman"/>
      <family val="1"/>
    </font>
    <font>
      <b/>
      <u/>
      <sz val="10"/>
      <color rgb="FF0000FF"/>
      <name val="Arial"/>
      <family val="2"/>
    </font>
    <font>
      <b/>
      <i/>
      <sz val="10"/>
      <name val="Arial"/>
      <family val="2"/>
    </font>
    <font>
      <b/>
      <sz val="11"/>
      <color rgb="FFFF0000"/>
      <name val="Times New Roman"/>
      <family val="1"/>
    </font>
    <font>
      <sz val="11"/>
      <color indexed="8"/>
      <name val="Calibri"/>
      <family val="2"/>
    </font>
    <font>
      <sz val="11"/>
      <color rgb="FFFF0000"/>
      <name val="Calibri"/>
      <family val="2"/>
      <scheme val="minor"/>
    </font>
    <font>
      <sz val="10"/>
      <color rgb="FFFF0000"/>
      <name val="Arial"/>
      <family val="2"/>
    </font>
    <font>
      <sz val="10"/>
      <color rgb="FFFFFFFF"/>
      <name val="Arial"/>
      <family val="2"/>
    </font>
    <font>
      <b/>
      <sz val="14"/>
      <color theme="0"/>
      <name val="Arial"/>
      <family val="2"/>
    </font>
    <font>
      <sz val="10"/>
      <color theme="0"/>
      <name val="Arial"/>
      <family val="2"/>
    </font>
    <font>
      <b/>
      <sz val="12"/>
      <color theme="0"/>
      <name val="Arial"/>
      <family val="2"/>
    </font>
    <font>
      <sz val="12"/>
      <color theme="1"/>
      <name val="Arial"/>
      <family val="2"/>
    </font>
    <font>
      <sz val="11"/>
      <color theme="1"/>
      <name val="Arial"/>
      <family val="2"/>
    </font>
    <font>
      <b/>
      <sz val="11"/>
      <color theme="1"/>
      <name val="Arial"/>
      <family val="2"/>
    </font>
    <font>
      <i/>
      <sz val="11"/>
      <color theme="1"/>
      <name val="Arial"/>
      <family val="2"/>
    </font>
    <font>
      <sz val="11"/>
      <name val="Arial"/>
      <family val="2"/>
    </font>
    <font>
      <sz val="11"/>
      <color theme="0" tint="-0.499984740745262"/>
      <name val="Arial"/>
      <family val="2"/>
    </font>
    <font>
      <sz val="5"/>
      <color theme="1"/>
      <name val="Arial"/>
      <family val="2"/>
    </font>
    <font>
      <b/>
      <u/>
      <sz val="10"/>
      <color theme="0"/>
      <name val="Arial"/>
      <family val="2"/>
    </font>
    <font>
      <u/>
      <sz val="11"/>
      <color theme="0"/>
      <name val="Arial"/>
      <family val="2"/>
    </font>
    <font>
      <b/>
      <sz val="10"/>
      <color theme="0"/>
      <name val="Arial"/>
      <family val="2"/>
    </font>
    <font>
      <sz val="11"/>
      <color theme="1"/>
      <name val="Symbol"/>
      <family val="1"/>
      <charset val="2"/>
    </font>
    <font>
      <b/>
      <i/>
      <sz val="11"/>
      <color theme="1"/>
      <name val="Arial"/>
      <family val="2"/>
    </font>
    <font>
      <b/>
      <i/>
      <sz val="10"/>
      <color theme="1"/>
      <name val="Arial"/>
      <family val="2"/>
    </font>
    <font>
      <b/>
      <u/>
      <sz val="11"/>
      <color rgb="FF0000FF"/>
      <name val="Arial"/>
      <family val="2"/>
    </font>
    <font>
      <b/>
      <sz val="11"/>
      <color theme="0"/>
      <name val="Arial"/>
      <family val="2"/>
    </font>
    <font>
      <i/>
      <sz val="11"/>
      <color rgb="FF000000"/>
      <name val="Arial"/>
      <family val="2"/>
    </font>
    <font>
      <b/>
      <i/>
      <sz val="11"/>
      <color rgb="FF000000"/>
      <name val="Arial"/>
      <family val="2"/>
    </font>
    <font>
      <u/>
      <sz val="11"/>
      <color rgb="FF0000FF"/>
      <name val="Arial"/>
      <family val="2"/>
    </font>
    <font>
      <u/>
      <sz val="11"/>
      <color theme="1"/>
      <name val="Arial"/>
      <family val="2"/>
    </font>
    <font>
      <i/>
      <sz val="11"/>
      <name val="Arial"/>
      <family val="2"/>
    </font>
    <font>
      <b/>
      <sz val="12"/>
      <color theme="1"/>
      <name val="Arial"/>
      <family val="2"/>
    </font>
    <font>
      <b/>
      <i/>
      <sz val="11"/>
      <name val="Arial"/>
      <family val="2"/>
    </font>
    <font>
      <b/>
      <sz val="14"/>
      <name val="Arial"/>
      <family val="2"/>
    </font>
    <font>
      <b/>
      <sz val="14"/>
      <color theme="1"/>
      <name val="Arial"/>
      <family val="2"/>
    </font>
    <font>
      <b/>
      <u/>
      <sz val="11"/>
      <color theme="0"/>
      <name val="Arial"/>
      <family val="2"/>
    </font>
    <font>
      <u/>
      <sz val="10"/>
      <color theme="0"/>
      <name val="Arial"/>
      <family val="2"/>
    </font>
    <font>
      <sz val="12"/>
      <name val="Arial"/>
      <family val="2"/>
    </font>
    <font>
      <sz val="8"/>
      <name val="Calibri"/>
      <family val="2"/>
      <scheme val="minor"/>
    </font>
    <font>
      <b/>
      <sz val="11"/>
      <color theme="1"/>
      <name val="Calibri"/>
      <family val="2"/>
      <scheme val="minor"/>
    </font>
    <font>
      <u/>
      <sz val="10"/>
      <name val="Arial"/>
      <family val="2"/>
    </font>
    <font>
      <u/>
      <sz val="14"/>
      <color rgb="FF0000FF"/>
      <name val="Arial"/>
      <family val="2"/>
    </font>
    <font>
      <sz val="14"/>
      <color theme="1"/>
      <name val="Calibri"/>
      <family val="2"/>
      <scheme val="minor"/>
    </font>
    <font>
      <sz val="11"/>
      <color theme="1"/>
      <name val="Calibri"/>
      <family val="2"/>
    </font>
    <font>
      <strike/>
      <sz val="10"/>
      <name val="Arial"/>
      <family val="2"/>
    </font>
    <font>
      <sz val="10"/>
      <color theme="1"/>
      <name val="Arial"/>
    </font>
    <font>
      <sz val="10"/>
      <color rgb="FF000000"/>
      <name val="Arial"/>
    </font>
    <font>
      <sz val="10"/>
      <name val="Arial"/>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8"/>
      <name val="Arial"/>
      <family val="2"/>
    </font>
    <font>
      <sz val="10"/>
      <color indexed="12"/>
      <name val="Arial"/>
      <family val="2"/>
    </font>
    <font>
      <b/>
      <i/>
      <sz val="14"/>
      <color indexed="20"/>
      <name val="Helv"/>
    </font>
    <font>
      <sz val="10"/>
      <name val="MS Sans Serif"/>
      <family val="2"/>
    </font>
    <font>
      <sz val="10"/>
      <color indexed="21"/>
      <name val="Arial Black"/>
      <family val="2"/>
    </font>
    <font>
      <sz val="9"/>
      <name val="Courier"/>
      <family val="3"/>
    </font>
    <font>
      <sz val="12"/>
      <name val="Times New Roman"/>
      <family val="1"/>
    </font>
    <font>
      <sz val="10"/>
      <name val="Helv"/>
    </font>
    <font>
      <sz val="9"/>
      <name val="Arial"/>
      <family val="2"/>
    </font>
    <font>
      <b/>
      <i/>
      <sz val="14"/>
      <name val="Arial"/>
      <family val="2"/>
    </font>
    <font>
      <sz val="10"/>
      <name val="Geneva"/>
      <family val="2"/>
    </font>
    <font>
      <sz val="10"/>
      <color indexed="8"/>
      <name val="Arial"/>
      <family val="2"/>
    </font>
    <font>
      <sz val="14"/>
      <name val="Arial"/>
      <family val="2"/>
    </font>
    <font>
      <i/>
      <sz val="12"/>
      <color indexed="12"/>
      <name val="Arial"/>
      <family val="2"/>
    </font>
    <font>
      <sz val="10"/>
      <color indexed="20"/>
      <name val="Helv"/>
    </font>
    <font>
      <sz val="12"/>
      <color indexed="12"/>
      <name val="Arial"/>
      <family val="2"/>
    </font>
    <font>
      <b/>
      <sz val="20"/>
      <name val="Arial"/>
      <family val="2"/>
    </font>
    <font>
      <sz val="10"/>
      <name val="Geneva"/>
    </font>
    <font>
      <b/>
      <sz val="18"/>
      <color theme="3"/>
      <name val="Calibri Light"/>
      <family val="2"/>
      <scheme val="major"/>
    </font>
    <font>
      <sz val="11"/>
      <color rgb="FF9C6500"/>
      <name val="Calibri"/>
      <family val="2"/>
      <scheme val="minor"/>
    </font>
    <font>
      <u/>
      <sz val="10"/>
      <color theme="10"/>
      <name val="Arial"/>
      <family val="2"/>
    </font>
    <font>
      <u/>
      <sz val="11"/>
      <color theme="10"/>
      <name val="Calibri"/>
      <family val="2"/>
      <scheme val="minor"/>
    </font>
    <font>
      <u/>
      <sz val="10"/>
      <color indexed="12"/>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s>
  <fills count="92">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1B9590"/>
        <bgColor indexed="64"/>
      </patternFill>
    </fill>
    <fill>
      <patternFill patternType="solid">
        <fgColor rgb="FFB0EAFF"/>
        <bgColor indexed="64"/>
      </patternFill>
    </fill>
    <fill>
      <patternFill patternType="solid">
        <fgColor rgb="FFC973AF"/>
        <bgColor rgb="FF000000"/>
      </patternFill>
    </fill>
    <fill>
      <patternFill patternType="solid">
        <fgColor rgb="FFBFBFBF"/>
        <bgColor rgb="FF000000"/>
      </patternFill>
    </fill>
    <fill>
      <patternFill patternType="solid">
        <fgColor rgb="FFF2F2F2"/>
        <bgColor rgb="FF000000"/>
      </patternFill>
    </fill>
    <fill>
      <patternFill patternType="solid">
        <fgColor rgb="FFFFFFFF"/>
        <bgColor rgb="FF000000"/>
      </patternFill>
    </fill>
    <fill>
      <patternFill patternType="solid">
        <fgColor rgb="FFD9D9D9"/>
        <bgColor rgb="FF000000"/>
      </patternFill>
    </fill>
    <fill>
      <patternFill patternType="solid">
        <fgColor rgb="FF9CD9E0"/>
        <bgColor rgb="FF000000"/>
      </patternFill>
    </fill>
    <fill>
      <patternFill patternType="solid">
        <fgColor theme="0" tint="-0.14999847407452621"/>
        <bgColor indexed="64"/>
      </patternFill>
    </fill>
    <fill>
      <patternFill patternType="solid">
        <fgColor rgb="FFA6A6A6"/>
        <bgColor rgb="FF000000"/>
      </patternFill>
    </fill>
    <fill>
      <patternFill patternType="solid">
        <fgColor theme="0"/>
        <bgColor indexed="64"/>
      </patternFill>
    </fill>
    <fill>
      <patternFill patternType="solid">
        <fgColor indexed="45"/>
      </patternFill>
    </fill>
    <fill>
      <patternFill patternType="solid">
        <fgColor theme="3"/>
        <bgColor indexed="64"/>
      </patternFill>
    </fill>
    <fill>
      <patternFill patternType="solid">
        <fgColor theme="3" tint="0.79998168889431442"/>
        <bgColor rgb="FF000000"/>
      </patternFill>
    </fill>
    <fill>
      <patternFill patternType="solid">
        <fgColor theme="4"/>
        <bgColor indexed="64"/>
      </patternFill>
    </fill>
    <fill>
      <patternFill patternType="solid">
        <fgColor theme="1"/>
        <bgColor indexed="64"/>
      </patternFill>
    </fill>
    <fill>
      <patternFill patternType="solid">
        <fgColor theme="0"/>
        <bgColor rgb="FF000000"/>
      </patternFill>
    </fill>
    <fill>
      <patternFill patternType="solid">
        <fgColor rgb="FF005677"/>
        <bgColor indexed="64"/>
      </patternFill>
    </fill>
    <fill>
      <patternFill patternType="solid">
        <fgColor rgb="FF00283E"/>
        <bgColor indexed="64"/>
      </patternFill>
    </fill>
    <fill>
      <patternFill patternType="solid">
        <fgColor rgb="FF9CD9E0"/>
        <bgColor indexed="64"/>
      </patternFill>
    </fill>
    <fill>
      <patternFill patternType="solid">
        <fgColor rgb="FF6C6F73"/>
        <bgColor rgb="FF000000"/>
      </patternFill>
    </fill>
    <fill>
      <patternFill patternType="solid">
        <fgColor rgb="FF005677"/>
        <bgColor rgb="FF000000"/>
      </patternFill>
    </fill>
    <fill>
      <patternFill patternType="solid">
        <fgColor rgb="FF6C6F73"/>
        <bgColor indexed="64"/>
      </patternFill>
    </fill>
    <fill>
      <patternFill patternType="solid">
        <fgColor theme="0" tint="-0.499984740745262"/>
        <bgColor indexed="64"/>
      </patternFill>
    </fill>
    <fill>
      <patternFill patternType="solid">
        <fgColor rgb="FFC973AF"/>
        <bgColor indexed="64"/>
      </patternFill>
    </fill>
    <fill>
      <patternFill patternType="solid">
        <fgColor rgb="FF9CD9E2"/>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bgColor indexed="64"/>
      </patternFill>
    </fill>
    <fill>
      <patternFill patternType="darkGrid"/>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rgb="FFBFBFBF"/>
        <bgColor indexed="64"/>
      </patternFill>
    </fill>
    <fill>
      <patternFill patternType="solid">
        <fgColor rgb="FFF2F2F2"/>
        <bgColor indexed="64"/>
      </patternFill>
    </fill>
    <fill>
      <patternFill patternType="solid">
        <fgColor theme="6" tint="0.79998168889431442"/>
        <bgColor rgb="FF000000"/>
      </patternFill>
    </fill>
  </fills>
  <borders count="139">
    <border>
      <left/>
      <right/>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right/>
      <top style="double">
        <color auto="1"/>
      </top>
      <bottom style="double">
        <color indexed="64"/>
      </bottom>
      <diagonal/>
    </border>
    <border>
      <left style="thin">
        <color indexed="64"/>
      </left>
      <right style="thin">
        <color indexed="64"/>
      </right>
      <top style="double">
        <color auto="1"/>
      </top>
      <bottom style="double">
        <color indexed="64"/>
      </bottom>
      <diagonal/>
    </border>
    <border>
      <left/>
      <right style="thin">
        <color indexed="64"/>
      </right>
      <top style="double">
        <color auto="1"/>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bottom style="thin">
        <color rgb="FFBFBFBF"/>
      </bottom>
      <diagonal/>
    </border>
    <border>
      <left/>
      <right/>
      <top style="thin">
        <color rgb="FFBFBFBF"/>
      </top>
      <bottom/>
      <diagonal/>
    </border>
    <border>
      <left/>
      <right style="thin">
        <color indexed="64"/>
      </right>
      <top/>
      <bottom style="thin">
        <color rgb="FFD9D9D9"/>
      </bottom>
      <diagonal/>
    </border>
    <border>
      <left/>
      <right/>
      <top/>
      <bottom style="thin">
        <color rgb="FFD9D9D9"/>
      </bottom>
      <diagonal/>
    </border>
    <border>
      <left/>
      <right style="thin">
        <color rgb="FFD9D9D9"/>
      </right>
      <top/>
      <bottom/>
      <diagonal/>
    </border>
    <border>
      <left/>
      <right style="thin">
        <color indexed="64"/>
      </right>
      <top style="thin">
        <color rgb="FFBFBFBF"/>
      </top>
      <bottom style="thin">
        <color rgb="FFD9D9D9"/>
      </bottom>
      <diagonal/>
    </border>
    <border>
      <left/>
      <right/>
      <top style="thin">
        <color rgb="FFD9D9D9"/>
      </top>
      <bottom style="thin">
        <color rgb="FFD9D9D9"/>
      </bottom>
      <diagonal/>
    </border>
    <border>
      <left/>
      <right style="thin">
        <color indexed="64"/>
      </right>
      <top style="thin">
        <color rgb="FFBFBFBF"/>
      </top>
      <bottom/>
      <diagonal/>
    </border>
    <border>
      <left style="thin">
        <color indexed="64"/>
      </left>
      <right style="thin">
        <color indexed="64"/>
      </right>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BFBFBF"/>
      </left>
      <right/>
      <top style="thin">
        <color indexed="64"/>
      </top>
      <bottom style="thin">
        <color indexed="64"/>
      </bottom>
      <diagonal/>
    </border>
    <border>
      <left style="thin">
        <color rgb="FFBFBFBF"/>
      </left>
      <right/>
      <top/>
      <bottom style="thin">
        <color indexed="64"/>
      </bottom>
      <diagonal/>
    </border>
    <border>
      <left style="thin">
        <color rgb="FFD9D9D9"/>
      </left>
      <right/>
      <top/>
      <bottom style="thin">
        <color indexed="64"/>
      </bottom>
      <diagonal/>
    </border>
    <border>
      <left/>
      <right style="thin">
        <color rgb="FFBFBFBF"/>
      </right>
      <top/>
      <bottom style="thin">
        <color indexed="64"/>
      </bottom>
      <diagonal/>
    </border>
    <border>
      <left style="thin">
        <color rgb="FFBFBFBF"/>
      </left>
      <right style="thin">
        <color rgb="FFBFBFBF"/>
      </right>
      <top/>
      <bottom style="thin">
        <color indexed="64"/>
      </bottom>
      <diagonal/>
    </border>
    <border>
      <left style="thin">
        <color rgb="FFBFBFBF"/>
      </left>
      <right style="thin">
        <color rgb="FFBFBFBF"/>
      </right>
      <top style="thin">
        <color indexed="64"/>
      </top>
      <bottom style="thin">
        <color indexed="64"/>
      </bottom>
      <diagonal/>
    </border>
    <border>
      <left/>
      <right/>
      <top style="thin">
        <color rgb="FFD9D9D9"/>
      </top>
      <bottom/>
      <diagonal/>
    </border>
    <border>
      <left/>
      <right/>
      <top style="thin">
        <color rgb="FF000000"/>
      </top>
      <bottom style="thin">
        <color indexed="64"/>
      </bottom>
      <diagonal/>
    </border>
    <border>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indexed="64"/>
      </top>
      <bottom style="thin">
        <color indexed="64"/>
      </bottom>
      <diagonal/>
    </border>
    <border>
      <left/>
      <right/>
      <top style="thin">
        <color rgb="FF000000"/>
      </top>
      <bottom/>
      <diagonal/>
    </border>
    <border>
      <left style="thin">
        <color rgb="FF000000"/>
      </left>
      <right style="thin">
        <color indexed="64"/>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rgb="FF000000"/>
      </bottom>
      <diagonal/>
    </border>
    <border>
      <left/>
      <right style="thin">
        <color rgb="FFBFBFBF"/>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D9D9D9"/>
      </left>
      <right/>
      <top/>
      <bottom/>
      <diagonal/>
    </border>
    <border>
      <left/>
      <right style="thin">
        <color rgb="FF000000"/>
      </right>
      <top style="thin">
        <color indexed="64"/>
      </top>
      <bottom style="thin">
        <color indexed="64"/>
      </bottom>
      <diagonal/>
    </border>
    <border>
      <left/>
      <right style="thin">
        <color rgb="FF000000"/>
      </right>
      <top style="thin">
        <color indexed="64"/>
      </top>
      <bottom/>
      <diagonal/>
    </border>
    <border>
      <left/>
      <right style="thin">
        <color rgb="FFD9D9D9"/>
      </right>
      <top/>
      <bottom style="thin">
        <color indexed="64"/>
      </bottom>
      <diagonal/>
    </border>
    <border>
      <left style="thin">
        <color indexed="64"/>
      </left>
      <right style="thin">
        <color rgb="FF000000"/>
      </right>
      <top/>
      <bottom/>
      <diagonal/>
    </border>
    <border>
      <left/>
      <right style="thin">
        <color rgb="FFD9D9D9"/>
      </right>
      <top style="thin">
        <color indexed="64"/>
      </top>
      <bottom/>
      <diagonal/>
    </border>
    <border>
      <left/>
      <right/>
      <top style="medium">
        <color indexed="64"/>
      </top>
      <bottom/>
      <diagonal/>
    </border>
    <border>
      <left style="thin">
        <color indexed="64"/>
      </left>
      <right style="thin">
        <color indexed="64"/>
      </right>
      <top/>
      <bottom style="double">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top style="hair">
        <color indexed="12"/>
      </top>
      <bottom style="hair">
        <color indexed="1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hair">
        <color indexed="12"/>
      </top>
      <bottom style="hair">
        <color indexed="1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style="hair">
        <color indexed="12"/>
      </top>
      <bottom style="hair">
        <color indexed="12"/>
      </bottom>
      <diagonal/>
    </border>
    <border>
      <left/>
      <right/>
      <top style="hair">
        <color indexed="12"/>
      </top>
      <bottom style="hair">
        <color indexed="12"/>
      </bottom>
      <diagonal/>
    </border>
    <border>
      <left style="thin">
        <color indexed="8"/>
      </left>
      <right/>
      <top style="thin">
        <color indexed="8"/>
      </top>
      <bottom/>
      <diagonal/>
    </border>
    <border>
      <left/>
      <right/>
      <top style="hair">
        <color indexed="54"/>
      </top>
      <bottom style="hair">
        <color indexed="54"/>
      </bottom>
      <diagonal/>
    </border>
    <border>
      <left/>
      <right/>
      <top style="hair">
        <color indexed="48"/>
      </top>
      <bottom style="hair">
        <color indexed="48"/>
      </bottom>
      <diagonal/>
    </border>
    <border>
      <left/>
      <right/>
      <top style="thin">
        <color indexed="62"/>
      </top>
      <bottom style="double">
        <color indexed="62"/>
      </bottom>
      <diagonal/>
    </border>
    <border>
      <left style="thin">
        <color indexed="64"/>
      </left>
      <right/>
      <top style="medium">
        <color theme="0" tint="-0.499984740745262"/>
      </top>
      <bottom style="thin">
        <color indexed="64"/>
      </bottom>
      <diagonal/>
    </border>
    <border>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right style="thin">
        <color rgb="FF000000"/>
      </right>
      <top style="thin">
        <color indexed="64"/>
      </top>
      <bottom style="thin">
        <color rgb="FF000000"/>
      </bottom>
      <diagonal/>
    </border>
    <border>
      <left style="thin">
        <color indexed="64"/>
      </left>
      <right style="thin">
        <color rgb="FF000000"/>
      </right>
      <top/>
      <bottom style="thin">
        <color rgb="FF000000"/>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diagonal/>
    </border>
    <border>
      <left style="thin">
        <color indexed="64"/>
      </left>
      <right/>
      <top style="thin">
        <color rgb="FF000000"/>
      </top>
      <bottom/>
      <diagonal/>
    </border>
    <border>
      <left style="thin">
        <color indexed="64"/>
      </left>
      <right style="thin">
        <color rgb="FF000000"/>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top/>
      <bottom style="thin">
        <color rgb="FF000000"/>
      </bottom>
      <diagonal/>
    </border>
    <border>
      <left style="thin">
        <color indexed="64"/>
      </left>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indexed="64"/>
      </left>
      <right/>
      <top style="thin">
        <color rgb="FF000000"/>
      </top>
      <bottom style="thin">
        <color rgb="FF000000"/>
      </bottom>
      <diagonal/>
    </border>
    <border>
      <left style="thin">
        <color rgb="FF000000"/>
      </left>
      <right style="thin">
        <color indexed="64"/>
      </right>
      <top/>
      <bottom/>
      <diagonal/>
    </border>
    <border>
      <left style="thin">
        <color rgb="FF000000"/>
      </left>
      <right style="thin">
        <color indexed="64"/>
      </right>
      <top style="thin">
        <color indexed="64"/>
      </top>
      <bottom/>
      <diagonal/>
    </border>
    <border>
      <left style="thin">
        <color rgb="FFBFBFBF"/>
      </left>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indexed="64"/>
      </left>
      <right style="thin">
        <color indexed="64"/>
      </right>
      <top style="thin">
        <color rgb="FF000000"/>
      </top>
      <bottom/>
      <diagonal/>
    </border>
    <border>
      <left style="thin">
        <color rgb="FF54E0D9"/>
      </left>
      <right style="thin">
        <color indexed="64"/>
      </right>
      <top style="thin">
        <color indexed="64"/>
      </top>
      <bottom style="thin">
        <color indexed="64"/>
      </bottom>
      <diagonal/>
    </border>
    <border>
      <left/>
      <right style="thin">
        <color indexed="64"/>
      </right>
      <top/>
      <bottom style="double">
        <color auto="1"/>
      </bottom>
      <diagonal/>
    </border>
    <border>
      <left/>
      <right/>
      <top/>
      <bottom style="double">
        <color indexed="64"/>
      </bottom>
      <diagonal/>
    </border>
    <border>
      <left style="thin">
        <color indexed="64"/>
      </left>
      <right/>
      <top/>
      <bottom style="double">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right style="thick">
        <color indexed="64"/>
      </right>
      <top/>
      <bottom/>
      <diagonal/>
    </border>
    <border>
      <left/>
      <right style="thick">
        <color indexed="64"/>
      </right>
      <top style="thin">
        <color indexed="64"/>
      </top>
      <bottom style="thin">
        <color indexed="64"/>
      </bottom>
      <diagonal/>
    </border>
    <border>
      <left/>
      <right/>
      <top/>
      <bottom style="thick">
        <color indexed="64"/>
      </bottom>
      <diagonal/>
    </border>
    <border>
      <left/>
      <right style="thick">
        <color indexed="64"/>
      </right>
      <top/>
      <bottom style="thin">
        <color indexed="64"/>
      </bottom>
      <diagonal/>
    </border>
    <border>
      <left/>
      <right style="thick">
        <color indexed="64"/>
      </right>
      <top/>
      <bottom style="medium">
        <color indexed="64"/>
      </bottom>
      <diagonal/>
    </border>
    <border>
      <left style="thick">
        <color indexed="64"/>
      </left>
      <right style="thick">
        <color indexed="64"/>
      </right>
      <top style="thick">
        <color indexed="64"/>
      </top>
      <bottom/>
      <diagonal/>
    </border>
    <border>
      <left style="thick">
        <color indexed="64"/>
      </left>
      <right/>
      <top style="thick">
        <color indexed="64"/>
      </top>
      <bottom/>
      <diagonal/>
    </border>
    <border>
      <left style="thick">
        <color indexed="64"/>
      </left>
      <right/>
      <top/>
      <bottom/>
      <diagonal/>
    </border>
    <border>
      <left style="thin">
        <color indexed="64"/>
      </left>
      <right style="thick">
        <color indexed="64"/>
      </right>
      <top style="thin">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bottom style="thin">
        <color indexed="64"/>
      </bottom>
      <diagonal/>
    </border>
    <border>
      <left style="thick">
        <color indexed="64"/>
      </left>
      <right style="thick">
        <color indexed="64"/>
      </right>
      <top/>
      <bottom style="thin">
        <color indexed="64"/>
      </bottom>
      <diagonal/>
    </border>
  </borders>
  <cellStyleXfs count="33965">
    <xf numFmtId="0" fontId="0" fillId="0" borderId="0"/>
    <xf numFmtId="165" fontId="2" fillId="0" borderId="0"/>
    <xf numFmtId="165" fontId="4" fillId="0" borderId="0"/>
    <xf numFmtId="165" fontId="11" fillId="0" borderId="0" applyNumberFormat="0" applyFill="0" applyBorder="0" applyAlignment="0" applyProtection="0"/>
    <xf numFmtId="0" fontId="1" fillId="0" borderId="0"/>
    <xf numFmtId="0" fontId="2" fillId="0" borderId="0"/>
    <xf numFmtId="0" fontId="4" fillId="0" borderId="0"/>
    <xf numFmtId="0" fontId="2" fillId="0" borderId="0"/>
    <xf numFmtId="165" fontId="4" fillId="0" borderId="0"/>
    <xf numFmtId="165" fontId="2" fillId="0" borderId="0"/>
    <xf numFmtId="165" fontId="32" fillId="17" borderId="0" applyNumberFormat="0" applyBorder="0" applyAlignment="0" applyProtection="0"/>
    <xf numFmtId="0" fontId="11" fillId="0" borderId="0" applyNumberFormat="0" applyFill="0" applyBorder="0" applyAlignment="0" applyProtection="0"/>
    <xf numFmtId="0" fontId="2" fillId="0" borderId="0"/>
    <xf numFmtId="165" fontId="2" fillId="0" borderId="0"/>
    <xf numFmtId="44" fontId="2" fillId="0" borderId="0" applyFont="0" applyFill="0" applyBorder="0" applyAlignment="0" applyProtection="0"/>
    <xf numFmtId="165" fontId="2" fillId="0" borderId="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90" fillId="72" borderId="0" applyNumberFormat="0" applyBorder="0" applyAlignment="0" applyProtection="0"/>
    <xf numFmtId="165" fontId="90" fillId="69" borderId="0" applyNumberFormat="0" applyBorder="0" applyAlignment="0" applyProtection="0"/>
    <xf numFmtId="165" fontId="90" fillId="70" borderId="0" applyNumberFormat="0" applyBorder="0" applyAlignment="0" applyProtection="0"/>
    <xf numFmtId="165" fontId="90" fillId="73" borderId="0" applyNumberFormat="0" applyBorder="0" applyAlignment="0" applyProtection="0"/>
    <xf numFmtId="165" fontId="90" fillId="74" borderId="0" applyNumberFormat="0" applyBorder="0" applyAlignment="0" applyProtection="0"/>
    <xf numFmtId="165" fontId="90" fillId="75" borderId="0" applyNumberFormat="0" applyBorder="0" applyAlignment="0" applyProtection="0"/>
    <xf numFmtId="165" fontId="90" fillId="76" borderId="0" applyNumberFormat="0" applyBorder="0" applyAlignment="0" applyProtection="0"/>
    <xf numFmtId="165" fontId="90" fillId="77" borderId="0" applyNumberFormat="0" applyBorder="0" applyAlignment="0" applyProtection="0"/>
    <xf numFmtId="165" fontId="90" fillId="78" borderId="0" applyNumberFormat="0" applyBorder="0" applyAlignment="0" applyProtection="0"/>
    <xf numFmtId="165" fontId="90" fillId="73" borderId="0" applyNumberFormat="0" applyBorder="0" applyAlignment="0" applyProtection="0"/>
    <xf numFmtId="165" fontId="90" fillId="74" borderId="0" applyNumberFormat="0" applyBorder="0" applyAlignment="0" applyProtection="0"/>
    <xf numFmtId="165" fontId="90" fillId="79" borderId="0" applyNumberFormat="0" applyBorder="0" applyAlignment="0" applyProtection="0"/>
    <xf numFmtId="165" fontId="2" fillId="0" borderId="75"/>
    <xf numFmtId="165" fontId="91" fillId="17" borderId="0" applyNumberFormat="0" applyBorder="0" applyAlignment="0" applyProtection="0"/>
    <xf numFmtId="165" fontId="108" fillId="0" borderId="0"/>
    <xf numFmtId="165" fontId="92" fillId="80" borderId="76" applyNumberFormat="0" applyAlignment="0" applyProtection="0"/>
    <xf numFmtId="49" fontId="2" fillId="0" borderId="77">
      <alignment vertical="center" wrapText="1"/>
    </xf>
    <xf numFmtId="165" fontId="93" fillId="81" borderId="78" applyNumberFormat="0" applyAlignment="0" applyProtection="0"/>
    <xf numFmtId="165" fontId="106" fillId="0" borderId="0"/>
    <xf numFmtId="7" fontId="109" fillId="0" borderId="0" applyFont="0" applyFill="0" applyBorder="0" applyAlignment="0" applyProtection="0"/>
    <xf numFmtId="171" fontId="2" fillId="82" borderId="6">
      <alignment horizontal="right"/>
      <protection locked="0"/>
    </xf>
    <xf numFmtId="3" fontId="110" fillId="0" borderId="0"/>
    <xf numFmtId="165" fontId="2" fillId="0" borderId="0" applyFont="0" applyFill="0" applyBorder="0" applyAlignment="0" applyProtection="0">
      <alignment wrapText="1"/>
    </xf>
    <xf numFmtId="165" fontId="94" fillId="0" borderId="0" applyNumberFormat="0" applyFill="0" applyBorder="0" applyAlignment="0" applyProtection="0"/>
    <xf numFmtId="172" fontId="111" fillId="83" borderId="8"/>
    <xf numFmtId="165" fontId="112" fillId="0" borderId="0" applyNumberFormat="0" applyFill="0" applyBorder="0" applyAlignment="0" applyProtection="0"/>
    <xf numFmtId="165" fontId="95" fillId="64" borderId="0" applyNumberFormat="0" applyBorder="0" applyAlignment="0" applyProtection="0"/>
    <xf numFmtId="165" fontId="5" fillId="0" borderId="0"/>
    <xf numFmtId="3" fontId="113" fillId="0" borderId="0"/>
    <xf numFmtId="165" fontId="114" fillId="0" borderId="0"/>
    <xf numFmtId="165" fontId="96" fillId="0" borderId="79" applyNumberFormat="0" applyFill="0" applyAlignment="0" applyProtection="0"/>
    <xf numFmtId="165" fontId="97" fillId="0" borderId="80" applyNumberFormat="0" applyFill="0" applyAlignment="0" applyProtection="0"/>
    <xf numFmtId="165" fontId="98" fillId="0" borderId="81" applyNumberFormat="0" applyFill="0" applyAlignment="0" applyProtection="0"/>
    <xf numFmtId="165" fontId="98" fillId="0" borderId="0" applyNumberFormat="0" applyFill="0" applyBorder="0" applyAlignment="0" applyProtection="0"/>
    <xf numFmtId="165" fontId="26" fillId="0" borderId="0"/>
    <xf numFmtId="165" fontId="99" fillId="67" borderId="76" applyNumberFormat="0" applyAlignment="0" applyProtection="0"/>
    <xf numFmtId="165" fontId="2" fillId="0" borderId="0"/>
    <xf numFmtId="165" fontId="100" fillId="0" borderId="82" applyNumberFormat="0" applyFill="0" applyAlignment="0" applyProtection="0"/>
    <xf numFmtId="165" fontId="115" fillId="0" borderId="0"/>
    <xf numFmtId="165" fontId="116" fillId="0" borderId="0"/>
    <xf numFmtId="165" fontId="101" fillId="84" borderId="0" applyNumberFormat="0" applyBorder="0" applyAlignment="0" applyProtection="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1"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102" fillId="80" borderId="84" applyNumberFormat="0" applyAlignment="0" applyProtection="0"/>
    <xf numFmtId="173" fontId="117" fillId="86" borderId="0">
      <alignment horizontal="right"/>
    </xf>
    <xf numFmtId="9" fontId="2" fillId="0" borderId="0" applyFont="0" applyFill="0" applyBorder="0" applyAlignment="0" applyProtection="0"/>
    <xf numFmtId="9" fontId="2" fillId="0" borderId="0" applyFont="0" applyFill="0" applyBorder="0" applyAlignment="0" applyProtection="0"/>
    <xf numFmtId="49" fontId="2" fillId="0" borderId="77">
      <alignment horizontal="justify" vertical="center" wrapText="1"/>
    </xf>
    <xf numFmtId="174" fontId="2" fillId="0" borderId="77">
      <alignment horizontal="center" vertical="center"/>
    </xf>
    <xf numFmtId="175" fontId="118" fillId="87" borderId="75"/>
    <xf numFmtId="175" fontId="118" fillId="0" borderId="85"/>
    <xf numFmtId="175" fontId="118" fillId="0" borderId="86"/>
    <xf numFmtId="165" fontId="119" fillId="88" borderId="87"/>
    <xf numFmtId="165" fontId="120" fillId="0" borderId="0"/>
    <xf numFmtId="37" fontId="112" fillId="0" borderId="0"/>
    <xf numFmtId="174" fontId="89" fillId="0" borderId="0">
      <alignment horizontal="left" textRotation="75" shrinkToFit="1"/>
    </xf>
    <xf numFmtId="176" fontId="65" fillId="0" borderId="88">
      <alignment wrapText="1"/>
    </xf>
    <xf numFmtId="165" fontId="121" fillId="0" borderId="0">
      <alignment wrapText="1"/>
    </xf>
    <xf numFmtId="165" fontId="30" fillId="0" borderId="0"/>
    <xf numFmtId="177" fontId="107" fillId="0" borderId="6">
      <alignment horizontal="right"/>
    </xf>
    <xf numFmtId="165" fontId="122" fillId="0" borderId="0"/>
    <xf numFmtId="165" fontId="2" fillId="0" borderId="89"/>
    <xf numFmtId="165" fontId="103" fillId="0" borderId="0" applyNumberFormat="0" applyFill="0" applyBorder="0" applyAlignment="0" applyProtection="0"/>
    <xf numFmtId="165" fontId="104" fillId="0" borderId="90" applyNumberFormat="0" applyFill="0" applyAlignment="0" applyProtection="0"/>
    <xf numFmtId="173" fontId="61" fillId="0" borderId="88"/>
    <xf numFmtId="165" fontId="21" fillId="0" borderId="0"/>
    <xf numFmtId="177" fontId="107" fillId="88" borderId="6">
      <alignment horizontal="right"/>
    </xf>
    <xf numFmtId="177" fontId="107" fillId="0" borderId="6">
      <alignment horizontal="right"/>
    </xf>
    <xf numFmtId="165" fontId="105" fillId="0" borderId="0" applyNumberFormat="0" applyFill="0" applyBorder="0" applyAlignment="0" applyProtection="0"/>
    <xf numFmtId="165" fontId="2" fillId="0" borderId="75"/>
    <xf numFmtId="49" fontId="2" fillId="0" borderId="77">
      <alignment vertical="center" wrapText="1"/>
    </xf>
    <xf numFmtId="171" fontId="2" fillId="82" borderId="6">
      <alignment horizontal="right"/>
      <protection locked="0"/>
    </xf>
    <xf numFmtId="165" fontId="2" fillId="0" borderId="0" applyFont="0" applyFill="0" applyBorder="0" applyAlignment="0" applyProtection="0">
      <alignment wrapText="1"/>
    </xf>
    <xf numFmtId="165" fontId="2" fillId="0" borderId="0"/>
    <xf numFmtId="165" fontId="1" fillId="0" borderId="0"/>
    <xf numFmtId="165" fontId="2" fillId="0" borderId="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9" fontId="2" fillId="0" borderId="77">
      <alignment horizontal="justify" vertical="center" wrapText="1"/>
    </xf>
    <xf numFmtId="174" fontId="2" fillId="0" borderId="77">
      <alignment horizontal="center" vertical="center"/>
    </xf>
    <xf numFmtId="176" fontId="65" fillId="0" borderId="88">
      <alignment wrapText="1"/>
    </xf>
    <xf numFmtId="165" fontId="2" fillId="0" borderId="89"/>
    <xf numFmtId="165" fontId="2" fillId="0" borderId="75"/>
    <xf numFmtId="49" fontId="2" fillId="0" borderId="77">
      <alignment vertical="center" wrapText="1"/>
    </xf>
    <xf numFmtId="171" fontId="2" fillId="82" borderId="6">
      <alignment horizontal="right"/>
      <protection locked="0"/>
    </xf>
    <xf numFmtId="165" fontId="2" fillId="0" borderId="0" applyFont="0" applyFill="0" applyBorder="0" applyAlignment="0" applyProtection="0">
      <alignment wrapText="1"/>
    </xf>
    <xf numFmtId="165" fontId="2" fillId="0" borderId="0"/>
    <xf numFmtId="165" fontId="1" fillId="0" borderId="0"/>
    <xf numFmtId="165" fontId="2" fillId="0" borderId="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9" fontId="2" fillId="0" borderId="0" applyFont="0" applyFill="0" applyBorder="0" applyAlignment="0" applyProtection="0"/>
    <xf numFmtId="49" fontId="2" fillId="0" borderId="77">
      <alignment horizontal="justify" vertical="center" wrapText="1"/>
    </xf>
    <xf numFmtId="174" fontId="2" fillId="0" borderId="77">
      <alignment horizontal="center" vertical="center"/>
    </xf>
    <xf numFmtId="176" fontId="65" fillId="0" borderId="88">
      <alignment wrapText="1"/>
    </xf>
    <xf numFmtId="165" fontId="2" fillId="0" borderId="89"/>
    <xf numFmtId="43" fontId="2" fillId="0" borderId="0" applyFont="0" applyFill="0" applyBorder="0" applyAlignment="0" applyProtection="0"/>
    <xf numFmtId="165" fontId="1" fillId="0" borderId="0"/>
    <xf numFmtId="9" fontId="2" fillId="0" borderId="0" applyFont="0" applyFill="0" applyBorder="0" applyAlignment="0" applyProtection="0"/>
    <xf numFmtId="165" fontId="32" fillId="63" borderId="0" applyNumberFormat="0" applyBorder="0" applyAlignment="0" applyProtection="0"/>
    <xf numFmtId="165" fontId="32" fillId="17" borderId="0" applyNumberFormat="0" applyBorder="0" applyAlignment="0" applyProtection="0"/>
    <xf numFmtId="165" fontId="32" fillId="64" borderId="0" applyNumberFormat="0" applyBorder="0" applyAlignment="0" applyProtection="0"/>
    <xf numFmtId="165" fontId="32" fillId="65" borderId="0" applyNumberFormat="0" applyBorder="0" applyAlignment="0" applyProtection="0"/>
    <xf numFmtId="165" fontId="32" fillId="66" borderId="0" applyNumberFormat="0" applyBorder="0" applyAlignment="0" applyProtection="0"/>
    <xf numFmtId="165" fontId="32" fillId="67" borderId="0" applyNumberFormat="0" applyBorder="0" applyAlignment="0" applyProtection="0"/>
    <xf numFmtId="165" fontId="32" fillId="68" borderId="0" applyNumberFormat="0" applyBorder="0" applyAlignment="0" applyProtection="0"/>
    <xf numFmtId="165" fontId="32" fillId="69" borderId="0" applyNumberFormat="0" applyBorder="0" applyAlignment="0" applyProtection="0"/>
    <xf numFmtId="165" fontId="32" fillId="70" borderId="0" applyNumberFormat="0" applyBorder="0" applyAlignment="0" applyProtection="0"/>
    <xf numFmtId="165" fontId="32" fillId="65" borderId="0" applyNumberFormat="0" applyBorder="0" applyAlignment="0" applyProtection="0"/>
    <xf numFmtId="165" fontId="32" fillId="68" borderId="0" applyNumberFormat="0" applyBorder="0" applyAlignment="0" applyProtection="0"/>
    <xf numFmtId="165" fontId="32" fillId="71" borderId="0" applyNumberFormat="0" applyBorder="0" applyAlignment="0" applyProtection="0"/>
    <xf numFmtId="165" fontId="90" fillId="72" borderId="0" applyNumberFormat="0" applyBorder="0" applyAlignment="0" applyProtection="0"/>
    <xf numFmtId="165" fontId="90" fillId="69" borderId="0" applyNumberFormat="0" applyBorder="0" applyAlignment="0" applyProtection="0"/>
    <xf numFmtId="165" fontId="90" fillId="70" borderId="0" applyNumberFormat="0" applyBorder="0" applyAlignment="0" applyProtection="0"/>
    <xf numFmtId="165" fontId="90" fillId="73" borderId="0" applyNumberFormat="0" applyBorder="0" applyAlignment="0" applyProtection="0"/>
    <xf numFmtId="165" fontId="90" fillId="74" borderId="0" applyNumberFormat="0" applyBorder="0" applyAlignment="0" applyProtection="0"/>
    <xf numFmtId="165" fontId="90" fillId="75" borderId="0" applyNumberFormat="0" applyBorder="0" applyAlignment="0" applyProtection="0"/>
    <xf numFmtId="165" fontId="90" fillId="76" borderId="0" applyNumberFormat="0" applyBorder="0" applyAlignment="0" applyProtection="0"/>
    <xf numFmtId="165" fontId="90" fillId="77" borderId="0" applyNumberFormat="0" applyBorder="0" applyAlignment="0" applyProtection="0"/>
    <xf numFmtId="165" fontId="90" fillId="78" borderId="0" applyNumberFormat="0" applyBorder="0" applyAlignment="0" applyProtection="0"/>
    <xf numFmtId="165" fontId="90" fillId="73" borderId="0" applyNumberFormat="0" applyBorder="0" applyAlignment="0" applyProtection="0"/>
    <xf numFmtId="165" fontId="90" fillId="74" borderId="0" applyNumberFormat="0" applyBorder="0" applyAlignment="0" applyProtection="0"/>
    <xf numFmtId="165" fontId="90" fillId="79" borderId="0" applyNumberFormat="0" applyBorder="0" applyAlignment="0" applyProtection="0"/>
    <xf numFmtId="165" fontId="91" fillId="17" borderId="0" applyNumberFormat="0" applyBorder="0" applyAlignment="0" applyProtection="0"/>
    <xf numFmtId="165" fontId="92" fillId="80" borderId="76" applyNumberFormat="0" applyAlignment="0" applyProtection="0"/>
    <xf numFmtId="165" fontId="93" fillId="81" borderId="78" applyNumberFormat="0" applyAlignment="0" applyProtection="0"/>
    <xf numFmtId="165" fontId="94" fillId="0" borderId="0" applyNumberFormat="0" applyFill="0" applyBorder="0" applyAlignment="0" applyProtection="0"/>
    <xf numFmtId="165" fontId="95" fillId="64" borderId="0" applyNumberFormat="0" applyBorder="0" applyAlignment="0" applyProtection="0"/>
    <xf numFmtId="165" fontId="96" fillId="0" borderId="79" applyNumberFormat="0" applyFill="0" applyAlignment="0" applyProtection="0"/>
    <xf numFmtId="165" fontId="97" fillId="0" borderId="80" applyNumberFormat="0" applyFill="0" applyAlignment="0" applyProtection="0"/>
    <xf numFmtId="165" fontId="98" fillId="0" borderId="81" applyNumberFormat="0" applyFill="0" applyAlignment="0" applyProtection="0"/>
    <xf numFmtId="165" fontId="98" fillId="0" borderId="0" applyNumberFormat="0" applyFill="0" applyBorder="0" applyAlignment="0" applyProtection="0"/>
    <xf numFmtId="165" fontId="99" fillId="67" borderId="76" applyNumberFormat="0" applyAlignment="0" applyProtection="0"/>
    <xf numFmtId="165" fontId="100" fillId="0" borderId="82" applyNumberFormat="0" applyFill="0" applyAlignment="0" applyProtection="0"/>
    <xf numFmtId="165" fontId="101" fillId="84" borderId="0" applyNumberFormat="0" applyBorder="0" applyAlignment="0" applyProtection="0"/>
    <xf numFmtId="165" fontId="1" fillId="0" borderId="0"/>
    <xf numFmtId="165" fontId="2" fillId="85" borderId="83" applyNumberFormat="0" applyFont="0" applyAlignment="0" applyProtection="0"/>
    <xf numFmtId="165" fontId="102" fillId="80" borderId="84" applyNumberFormat="0" applyAlignment="0" applyProtection="0"/>
    <xf numFmtId="165" fontId="103" fillId="0" borderId="0" applyNumberFormat="0" applyFill="0" applyBorder="0" applyAlignment="0" applyProtection="0"/>
    <xf numFmtId="165" fontId="104" fillId="0" borderId="90" applyNumberFormat="0" applyFill="0" applyAlignment="0" applyProtection="0"/>
    <xf numFmtId="165" fontId="105" fillId="0" borderId="0" applyNumberFormat="0" applyFill="0" applyBorder="0" applyAlignment="0" applyProtection="0"/>
    <xf numFmtId="165" fontId="1" fillId="0" borderId="0"/>
    <xf numFmtId="165" fontId="1" fillId="0" borderId="0"/>
    <xf numFmtId="165" fontId="1" fillId="0" borderId="0"/>
    <xf numFmtId="165" fontId="123" fillId="0" borderId="0"/>
    <xf numFmtId="165" fontId="124" fillId="0" borderId="0" applyNumberFormat="0" applyFill="0" applyBorder="0" applyAlignment="0" applyProtection="0"/>
    <xf numFmtId="165" fontId="77" fillId="0" borderId="66" applyNumberFormat="0" applyFill="0" applyAlignment="0" applyProtection="0"/>
    <xf numFmtId="165" fontId="78" fillId="0" borderId="67" applyNumberFormat="0" applyFill="0" applyAlignment="0" applyProtection="0"/>
    <xf numFmtId="165" fontId="79" fillId="0" borderId="68" applyNumberFormat="0" applyFill="0" applyAlignment="0" applyProtection="0"/>
    <xf numFmtId="165" fontId="79" fillId="0" borderId="0" applyNumberFormat="0" applyFill="0" applyBorder="0" applyAlignment="0" applyProtection="0"/>
    <xf numFmtId="165" fontId="80" fillId="32" borderId="0" applyNumberFormat="0" applyBorder="0" applyAlignment="0" applyProtection="0"/>
    <xf numFmtId="165" fontId="81" fillId="33" borderId="0" applyNumberFormat="0" applyBorder="0" applyAlignment="0" applyProtection="0"/>
    <xf numFmtId="165" fontId="125" fillId="34" borderId="0" applyNumberFormat="0" applyBorder="0" applyAlignment="0" applyProtection="0"/>
    <xf numFmtId="165" fontId="82" fillId="35" borderId="69" applyNumberFormat="0" applyAlignment="0" applyProtection="0"/>
    <xf numFmtId="165" fontId="83" fillId="36" borderId="70" applyNumberFormat="0" applyAlignment="0" applyProtection="0"/>
    <xf numFmtId="165" fontId="84" fillId="36" borderId="69" applyNumberFormat="0" applyAlignment="0" applyProtection="0"/>
    <xf numFmtId="165" fontId="85" fillId="0" borderId="71" applyNumberFormat="0" applyFill="0" applyAlignment="0" applyProtection="0"/>
    <xf numFmtId="165" fontId="86" fillId="37" borderId="72" applyNumberFormat="0" applyAlignment="0" applyProtection="0"/>
    <xf numFmtId="165" fontId="33" fillId="0" borderId="0" applyNumberFormat="0" applyFill="0" applyBorder="0" applyAlignment="0" applyProtection="0"/>
    <xf numFmtId="165" fontId="1" fillId="38" borderId="73" applyNumberFormat="0" applyFont="0" applyAlignment="0" applyProtection="0"/>
    <xf numFmtId="165" fontId="87" fillId="0" borderId="0" applyNumberFormat="0" applyFill="0" applyBorder="0" applyAlignment="0" applyProtection="0"/>
    <xf numFmtId="165" fontId="67" fillId="0" borderId="74" applyNumberFormat="0" applyFill="0" applyAlignment="0" applyProtection="0"/>
    <xf numFmtId="165" fontId="88" fillId="39" borderId="0" applyNumberFormat="0" applyBorder="0" applyAlignment="0" applyProtection="0"/>
    <xf numFmtId="165" fontId="1" fillId="40" borderId="0" applyNumberFormat="0" applyBorder="0" applyAlignment="0" applyProtection="0"/>
    <xf numFmtId="165" fontId="1" fillId="41" borderId="0" applyNumberFormat="0" applyBorder="0" applyAlignment="0" applyProtection="0"/>
    <xf numFmtId="165" fontId="88" fillId="42" borderId="0" applyNumberFormat="0" applyBorder="0" applyAlignment="0" applyProtection="0"/>
    <xf numFmtId="165" fontId="88" fillId="43"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88" fillId="46" borderId="0" applyNumberFormat="0" applyBorder="0" applyAlignment="0" applyProtection="0"/>
    <xf numFmtId="165" fontId="88" fillId="47"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88" fillId="50" borderId="0" applyNumberFormat="0" applyBorder="0" applyAlignment="0" applyProtection="0"/>
    <xf numFmtId="165" fontId="88" fillId="51"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88" fillId="54" borderId="0" applyNumberFormat="0" applyBorder="0" applyAlignment="0" applyProtection="0"/>
    <xf numFmtId="165" fontId="88" fillId="55"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88" fillId="58" borderId="0" applyNumberFormat="0" applyBorder="0" applyAlignment="0" applyProtection="0"/>
    <xf numFmtId="165" fontId="88" fillId="59"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88" fillId="62"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2" fillId="85" borderId="83" applyNumberFormat="0" applyFont="0" applyAlignment="0" applyProtection="0"/>
    <xf numFmtId="9" fontId="2" fillId="0" borderId="0" applyFont="0" applyFill="0" applyBorder="0" applyAlignment="0" applyProtection="0"/>
    <xf numFmtId="165" fontId="1" fillId="0" borderId="0"/>
    <xf numFmtId="165" fontId="2" fillId="0" borderId="0"/>
    <xf numFmtId="165" fontId="1" fillId="0" borderId="0"/>
    <xf numFmtId="43"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43" fontId="2" fillId="0" borderId="0" applyFont="0" applyFill="0" applyBorder="0" applyAlignment="0" applyProtection="0"/>
    <xf numFmtId="165" fontId="1" fillId="0" borderId="0"/>
    <xf numFmtId="165" fontId="2" fillId="0" borderId="75"/>
    <xf numFmtId="49" fontId="2" fillId="0" borderId="77">
      <alignment vertical="center" wrapText="1"/>
    </xf>
    <xf numFmtId="171" fontId="2" fillId="82" borderId="6">
      <alignment horizontal="right"/>
      <protection locked="0"/>
    </xf>
    <xf numFmtId="165" fontId="2" fillId="0" borderId="0" applyFont="0" applyFill="0" applyBorder="0" applyAlignment="0" applyProtection="0">
      <alignment wrapText="1"/>
    </xf>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1"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9" fontId="2" fillId="0" borderId="0" applyFont="0" applyFill="0" applyBorder="0" applyAlignment="0" applyProtection="0"/>
    <xf numFmtId="49" fontId="2" fillId="0" borderId="77">
      <alignment horizontal="justify" vertical="center" wrapText="1"/>
    </xf>
    <xf numFmtId="174" fontId="2" fillId="0" borderId="77">
      <alignment horizontal="center" vertical="center"/>
    </xf>
    <xf numFmtId="165" fontId="2" fillId="0" borderId="89"/>
    <xf numFmtId="165" fontId="1" fillId="0" borderId="0"/>
    <xf numFmtId="43" fontId="2" fillId="0" borderId="0" applyFont="0" applyFill="0" applyBorder="0" applyAlignment="0" applyProtection="0"/>
    <xf numFmtId="165" fontId="1" fillId="0" borderId="0"/>
    <xf numFmtId="9" fontId="2" fillId="0" borderId="0" applyFont="0" applyFill="0" applyBorder="0" applyAlignment="0" applyProtection="0"/>
    <xf numFmtId="165" fontId="1" fillId="0" borderId="0"/>
    <xf numFmtId="165" fontId="1" fillId="0" borderId="0"/>
    <xf numFmtId="165" fontId="2" fillId="0" borderId="0" applyFont="0" applyFill="0" applyBorder="0" applyAlignment="0" applyProtection="0"/>
    <xf numFmtId="165" fontId="2" fillId="0" borderId="0"/>
    <xf numFmtId="165" fontId="1" fillId="0" borderId="0"/>
    <xf numFmtId="165" fontId="1" fillId="0" borderId="0"/>
    <xf numFmtId="165" fontId="1" fillId="0" borderId="0"/>
    <xf numFmtId="165" fontId="32" fillId="65" borderId="0" applyNumberFormat="0" applyBorder="0" applyAlignment="0" applyProtection="0"/>
    <xf numFmtId="165" fontId="32" fillId="68" borderId="0" applyNumberFormat="0" applyBorder="0" applyAlignment="0" applyProtection="0"/>
    <xf numFmtId="165" fontId="32" fillId="65" borderId="0" applyNumberFormat="0" applyBorder="0" applyAlignment="0" applyProtection="0"/>
    <xf numFmtId="165" fontId="32" fillId="70" borderId="0" applyNumberFormat="0" applyBorder="0" applyAlignment="0" applyProtection="0"/>
    <xf numFmtId="165" fontId="32" fillId="69" borderId="0" applyNumberFormat="0" applyBorder="0" applyAlignment="0" applyProtection="0"/>
    <xf numFmtId="165" fontId="32" fillId="68" borderId="0" applyNumberFormat="0" applyBorder="0" applyAlignment="0" applyProtection="0"/>
    <xf numFmtId="165" fontId="32" fillId="67" borderId="0" applyNumberFormat="0" applyBorder="0" applyAlignment="0" applyProtection="0"/>
    <xf numFmtId="165" fontId="32" fillId="66" borderId="0" applyNumberFormat="0" applyBorder="0" applyAlignment="0" applyProtection="0"/>
    <xf numFmtId="165" fontId="32" fillId="65" borderId="0" applyNumberFormat="0" applyBorder="0" applyAlignment="0" applyProtection="0"/>
    <xf numFmtId="165" fontId="32" fillId="64" borderId="0" applyNumberFormat="0" applyBorder="0" applyAlignment="0" applyProtection="0"/>
    <xf numFmtId="165" fontId="32" fillId="17" borderId="0" applyNumberFormat="0" applyBorder="0" applyAlignment="0" applyProtection="0"/>
    <xf numFmtId="165" fontId="32" fillId="63" borderId="0" applyNumberFormat="0" applyBorder="0" applyAlignment="0" applyProtection="0"/>
    <xf numFmtId="165" fontId="2" fillId="85" borderId="83" applyNumberFormat="0" applyFont="0" applyAlignment="0" applyProtection="0"/>
    <xf numFmtId="165" fontId="105" fillId="0" borderId="0" applyNumberFormat="0" applyFill="0" applyBorder="0" applyAlignment="0" applyProtection="0"/>
    <xf numFmtId="165" fontId="2" fillId="0" borderId="0"/>
    <xf numFmtId="165" fontId="21" fillId="0" borderId="0"/>
    <xf numFmtId="165" fontId="104" fillId="0" borderId="90" applyNumberFormat="0" applyFill="0" applyAlignment="0" applyProtection="0"/>
    <xf numFmtId="165" fontId="103" fillId="0" borderId="0" applyNumberFormat="0" applyFill="0" applyBorder="0" applyAlignment="0" applyProtection="0"/>
    <xf numFmtId="165" fontId="2" fillId="0" borderId="89"/>
    <xf numFmtId="165" fontId="122" fillId="0" borderId="0"/>
    <xf numFmtId="165" fontId="30" fillId="0" borderId="0"/>
    <xf numFmtId="165" fontId="121" fillId="0" borderId="0">
      <alignment wrapText="1"/>
    </xf>
    <xf numFmtId="165" fontId="120" fillId="0" borderId="0"/>
    <xf numFmtId="165" fontId="119" fillId="88" borderId="87"/>
    <xf numFmtId="165" fontId="102" fillId="80" borderId="84" applyNumberForma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123" fillId="0" borderId="0"/>
    <xf numFmtId="165" fontId="115" fillId="0" borderId="0"/>
    <xf numFmtId="165" fontId="100" fillId="0" borderId="82" applyNumberFormat="0" applyFill="0" applyAlignment="0" applyProtection="0"/>
    <xf numFmtId="165" fontId="2" fillId="0" borderId="0"/>
    <xf numFmtId="165" fontId="99" fillId="67" borderId="76" applyNumberFormat="0" applyAlignment="0" applyProtection="0"/>
    <xf numFmtId="165" fontId="26" fillId="0" borderId="0"/>
    <xf numFmtId="165" fontId="98" fillId="0" borderId="0" applyNumberFormat="0" applyFill="0" applyBorder="0" applyAlignment="0" applyProtection="0"/>
    <xf numFmtId="165" fontId="98" fillId="0" borderId="81" applyNumberFormat="0" applyFill="0" applyAlignment="0" applyProtection="0"/>
    <xf numFmtId="165" fontId="97" fillId="0" borderId="80" applyNumberFormat="0" applyFill="0" applyAlignment="0" applyProtection="0"/>
    <xf numFmtId="165" fontId="96" fillId="0" borderId="79" applyNumberFormat="0" applyFill="0" applyAlignment="0" applyProtection="0"/>
    <xf numFmtId="165" fontId="114" fillId="0" borderId="0"/>
    <xf numFmtId="165" fontId="5" fillId="0" borderId="0"/>
    <xf numFmtId="165" fontId="95" fillId="64" borderId="0" applyNumberFormat="0" applyBorder="0" applyAlignment="0" applyProtection="0"/>
    <xf numFmtId="165" fontId="112" fillId="0" borderId="0" applyNumberFormat="0" applyFill="0" applyBorder="0" applyAlignment="0" applyProtection="0"/>
    <xf numFmtId="165" fontId="94" fillId="0" borderId="0" applyNumberFormat="0" applyFill="0" applyBorder="0" applyAlignment="0" applyProtection="0"/>
    <xf numFmtId="165" fontId="114" fillId="0" borderId="0"/>
    <xf numFmtId="165" fontId="106" fillId="0" borderId="0"/>
    <xf numFmtId="165" fontId="93" fillId="81" borderId="78" applyNumberFormat="0" applyAlignment="0" applyProtection="0"/>
    <xf numFmtId="165" fontId="92" fillId="80" borderId="76" applyNumberFormat="0" applyAlignment="0" applyProtection="0"/>
    <xf numFmtId="165" fontId="108" fillId="0" borderId="0"/>
    <xf numFmtId="165" fontId="91" fillId="17" borderId="0" applyNumberFormat="0" applyBorder="0" applyAlignment="0" applyProtection="0"/>
    <xf numFmtId="165" fontId="2" fillId="0" borderId="75"/>
    <xf numFmtId="165" fontId="90" fillId="79" borderId="0" applyNumberFormat="0" applyBorder="0" applyAlignment="0" applyProtection="0"/>
    <xf numFmtId="165" fontId="90" fillId="74" borderId="0" applyNumberFormat="0" applyBorder="0" applyAlignment="0" applyProtection="0"/>
    <xf numFmtId="165" fontId="90" fillId="73" borderId="0" applyNumberFormat="0" applyBorder="0" applyAlignment="0" applyProtection="0"/>
    <xf numFmtId="165" fontId="90" fillId="78" borderId="0" applyNumberFormat="0" applyBorder="0" applyAlignment="0" applyProtection="0"/>
    <xf numFmtId="165" fontId="90" fillId="77" borderId="0" applyNumberFormat="0" applyBorder="0" applyAlignment="0" applyProtection="0"/>
    <xf numFmtId="165" fontId="90" fillId="76" borderId="0" applyNumberFormat="0" applyBorder="0" applyAlignment="0" applyProtection="0"/>
    <xf numFmtId="165" fontId="90" fillId="75" borderId="0" applyNumberFormat="0" applyBorder="0" applyAlignment="0" applyProtection="0"/>
    <xf numFmtId="165" fontId="90" fillId="74" borderId="0" applyNumberFormat="0" applyBorder="0" applyAlignment="0" applyProtection="0"/>
    <xf numFmtId="165" fontId="90" fillId="73" borderId="0" applyNumberFormat="0" applyBorder="0" applyAlignment="0" applyProtection="0"/>
    <xf numFmtId="165" fontId="90" fillId="70" borderId="0" applyNumberFormat="0" applyBorder="0" applyAlignment="0" applyProtection="0"/>
    <xf numFmtId="165" fontId="90" fillId="69" borderId="0" applyNumberFormat="0" applyBorder="0" applyAlignment="0" applyProtection="0"/>
    <xf numFmtId="165" fontId="90" fillId="72"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1" fillId="0" borderId="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2" fillId="0" borderId="0"/>
    <xf numFmtId="165" fontId="32" fillId="66" borderId="0" applyNumberFormat="0" applyBorder="0" applyAlignment="0" applyProtection="0"/>
    <xf numFmtId="165" fontId="101" fillId="84" borderId="0" applyNumberFormat="0" applyBorder="0" applyAlignment="0" applyProtection="0"/>
    <xf numFmtId="165" fontId="32" fillId="66" borderId="0" applyNumberFormat="0" applyBorder="0" applyAlignment="0" applyProtection="0"/>
    <xf numFmtId="165" fontId="32" fillId="65" borderId="0" applyNumberFormat="0" applyBorder="0" applyAlignment="0" applyProtection="0"/>
    <xf numFmtId="165" fontId="32" fillId="71" borderId="0" applyNumberFormat="0" applyBorder="0" applyAlignment="0" applyProtection="0"/>
    <xf numFmtId="165" fontId="90" fillId="72" borderId="0" applyNumberFormat="0" applyBorder="0" applyAlignment="0" applyProtection="0"/>
    <xf numFmtId="165" fontId="90" fillId="69" borderId="0" applyNumberFormat="0" applyBorder="0" applyAlignment="0" applyProtection="0"/>
    <xf numFmtId="165" fontId="90" fillId="70" borderId="0" applyNumberFormat="0" applyBorder="0" applyAlignment="0" applyProtection="0"/>
    <xf numFmtId="165" fontId="90" fillId="73" borderId="0" applyNumberFormat="0" applyBorder="0" applyAlignment="0" applyProtection="0"/>
    <xf numFmtId="165" fontId="90" fillId="74" borderId="0" applyNumberFormat="0" applyBorder="0" applyAlignment="0" applyProtection="0"/>
    <xf numFmtId="165" fontId="90" fillId="75" borderId="0" applyNumberFormat="0" applyBorder="0" applyAlignment="0" applyProtection="0"/>
    <xf numFmtId="165" fontId="90" fillId="76" borderId="0" applyNumberFormat="0" applyBorder="0" applyAlignment="0" applyProtection="0"/>
    <xf numFmtId="165" fontId="90" fillId="77" borderId="0" applyNumberFormat="0" applyBorder="0" applyAlignment="0" applyProtection="0"/>
    <xf numFmtId="165" fontId="90" fillId="78" borderId="0" applyNumberFormat="0" applyBorder="0" applyAlignment="0" applyProtection="0"/>
    <xf numFmtId="165" fontId="90" fillId="73" borderId="0" applyNumberFormat="0" applyBorder="0" applyAlignment="0" applyProtection="0"/>
    <xf numFmtId="165" fontId="90" fillId="74" borderId="0" applyNumberFormat="0" applyBorder="0" applyAlignment="0" applyProtection="0"/>
    <xf numFmtId="165" fontId="90" fillId="79" borderId="0" applyNumberFormat="0" applyBorder="0" applyAlignment="0" applyProtection="0"/>
    <xf numFmtId="165" fontId="2" fillId="0" borderId="75"/>
    <xf numFmtId="165" fontId="91" fillId="17" borderId="0" applyNumberFormat="0" applyBorder="0" applyAlignment="0" applyProtection="0"/>
    <xf numFmtId="165" fontId="92" fillId="80" borderId="76" applyNumberFormat="0" applyAlignment="0" applyProtection="0"/>
    <xf numFmtId="49" fontId="2" fillId="0" borderId="77">
      <alignment vertical="center" wrapText="1"/>
    </xf>
    <xf numFmtId="165" fontId="93" fillId="81" borderId="78" applyNumberFormat="0" applyAlignment="0" applyProtection="0"/>
    <xf numFmtId="7" fontId="109" fillId="0" borderId="0" applyFont="0" applyFill="0" applyBorder="0" applyAlignment="0" applyProtection="0"/>
    <xf numFmtId="171" fontId="2" fillId="82" borderId="6">
      <alignment horizontal="right"/>
      <protection locked="0"/>
    </xf>
    <xf numFmtId="165" fontId="2" fillId="0" borderId="0" applyFont="0" applyFill="0" applyBorder="0" applyAlignment="0" applyProtection="0">
      <alignment wrapText="1"/>
    </xf>
    <xf numFmtId="165" fontId="94" fillId="0" borderId="0" applyNumberFormat="0" applyFill="0" applyBorder="0" applyAlignment="0" applyProtection="0"/>
    <xf numFmtId="172" fontId="111" fillId="83" borderId="8"/>
    <xf numFmtId="165" fontId="95" fillId="64" borderId="0" applyNumberFormat="0" applyBorder="0" applyAlignment="0" applyProtection="0"/>
    <xf numFmtId="165" fontId="96" fillId="0" borderId="79" applyNumberFormat="0" applyFill="0" applyAlignment="0" applyProtection="0"/>
    <xf numFmtId="165" fontId="97" fillId="0" borderId="80" applyNumberFormat="0" applyFill="0" applyAlignment="0" applyProtection="0"/>
    <xf numFmtId="165" fontId="98" fillId="0" borderId="81" applyNumberFormat="0" applyFill="0" applyAlignment="0" applyProtection="0"/>
    <xf numFmtId="165" fontId="98" fillId="0" borderId="0" applyNumberFormat="0" applyFill="0" applyBorder="0" applyAlignment="0" applyProtection="0"/>
    <xf numFmtId="165" fontId="99" fillId="67" borderId="76" applyNumberFormat="0" applyAlignment="0" applyProtection="0"/>
    <xf numFmtId="165" fontId="2" fillId="0" borderId="0"/>
    <xf numFmtId="165" fontId="100" fillId="0" borderId="82" applyNumberFormat="0" applyFill="0" applyAlignment="0" applyProtection="0"/>
    <xf numFmtId="165" fontId="101" fillId="84" borderId="0" applyNumberFormat="0" applyBorder="0" applyAlignment="0" applyProtection="0"/>
    <xf numFmtId="165" fontId="2" fillId="0" borderId="0"/>
    <xf numFmtId="165" fontId="2" fillId="0" borderId="0"/>
    <xf numFmtId="165" fontId="2" fillId="0" borderId="0"/>
    <xf numFmtId="165" fontId="2" fillId="0" borderId="0"/>
    <xf numFmtId="165" fontId="2" fillId="0" borderId="0"/>
    <xf numFmtId="165" fontId="2" fillId="85" borderId="83" applyNumberFormat="0" applyFont="0" applyAlignment="0" applyProtection="0"/>
    <xf numFmtId="165" fontId="2" fillId="85" borderId="83" applyNumberFormat="0" applyFont="0" applyAlignment="0" applyProtection="0"/>
    <xf numFmtId="165" fontId="102" fillId="80" borderId="84" applyNumberFormat="0" applyAlignment="0" applyProtection="0"/>
    <xf numFmtId="49" fontId="2" fillId="0" borderId="77">
      <alignment horizontal="justify" vertical="center" wrapText="1"/>
    </xf>
    <xf numFmtId="174" fontId="2" fillId="0" borderId="77">
      <alignment horizontal="center" vertical="center"/>
    </xf>
    <xf numFmtId="175" fontId="118" fillId="87" borderId="75"/>
    <xf numFmtId="175" fontId="118" fillId="0" borderId="85"/>
    <xf numFmtId="175" fontId="118" fillId="0" borderId="86"/>
    <xf numFmtId="165" fontId="121" fillId="0" borderId="0">
      <alignment wrapText="1"/>
    </xf>
    <xf numFmtId="165" fontId="2" fillId="0" borderId="89"/>
    <xf numFmtId="165" fontId="103" fillId="0" borderId="0" applyNumberFormat="0" applyFill="0" applyBorder="0" applyAlignment="0" applyProtection="0"/>
    <xf numFmtId="165" fontId="104" fillId="0" borderId="90" applyNumberFormat="0" applyFill="0" applyAlignment="0" applyProtection="0"/>
    <xf numFmtId="165" fontId="105" fillId="0" borderId="0" applyNumberFormat="0" applyFill="0" applyBorder="0" applyAlignment="0" applyProtection="0"/>
    <xf numFmtId="165" fontId="2" fillId="0" borderId="0"/>
    <xf numFmtId="165" fontId="2" fillId="0" borderId="75"/>
    <xf numFmtId="165" fontId="108" fillId="0" borderId="0"/>
    <xf numFmtId="165" fontId="106" fillId="0" borderId="0"/>
    <xf numFmtId="165" fontId="112" fillId="0" borderId="0" applyNumberFormat="0" applyFill="0" applyBorder="0" applyAlignment="0" applyProtection="0"/>
    <xf numFmtId="165" fontId="5" fillId="0" borderId="0"/>
    <xf numFmtId="165" fontId="114" fillId="0" borderId="0"/>
    <xf numFmtId="165" fontId="26" fillId="0" borderId="0"/>
    <xf numFmtId="165" fontId="2" fillId="0" borderId="0"/>
    <xf numFmtId="165" fontId="115" fillId="0" borderId="0"/>
    <xf numFmtId="165" fontId="123" fillId="0" borderId="0"/>
    <xf numFmtId="165" fontId="2" fillId="0" borderId="0"/>
    <xf numFmtId="165" fontId="2" fillId="85" borderId="83" applyNumberFormat="0" applyFont="0" applyAlignment="0" applyProtection="0"/>
    <xf numFmtId="165" fontId="2" fillId="85" borderId="83" applyNumberFormat="0" applyFont="0" applyAlignment="0" applyProtection="0"/>
    <xf numFmtId="165" fontId="119" fillId="88" borderId="87"/>
    <xf numFmtId="165" fontId="120" fillId="0" borderId="0"/>
    <xf numFmtId="165" fontId="121" fillId="0" borderId="0">
      <alignment wrapText="1"/>
    </xf>
    <xf numFmtId="165" fontId="30" fillId="0" borderId="0"/>
    <xf numFmtId="165" fontId="122" fillId="0" borderId="0"/>
    <xf numFmtId="165" fontId="2" fillId="0" borderId="89"/>
    <xf numFmtId="165" fontId="21" fillId="0" borderId="0"/>
    <xf numFmtId="165" fontId="2" fillId="0" borderId="75"/>
    <xf numFmtId="165" fontId="114" fillId="0" borderId="0"/>
    <xf numFmtId="165" fontId="2" fillId="0" borderId="0"/>
    <xf numFmtId="165" fontId="2" fillId="85" borderId="83" applyNumberFormat="0" applyFont="0" applyAlignment="0" applyProtection="0"/>
    <xf numFmtId="165" fontId="2" fillId="85" borderId="83" applyNumberFormat="0" applyFont="0" applyAlignment="0" applyProtection="0"/>
    <xf numFmtId="165" fontId="121" fillId="0" borderId="0">
      <alignment wrapText="1"/>
    </xf>
    <xf numFmtId="165" fontId="2" fillId="0" borderId="89"/>
    <xf numFmtId="165" fontId="114" fillId="0" borderId="0"/>
    <xf numFmtId="165" fontId="114" fillId="0" borderId="0"/>
    <xf numFmtId="165" fontId="114" fillId="0" borderId="0"/>
    <xf numFmtId="165" fontId="2" fillId="0" borderId="0"/>
    <xf numFmtId="165" fontId="114" fillId="0" borderId="0"/>
    <xf numFmtId="165" fontId="114" fillId="0" borderId="0"/>
    <xf numFmtId="165" fontId="2" fillId="0" borderId="0"/>
    <xf numFmtId="165" fontId="114" fillId="0" borderId="0"/>
    <xf numFmtId="165" fontId="114" fillId="0" borderId="0"/>
    <xf numFmtId="165" fontId="114" fillId="0" borderId="0"/>
    <xf numFmtId="165" fontId="114" fillId="0" borderId="0"/>
    <xf numFmtId="165" fontId="114" fillId="0" borderId="0"/>
    <xf numFmtId="165" fontId="114" fillId="0" borderId="0"/>
    <xf numFmtId="165" fontId="2" fillId="85" borderId="83" applyNumberFormat="0" applyFont="0" applyAlignment="0" applyProtection="0"/>
    <xf numFmtId="165" fontId="2" fillId="0" borderId="0"/>
    <xf numFmtId="165" fontId="2" fillId="0" borderId="0"/>
    <xf numFmtId="165" fontId="114" fillId="0" borderId="0"/>
    <xf numFmtId="165" fontId="114" fillId="0" borderId="0"/>
    <xf numFmtId="165" fontId="114" fillId="0" borderId="0"/>
    <xf numFmtId="165" fontId="114" fillId="0" borderId="0"/>
    <xf numFmtId="165" fontId="114"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43" fontId="1" fillId="0" borderId="0" applyFont="0" applyFill="0" applyBorder="0" applyAlignment="0" applyProtection="0"/>
    <xf numFmtId="165" fontId="2" fillId="0" borderId="0"/>
    <xf numFmtId="165" fontId="2" fillId="0" borderId="75"/>
    <xf numFmtId="165" fontId="108" fillId="0" borderId="0"/>
    <xf numFmtId="165" fontId="106" fillId="0" borderId="0"/>
    <xf numFmtId="165" fontId="112" fillId="0" borderId="0" applyNumberFormat="0" applyFill="0" applyBorder="0" applyAlignment="0" applyProtection="0"/>
    <xf numFmtId="165" fontId="5" fillId="0" borderId="0"/>
    <xf numFmtId="165" fontId="114" fillId="0" borderId="0"/>
    <xf numFmtId="165" fontId="26" fillId="0" borderId="0"/>
    <xf numFmtId="165" fontId="2" fillId="0" borderId="0"/>
    <xf numFmtId="165" fontId="115" fillId="0" borderId="0"/>
    <xf numFmtId="165" fontId="123" fillId="0" borderId="0"/>
    <xf numFmtId="165" fontId="2" fillId="0" borderId="0"/>
    <xf numFmtId="165" fontId="2" fillId="85" borderId="83" applyNumberFormat="0" applyFont="0" applyAlignment="0" applyProtection="0"/>
    <xf numFmtId="165" fontId="114" fillId="0" borderId="0"/>
    <xf numFmtId="165" fontId="119" fillId="88" borderId="87"/>
    <xf numFmtId="165" fontId="120" fillId="0" borderId="0"/>
    <xf numFmtId="165" fontId="121" fillId="0" borderId="0">
      <alignment wrapText="1"/>
    </xf>
    <xf numFmtId="165" fontId="30" fillId="0" borderId="0"/>
    <xf numFmtId="165" fontId="122" fillId="0" borderId="0"/>
    <xf numFmtId="165" fontId="2" fillId="0" borderId="89"/>
    <xf numFmtId="165" fontId="21"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72" fontId="111" fillId="83" borderId="8"/>
    <xf numFmtId="165" fontId="2" fillId="0" borderId="0"/>
    <xf numFmtId="171" fontId="2" fillId="82" borderId="6">
      <alignment horizontal="right"/>
      <protection locked="0"/>
    </xf>
    <xf numFmtId="7" fontId="109" fillId="0" borderId="0" applyFont="0" applyFill="0" applyBorder="0" applyAlignment="0" applyProtection="0"/>
    <xf numFmtId="43" fontId="32" fillId="0" borderId="0" applyFont="0" applyFill="0" applyBorder="0" applyAlignment="0" applyProtection="0"/>
    <xf numFmtId="49" fontId="2" fillId="0" borderId="77">
      <alignment vertical="center" wrapText="1"/>
    </xf>
    <xf numFmtId="165" fontId="2" fillId="0" borderId="75"/>
    <xf numFmtId="165" fontId="2" fillId="0" borderId="75"/>
    <xf numFmtId="165" fontId="2" fillId="0" borderId="75"/>
    <xf numFmtId="165" fontId="2" fillId="0" borderId="75"/>
    <xf numFmtId="165" fontId="2" fillId="0" borderId="75"/>
    <xf numFmtId="49" fontId="2" fillId="0" borderId="77">
      <alignment vertical="center" wrapText="1"/>
    </xf>
    <xf numFmtId="43" fontId="1" fillId="0" borderId="0" applyFont="0" applyFill="0" applyBorder="0" applyAlignment="0" applyProtection="0"/>
    <xf numFmtId="7" fontId="109" fillId="0" borderId="0" applyFont="0" applyFill="0" applyBorder="0" applyAlignment="0" applyProtection="0"/>
    <xf numFmtId="171" fontId="2" fillId="82" borderId="6">
      <alignment horizontal="right"/>
      <protection locked="0"/>
    </xf>
    <xf numFmtId="165" fontId="2" fillId="0" borderId="0" applyFont="0" applyFill="0" applyBorder="0" applyAlignment="0" applyProtection="0">
      <alignment wrapText="1"/>
    </xf>
    <xf numFmtId="165" fontId="2" fillId="0" borderId="0" applyFont="0" applyFill="0" applyBorder="0" applyAlignment="0" applyProtection="0">
      <alignment wrapText="1"/>
    </xf>
    <xf numFmtId="172" fontId="111" fillId="83" borderId="8"/>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9" fontId="2" fillId="0" borderId="0" applyFont="0" applyFill="0" applyBorder="0" applyAlignment="0" applyProtection="0"/>
    <xf numFmtId="49" fontId="2" fillId="0" borderId="77">
      <alignment horizontal="justify" vertical="center" wrapText="1"/>
    </xf>
    <xf numFmtId="174" fontId="2" fillId="0" borderId="77">
      <alignment horizontal="center" vertical="center"/>
    </xf>
    <xf numFmtId="175" fontId="118" fillId="87" borderId="75"/>
    <xf numFmtId="175" fontId="118" fillId="0" borderId="85"/>
    <xf numFmtId="175" fontId="118" fillId="0" borderId="86"/>
    <xf numFmtId="174" fontId="89" fillId="0" borderId="0">
      <alignment horizontal="left" textRotation="75" shrinkToFit="1"/>
    </xf>
    <xf numFmtId="176" fontId="65" fillId="0" borderId="88">
      <alignment wrapText="1"/>
    </xf>
    <xf numFmtId="165" fontId="121" fillId="0" borderId="0">
      <alignment wrapText="1"/>
    </xf>
    <xf numFmtId="165" fontId="121" fillId="0" borderId="0">
      <alignment wrapText="1"/>
    </xf>
    <xf numFmtId="165" fontId="121" fillId="0" borderId="0">
      <alignment wrapText="1"/>
    </xf>
    <xf numFmtId="165" fontId="2" fillId="0" borderId="89"/>
    <xf numFmtId="165" fontId="2" fillId="0" borderId="89"/>
    <xf numFmtId="165" fontId="2" fillId="0" borderId="89"/>
    <xf numFmtId="165" fontId="2" fillId="0" borderId="0"/>
    <xf numFmtId="165" fontId="2" fillId="0" borderId="0"/>
    <xf numFmtId="165" fontId="2" fillId="0" borderId="0"/>
    <xf numFmtId="165" fontId="2" fillId="0" borderId="0"/>
    <xf numFmtId="165" fontId="2" fillId="0" borderId="0"/>
    <xf numFmtId="165" fontId="2" fillId="0" borderId="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49" fontId="2" fillId="0" borderId="77">
      <alignment horizontal="justify" vertical="center" wrapText="1"/>
    </xf>
    <xf numFmtId="174" fontId="2" fillId="0" borderId="77">
      <alignment horizontal="center" vertical="center"/>
    </xf>
    <xf numFmtId="175" fontId="118" fillId="87" borderId="75"/>
    <xf numFmtId="175" fontId="118" fillId="0" borderId="85"/>
    <xf numFmtId="175" fontId="118" fillId="0" borderId="86"/>
    <xf numFmtId="165" fontId="121" fillId="0" borderId="0">
      <alignment wrapText="1"/>
    </xf>
    <xf numFmtId="165" fontId="121" fillId="0" borderId="0">
      <alignment wrapText="1"/>
    </xf>
    <xf numFmtId="165" fontId="2" fillId="0" borderId="89"/>
    <xf numFmtId="165" fontId="2" fillId="0" borderId="89"/>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63"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17"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4"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6"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7"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69"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70"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5"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68"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32" fillId="71" borderId="0" applyNumberFormat="0" applyBorder="0" applyAlignment="0" applyProtection="0"/>
    <xf numFmtId="165" fontId="90" fillId="72" borderId="0" applyNumberFormat="0" applyBorder="0" applyAlignment="0" applyProtection="0"/>
    <xf numFmtId="165" fontId="90" fillId="69" borderId="0" applyNumberFormat="0" applyBorder="0" applyAlignment="0" applyProtection="0"/>
    <xf numFmtId="165" fontId="90" fillId="70" borderId="0" applyNumberFormat="0" applyBorder="0" applyAlignment="0" applyProtection="0"/>
    <xf numFmtId="165" fontId="90" fillId="73" borderId="0" applyNumberFormat="0" applyBorder="0" applyAlignment="0" applyProtection="0"/>
    <xf numFmtId="165" fontId="90" fillId="74" borderId="0" applyNumberFormat="0" applyBorder="0" applyAlignment="0" applyProtection="0"/>
    <xf numFmtId="165" fontId="90" fillId="75" borderId="0" applyNumberFormat="0" applyBorder="0" applyAlignment="0" applyProtection="0"/>
    <xf numFmtId="165" fontId="90" fillId="76" borderId="0" applyNumberFormat="0" applyBorder="0" applyAlignment="0" applyProtection="0"/>
    <xf numFmtId="165" fontId="90" fillId="77" borderId="0" applyNumberFormat="0" applyBorder="0" applyAlignment="0" applyProtection="0"/>
    <xf numFmtId="165" fontId="90" fillId="78" borderId="0" applyNumberFormat="0" applyBorder="0" applyAlignment="0" applyProtection="0"/>
    <xf numFmtId="165" fontId="90" fillId="73" borderId="0" applyNumberFormat="0" applyBorder="0" applyAlignment="0" applyProtection="0"/>
    <xf numFmtId="165" fontId="90" fillId="74" borderId="0" applyNumberFormat="0" applyBorder="0" applyAlignment="0" applyProtection="0"/>
    <xf numFmtId="165" fontId="90" fillId="79" borderId="0" applyNumberFormat="0" applyBorder="0" applyAlignment="0" applyProtection="0"/>
    <xf numFmtId="165" fontId="91" fillId="17" borderId="0" applyNumberFormat="0" applyBorder="0" applyAlignment="0" applyProtection="0"/>
    <xf numFmtId="165" fontId="121" fillId="0" borderId="0">
      <alignment wrapText="1"/>
    </xf>
    <xf numFmtId="165" fontId="92" fillId="80" borderId="76" applyNumberFormat="0" applyAlignment="0" applyProtection="0"/>
    <xf numFmtId="165" fontId="93" fillId="81" borderId="78" applyNumberFormat="0" applyAlignment="0" applyProtection="0"/>
    <xf numFmtId="165" fontId="94" fillId="0" borderId="0" applyNumberFormat="0" applyFill="0" applyBorder="0" applyAlignment="0" applyProtection="0"/>
    <xf numFmtId="165" fontId="95" fillId="64" borderId="0" applyNumberFormat="0" applyBorder="0" applyAlignment="0" applyProtection="0"/>
    <xf numFmtId="9" fontId="2" fillId="0" borderId="0" applyFont="0" applyFill="0" applyBorder="0" applyAlignment="0" applyProtection="0"/>
    <xf numFmtId="165" fontId="114" fillId="0" borderId="0"/>
    <xf numFmtId="165" fontId="96" fillId="0" borderId="79" applyNumberFormat="0" applyFill="0" applyAlignment="0" applyProtection="0"/>
    <xf numFmtId="165" fontId="97" fillId="0" borderId="80" applyNumberFormat="0" applyFill="0" applyAlignment="0" applyProtection="0"/>
    <xf numFmtId="165" fontId="98" fillId="0" borderId="81" applyNumberFormat="0" applyFill="0" applyAlignment="0" applyProtection="0"/>
    <xf numFmtId="165" fontId="98" fillId="0" borderId="0" applyNumberFormat="0" applyFill="0" applyBorder="0" applyAlignment="0" applyProtection="0"/>
    <xf numFmtId="165" fontId="99" fillId="67" borderId="76" applyNumberFormat="0" applyAlignment="0" applyProtection="0"/>
    <xf numFmtId="165" fontId="2" fillId="85" borderId="83" applyNumberFormat="0" applyFont="0" applyAlignment="0" applyProtection="0"/>
    <xf numFmtId="165" fontId="100" fillId="0" borderId="82" applyNumberFormat="0" applyFill="0" applyAlignment="0" applyProtection="0"/>
    <xf numFmtId="165" fontId="2" fillId="85" borderId="83" applyNumberFormat="0" applyFont="0" applyAlignment="0" applyProtection="0"/>
    <xf numFmtId="165" fontId="101" fillId="84" borderId="0" applyNumberFormat="0" applyBorder="0" applyAlignment="0" applyProtection="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114" fillId="0" borderId="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102" fillId="80" borderId="84" applyNumberFormat="0" applyAlignment="0" applyProtection="0"/>
    <xf numFmtId="165" fontId="2" fillId="0" borderId="75"/>
    <xf numFmtId="165" fontId="2" fillId="0" borderId="0"/>
    <xf numFmtId="165" fontId="103" fillId="0" borderId="0" applyNumberFormat="0" applyFill="0" applyBorder="0" applyAlignment="0" applyProtection="0"/>
    <xf numFmtId="165" fontId="104" fillId="0" borderId="90" applyNumberFormat="0" applyFill="0" applyAlignment="0" applyProtection="0"/>
    <xf numFmtId="165" fontId="105" fillId="0" borderId="0" applyNumberFormat="0" applyFill="0" applyBorder="0" applyAlignment="0" applyProtection="0"/>
    <xf numFmtId="165" fontId="2" fillId="0" borderId="89"/>
    <xf numFmtId="165" fontId="116" fillId="0" borderId="0"/>
    <xf numFmtId="165" fontId="116" fillId="0" borderId="0"/>
    <xf numFmtId="43" fontId="1" fillId="0" borderId="0" applyFont="0" applyFill="0" applyBorder="0" applyAlignment="0" applyProtection="0"/>
    <xf numFmtId="165" fontId="116"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72" fontId="111" fillId="83" borderId="8"/>
    <xf numFmtId="165" fontId="2" fillId="0" borderId="0" applyFont="0" applyFill="0" applyBorder="0" applyAlignment="0" applyProtection="0">
      <alignment wrapText="1"/>
    </xf>
    <xf numFmtId="171" fontId="2" fillId="82" borderId="6">
      <alignment horizontal="right"/>
      <protection locked="0"/>
    </xf>
    <xf numFmtId="7" fontId="109" fillId="0" borderId="0" applyFont="0" applyFill="0" applyBorder="0" applyAlignment="0" applyProtection="0"/>
    <xf numFmtId="49" fontId="2" fillId="0" borderId="77">
      <alignment vertical="center" wrapText="1"/>
    </xf>
    <xf numFmtId="165" fontId="2" fillId="0" borderId="75"/>
    <xf numFmtId="165" fontId="2" fillId="0" borderId="75"/>
    <xf numFmtId="43" fontId="1" fillId="0" borderId="0" applyFont="0" applyFill="0" applyBorder="0" applyAlignment="0" applyProtection="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9" fontId="2" fillId="0" borderId="0" applyFont="0" applyFill="0" applyBorder="0" applyAlignment="0" applyProtection="0"/>
    <xf numFmtId="49" fontId="2" fillId="0" borderId="77">
      <alignment horizontal="justify" vertical="center" wrapText="1"/>
    </xf>
    <xf numFmtId="174" fontId="2" fillId="0" borderId="77">
      <alignment horizontal="center" vertical="center"/>
    </xf>
    <xf numFmtId="175" fontId="118" fillId="87" borderId="75"/>
    <xf numFmtId="175" fontId="118" fillId="0" borderId="85"/>
    <xf numFmtId="175" fontId="118" fillId="0" borderId="86"/>
    <xf numFmtId="176" fontId="65" fillId="0" borderId="88">
      <alignment wrapText="1"/>
    </xf>
    <xf numFmtId="165" fontId="121" fillId="0" borderId="0">
      <alignment wrapText="1"/>
    </xf>
    <xf numFmtId="165" fontId="121" fillId="0" borderId="0">
      <alignment wrapText="1"/>
    </xf>
    <xf numFmtId="165" fontId="2" fillId="0" borderId="89"/>
    <xf numFmtId="165" fontId="2" fillId="0" borderId="89"/>
    <xf numFmtId="165" fontId="121" fillId="0" borderId="0">
      <alignment wrapText="1"/>
    </xf>
    <xf numFmtId="174" fontId="2" fillId="0" borderId="77">
      <alignment horizontal="center" vertical="center"/>
    </xf>
    <xf numFmtId="49" fontId="2" fillId="0" borderId="77">
      <alignment horizontal="justify" vertical="center" wrapText="1"/>
    </xf>
    <xf numFmtId="9" fontId="2" fillId="0" borderId="0" applyFont="0" applyFill="0" applyBorder="0" applyAlignment="0" applyProtection="0"/>
    <xf numFmtId="165" fontId="2" fillId="85" borderId="83" applyNumberFormat="0" applyFont="0" applyAlignment="0" applyProtection="0"/>
    <xf numFmtId="165" fontId="2" fillId="85" borderId="83" applyNumberFormat="0" applyFont="0" applyAlignment="0" applyProtection="0"/>
    <xf numFmtId="165" fontId="2" fillId="0" borderId="0"/>
    <xf numFmtId="171" fontId="2" fillId="82" borderId="6">
      <alignment horizontal="right"/>
      <protection locked="0"/>
    </xf>
    <xf numFmtId="49" fontId="2" fillId="0" borderId="77">
      <alignment vertical="center" wrapText="1"/>
    </xf>
    <xf numFmtId="165" fontId="2" fillId="0" borderId="75"/>
    <xf numFmtId="165" fontId="2" fillId="0" borderId="0"/>
    <xf numFmtId="165" fontId="2" fillId="0" borderId="89"/>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14" fillId="0" borderId="0"/>
    <xf numFmtId="165" fontId="114" fillId="0" borderId="0"/>
    <xf numFmtId="165" fontId="114" fillId="0" borderId="0"/>
    <xf numFmtId="165" fontId="2" fillId="0" borderId="0"/>
    <xf numFmtId="165" fontId="114" fillId="0" borderId="0"/>
    <xf numFmtId="165" fontId="2" fillId="0" borderId="0"/>
    <xf numFmtId="165" fontId="114" fillId="0" borderId="0"/>
    <xf numFmtId="165" fontId="2" fillId="0" borderId="0"/>
    <xf numFmtId="165" fontId="114" fillId="0" borderId="0"/>
    <xf numFmtId="165" fontId="114"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114" fillId="0" borderId="0"/>
    <xf numFmtId="165" fontId="114" fillId="0" borderId="0"/>
    <xf numFmtId="165" fontId="2" fillId="0" borderId="0"/>
    <xf numFmtId="165" fontId="114" fillId="0" borderId="0"/>
    <xf numFmtId="165" fontId="114" fillId="0" borderId="0"/>
    <xf numFmtId="165" fontId="114" fillId="0" borderId="0"/>
    <xf numFmtId="165" fontId="2" fillId="0" borderId="0"/>
    <xf numFmtId="165" fontId="2" fillId="0" borderId="0"/>
    <xf numFmtId="165" fontId="114" fillId="0" borderId="0"/>
    <xf numFmtId="165" fontId="2" fillId="0" borderId="0"/>
    <xf numFmtId="165" fontId="2" fillId="0" borderId="0"/>
    <xf numFmtId="165" fontId="2" fillId="0" borderId="0"/>
    <xf numFmtId="165" fontId="114" fillId="0" borderId="0"/>
    <xf numFmtId="165" fontId="2" fillId="0" borderId="0"/>
    <xf numFmtId="165" fontId="2" fillId="0" borderId="0"/>
    <xf numFmtId="165" fontId="2" fillId="0" borderId="0"/>
    <xf numFmtId="165" fontId="114" fillId="0" borderId="0"/>
    <xf numFmtId="165" fontId="2" fillId="0" borderId="0"/>
    <xf numFmtId="165" fontId="2" fillId="0" borderId="0"/>
    <xf numFmtId="165" fontId="2" fillId="0" borderId="0"/>
    <xf numFmtId="165" fontId="114" fillId="0" borderId="0"/>
    <xf numFmtId="165" fontId="2" fillId="0" borderId="0"/>
    <xf numFmtId="165" fontId="2" fillId="0" borderId="0"/>
    <xf numFmtId="165" fontId="114" fillId="0" borderId="0"/>
    <xf numFmtId="165" fontId="114" fillId="0" borderId="0"/>
    <xf numFmtId="165" fontId="114" fillId="0" borderId="0"/>
    <xf numFmtId="165" fontId="114" fillId="0" borderId="0"/>
    <xf numFmtId="165" fontId="2" fillId="0" borderId="0"/>
    <xf numFmtId="165" fontId="114" fillId="0" borderId="0"/>
    <xf numFmtId="165" fontId="2" fillId="0" borderId="0"/>
    <xf numFmtId="165" fontId="114" fillId="0" borderId="0"/>
    <xf numFmtId="165" fontId="114" fillId="0" borderId="0"/>
    <xf numFmtId="165" fontId="114" fillId="0" borderId="0"/>
    <xf numFmtId="165" fontId="2" fillId="0" borderId="0"/>
    <xf numFmtId="165" fontId="2" fillId="0" borderId="0"/>
    <xf numFmtId="165" fontId="2" fillId="0" borderId="0"/>
    <xf numFmtId="165" fontId="2" fillId="0" borderId="0"/>
    <xf numFmtId="165" fontId="2" fillId="0" borderId="0"/>
    <xf numFmtId="165" fontId="114" fillId="0" borderId="0"/>
    <xf numFmtId="165" fontId="2" fillId="0" borderId="0"/>
    <xf numFmtId="165" fontId="114" fillId="0" borderId="0"/>
    <xf numFmtId="165" fontId="2" fillId="0" borderId="0"/>
    <xf numFmtId="165" fontId="2" fillId="0" borderId="0"/>
    <xf numFmtId="165" fontId="2" fillId="0" borderId="0"/>
    <xf numFmtId="165" fontId="114" fillId="0" borderId="0"/>
    <xf numFmtId="165" fontId="114" fillId="0" borderId="0"/>
    <xf numFmtId="165" fontId="2" fillId="0" borderId="0"/>
    <xf numFmtId="165" fontId="114" fillId="0" borderId="0"/>
    <xf numFmtId="165" fontId="2" fillId="0" borderId="0"/>
    <xf numFmtId="165" fontId="2" fillId="0" borderId="0"/>
    <xf numFmtId="165" fontId="114" fillId="0" borderId="0"/>
    <xf numFmtId="165" fontId="114" fillId="0" borderId="0"/>
    <xf numFmtId="165" fontId="114" fillId="0" borderId="0"/>
    <xf numFmtId="165" fontId="2" fillId="0" borderId="0"/>
    <xf numFmtId="165" fontId="2" fillId="0" borderId="0"/>
    <xf numFmtId="165" fontId="2" fillId="0" borderId="0"/>
    <xf numFmtId="165" fontId="114" fillId="0" borderId="0"/>
    <xf numFmtId="165" fontId="2" fillId="0" borderId="0"/>
    <xf numFmtId="165" fontId="114" fillId="0" borderId="0"/>
    <xf numFmtId="165" fontId="114" fillId="0" borderId="0"/>
    <xf numFmtId="165" fontId="114" fillId="0" borderId="0"/>
    <xf numFmtId="165" fontId="114" fillId="0" borderId="0"/>
    <xf numFmtId="165" fontId="114" fillId="0" borderId="0"/>
    <xf numFmtId="165" fontId="2" fillId="0" borderId="0"/>
    <xf numFmtId="165" fontId="114" fillId="0" borderId="0"/>
    <xf numFmtId="165" fontId="2" fillId="0" borderId="0"/>
    <xf numFmtId="165" fontId="114" fillId="0" borderId="0"/>
    <xf numFmtId="165" fontId="114" fillId="0" borderId="0"/>
    <xf numFmtId="165" fontId="2" fillId="0" borderId="0"/>
    <xf numFmtId="165" fontId="114" fillId="0" borderId="0"/>
    <xf numFmtId="165" fontId="114" fillId="0" borderId="0"/>
    <xf numFmtId="165" fontId="114" fillId="0" borderId="0"/>
    <xf numFmtId="165" fontId="2" fillId="0" borderId="0"/>
    <xf numFmtId="165" fontId="114" fillId="0" borderId="0"/>
    <xf numFmtId="165" fontId="114" fillId="0" borderId="0"/>
    <xf numFmtId="165" fontId="2" fillId="0" borderId="0"/>
    <xf numFmtId="165" fontId="2" fillId="0" borderId="0"/>
    <xf numFmtId="165" fontId="114" fillId="0" borderId="0"/>
    <xf numFmtId="165" fontId="114" fillId="0" borderId="0"/>
    <xf numFmtId="165" fontId="2" fillId="0" borderId="0"/>
    <xf numFmtId="165" fontId="2" fillId="0" borderId="0"/>
    <xf numFmtId="165" fontId="2" fillId="0" borderId="0"/>
    <xf numFmtId="165" fontId="114" fillId="0" borderId="0"/>
    <xf numFmtId="165" fontId="114" fillId="0" borderId="0"/>
    <xf numFmtId="165" fontId="114" fillId="0" borderId="0"/>
    <xf numFmtId="165" fontId="114" fillId="0" borderId="0"/>
    <xf numFmtId="165" fontId="2" fillId="0" borderId="0"/>
    <xf numFmtId="165" fontId="114" fillId="0" borderId="0"/>
    <xf numFmtId="165" fontId="2" fillId="0" borderId="0"/>
    <xf numFmtId="165" fontId="2" fillId="0" borderId="0"/>
    <xf numFmtId="165" fontId="114" fillId="0" borderId="0"/>
    <xf numFmtId="165" fontId="114" fillId="0" borderId="0"/>
    <xf numFmtId="165" fontId="114" fillId="0" borderId="0"/>
    <xf numFmtId="165" fontId="2" fillId="0" borderId="0"/>
    <xf numFmtId="165" fontId="2" fillId="0" borderId="0"/>
    <xf numFmtId="165" fontId="114" fillId="0" borderId="0"/>
    <xf numFmtId="165" fontId="114" fillId="0" borderId="0"/>
    <xf numFmtId="43" fontId="1" fillId="0" borderId="0" applyFont="0" applyFill="0" applyBorder="0" applyAlignment="0" applyProtection="0"/>
    <xf numFmtId="43" fontId="1" fillId="0" borderId="0" applyFont="0" applyFill="0" applyBorder="0" applyAlignment="0" applyProtection="0"/>
    <xf numFmtId="165" fontId="114" fillId="0" borderId="0"/>
    <xf numFmtId="165" fontId="2" fillId="0" borderId="0"/>
    <xf numFmtId="165"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 fillId="0" borderId="0"/>
    <xf numFmtId="165" fontId="114" fillId="0" borderId="0"/>
    <xf numFmtId="43" fontId="1" fillId="0" borderId="0" applyFont="0" applyFill="0" applyBorder="0" applyAlignment="0" applyProtection="0"/>
    <xf numFmtId="43" fontId="1" fillId="0" borderId="0" applyFont="0" applyFill="0" applyBorder="0" applyAlignment="0" applyProtection="0"/>
    <xf numFmtId="165" fontId="114" fillId="0" borderId="0"/>
    <xf numFmtId="165"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 fillId="0" borderId="0"/>
    <xf numFmtId="165" fontId="114" fillId="0" borderId="0"/>
    <xf numFmtId="43" fontId="1" fillId="0" borderId="0" applyFont="0" applyFill="0" applyBorder="0" applyAlignment="0" applyProtection="0"/>
    <xf numFmtId="43" fontId="1" fillId="0" borderId="0" applyFont="0" applyFill="0" applyBorder="0" applyAlignment="0" applyProtection="0"/>
    <xf numFmtId="165" fontId="114" fillId="0" borderId="0"/>
    <xf numFmtId="165"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2" fillId="0" borderId="0"/>
    <xf numFmtId="165" fontId="1" fillId="0" borderId="0"/>
    <xf numFmtId="165" fontId="1" fillId="0" borderId="0"/>
    <xf numFmtId="165" fontId="2" fillId="0" borderId="0"/>
    <xf numFmtId="165" fontId="1" fillId="0" borderId="0"/>
    <xf numFmtId="9" fontId="1" fillId="0" borderId="0" applyFont="0" applyFill="0" applyBorder="0" applyAlignment="0" applyProtection="0"/>
    <xf numFmtId="165" fontId="2" fillId="0" borderId="75"/>
    <xf numFmtId="165" fontId="2" fillId="0" borderId="0"/>
    <xf numFmtId="165" fontId="2" fillId="85" borderId="83" applyNumberFormat="0" applyFont="0" applyAlignment="0" applyProtection="0"/>
    <xf numFmtId="165" fontId="2" fillId="85" borderId="83" applyNumberFormat="0" applyFont="0" applyAlignment="0" applyProtection="0"/>
    <xf numFmtId="43" fontId="1" fillId="0" borderId="0" applyFont="0" applyFill="0" applyBorder="0" applyAlignment="0" applyProtection="0"/>
    <xf numFmtId="165" fontId="2" fillId="0" borderId="89"/>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2" fillId="0" borderId="75"/>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2" fillId="0" borderId="0"/>
    <xf numFmtId="165" fontId="2" fillId="0" borderId="0"/>
    <xf numFmtId="165" fontId="2" fillId="85" borderId="83" applyNumberFormat="0" applyFont="0" applyAlignment="0" applyProtection="0"/>
    <xf numFmtId="165" fontId="2" fillId="85" borderId="83" applyNumberFormat="0" applyFont="0" applyAlignment="0" applyProtection="0"/>
    <xf numFmtId="165" fontId="2" fillId="85" borderId="8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2" fillId="85" borderId="8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5" fontId="2" fillId="0" borderId="89"/>
    <xf numFmtId="165" fontId="1" fillId="0" borderId="0"/>
    <xf numFmtId="165" fontId="2" fillId="0" borderId="0"/>
    <xf numFmtId="165" fontId="2" fillId="0" borderId="0"/>
    <xf numFmtId="165" fontId="2" fillId="0" borderId="0"/>
    <xf numFmtId="165" fontId="1" fillId="0" borderId="0"/>
    <xf numFmtId="165" fontId="2" fillId="0" borderId="0"/>
    <xf numFmtId="44" fontId="2" fillId="0" borderId="0" applyFont="0" applyFill="0" applyBorder="0" applyAlignment="0" applyProtection="0"/>
    <xf numFmtId="165" fontId="126" fillId="0" borderId="0" applyNumberFormat="0" applyFill="0" applyBorder="0" applyAlignment="0" applyProtection="0"/>
    <xf numFmtId="165" fontId="1" fillId="0" borderId="0"/>
    <xf numFmtId="165" fontId="127" fillId="0" borderId="0" applyNumberForma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2" fillId="85" borderId="83" applyNumberFormat="0" applyFont="0" applyAlignment="0" applyProtection="0"/>
    <xf numFmtId="165" fontId="1" fillId="0" borderId="0"/>
    <xf numFmtId="43"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2" fillId="0" borderId="0"/>
    <xf numFmtId="165" fontId="1" fillId="0" borderId="0"/>
    <xf numFmtId="165" fontId="2" fillId="0" borderId="0"/>
    <xf numFmtId="43" fontId="1" fillId="0" borderId="0" applyFont="0" applyFill="0" applyBorder="0" applyAlignment="0" applyProtection="0"/>
    <xf numFmtId="165"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165" fontId="2" fillId="0" borderId="0"/>
    <xf numFmtId="43" fontId="1" fillId="0" borderId="0" applyFont="0" applyFill="0" applyBorder="0" applyAlignment="0" applyProtection="0"/>
    <xf numFmtId="43" fontId="1" fillId="0" borderId="0" applyFont="0" applyFill="0" applyBorder="0" applyAlignment="0" applyProtection="0"/>
    <xf numFmtId="165" fontId="2" fillId="0" borderId="0"/>
    <xf numFmtId="165"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 fillId="0" borderId="0"/>
    <xf numFmtId="43" fontId="1" fillId="0" borderId="0" applyFont="0" applyFill="0" applyBorder="0" applyAlignment="0" applyProtection="0"/>
    <xf numFmtId="43" fontId="1" fillId="0" borderId="0" applyFont="0" applyFill="0" applyBorder="0" applyAlignment="0" applyProtection="0"/>
    <xf numFmtId="165"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 fillId="0" borderId="0"/>
    <xf numFmtId="43" fontId="1" fillId="0" borderId="0" applyFont="0" applyFill="0" applyBorder="0" applyAlignment="0" applyProtection="0"/>
    <xf numFmtId="43" fontId="1" fillId="0" borderId="0" applyFont="0" applyFill="0" applyBorder="0" applyAlignment="0" applyProtection="0"/>
    <xf numFmtId="165"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2" fillId="0" borderId="0"/>
    <xf numFmtId="165" fontId="1" fillId="0" borderId="0"/>
    <xf numFmtId="165" fontId="2" fillId="0" borderId="0"/>
    <xf numFmtId="44"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2" fillId="0" borderId="0"/>
    <xf numFmtId="165" fontId="1" fillId="0" borderId="0"/>
    <xf numFmtId="44" fontId="2" fillId="0" borderId="0" applyFont="0" applyFill="0" applyBorder="0" applyAlignment="0" applyProtection="0"/>
    <xf numFmtId="165" fontId="2" fillId="0" borderId="0"/>
    <xf numFmtId="165" fontId="1"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32" fillId="38" borderId="73" applyNumberFormat="0" applyFont="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32" fillId="38" borderId="73" applyNumberFormat="0" applyFont="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1" fillId="0" borderId="0"/>
    <xf numFmtId="43" fontId="32" fillId="0" borderId="0" applyFont="0" applyFill="0" applyBorder="0" applyAlignment="0" applyProtection="0"/>
    <xf numFmtId="43" fontId="32" fillId="0" borderId="0" applyFont="0" applyFill="0" applyBorder="0" applyAlignment="0" applyProtection="0"/>
    <xf numFmtId="165" fontId="1" fillId="0" borderId="0"/>
    <xf numFmtId="165" fontId="1" fillId="0" borderId="0"/>
    <xf numFmtId="43" fontId="32" fillId="0" borderId="0" applyFont="0" applyFill="0" applyBorder="0" applyAlignment="0" applyProtection="0"/>
    <xf numFmtId="165" fontId="1" fillId="0" borderId="0"/>
    <xf numFmtId="43" fontId="32" fillId="0" borderId="0" applyFont="0" applyFill="0" applyBorder="0" applyAlignment="0" applyProtection="0"/>
    <xf numFmtId="165" fontId="1" fillId="0" borderId="0"/>
    <xf numFmtId="165" fontId="1" fillId="0" borderId="0"/>
    <xf numFmtId="165" fontId="1" fillId="0" borderId="0"/>
    <xf numFmtId="165" fontId="1" fillId="0" borderId="0"/>
    <xf numFmtId="43" fontId="32" fillId="0" borderId="0" applyFont="0" applyFill="0" applyBorder="0" applyAlignment="0" applyProtection="0"/>
    <xf numFmtId="165" fontId="1" fillId="38" borderId="73" applyNumberFormat="0" applyFont="0" applyAlignment="0" applyProtection="0"/>
    <xf numFmtId="43" fontId="32" fillId="0" borderId="0" applyFont="0" applyFill="0" applyBorder="0" applyAlignment="0" applyProtection="0"/>
    <xf numFmtId="43" fontId="32" fillId="0" borderId="0" applyFont="0" applyFill="0" applyBorder="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32" fillId="0" borderId="0" applyFont="0" applyFill="0" applyBorder="0" applyAlignment="0" applyProtection="0"/>
    <xf numFmtId="165" fontId="32" fillId="38" borderId="73" applyNumberFormat="0" applyFont="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32" fillId="38" borderId="73" applyNumberFormat="0" applyFont="0" applyAlignment="0" applyProtection="0"/>
    <xf numFmtId="43" fontId="32" fillId="0" borderId="0" applyFont="0" applyFill="0" applyBorder="0" applyAlignment="0" applyProtection="0"/>
    <xf numFmtId="43" fontId="32" fillId="0" borderId="0" applyFont="0" applyFill="0" applyBorder="0" applyAlignment="0" applyProtection="0"/>
    <xf numFmtId="165" fontId="32" fillId="38" borderId="73" applyNumberFormat="0" applyFont="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32" fillId="38" borderId="73" applyNumberFormat="0" applyFont="0" applyAlignment="0" applyProtection="0"/>
    <xf numFmtId="165" fontId="1"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32" fillId="38" borderId="73" applyNumberFormat="0" applyFont="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32" fillId="38" borderId="73" applyNumberFormat="0" applyFont="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32" fillId="38" borderId="73" applyNumberFormat="0" applyFont="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43" fontId="32" fillId="0" borderId="0" applyFont="0" applyFill="0" applyBorder="0" applyAlignment="0" applyProtection="0"/>
    <xf numFmtId="165" fontId="1" fillId="0" borderId="0"/>
    <xf numFmtId="43" fontId="32" fillId="0" borderId="0" applyFont="0" applyFill="0" applyBorder="0" applyAlignment="0" applyProtection="0"/>
    <xf numFmtId="165" fontId="1"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165" fontId="32" fillId="38" borderId="73" applyNumberFormat="0" applyFont="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32" fillId="38" borderId="73" applyNumberFormat="0" applyFont="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32" fillId="38" borderId="73" applyNumberFormat="0" applyFont="0" applyAlignment="0" applyProtection="0"/>
    <xf numFmtId="165" fontId="32" fillId="38" borderId="73" applyNumberFormat="0" applyFont="0" applyAlignment="0" applyProtection="0"/>
    <xf numFmtId="43" fontId="32" fillId="0" borderId="0" applyFont="0" applyFill="0" applyBorder="0" applyAlignment="0" applyProtection="0"/>
    <xf numFmtId="43" fontId="3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9"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43"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43"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43"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43"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165" fontId="1" fillId="38" borderId="73" applyNumberFormat="0" applyFont="0" applyAlignment="0" applyProtection="0"/>
    <xf numFmtId="43" fontId="1" fillId="0" borderId="0" applyFont="0" applyFill="0" applyBorder="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43" fontId="1" fillId="0" borderId="0" applyFont="0" applyFill="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165" fontId="1" fillId="0" borderId="0"/>
    <xf numFmtId="43" fontId="3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43" fontId="3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44"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32"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43" fontId="32"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9"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9"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165" fontId="1" fillId="38" borderId="73" applyNumberFormat="0" applyFont="0" applyAlignment="0" applyProtection="0"/>
    <xf numFmtId="43" fontId="1" fillId="0" borderId="0" applyFont="0" applyFill="0" applyBorder="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43" fontId="1" fillId="0" borderId="0" applyFont="0" applyFill="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9"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 fillId="0" borderId="0"/>
    <xf numFmtId="165" fontId="2" fillId="0" borderId="0"/>
    <xf numFmtId="165" fontId="128" fillId="0" borderId="0" applyNumberFormat="0" applyFill="0" applyBorder="0" applyAlignment="0" applyProtection="0">
      <alignment vertical="top"/>
      <protection locked="0"/>
    </xf>
    <xf numFmtId="165" fontId="76" fillId="0" borderId="0" applyNumberFormat="0" applyFill="0" applyBorder="0" applyAlignment="0" applyProtection="0"/>
    <xf numFmtId="165" fontId="129" fillId="0" borderId="66" applyNumberFormat="0" applyFill="0" applyAlignment="0" applyProtection="0"/>
    <xf numFmtId="165" fontId="130" fillId="0" borderId="67" applyNumberFormat="0" applyFill="0" applyAlignment="0" applyProtection="0"/>
    <xf numFmtId="165" fontId="131" fillId="0" borderId="68" applyNumberFormat="0" applyFill="0" applyAlignment="0" applyProtection="0"/>
    <xf numFmtId="165" fontId="131" fillId="0" borderId="0" applyNumberFormat="0" applyFill="0" applyBorder="0" applyAlignment="0" applyProtection="0"/>
    <xf numFmtId="165" fontId="132" fillId="32" borderId="0" applyNumberFormat="0" applyBorder="0" applyAlignment="0" applyProtection="0"/>
    <xf numFmtId="165" fontId="133" fillId="33" borderId="0" applyNumberFormat="0" applyBorder="0" applyAlignment="0" applyProtection="0"/>
    <xf numFmtId="165" fontId="134" fillId="34" borderId="0" applyNumberFormat="0" applyBorder="0" applyAlignment="0" applyProtection="0"/>
    <xf numFmtId="165" fontId="135" fillId="35" borderId="69" applyNumberFormat="0" applyAlignment="0" applyProtection="0"/>
    <xf numFmtId="165" fontId="136" fillId="36" borderId="70" applyNumberFormat="0" applyAlignment="0" applyProtection="0"/>
    <xf numFmtId="165" fontId="137" fillId="36" borderId="69" applyNumberFormat="0" applyAlignment="0" applyProtection="0"/>
    <xf numFmtId="165" fontId="138" fillId="0" borderId="71" applyNumberFormat="0" applyFill="0" applyAlignment="0" applyProtection="0"/>
    <xf numFmtId="165" fontId="48" fillId="37" borderId="72" applyNumberFormat="0" applyAlignment="0" applyProtection="0"/>
    <xf numFmtId="165" fontId="34" fillId="0" borderId="0" applyNumberFormat="0" applyFill="0" applyBorder="0" applyAlignment="0" applyProtection="0"/>
    <xf numFmtId="165" fontId="4" fillId="38" borderId="73" applyNumberFormat="0" applyFont="0" applyAlignment="0" applyProtection="0"/>
    <xf numFmtId="165" fontId="139" fillId="0" borderId="0" applyNumberFormat="0" applyFill="0" applyBorder="0" applyAlignment="0" applyProtection="0"/>
    <xf numFmtId="165" fontId="6" fillId="0" borderId="74" applyNumberFormat="0" applyFill="0" applyAlignment="0" applyProtection="0"/>
    <xf numFmtId="165" fontId="37" fillId="39" borderId="0" applyNumberFormat="0" applyBorder="0" applyAlignment="0" applyProtection="0"/>
    <xf numFmtId="165" fontId="4" fillId="40" borderId="0" applyNumberFormat="0" applyBorder="0" applyAlignment="0" applyProtection="0"/>
    <xf numFmtId="165" fontId="4" fillId="41" borderId="0" applyNumberFormat="0" applyBorder="0" applyAlignment="0" applyProtection="0"/>
    <xf numFmtId="165" fontId="37" fillId="42" borderId="0" applyNumberFormat="0" applyBorder="0" applyAlignment="0" applyProtection="0"/>
    <xf numFmtId="165" fontId="37" fillId="43" borderId="0" applyNumberFormat="0" applyBorder="0" applyAlignment="0" applyProtection="0"/>
    <xf numFmtId="165" fontId="4" fillId="44" borderId="0" applyNumberFormat="0" applyBorder="0" applyAlignment="0" applyProtection="0"/>
    <xf numFmtId="165" fontId="4" fillId="45" borderId="0" applyNumberFormat="0" applyBorder="0" applyAlignment="0" applyProtection="0"/>
    <xf numFmtId="165" fontId="37" fillId="46" borderId="0" applyNumberFormat="0" applyBorder="0" applyAlignment="0" applyProtection="0"/>
    <xf numFmtId="165" fontId="37" fillId="47" borderId="0" applyNumberFormat="0" applyBorder="0" applyAlignment="0" applyProtection="0"/>
    <xf numFmtId="165" fontId="4" fillId="48" borderId="0" applyNumberFormat="0" applyBorder="0" applyAlignment="0" applyProtection="0"/>
    <xf numFmtId="165" fontId="4" fillId="49" borderId="0" applyNumberFormat="0" applyBorder="0" applyAlignment="0" applyProtection="0"/>
    <xf numFmtId="165" fontId="37" fillId="50" borderId="0" applyNumberFormat="0" applyBorder="0" applyAlignment="0" applyProtection="0"/>
    <xf numFmtId="165" fontId="37" fillId="51" borderId="0" applyNumberFormat="0" applyBorder="0" applyAlignment="0" applyProtection="0"/>
    <xf numFmtId="165" fontId="4" fillId="52" borderId="0" applyNumberFormat="0" applyBorder="0" applyAlignment="0" applyProtection="0"/>
    <xf numFmtId="165" fontId="4" fillId="53" borderId="0" applyNumberFormat="0" applyBorder="0" applyAlignment="0" applyProtection="0"/>
    <xf numFmtId="165" fontId="37" fillId="54" borderId="0" applyNumberFormat="0" applyBorder="0" applyAlignment="0" applyProtection="0"/>
    <xf numFmtId="165" fontId="37" fillId="55" borderId="0" applyNumberFormat="0" applyBorder="0" applyAlignment="0" applyProtection="0"/>
    <xf numFmtId="165" fontId="4" fillId="56" borderId="0" applyNumberFormat="0" applyBorder="0" applyAlignment="0" applyProtection="0"/>
    <xf numFmtId="165" fontId="4" fillId="57" borderId="0" applyNumberFormat="0" applyBorder="0" applyAlignment="0" applyProtection="0"/>
    <xf numFmtId="165" fontId="37" fillId="58" borderId="0" applyNumberFormat="0" applyBorder="0" applyAlignment="0" applyProtection="0"/>
    <xf numFmtId="165" fontId="37" fillId="59" borderId="0" applyNumberFormat="0" applyBorder="0" applyAlignment="0" applyProtection="0"/>
    <xf numFmtId="165" fontId="4" fillId="60" borderId="0" applyNumberFormat="0" applyBorder="0" applyAlignment="0" applyProtection="0"/>
    <xf numFmtId="165" fontId="4" fillId="61" borderId="0" applyNumberFormat="0" applyBorder="0" applyAlignment="0" applyProtection="0"/>
    <xf numFmtId="165" fontId="37" fillId="6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2" fillId="0" borderId="75"/>
    <xf numFmtId="165" fontId="2" fillId="0" borderId="75"/>
    <xf numFmtId="165" fontId="2" fillId="0" borderId="75"/>
    <xf numFmtId="165" fontId="2" fillId="0" borderId="75"/>
    <xf numFmtId="165" fontId="2" fillId="0" borderId="75"/>
    <xf numFmtId="165" fontId="2" fillId="0" borderId="75"/>
    <xf numFmtId="165" fontId="2" fillId="0" borderId="75"/>
    <xf numFmtId="165" fontId="2" fillId="0" borderId="75"/>
    <xf numFmtId="165" fontId="2" fillId="0" borderId="75"/>
    <xf numFmtId="165" fontId="2" fillId="0" borderId="75"/>
    <xf numFmtId="165" fontId="2" fillId="0" borderId="75"/>
    <xf numFmtId="165" fontId="2" fillId="0" borderId="75"/>
    <xf numFmtId="165" fontId="2" fillId="0" borderId="75"/>
    <xf numFmtId="165" fontId="2" fillId="0" borderId="75"/>
    <xf numFmtId="165" fontId="2" fillId="0" borderId="75"/>
    <xf numFmtId="165" fontId="2" fillId="0" borderId="75"/>
    <xf numFmtId="165" fontId="2" fillId="0" borderId="75"/>
    <xf numFmtId="165" fontId="2" fillId="0" borderId="75"/>
    <xf numFmtId="165" fontId="2" fillId="0" borderId="75"/>
    <xf numFmtId="165" fontId="2" fillId="0" borderId="75"/>
    <xf numFmtId="49" fontId="2" fillId="0" borderId="77">
      <alignment vertical="center" wrapText="1"/>
    </xf>
    <xf numFmtId="49" fontId="2" fillId="0" borderId="77">
      <alignment vertical="center" wrapText="1"/>
    </xf>
    <xf numFmtId="49" fontId="2" fillId="0" borderId="77">
      <alignment vertical="center" wrapText="1"/>
    </xf>
    <xf numFmtId="49" fontId="2" fillId="0" borderId="77">
      <alignment vertical="center" wrapText="1"/>
    </xf>
    <xf numFmtId="49" fontId="2" fillId="0" borderId="77">
      <alignment vertical="center" wrapText="1"/>
    </xf>
    <xf numFmtId="49" fontId="2" fillId="0" borderId="77">
      <alignment vertical="center" wrapText="1"/>
    </xf>
    <xf numFmtId="49" fontId="2" fillId="0" borderId="77">
      <alignment vertical="center" wrapText="1"/>
    </xf>
    <xf numFmtId="49" fontId="2" fillId="0" borderId="77">
      <alignment vertical="center" wrapText="1"/>
    </xf>
    <xf numFmtId="49" fontId="2" fillId="0" borderId="77">
      <alignment vertical="center" wrapTex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9" fontId="2" fillId="0" borderId="77">
      <alignment horizontal="justify" vertical="center" wrapText="1"/>
    </xf>
    <xf numFmtId="49" fontId="2" fillId="0" borderId="77">
      <alignment horizontal="justify" vertical="center" wrapText="1"/>
    </xf>
    <xf numFmtId="49" fontId="2" fillId="0" borderId="77">
      <alignment horizontal="justify" vertical="center" wrapText="1"/>
    </xf>
    <xf numFmtId="49" fontId="2" fillId="0" borderId="77">
      <alignment horizontal="justify" vertical="center" wrapText="1"/>
    </xf>
    <xf numFmtId="49" fontId="2" fillId="0" borderId="77">
      <alignment horizontal="justify" vertical="center" wrapText="1"/>
    </xf>
    <xf numFmtId="49" fontId="2" fillId="0" borderId="77">
      <alignment horizontal="justify" vertical="center" wrapText="1"/>
    </xf>
    <xf numFmtId="49" fontId="2" fillId="0" borderId="77">
      <alignment horizontal="justify" vertical="center" wrapText="1"/>
    </xf>
    <xf numFmtId="49" fontId="2" fillId="0" borderId="77">
      <alignment horizontal="justify" vertical="center" wrapText="1"/>
    </xf>
    <xf numFmtId="49" fontId="2" fillId="0" borderId="77">
      <alignment horizontal="justify" vertical="center" wrapText="1"/>
    </xf>
    <xf numFmtId="174" fontId="2" fillId="0" borderId="77">
      <alignment horizontal="center" vertical="center"/>
    </xf>
    <xf numFmtId="174" fontId="2" fillId="0" borderId="77">
      <alignment horizontal="center" vertical="center"/>
    </xf>
    <xf numFmtId="174" fontId="2" fillId="0" borderId="77">
      <alignment horizontal="center" vertical="center"/>
    </xf>
    <xf numFmtId="174" fontId="2" fillId="0" borderId="77">
      <alignment horizontal="center" vertical="center"/>
    </xf>
    <xf numFmtId="174" fontId="2" fillId="0" borderId="77">
      <alignment horizontal="center" vertical="center"/>
    </xf>
    <xf numFmtId="174" fontId="2" fillId="0" borderId="77">
      <alignment horizontal="center" vertical="center"/>
    </xf>
    <xf numFmtId="174" fontId="2" fillId="0" borderId="77">
      <alignment horizontal="center" vertical="center"/>
    </xf>
    <xf numFmtId="174" fontId="2" fillId="0" borderId="77">
      <alignment horizontal="center" vertical="center"/>
    </xf>
    <xf numFmtId="174" fontId="2" fillId="0" borderId="77">
      <alignment horizontal="center" vertical="center"/>
    </xf>
    <xf numFmtId="175" fontId="118" fillId="87" borderId="75"/>
    <xf numFmtId="175" fontId="118" fillId="87" borderId="75"/>
    <xf numFmtId="175" fontId="118" fillId="87" borderId="75"/>
    <xf numFmtId="175" fontId="118" fillId="87" borderId="75"/>
    <xf numFmtId="175" fontId="118" fillId="87" borderId="75"/>
    <xf numFmtId="175" fontId="118" fillId="0" borderId="85"/>
    <xf numFmtId="175" fontId="118" fillId="0" borderId="85"/>
    <xf numFmtId="175" fontId="118" fillId="0" borderId="85"/>
    <xf numFmtId="175" fontId="118" fillId="0" borderId="85"/>
    <xf numFmtId="175" fontId="118" fillId="0" borderId="85"/>
    <xf numFmtId="175" fontId="118" fillId="0" borderId="86"/>
    <xf numFmtId="175" fontId="118" fillId="0" borderId="86"/>
    <xf numFmtId="175" fontId="118" fillId="0" borderId="86"/>
    <xf numFmtId="175" fontId="118" fillId="0" borderId="86"/>
    <xf numFmtId="175" fontId="118" fillId="0" borderId="86"/>
    <xf numFmtId="176" fontId="65" fillId="0" borderId="88">
      <alignment wrapText="1"/>
    </xf>
    <xf numFmtId="176" fontId="65" fillId="0" borderId="88">
      <alignment wrapText="1"/>
    </xf>
    <xf numFmtId="176" fontId="65" fillId="0" borderId="88">
      <alignment wrapText="1"/>
    </xf>
    <xf numFmtId="176" fontId="65" fillId="0" borderId="88">
      <alignment wrapText="1"/>
    </xf>
    <xf numFmtId="176" fontId="65" fillId="0" borderId="88">
      <alignment wrapText="1"/>
    </xf>
    <xf numFmtId="165" fontId="2" fillId="0" borderId="89"/>
    <xf numFmtId="165" fontId="2" fillId="0" borderId="89"/>
    <xf numFmtId="165" fontId="2" fillId="0" borderId="89"/>
    <xf numFmtId="165" fontId="2" fillId="0" borderId="89"/>
    <xf numFmtId="165" fontId="2" fillId="0" borderId="89"/>
    <xf numFmtId="165" fontId="2" fillId="0" borderId="89"/>
    <xf numFmtId="165" fontId="2" fillId="0" borderId="89"/>
    <xf numFmtId="165" fontId="2" fillId="0" borderId="89"/>
    <xf numFmtId="165" fontId="2" fillId="0" borderId="89"/>
    <xf numFmtId="165" fontId="2" fillId="0" borderId="89"/>
    <xf numFmtId="165" fontId="2" fillId="0" borderId="89"/>
    <xf numFmtId="165" fontId="2" fillId="0" borderId="89"/>
    <xf numFmtId="165" fontId="2" fillId="0" borderId="89"/>
    <xf numFmtId="165" fontId="2" fillId="0" borderId="89"/>
    <xf numFmtId="165" fontId="2" fillId="0" borderId="89"/>
    <xf numFmtId="165" fontId="2" fillId="0" borderId="89"/>
    <xf numFmtId="165" fontId="2" fillId="0" borderId="89"/>
    <xf numFmtId="165" fontId="2" fillId="0" borderId="89"/>
    <xf numFmtId="165" fontId="2" fillId="0" borderId="89"/>
    <xf numFmtId="165" fontId="2" fillId="0" borderId="89"/>
    <xf numFmtId="173" fontId="61" fillId="0" borderId="88"/>
    <xf numFmtId="165" fontId="2"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1" fillId="0" borderId="0"/>
    <xf numFmtId="9"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65"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109"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4" fontId="2" fillId="0" borderId="0" applyFont="0" applyFill="0" applyBorder="0" applyAlignment="0" applyProtection="0"/>
    <xf numFmtId="165" fontId="1" fillId="0" borderId="0"/>
    <xf numFmtId="7" fontId="109" fillId="0" borderId="0" applyFont="0" applyFill="0" applyBorder="0" applyAlignment="0" applyProtection="0"/>
    <xf numFmtId="165" fontId="1" fillId="0" borderId="0"/>
    <xf numFmtId="165" fontId="1" fillId="0" borderId="0"/>
    <xf numFmtId="165" fontId="1" fillId="0" borderId="0"/>
    <xf numFmtId="43"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43"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43"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43" fontId="2" fillId="0" borderId="0" applyFont="0" applyFill="0" applyBorder="0" applyAlignment="0" applyProtection="0"/>
    <xf numFmtId="165" fontId="1" fillId="0" borderId="0"/>
    <xf numFmtId="165" fontId="1" fillId="0" borderId="0"/>
    <xf numFmtId="165" fontId="1" fillId="0" borderId="0"/>
    <xf numFmtId="43"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7" fontId="109" fillId="0" borderId="0" applyFont="0" applyFill="0" applyBorder="0" applyAlignment="0" applyProtection="0"/>
    <xf numFmtId="43" fontId="1" fillId="0" borderId="0" applyFont="0" applyFill="0" applyBorder="0" applyAlignment="0" applyProtection="0"/>
    <xf numFmtId="7" fontId="109"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7" fontId="109" fillId="0" borderId="0" applyFont="0" applyFill="0" applyBorder="0" applyAlignment="0" applyProtection="0"/>
    <xf numFmtId="43" fontId="1" fillId="0" borderId="0" applyFont="0" applyFill="0" applyBorder="0" applyAlignment="0" applyProtection="0"/>
    <xf numFmtId="7" fontId="10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44"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43"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44"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44" fontId="2" fillId="0" borderId="0" applyFont="0" applyFill="0" applyBorder="0" applyAlignment="0" applyProtection="0"/>
    <xf numFmtId="165" fontId="1"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1" fillId="0" borderId="0"/>
    <xf numFmtId="43" fontId="32" fillId="0" borderId="0" applyFont="0" applyFill="0" applyBorder="0" applyAlignment="0" applyProtection="0"/>
    <xf numFmtId="43" fontId="32" fillId="0" borderId="0" applyFont="0" applyFill="0" applyBorder="0" applyAlignment="0" applyProtection="0"/>
    <xf numFmtId="165" fontId="1" fillId="0" borderId="0"/>
    <xf numFmtId="165" fontId="1" fillId="0" borderId="0"/>
    <xf numFmtId="43" fontId="32" fillId="0" borderId="0" applyFont="0" applyFill="0" applyBorder="0" applyAlignment="0" applyProtection="0"/>
    <xf numFmtId="165" fontId="1" fillId="0" borderId="0"/>
    <xf numFmtId="43" fontId="32" fillId="0" borderId="0" applyFont="0" applyFill="0" applyBorder="0" applyAlignment="0" applyProtection="0"/>
    <xf numFmtId="165" fontId="1" fillId="0" borderId="0"/>
    <xf numFmtId="165" fontId="1" fillId="0" borderId="0"/>
    <xf numFmtId="165" fontId="1" fillId="0" borderId="0"/>
    <xf numFmtId="165" fontId="1" fillId="0" borderId="0"/>
    <xf numFmtId="43" fontId="32" fillId="0" borderId="0" applyFont="0" applyFill="0" applyBorder="0" applyAlignment="0" applyProtection="0"/>
    <xf numFmtId="165" fontId="1" fillId="38" borderId="73" applyNumberFormat="0" applyFont="0" applyAlignment="0" applyProtection="0"/>
    <xf numFmtId="43" fontId="32" fillId="0" borderId="0" applyFont="0" applyFill="0" applyBorder="0" applyAlignment="0" applyProtection="0"/>
    <xf numFmtId="43" fontId="32" fillId="0" borderId="0" applyFont="0" applyFill="0" applyBorder="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1"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43" fontId="32" fillId="0" borderId="0" applyFont="0" applyFill="0" applyBorder="0" applyAlignment="0" applyProtection="0"/>
    <xf numFmtId="165" fontId="1" fillId="0" borderId="0"/>
    <xf numFmtId="43" fontId="32" fillId="0" borderId="0" applyFont="0" applyFill="0" applyBorder="0" applyAlignment="0" applyProtection="0"/>
    <xf numFmtId="165" fontId="1"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9"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43"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43"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43"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43"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165" fontId="1" fillId="38" borderId="73" applyNumberFormat="0" applyFont="0" applyAlignment="0" applyProtection="0"/>
    <xf numFmtId="43" fontId="1" fillId="0" borderId="0" applyFont="0" applyFill="0" applyBorder="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43" fontId="1" fillId="0" borderId="0" applyFont="0" applyFill="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165" fontId="1" fillId="0" borderId="0"/>
    <xf numFmtId="43" fontId="3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43" fontId="3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44" fontId="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32"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43" fontId="32"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9"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9"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165" fontId="1" fillId="38" borderId="73" applyNumberFormat="0" applyFont="0" applyAlignment="0" applyProtection="0"/>
    <xf numFmtId="43" fontId="1" fillId="0" borderId="0" applyFont="0" applyFill="0" applyBorder="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43" fontId="1" fillId="0" borderId="0" applyFont="0" applyFill="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9"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43" fontId="1" fillId="0" borderId="0" applyFont="0" applyFill="0" applyBorder="0" applyAlignment="0" applyProtection="0"/>
    <xf numFmtId="165" fontId="1" fillId="38" borderId="73" applyNumberFormat="0" applyFont="0" applyAlignment="0" applyProtection="0"/>
    <xf numFmtId="165" fontId="1" fillId="40" borderId="0" applyNumberFormat="0" applyBorder="0" applyAlignment="0" applyProtection="0"/>
    <xf numFmtId="165" fontId="1" fillId="41" borderId="0" applyNumberFormat="0" applyBorder="0" applyAlignment="0" applyProtection="0"/>
    <xf numFmtId="165" fontId="1" fillId="44" borderId="0" applyNumberFormat="0" applyBorder="0" applyAlignment="0" applyProtection="0"/>
    <xf numFmtId="165" fontId="1" fillId="45" borderId="0" applyNumberFormat="0" applyBorder="0" applyAlignment="0" applyProtection="0"/>
    <xf numFmtId="165" fontId="1" fillId="48" borderId="0" applyNumberFormat="0" applyBorder="0" applyAlignment="0" applyProtection="0"/>
    <xf numFmtId="165" fontId="1" fillId="49" borderId="0" applyNumberFormat="0" applyBorder="0" applyAlignment="0" applyProtection="0"/>
    <xf numFmtId="165" fontId="1" fillId="52" borderId="0" applyNumberFormat="0" applyBorder="0" applyAlignment="0" applyProtection="0"/>
    <xf numFmtId="165" fontId="1" fillId="53" borderId="0" applyNumberFormat="0" applyBorder="0" applyAlignment="0" applyProtection="0"/>
    <xf numFmtId="165" fontId="1" fillId="56" borderId="0" applyNumberFormat="0" applyBorder="0" applyAlignment="0" applyProtection="0"/>
    <xf numFmtId="165" fontId="1" fillId="57" borderId="0" applyNumberFormat="0" applyBorder="0" applyAlignment="0" applyProtection="0"/>
    <xf numFmtId="165" fontId="1" fillId="60" borderId="0" applyNumberFormat="0" applyBorder="0" applyAlignment="0" applyProtection="0"/>
    <xf numFmtId="165" fontId="1" fillId="61" borderId="0" applyNumberFormat="0" applyBorder="0" applyAlignment="0" applyProtection="0"/>
    <xf numFmtId="165" fontId="1" fillId="0" borderId="0"/>
    <xf numFmtId="165" fontId="1" fillId="0" borderId="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0"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4"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48"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2"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56"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60"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1"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5"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49"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3"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57"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165" fontId="1" fillId="6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38" borderId="73" applyNumberFormat="0" applyFont="0" applyAlignment="0" applyProtection="0"/>
    <xf numFmtId="165" fontId="1" fillId="0" borderId="0"/>
    <xf numFmtId="16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1" fillId="0" borderId="0"/>
    <xf numFmtId="9"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65"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1" fillId="0" borderId="0"/>
    <xf numFmtId="165" fontId="1" fillId="0" borderId="0"/>
    <xf numFmtId="165" fontId="2" fillId="0" borderId="0"/>
    <xf numFmtId="165" fontId="6" fillId="2" borderId="3">
      <alignment horizontal="center" vertical="center" wrapText="1"/>
    </xf>
    <xf numFmtId="165" fontId="6" fillId="2" borderId="3">
      <alignment horizontal="center" vertical="center" wrapText="1"/>
    </xf>
    <xf numFmtId="165" fontId="2" fillId="0" borderId="0"/>
    <xf numFmtId="0" fontId="127" fillId="0" borderId="0" applyNumberFormat="0" applyFill="0" applyBorder="0" applyAlignment="0" applyProtection="0"/>
    <xf numFmtId="43" fontId="4" fillId="0" borderId="0" applyFont="0" applyFill="0" applyBorder="0" applyAlignment="0" applyProtection="0"/>
    <xf numFmtId="9" fontId="1" fillId="0" borderId="0" applyFont="0" applyFill="0" applyBorder="0" applyAlignment="0" applyProtection="0"/>
  </cellStyleXfs>
  <cellXfs count="1111">
    <xf numFmtId="0" fontId="0" fillId="0" borderId="0" xfId="0"/>
    <xf numFmtId="165" fontId="4" fillId="0" borderId="0" xfId="2"/>
    <xf numFmtId="2" fontId="4" fillId="0" borderId="0" xfId="2" applyNumberFormat="1"/>
    <xf numFmtId="165" fontId="4" fillId="0" borderId="0" xfId="2" applyAlignment="1">
      <alignment horizontal="center" vertical="center"/>
    </xf>
    <xf numFmtId="2" fontId="4" fillId="0" borderId="0" xfId="2" applyNumberFormat="1" applyAlignment="1">
      <alignment horizontal="center" vertical="center"/>
    </xf>
    <xf numFmtId="166" fontId="2" fillId="0" borderId="0" xfId="2" applyNumberFormat="1" applyFont="1" applyAlignment="1">
      <alignment horizontal="right" vertical="center"/>
    </xf>
    <xf numFmtId="165" fontId="4" fillId="0" borderId="1" xfId="2" applyBorder="1"/>
    <xf numFmtId="165" fontId="4" fillId="0" borderId="0" xfId="2" applyAlignment="1">
      <alignment horizontal="left" vertical="top"/>
    </xf>
    <xf numFmtId="166" fontId="4" fillId="0" borderId="0" xfId="2" applyNumberFormat="1"/>
    <xf numFmtId="166" fontId="4" fillId="0" borderId="1" xfId="2" applyNumberFormat="1" applyBorder="1"/>
    <xf numFmtId="165" fontId="6" fillId="2" borderId="4" xfId="2" applyFont="1" applyFill="1" applyBorder="1" applyAlignment="1">
      <alignment horizontal="center" vertical="center" wrapText="1"/>
    </xf>
    <xf numFmtId="165" fontId="6" fillId="2" borderId="5" xfId="2" applyFont="1" applyFill="1" applyBorder="1" applyAlignment="1">
      <alignment horizontal="center" vertical="center" wrapText="1"/>
    </xf>
    <xf numFmtId="165" fontId="6" fillId="2" borderId="13" xfId="2" applyFont="1" applyFill="1" applyBorder="1" applyAlignment="1">
      <alignment horizontal="center" vertical="center" wrapText="1"/>
    </xf>
    <xf numFmtId="165" fontId="4" fillId="0" borderId="0" xfId="2" applyAlignment="1">
      <alignment horizontal="center" vertical="center" wrapText="1"/>
    </xf>
    <xf numFmtId="165" fontId="4" fillId="0" borderId="0" xfId="2" applyAlignment="1">
      <alignment wrapText="1"/>
    </xf>
    <xf numFmtId="165" fontId="4" fillId="0" borderId="0" xfId="2" applyAlignment="1">
      <alignment horizontal="left"/>
    </xf>
    <xf numFmtId="165" fontId="6" fillId="2" borderId="7" xfId="2" applyFont="1" applyFill="1" applyBorder="1" applyAlignment="1">
      <alignment horizontal="center" vertical="center"/>
    </xf>
    <xf numFmtId="165" fontId="6" fillId="2" borderId="17" xfId="2" applyFont="1" applyFill="1" applyBorder="1" applyAlignment="1">
      <alignment horizontal="left" vertical="center"/>
    </xf>
    <xf numFmtId="165" fontId="6" fillId="2" borderId="3" xfId="2" applyFont="1" applyFill="1" applyBorder="1" applyAlignment="1">
      <alignment horizontal="center" vertical="center"/>
    </xf>
    <xf numFmtId="165" fontId="6" fillId="2" borderId="18" xfId="2" applyFont="1" applyFill="1" applyBorder="1" applyAlignment="1">
      <alignment horizontal="center" vertical="center"/>
    </xf>
    <xf numFmtId="165" fontId="4" fillId="2" borderId="2" xfId="2" applyFill="1" applyBorder="1" applyAlignment="1">
      <alignment horizontal="center" vertical="center"/>
    </xf>
    <xf numFmtId="165" fontId="10" fillId="2" borderId="14" xfId="2" applyFont="1" applyFill="1" applyBorder="1" applyAlignment="1">
      <alignment horizontal="center" vertical="center"/>
    </xf>
    <xf numFmtId="165" fontId="4" fillId="0" borderId="0" xfId="2" applyAlignment="1">
      <alignment horizontal="left" vertical="center"/>
    </xf>
    <xf numFmtId="165" fontId="6" fillId="2" borderId="13" xfId="2" applyFont="1" applyFill="1" applyBorder="1" applyAlignment="1">
      <alignment horizontal="center" vertical="center"/>
    </xf>
    <xf numFmtId="165" fontId="6" fillId="2" borderId="4" xfId="2" applyFont="1" applyFill="1" applyBorder="1" applyAlignment="1">
      <alignment horizontal="center" vertical="center"/>
    </xf>
    <xf numFmtId="165" fontId="6" fillId="2" borderId="8" xfId="2" applyFont="1" applyFill="1" applyBorder="1" applyAlignment="1">
      <alignment horizontal="left" vertical="center"/>
    </xf>
    <xf numFmtId="165" fontId="6" fillId="2" borderId="8" xfId="2" applyFont="1" applyFill="1" applyBorder="1" applyAlignment="1">
      <alignment horizontal="center" vertical="center"/>
    </xf>
    <xf numFmtId="165" fontId="10" fillId="2" borderId="5" xfId="2" applyFont="1" applyFill="1" applyBorder="1" applyAlignment="1">
      <alignment horizontal="center" vertical="center"/>
    </xf>
    <xf numFmtId="165" fontId="10" fillId="2" borderId="6" xfId="2" applyFont="1" applyFill="1" applyBorder="1" applyAlignment="1">
      <alignment horizontal="center" vertical="center"/>
    </xf>
    <xf numFmtId="165" fontId="10" fillId="2" borderId="5" xfId="2" applyFont="1" applyFill="1" applyBorder="1" applyAlignment="1">
      <alignment horizontal="center" vertical="center" wrapText="1"/>
    </xf>
    <xf numFmtId="165" fontId="10" fillId="2" borderId="5" xfId="2" applyFont="1" applyFill="1" applyBorder="1" applyAlignment="1">
      <alignment horizontal="center" vertical="top" wrapText="1"/>
    </xf>
    <xf numFmtId="165" fontId="10" fillId="2" borderId="6" xfId="2" applyFont="1" applyFill="1" applyBorder="1" applyAlignment="1">
      <alignment horizontal="center" vertical="center" wrapText="1"/>
    </xf>
    <xf numFmtId="165" fontId="10" fillId="2" borderId="17" xfId="2" applyFont="1" applyFill="1" applyBorder="1" applyAlignment="1">
      <alignment horizontal="center" vertical="center"/>
    </xf>
    <xf numFmtId="0" fontId="4" fillId="0" borderId="0" xfId="2" applyNumberFormat="1" applyAlignment="1">
      <alignment horizontal="center" vertical="center"/>
    </xf>
    <xf numFmtId="165" fontId="2" fillId="5" borderId="0" xfId="2" applyFont="1" applyFill="1" applyAlignment="1">
      <alignment horizontal="left" vertical="top" wrapText="1"/>
    </xf>
    <xf numFmtId="165" fontId="7" fillId="5" borderId="0" xfId="2" applyFont="1" applyFill="1" applyAlignment="1">
      <alignment vertical="top" wrapText="1"/>
    </xf>
    <xf numFmtId="165" fontId="6" fillId="0" borderId="19" xfId="2" applyFont="1" applyBorder="1" applyAlignment="1">
      <alignment horizontal="center" vertical="center"/>
    </xf>
    <xf numFmtId="0" fontId="6" fillId="0" borderId="20" xfId="2" applyNumberFormat="1" applyFont="1" applyBorder="1" applyAlignment="1">
      <alignment horizontal="center" vertical="center"/>
    </xf>
    <xf numFmtId="165" fontId="4" fillId="0" borderId="20" xfId="2" applyBorder="1" applyAlignment="1">
      <alignment horizontal="left" vertical="center"/>
    </xf>
    <xf numFmtId="165" fontId="4" fillId="0" borderId="0" xfId="2" applyAlignment="1">
      <alignment horizontal="center"/>
    </xf>
    <xf numFmtId="0" fontId="1" fillId="0" borderId="0" xfId="4"/>
    <xf numFmtId="165" fontId="5" fillId="2" borderId="5" xfId="2" applyFont="1" applyFill="1" applyBorder="1" applyAlignment="1">
      <alignment horizontal="center" vertical="center" wrapText="1"/>
    </xf>
    <xf numFmtId="0" fontId="1" fillId="0" borderId="8" xfId="4" applyBorder="1"/>
    <xf numFmtId="0" fontId="4" fillId="7" borderId="0" xfId="2" applyNumberFormat="1" applyFill="1" applyAlignment="1">
      <alignment horizontal="center" vertical="center"/>
    </xf>
    <xf numFmtId="0" fontId="11" fillId="0" borderId="0" xfId="3" applyNumberFormat="1"/>
    <xf numFmtId="0" fontId="13" fillId="2" borderId="0" xfId="4" applyFont="1" applyFill="1" applyAlignment="1">
      <alignment horizontal="left" vertical="center" indent="1"/>
    </xf>
    <xf numFmtId="0" fontId="13" fillId="2" borderId="6" xfId="4" applyFont="1" applyFill="1" applyBorder="1" applyAlignment="1">
      <alignment horizontal="center" vertical="center"/>
    </xf>
    <xf numFmtId="0" fontId="5" fillId="2" borderId="5" xfId="2" applyNumberFormat="1" applyFont="1" applyFill="1" applyBorder="1" applyAlignment="1">
      <alignment horizontal="center" vertical="top" wrapText="1"/>
    </xf>
    <xf numFmtId="0" fontId="5" fillId="2" borderId="12" xfId="2" applyNumberFormat="1" applyFont="1" applyFill="1" applyBorder="1" applyAlignment="1">
      <alignment horizontal="center" vertical="top" wrapText="1"/>
    </xf>
    <xf numFmtId="0" fontId="12" fillId="9" borderId="0" xfId="0" applyFont="1" applyFill="1"/>
    <xf numFmtId="0" fontId="15" fillId="9" borderId="0" xfId="0" applyFont="1" applyFill="1"/>
    <xf numFmtId="0" fontId="15" fillId="0" borderId="0" xfId="0" applyFont="1"/>
    <xf numFmtId="0" fontId="7" fillId="0" borderId="0" xfId="0" applyFont="1"/>
    <xf numFmtId="0" fontId="11" fillId="0" borderId="0" xfId="3" applyNumberFormat="1" applyFill="1" applyBorder="1" applyAlignment="1"/>
    <xf numFmtId="4" fontId="5" fillId="0" borderId="4" xfId="0" applyNumberFormat="1" applyFont="1" applyBorder="1" applyAlignment="1">
      <alignment wrapText="1"/>
    </xf>
    <xf numFmtId="0" fontId="19" fillId="10" borderId="5" xfId="0" applyFont="1" applyFill="1" applyBorder="1" applyAlignment="1">
      <alignment wrapText="1"/>
    </xf>
    <xf numFmtId="0" fontId="12" fillId="0" borderId="0" xfId="0" applyFont="1" applyAlignment="1">
      <alignment wrapText="1"/>
    </xf>
    <xf numFmtId="0" fontId="12" fillId="9" borderId="17" xfId="0" applyFont="1" applyFill="1" applyBorder="1" applyAlignment="1">
      <alignment wrapText="1"/>
    </xf>
    <xf numFmtId="0" fontId="12" fillId="9" borderId="3" xfId="0" applyFont="1" applyFill="1" applyBorder="1" applyAlignment="1">
      <alignment wrapText="1"/>
    </xf>
    <xf numFmtId="0" fontId="5" fillId="9" borderId="4" xfId="0" applyFont="1" applyFill="1" applyBorder="1" applyAlignment="1">
      <alignment wrapText="1"/>
    </xf>
    <xf numFmtId="0" fontId="5" fillId="9" borderId="18" xfId="0" applyFont="1" applyFill="1" applyBorder="1" applyAlignment="1">
      <alignment wrapText="1"/>
    </xf>
    <xf numFmtId="0" fontId="7" fillId="9" borderId="3" xfId="0" applyFont="1" applyFill="1" applyBorder="1"/>
    <xf numFmtId="0" fontId="7" fillId="9" borderId="2" xfId="0" applyFont="1" applyFill="1" applyBorder="1"/>
    <xf numFmtId="0" fontId="7" fillId="9" borderId="6" xfId="0" applyFont="1" applyFill="1" applyBorder="1"/>
    <xf numFmtId="0" fontId="7" fillId="0" borderId="8" xfId="0" applyFont="1" applyBorder="1"/>
    <xf numFmtId="0" fontId="10" fillId="11" borderId="6" xfId="0" applyFont="1" applyFill="1" applyBorder="1"/>
    <xf numFmtId="0" fontId="10" fillId="9" borderId="3" xfId="0" applyFont="1" applyFill="1" applyBorder="1"/>
    <xf numFmtId="9" fontId="10" fillId="9" borderId="3" xfId="0" applyNumberFormat="1" applyFont="1" applyFill="1" applyBorder="1"/>
    <xf numFmtId="0" fontId="21" fillId="0" borderId="0" xfId="0" applyFont="1"/>
    <xf numFmtId="164" fontId="21" fillId="10" borderId="0" xfId="0" applyNumberFormat="1" applyFont="1" applyFill="1"/>
    <xf numFmtId="164" fontId="21" fillId="10" borderId="33" xfId="0" applyNumberFormat="1" applyFont="1" applyFill="1" applyBorder="1"/>
    <xf numFmtId="164" fontId="21" fillId="10" borderId="34" xfId="0" applyNumberFormat="1" applyFont="1" applyFill="1" applyBorder="1"/>
    <xf numFmtId="0" fontId="5" fillId="11" borderId="43" xfId="0" applyFont="1" applyFill="1" applyBorder="1" applyAlignment="1">
      <alignment wrapText="1"/>
    </xf>
    <xf numFmtId="0" fontId="10" fillId="9" borderId="48" xfId="0" applyFont="1" applyFill="1" applyBorder="1" applyAlignment="1">
      <alignment wrapText="1"/>
    </xf>
    <xf numFmtId="0" fontId="5" fillId="9" borderId="17" xfId="0" applyFont="1" applyFill="1" applyBorder="1" applyAlignment="1">
      <alignment wrapText="1"/>
    </xf>
    <xf numFmtId="0" fontId="2" fillId="0" borderId="0" xfId="0" applyFont="1" applyAlignment="1">
      <alignment wrapText="1"/>
    </xf>
    <xf numFmtId="0" fontId="2" fillId="0" borderId="0" xfId="0" applyFont="1"/>
    <xf numFmtId="0" fontId="7" fillId="10" borderId="8" xfId="0" applyFont="1" applyFill="1" applyBorder="1"/>
    <xf numFmtId="0" fontId="2" fillId="0" borderId="4" xfId="0" applyFont="1" applyBorder="1" applyAlignment="1">
      <alignment wrapText="1"/>
    </xf>
    <xf numFmtId="0" fontId="2" fillId="0" borderId="4" xfId="0" applyFont="1" applyBorder="1"/>
    <xf numFmtId="0" fontId="5" fillId="0" borderId="4" xfId="0" applyFont="1" applyBorder="1"/>
    <xf numFmtId="0" fontId="5" fillId="0" borderId="4" xfId="0" applyFont="1" applyBorder="1" applyAlignment="1">
      <alignment wrapText="1"/>
    </xf>
    <xf numFmtId="0" fontId="5" fillId="10" borderId="6" xfId="0" applyFont="1" applyFill="1" applyBorder="1" applyAlignment="1">
      <alignment wrapText="1"/>
    </xf>
    <xf numFmtId="0" fontId="2" fillId="0" borderId="16" xfId="0" applyFont="1" applyBorder="1" applyAlignment="1">
      <alignment wrapText="1"/>
    </xf>
    <xf numFmtId="0" fontId="2" fillId="9" borderId="16" xfId="0" applyFont="1" applyFill="1" applyBorder="1" applyAlignment="1">
      <alignment wrapText="1"/>
    </xf>
    <xf numFmtId="0" fontId="7" fillId="9" borderId="0" xfId="0" applyFont="1" applyFill="1"/>
    <xf numFmtId="0" fontId="7" fillId="9" borderId="4" xfId="0" applyFont="1" applyFill="1" applyBorder="1"/>
    <xf numFmtId="0" fontId="5" fillId="9" borderId="17" xfId="0" applyFont="1" applyFill="1" applyBorder="1"/>
    <xf numFmtId="0" fontId="5" fillId="9" borderId="3" xfId="0" applyFont="1" applyFill="1" applyBorder="1" applyAlignment="1">
      <alignment wrapText="1"/>
    </xf>
    <xf numFmtId="0" fontId="5" fillId="9" borderId="36" xfId="0" applyFont="1" applyFill="1" applyBorder="1" applyAlignment="1">
      <alignment wrapText="1"/>
    </xf>
    <xf numFmtId="0" fontId="5" fillId="9" borderId="37" xfId="0" applyFont="1" applyFill="1" applyBorder="1" applyAlignment="1">
      <alignment wrapText="1"/>
    </xf>
    <xf numFmtId="0" fontId="10" fillId="0" borderId="12" xfId="0" applyFont="1" applyBorder="1"/>
    <xf numFmtId="0" fontId="5" fillId="9" borderId="15" xfId="0" applyFont="1" applyFill="1" applyBorder="1" applyAlignment="1">
      <alignment wrapText="1"/>
    </xf>
    <xf numFmtId="0" fontId="7" fillId="11" borderId="0" xfId="0" applyFont="1" applyFill="1"/>
    <xf numFmtId="3" fontId="2" fillId="0" borderId="0" xfId="0" applyNumberFormat="1" applyFont="1"/>
    <xf numFmtId="3" fontId="2" fillId="0" borderId="3" xfId="0" applyNumberFormat="1" applyFont="1" applyBorder="1"/>
    <xf numFmtId="3" fontId="2" fillId="0" borderId="4" xfId="0" applyNumberFormat="1" applyFont="1" applyBorder="1"/>
    <xf numFmtId="0" fontId="10" fillId="0" borderId="17" xfId="0" applyFont="1" applyBorder="1"/>
    <xf numFmtId="0" fontId="7" fillId="0" borderId="0" xfId="0" applyFont="1" applyAlignment="1">
      <alignment wrapText="1"/>
    </xf>
    <xf numFmtId="0" fontId="5" fillId="0" borderId="0" xfId="0" applyFont="1" applyAlignment="1">
      <alignment wrapText="1"/>
    </xf>
    <xf numFmtId="0" fontId="10" fillId="0" borderId="0" xfId="0" applyFont="1"/>
    <xf numFmtId="0" fontId="10" fillId="0" borderId="0" xfId="0" applyFont="1" applyAlignment="1">
      <alignment wrapText="1"/>
    </xf>
    <xf numFmtId="0" fontId="10" fillId="9" borderId="4" xfId="0" applyFont="1" applyFill="1" applyBorder="1" applyAlignment="1">
      <alignment wrapText="1"/>
    </xf>
    <xf numFmtId="3" fontId="2" fillId="0" borderId="38" xfId="0" applyNumberFormat="1" applyFont="1" applyBorder="1"/>
    <xf numFmtId="2" fontId="2" fillId="0" borderId="0" xfId="0" applyNumberFormat="1" applyFont="1"/>
    <xf numFmtId="0" fontId="10" fillId="9" borderId="3" xfId="0" applyFont="1" applyFill="1" applyBorder="1" applyAlignment="1">
      <alignment wrapText="1"/>
    </xf>
    <xf numFmtId="0" fontId="7" fillId="10" borderId="31" xfId="0" applyFont="1" applyFill="1" applyBorder="1"/>
    <xf numFmtId="0" fontId="11" fillId="10" borderId="31" xfId="3" applyNumberFormat="1" applyFill="1" applyBorder="1" applyAlignment="1"/>
    <xf numFmtId="0" fontId="5" fillId="10" borderId="52" xfId="0" applyFont="1" applyFill="1" applyBorder="1" applyAlignment="1">
      <alignment horizontal="center" wrapText="1"/>
    </xf>
    <xf numFmtId="10" fontId="10" fillId="0" borderId="4" xfId="0" applyNumberFormat="1" applyFont="1" applyBorder="1"/>
    <xf numFmtId="2" fontId="7" fillId="0" borderId="0" xfId="0" applyNumberFormat="1" applyFont="1"/>
    <xf numFmtId="10" fontId="10" fillId="0" borderId="3" xfId="0" applyNumberFormat="1" applyFont="1" applyBorder="1"/>
    <xf numFmtId="0" fontId="7" fillId="9" borderId="54" xfId="0" applyFont="1" applyFill="1" applyBorder="1"/>
    <xf numFmtId="0" fontId="2" fillId="0" borderId="16" xfId="0" applyFont="1" applyBorder="1"/>
    <xf numFmtId="4" fontId="2" fillId="0" borderId="0" xfId="0" applyNumberFormat="1" applyFont="1" applyAlignment="1">
      <alignment wrapText="1"/>
    </xf>
    <xf numFmtId="4" fontId="2" fillId="0" borderId="25" xfId="0" applyNumberFormat="1" applyFont="1" applyBorder="1" applyAlignment="1">
      <alignment wrapText="1"/>
    </xf>
    <xf numFmtId="0" fontId="5" fillId="0" borderId="15" xfId="0" applyFont="1" applyBorder="1" applyAlignment="1">
      <alignment wrapText="1"/>
    </xf>
    <xf numFmtId="0" fontId="5" fillId="0" borderId="12" xfId="0" applyFont="1" applyBorder="1" applyAlignment="1">
      <alignment wrapText="1"/>
    </xf>
    <xf numFmtId="10" fontId="5" fillId="0" borderId="4" xfId="0" applyNumberFormat="1" applyFont="1" applyBorder="1" applyAlignment="1">
      <alignment wrapText="1"/>
    </xf>
    <xf numFmtId="0" fontId="5" fillId="0" borderId="16" xfId="0" applyFont="1" applyBorder="1" applyAlignment="1">
      <alignment wrapText="1"/>
    </xf>
    <xf numFmtId="0" fontId="5" fillId="0" borderId="1" xfId="0" applyFont="1" applyBorder="1" applyAlignment="1">
      <alignment wrapText="1"/>
    </xf>
    <xf numFmtId="0" fontId="7" fillId="9" borderId="36" xfId="0" applyFont="1" applyFill="1" applyBorder="1"/>
    <xf numFmtId="4" fontId="2" fillId="0" borderId="56" xfId="0" applyNumberFormat="1" applyFont="1" applyBorder="1" applyAlignment="1">
      <alignment wrapText="1"/>
    </xf>
    <xf numFmtId="164" fontId="5" fillId="0" borderId="0" xfId="0" applyNumberFormat="1" applyFont="1" applyAlignment="1">
      <alignment wrapText="1"/>
    </xf>
    <xf numFmtId="10" fontId="7" fillId="0" borderId="0" xfId="0" applyNumberFormat="1" applyFont="1"/>
    <xf numFmtId="0" fontId="2" fillId="0" borderId="0" xfId="7" applyAlignment="1">
      <alignment horizontal="left" vertical="top"/>
    </xf>
    <xf numFmtId="4" fontId="2" fillId="0" borderId="0" xfId="6" applyNumberFormat="1" applyFont="1" applyAlignment="1">
      <alignment horizontal="right" vertical="center"/>
    </xf>
    <xf numFmtId="0" fontId="2" fillId="0" borderId="4" xfId="7" applyBorder="1" applyAlignment="1">
      <alignment horizontal="left" vertical="top"/>
    </xf>
    <xf numFmtId="0" fontId="0" fillId="0" borderId="0" xfId="6" applyFont="1"/>
    <xf numFmtId="4" fontId="2" fillId="0" borderId="2" xfId="6" applyNumberFormat="1" applyFont="1" applyBorder="1" applyAlignment="1">
      <alignment horizontal="right" vertical="center"/>
    </xf>
    <xf numFmtId="167" fontId="5" fillId="0" borderId="2" xfId="6" applyNumberFormat="1" applyFont="1" applyBorder="1" applyAlignment="1">
      <alignment horizontal="right" wrapText="1"/>
    </xf>
    <xf numFmtId="167" fontId="2" fillId="0" borderId="2" xfId="6" applyNumberFormat="1" applyFont="1" applyBorder="1" applyAlignment="1">
      <alignment horizontal="right" wrapText="1"/>
    </xf>
    <xf numFmtId="167" fontId="5" fillId="0" borderId="0" xfId="6" applyNumberFormat="1" applyFont="1" applyAlignment="1">
      <alignment horizontal="right" wrapText="1"/>
    </xf>
    <xf numFmtId="167" fontId="2" fillId="0" borderId="0" xfId="6" applyNumberFormat="1" applyFont="1" applyAlignment="1">
      <alignment horizontal="right" wrapText="1"/>
    </xf>
    <xf numFmtId="4" fontId="2" fillId="0" borderId="0" xfId="6" applyNumberFormat="1" applyFont="1" applyAlignment="1">
      <alignment horizontal="right" wrapText="1"/>
    </xf>
    <xf numFmtId="167" fontId="5" fillId="0" borderId="6" xfId="6" applyNumberFormat="1" applyFont="1" applyBorder="1" applyAlignment="1">
      <alignment horizontal="right" wrapText="1"/>
    </xf>
    <xf numFmtId="0" fontId="5" fillId="0" borderId="3" xfId="6" applyFont="1" applyBorder="1" applyAlignment="1">
      <alignment horizontal="left" vertical="top"/>
    </xf>
    <xf numFmtId="167" fontId="5" fillId="0" borderId="3" xfId="6" applyNumberFormat="1" applyFont="1" applyBorder="1" applyAlignment="1">
      <alignment horizontal="right" wrapText="1"/>
    </xf>
    <xf numFmtId="0" fontId="5" fillId="0" borderId="4" xfId="6" applyFont="1" applyBorder="1" applyAlignment="1">
      <alignment horizontal="left" vertical="top"/>
    </xf>
    <xf numFmtId="4" fontId="5" fillId="0" borderId="50" xfId="0" applyNumberFormat="1" applyFont="1" applyBorder="1" applyAlignment="1">
      <alignment wrapText="1"/>
    </xf>
    <xf numFmtId="0" fontId="11" fillId="0" borderId="0" xfId="3" applyNumberFormat="1" applyFill="1"/>
    <xf numFmtId="0" fontId="24" fillId="8" borderId="0" xfId="0" applyFont="1" applyFill="1"/>
    <xf numFmtId="0" fontId="7" fillId="8" borderId="0" xfId="0" applyFont="1" applyFill="1"/>
    <xf numFmtId="0" fontId="26" fillId="9" borderId="0" xfId="0" applyFont="1" applyFill="1" applyAlignment="1">
      <alignment wrapText="1"/>
    </xf>
    <xf numFmtId="0" fontId="11" fillId="9" borderId="0" xfId="0" applyFont="1" applyFill="1"/>
    <xf numFmtId="0" fontId="27" fillId="9" borderId="0" xfId="0" applyFont="1" applyFill="1"/>
    <xf numFmtId="0" fontId="28" fillId="9" borderId="0" xfId="0" applyFont="1" applyFill="1"/>
    <xf numFmtId="0" fontId="25" fillId="9" borderId="0" xfId="0" applyFont="1" applyFill="1"/>
    <xf numFmtId="0" fontId="5" fillId="9" borderId="12" xfId="0" applyFont="1" applyFill="1" applyBorder="1" applyAlignment="1">
      <alignment wrapText="1"/>
    </xf>
    <xf numFmtId="0" fontId="2" fillId="0" borderId="12" xfId="0" applyFont="1" applyBorder="1"/>
    <xf numFmtId="0" fontId="12" fillId="15" borderId="17" xfId="0" applyFont="1" applyFill="1" applyBorder="1" applyAlignment="1">
      <alignment wrapText="1"/>
    </xf>
    <xf numFmtId="0" fontId="28" fillId="0" borderId="0" xfId="0" applyFont="1"/>
    <xf numFmtId="0" fontId="7" fillId="0" borderId="22" xfId="0" applyFont="1" applyBorder="1"/>
    <xf numFmtId="0" fontId="31" fillId="0" borderId="0" xfId="0" applyFont="1"/>
    <xf numFmtId="0" fontId="5" fillId="0" borderId="17" xfId="0" applyFont="1" applyBorder="1" applyAlignment="1">
      <alignment wrapText="1"/>
    </xf>
    <xf numFmtId="0" fontId="5" fillId="0" borderId="3" xfId="0" applyFont="1" applyBorder="1" applyAlignment="1">
      <alignment wrapText="1"/>
    </xf>
    <xf numFmtId="165" fontId="4" fillId="2" borderId="2" xfId="8" applyFill="1" applyBorder="1"/>
    <xf numFmtId="165" fontId="6" fillId="2" borderId="6" xfId="8" applyFont="1" applyFill="1" applyBorder="1" applyAlignment="1">
      <alignment horizontal="center" vertical="center" wrapText="1"/>
    </xf>
    <xf numFmtId="165" fontId="4" fillId="16" borderId="0" xfId="8" applyFill="1"/>
    <xf numFmtId="165" fontId="5" fillId="2" borderId="17" xfId="8" applyFont="1" applyFill="1" applyBorder="1" applyAlignment="1">
      <alignment horizontal="center" vertical="center"/>
    </xf>
    <xf numFmtId="165" fontId="5" fillId="2" borderId="3" xfId="8" applyFont="1" applyFill="1" applyBorder="1" applyAlignment="1">
      <alignment horizontal="center" vertical="center" wrapText="1"/>
    </xf>
    <xf numFmtId="165" fontId="5" fillId="2" borderId="3" xfId="8" applyFont="1" applyFill="1" applyBorder="1" applyAlignment="1">
      <alignment horizontal="right" vertical="center" wrapText="1"/>
    </xf>
    <xf numFmtId="165" fontId="5" fillId="2" borderId="17" xfId="8" applyFont="1" applyFill="1" applyBorder="1" applyAlignment="1">
      <alignment horizontal="center" vertical="center" wrapText="1"/>
    </xf>
    <xf numFmtId="165" fontId="2" fillId="0" borderId="16" xfId="9" applyBorder="1" applyAlignment="1">
      <alignment horizontal="left" indent="1"/>
    </xf>
    <xf numFmtId="166" fontId="7" fillId="0" borderId="0" xfId="0" applyNumberFormat="1" applyFont="1" applyAlignment="1">
      <alignment vertical="center"/>
    </xf>
    <xf numFmtId="166" fontId="2" fillId="0" borderId="0" xfId="8" applyNumberFormat="1" applyFont="1" applyAlignment="1">
      <alignment horizontal="right" vertical="center"/>
    </xf>
    <xf numFmtId="166" fontId="2" fillId="0" borderId="2" xfId="8" applyNumberFormat="1" applyFont="1" applyBorder="1" applyAlignment="1">
      <alignment horizontal="right" vertical="center"/>
    </xf>
    <xf numFmtId="166" fontId="7" fillId="0" borderId="2" xfId="8" applyNumberFormat="1" applyFont="1" applyBorder="1"/>
    <xf numFmtId="166" fontId="7" fillId="0" borderId="0" xfId="8" applyNumberFormat="1" applyFont="1"/>
    <xf numFmtId="166" fontId="2" fillId="0" borderId="4" xfId="8" applyNumberFormat="1" applyFont="1" applyBorder="1" applyAlignment="1">
      <alignment horizontal="right" vertical="center"/>
    </xf>
    <xf numFmtId="165" fontId="5" fillId="0" borderId="17" xfId="8" applyFont="1" applyBorder="1" applyAlignment="1">
      <alignment horizontal="right" indent="1"/>
    </xf>
    <xf numFmtId="166" fontId="5" fillId="0" borderId="3" xfId="8" applyNumberFormat="1" applyFont="1" applyBorder="1" applyAlignment="1">
      <alignment horizontal="right" vertical="center"/>
    </xf>
    <xf numFmtId="166" fontId="10" fillId="0" borderId="6" xfId="0" applyNumberFormat="1" applyFont="1" applyBorder="1" applyAlignment="1">
      <alignment vertical="center"/>
    </xf>
    <xf numFmtId="165" fontId="4" fillId="0" borderId="5" xfId="8" applyBorder="1"/>
    <xf numFmtId="165" fontId="5" fillId="2" borderId="2" xfId="8" applyFont="1" applyFill="1" applyBorder="1" applyAlignment="1">
      <alignment horizontal="center" vertical="center" wrapText="1"/>
    </xf>
    <xf numFmtId="166" fontId="7" fillId="0" borderId="4" xfId="8" applyNumberFormat="1" applyFont="1" applyBorder="1"/>
    <xf numFmtId="2" fontId="5" fillId="0" borderId="3" xfId="0" applyNumberFormat="1" applyFont="1" applyBorder="1" applyAlignment="1">
      <alignment wrapText="1"/>
    </xf>
    <xf numFmtId="10" fontId="10" fillId="0" borderId="0" xfId="0" applyNumberFormat="1" applyFont="1"/>
    <xf numFmtId="0" fontId="5" fillId="9" borderId="3" xfId="0" applyFont="1" applyFill="1" applyBorder="1" applyAlignment="1">
      <alignment horizontal="center" wrapText="1"/>
    </xf>
    <xf numFmtId="0" fontId="5" fillId="9" borderId="36" xfId="0" applyFont="1" applyFill="1" applyBorder="1" applyAlignment="1">
      <alignment horizontal="center" wrapText="1"/>
    </xf>
    <xf numFmtId="0" fontId="5" fillId="9" borderId="37" xfId="0" applyFont="1" applyFill="1" applyBorder="1" applyAlignment="1">
      <alignment horizontal="center" wrapText="1"/>
    </xf>
    <xf numFmtId="0" fontId="5" fillId="9" borderId="4" xfId="0" applyFont="1" applyFill="1" applyBorder="1" applyAlignment="1">
      <alignment horizontal="center" wrapText="1"/>
    </xf>
    <xf numFmtId="0" fontId="5" fillId="9" borderId="2" xfId="0" applyFont="1" applyFill="1" applyBorder="1" applyAlignment="1">
      <alignment horizontal="center" wrapText="1"/>
    </xf>
    <xf numFmtId="0" fontId="5" fillId="9" borderId="41" xfId="0" applyFont="1" applyFill="1" applyBorder="1" applyAlignment="1">
      <alignment horizontal="center" wrapText="1"/>
    </xf>
    <xf numFmtId="0" fontId="5" fillId="9" borderId="54" xfId="0" applyFont="1" applyFill="1" applyBorder="1" applyAlignment="1">
      <alignment horizontal="center" wrapText="1"/>
    </xf>
    <xf numFmtId="0" fontId="5" fillId="9" borderId="18" xfId="0" applyFont="1" applyFill="1" applyBorder="1" applyAlignment="1">
      <alignment horizontal="center" wrapText="1"/>
    </xf>
    <xf numFmtId="0" fontId="5" fillId="9" borderId="13" xfId="0" applyFont="1" applyFill="1" applyBorder="1" applyAlignment="1">
      <alignment horizontal="center" wrapText="1"/>
    </xf>
    <xf numFmtId="0" fontId="5" fillId="9" borderId="39" xfId="0" applyFont="1" applyFill="1" applyBorder="1" applyAlignment="1">
      <alignment horizontal="center" wrapText="1"/>
    </xf>
    <xf numFmtId="10" fontId="5" fillId="0" borderId="0" xfId="0" applyNumberFormat="1" applyFont="1" applyAlignment="1">
      <alignment wrapText="1"/>
    </xf>
    <xf numFmtId="10" fontId="5" fillId="0" borderId="5" xfId="0" applyNumberFormat="1" applyFont="1" applyBorder="1" applyAlignment="1">
      <alignment wrapText="1"/>
    </xf>
    <xf numFmtId="0" fontId="5" fillId="10" borderId="35" xfId="0" applyFont="1" applyFill="1" applyBorder="1" applyAlignment="1">
      <alignment horizontal="center" wrapText="1"/>
    </xf>
    <xf numFmtId="0" fontId="16" fillId="0" borderId="0" xfId="0" applyFont="1" applyAlignment="1">
      <alignment wrapText="1"/>
    </xf>
    <xf numFmtId="0" fontId="33" fillId="0" borderId="0" xfId="0" applyFont="1"/>
    <xf numFmtId="0" fontId="34" fillId="0" borderId="0" xfId="0" applyFont="1"/>
    <xf numFmtId="2" fontId="5" fillId="0" borderId="3" xfId="0" applyNumberFormat="1" applyFont="1" applyBorder="1" applyAlignment="1">
      <alignment horizontal="left" wrapText="1" indent="4"/>
    </xf>
    <xf numFmtId="0" fontId="29" fillId="0" borderId="0" xfId="0" applyFont="1" applyAlignment="1">
      <alignment wrapText="1"/>
    </xf>
    <xf numFmtId="4" fontId="5" fillId="0" borderId="1" xfId="0" applyNumberFormat="1" applyFont="1" applyBorder="1" applyAlignment="1">
      <alignment wrapText="1"/>
    </xf>
    <xf numFmtId="165" fontId="4" fillId="16" borderId="0" xfId="2" applyFill="1" applyAlignment="1">
      <alignment vertical="center"/>
    </xf>
    <xf numFmtId="165" fontId="4" fillId="16" borderId="0" xfId="2" applyFill="1" applyAlignment="1" applyProtection="1">
      <alignment horizontal="left" vertical="center"/>
      <protection hidden="1"/>
    </xf>
    <xf numFmtId="165" fontId="36" fillId="16" borderId="0" xfId="2" applyFont="1" applyFill="1" applyAlignment="1" applyProtection="1">
      <alignment horizontal="left" vertical="center"/>
      <protection hidden="1"/>
    </xf>
    <xf numFmtId="165" fontId="37" fillId="16" borderId="0" xfId="2" applyFont="1" applyFill="1" applyAlignment="1" applyProtection="1">
      <alignment horizontal="left" vertical="center"/>
      <protection hidden="1"/>
    </xf>
    <xf numFmtId="165" fontId="4" fillId="16" borderId="0" xfId="2" applyFill="1" applyAlignment="1">
      <alignment horizontal="center"/>
    </xf>
    <xf numFmtId="165" fontId="39" fillId="0" borderId="0" xfId="2" applyFont="1"/>
    <xf numFmtId="165" fontId="40" fillId="0" borderId="0" xfId="2" applyFont="1" applyAlignment="1">
      <alignment horizontal="left" vertical="top" wrapText="1" indent="1"/>
    </xf>
    <xf numFmtId="165" fontId="39" fillId="0" borderId="0" xfId="2" applyFont="1" applyAlignment="1">
      <alignment horizontal="left" vertical="top"/>
    </xf>
    <xf numFmtId="165" fontId="43" fillId="0" borderId="0" xfId="9" applyFont="1" applyAlignment="1">
      <alignment horizontal="left" vertical="top" wrapText="1" indent="1"/>
    </xf>
    <xf numFmtId="165" fontId="5" fillId="0" borderId="0" xfId="9" applyFont="1" applyAlignment="1">
      <alignment horizontal="left" vertical="top" wrapText="1"/>
    </xf>
    <xf numFmtId="165" fontId="12" fillId="9" borderId="0" xfId="9" applyFont="1" applyFill="1" applyAlignment="1">
      <alignment horizontal="left" wrapText="1" indent="1"/>
    </xf>
    <xf numFmtId="165" fontId="12" fillId="9" borderId="0" xfId="9" applyFont="1" applyFill="1" applyAlignment="1">
      <alignment horizontal="left" wrapText="1"/>
    </xf>
    <xf numFmtId="165" fontId="12" fillId="9" borderId="0" xfId="9" applyFont="1" applyFill="1" applyAlignment="1">
      <alignment horizontal="left"/>
    </xf>
    <xf numFmtId="165" fontId="5" fillId="9" borderId="0" xfId="9" applyFont="1" applyFill="1" applyAlignment="1">
      <alignment horizontal="left" wrapText="1"/>
    </xf>
    <xf numFmtId="165" fontId="43" fillId="0" borderId="0" xfId="2" applyFont="1" applyAlignment="1">
      <alignment horizontal="left" indent="1"/>
    </xf>
    <xf numFmtId="165" fontId="43" fillId="0" borderId="0" xfId="9" applyFont="1" applyAlignment="1">
      <alignment horizontal="left" wrapText="1"/>
    </xf>
    <xf numFmtId="165" fontId="43" fillId="0" borderId="0" xfId="2" applyFont="1"/>
    <xf numFmtId="49" fontId="43" fillId="0" borderId="0" xfId="9" applyNumberFormat="1" applyFont="1" applyAlignment="1">
      <alignment horizontal="left"/>
    </xf>
    <xf numFmtId="49" fontId="43" fillId="0" borderId="0" xfId="2" applyNumberFormat="1" applyFont="1"/>
    <xf numFmtId="165" fontId="40" fillId="0" borderId="0" xfId="2" applyFont="1"/>
    <xf numFmtId="165" fontId="43" fillId="0" borderId="0" xfId="2" applyFont="1" applyAlignment="1">
      <alignment horizontal="left" vertical="center" indent="1"/>
    </xf>
    <xf numFmtId="165" fontId="4" fillId="16" borderId="0" xfId="2" applyFill="1" applyProtection="1">
      <protection hidden="1"/>
    </xf>
    <xf numFmtId="165" fontId="40" fillId="0" borderId="0" xfId="2" applyFont="1" applyAlignment="1">
      <alignment vertical="center" wrapText="1"/>
    </xf>
    <xf numFmtId="165" fontId="44" fillId="16" borderId="0" xfId="2" applyFont="1" applyFill="1" applyAlignment="1" applyProtection="1">
      <alignment horizontal="left" vertical="top" wrapText="1"/>
      <protection hidden="1"/>
    </xf>
    <xf numFmtId="165" fontId="4" fillId="16" borderId="0" xfId="2" applyFill="1" applyAlignment="1" applyProtection="1">
      <alignment horizontal="left" vertical="top"/>
      <protection hidden="1"/>
    </xf>
    <xf numFmtId="165" fontId="44" fillId="16" borderId="0" xfId="2" applyFont="1" applyFill="1" applyAlignment="1" applyProtection="1">
      <alignment horizontal="left" vertical="top"/>
      <protection hidden="1"/>
    </xf>
    <xf numFmtId="165" fontId="4" fillId="16" borderId="16" xfId="2" applyFill="1" applyBorder="1" applyProtection="1">
      <protection hidden="1"/>
    </xf>
    <xf numFmtId="165" fontId="4" fillId="0" borderId="0" xfId="2" applyProtection="1">
      <protection hidden="1"/>
    </xf>
    <xf numFmtId="165" fontId="4" fillId="0" borderId="0" xfId="2" applyAlignment="1" applyProtection="1">
      <alignment horizontal="left" vertical="top"/>
      <protection hidden="1"/>
    </xf>
    <xf numFmtId="165" fontId="47" fillId="18" borderId="0" xfId="3" applyFont="1" applyFill="1" applyAlignment="1" applyProtection="1">
      <alignment vertical="center"/>
      <protection hidden="1"/>
    </xf>
    <xf numFmtId="165" fontId="48" fillId="16" borderId="0" xfId="2" applyFont="1" applyFill="1" applyAlignment="1">
      <alignment horizontal="left" vertical="top" indent="1"/>
    </xf>
    <xf numFmtId="165" fontId="49" fillId="0" borderId="0" xfId="2" applyFont="1" applyAlignment="1">
      <alignment horizontal="center" vertical="center"/>
    </xf>
    <xf numFmtId="165" fontId="52" fillId="0" borderId="0" xfId="3" applyFont="1" applyAlignment="1">
      <alignment vertical="top"/>
    </xf>
    <xf numFmtId="165" fontId="6" fillId="0" borderId="0" xfId="2" applyFont="1"/>
    <xf numFmtId="165" fontId="40" fillId="0" borderId="0" xfId="2" applyFont="1" applyAlignment="1">
      <alignment wrapText="1"/>
    </xf>
    <xf numFmtId="165" fontId="49" fillId="0" borderId="0" xfId="2" applyFont="1" applyAlignment="1">
      <alignment horizontal="right" vertical="center" indent="2"/>
    </xf>
    <xf numFmtId="165" fontId="40" fillId="0" borderId="0" xfId="2" applyFont="1" applyAlignment="1">
      <alignment horizontal="left" indent="1"/>
    </xf>
    <xf numFmtId="165" fontId="52" fillId="0" borderId="0" xfId="3" applyFont="1" applyAlignment="1">
      <alignment vertical="top" wrapText="1"/>
    </xf>
    <xf numFmtId="165" fontId="6" fillId="0" borderId="0" xfId="2" applyFont="1" applyAlignment="1">
      <alignment wrapText="1"/>
    </xf>
    <xf numFmtId="165" fontId="41" fillId="0" borderId="0" xfId="2" applyFont="1"/>
    <xf numFmtId="165" fontId="40" fillId="0" borderId="0" xfId="2" applyFont="1" applyAlignment="1">
      <alignment horizontal="left" wrapText="1" indent="1"/>
    </xf>
    <xf numFmtId="165" fontId="49" fillId="0" borderId="0" xfId="2" applyFont="1" applyAlignment="1">
      <alignment horizontal="right" vertical="center" indent="1"/>
    </xf>
    <xf numFmtId="165" fontId="40" fillId="0" borderId="4" xfId="2" applyFont="1" applyBorder="1" applyAlignment="1">
      <alignment horizontal="left" vertical="center" wrapText="1" indent="1"/>
    </xf>
    <xf numFmtId="165" fontId="40" fillId="0" borderId="0" xfId="2" applyFont="1" applyAlignment="1">
      <alignment horizontal="left" vertical="center" wrapText="1" indent="1"/>
    </xf>
    <xf numFmtId="165" fontId="56" fillId="0" borderId="0" xfId="3" applyFont="1" applyAlignment="1">
      <alignment vertical="top"/>
    </xf>
    <xf numFmtId="165" fontId="49" fillId="0" borderId="0" xfId="2" applyFont="1" applyAlignment="1">
      <alignment horizontal="right" vertical="center"/>
    </xf>
    <xf numFmtId="165" fontId="40" fillId="0" borderId="4" xfId="2" applyFont="1" applyBorder="1" applyAlignment="1">
      <alignment vertical="top" wrapText="1"/>
    </xf>
    <xf numFmtId="165" fontId="40" fillId="0" borderId="3" xfId="2" applyFont="1" applyBorder="1" applyAlignment="1">
      <alignment vertical="center" wrapText="1"/>
    </xf>
    <xf numFmtId="165" fontId="40" fillId="0" borderId="0" xfId="2" applyFont="1" applyAlignment="1">
      <alignment horizontal="right" vertical="top"/>
    </xf>
    <xf numFmtId="165" fontId="40" fillId="0" borderId="3" xfId="2" applyFont="1" applyBorder="1" applyAlignment="1">
      <alignment vertical="top" wrapText="1"/>
    </xf>
    <xf numFmtId="165" fontId="43" fillId="0" borderId="0" xfId="9" applyFont="1" applyAlignment="1">
      <alignment horizontal="left" vertical="top" indent="1"/>
    </xf>
    <xf numFmtId="165" fontId="40" fillId="0" borderId="0" xfId="2" applyFont="1" applyAlignment="1">
      <alignment vertical="center"/>
    </xf>
    <xf numFmtId="165" fontId="43" fillId="0" borderId="0" xfId="9" applyFont="1" applyAlignment="1">
      <alignment horizontal="left" vertical="top"/>
    </xf>
    <xf numFmtId="49" fontId="12" fillId="0" borderId="0" xfId="9" applyNumberFormat="1" applyFont="1" applyAlignment="1">
      <alignment horizontal="center" vertical="top" wrapText="1"/>
    </xf>
    <xf numFmtId="165" fontId="43" fillId="0" borderId="4" xfId="9" applyFont="1" applyBorder="1" applyAlignment="1">
      <alignment vertical="top" wrapText="1"/>
    </xf>
    <xf numFmtId="165" fontId="43" fillId="0" borderId="3" xfId="9" applyFont="1" applyBorder="1" applyAlignment="1">
      <alignment horizontal="left" vertical="top" wrapText="1"/>
    </xf>
    <xf numFmtId="165" fontId="43" fillId="0" borderId="0" xfId="9" applyFont="1" applyAlignment="1">
      <alignment horizontal="left" vertical="top" wrapText="1"/>
    </xf>
    <xf numFmtId="49" fontId="12" fillId="0" borderId="0" xfId="9" applyNumberFormat="1" applyFont="1" applyAlignment="1">
      <alignment horizontal="left" vertical="top" indent="2"/>
    </xf>
    <xf numFmtId="165" fontId="43" fillId="0" borderId="4" xfId="2" applyFont="1" applyBorder="1" applyAlignment="1">
      <alignment wrapText="1"/>
    </xf>
    <xf numFmtId="165" fontId="43" fillId="0" borderId="3" xfId="2" applyFont="1" applyBorder="1" applyAlignment="1">
      <alignment wrapText="1"/>
    </xf>
    <xf numFmtId="165" fontId="43" fillId="0" borderId="0" xfId="2" applyFont="1" applyAlignment="1">
      <alignment wrapText="1"/>
    </xf>
    <xf numFmtId="165" fontId="40" fillId="0" borderId="4" xfId="2" applyFont="1" applyBorder="1" applyAlignment="1">
      <alignment wrapText="1"/>
    </xf>
    <xf numFmtId="165" fontId="40" fillId="0" borderId="3" xfId="2" applyFont="1" applyBorder="1" applyAlignment="1">
      <alignment wrapText="1"/>
    </xf>
    <xf numFmtId="165" fontId="53" fillId="0" borderId="0" xfId="9" applyFont="1" applyAlignment="1">
      <alignment horizontal="left" vertical="top" wrapText="1"/>
    </xf>
    <xf numFmtId="165" fontId="4" fillId="18" borderId="0" xfId="2" applyFill="1" applyProtection="1">
      <protection hidden="1"/>
    </xf>
    <xf numFmtId="165" fontId="4" fillId="20" borderId="0" xfId="2" applyFill="1" applyProtection="1">
      <protection hidden="1"/>
    </xf>
    <xf numFmtId="165" fontId="44" fillId="20" borderId="0" xfId="2" applyFont="1" applyFill="1" applyAlignment="1" applyProtection="1">
      <alignment horizontal="left" vertical="top" wrapText="1"/>
      <protection hidden="1"/>
    </xf>
    <xf numFmtId="165" fontId="4" fillId="20" borderId="0" xfId="2" applyFill="1" applyAlignment="1" applyProtection="1">
      <alignment horizontal="left" vertical="top"/>
      <protection hidden="1"/>
    </xf>
    <xf numFmtId="165" fontId="44" fillId="20" borderId="0" xfId="2" applyFont="1" applyFill="1" applyAlignment="1" applyProtection="1">
      <alignment horizontal="left" vertical="top"/>
      <protection hidden="1"/>
    </xf>
    <xf numFmtId="165" fontId="4" fillId="20" borderId="16" xfId="2" applyFill="1" applyBorder="1" applyProtection="1">
      <protection hidden="1"/>
    </xf>
    <xf numFmtId="165" fontId="59" fillId="0" borderId="0" xfId="2" applyFont="1" applyAlignment="1" applyProtection="1">
      <alignment horizontal="center" vertical="top"/>
      <protection hidden="1"/>
    </xf>
    <xf numFmtId="165" fontId="39" fillId="0" borderId="0" xfId="2" applyFont="1" applyProtection="1">
      <protection hidden="1"/>
    </xf>
    <xf numFmtId="165" fontId="4" fillId="21" borderId="0" xfId="2" applyFill="1" applyProtection="1">
      <protection hidden="1"/>
    </xf>
    <xf numFmtId="165" fontId="4" fillId="21" borderId="0" xfId="2" applyFill="1" applyAlignment="1" applyProtection="1">
      <alignment horizontal="left" vertical="top"/>
      <protection hidden="1"/>
    </xf>
    <xf numFmtId="165" fontId="45" fillId="21" borderId="0" xfId="2" applyFont="1" applyFill="1" applyAlignment="1" applyProtection="1">
      <alignment horizontal="left" vertical="top"/>
      <protection hidden="1"/>
    </xf>
    <xf numFmtId="165" fontId="44" fillId="21" borderId="0" xfId="2" applyFont="1" applyFill="1" applyAlignment="1" applyProtection="1">
      <alignment horizontal="left" vertical="top"/>
      <protection hidden="1"/>
    </xf>
    <xf numFmtId="165" fontId="4" fillId="21" borderId="16" xfId="2" applyFill="1" applyBorder="1" applyProtection="1">
      <protection hidden="1"/>
    </xf>
    <xf numFmtId="165" fontId="44" fillId="0" borderId="0" xfId="2" applyFont="1" applyAlignment="1" applyProtection="1">
      <alignment wrapText="1"/>
      <protection hidden="1"/>
    </xf>
    <xf numFmtId="165" fontId="44" fillId="0" borderId="0" xfId="2" applyFont="1" applyProtection="1">
      <protection hidden="1"/>
    </xf>
    <xf numFmtId="165" fontId="44" fillId="0" borderId="0" xfId="2" applyFont="1" applyAlignment="1" applyProtection="1">
      <alignment horizontal="left" vertical="top" wrapText="1"/>
      <protection hidden="1"/>
    </xf>
    <xf numFmtId="165" fontId="12" fillId="16" borderId="0" xfId="2" applyFont="1" applyFill="1"/>
    <xf numFmtId="165" fontId="4" fillId="16" borderId="0" xfId="2" applyFill="1"/>
    <xf numFmtId="165" fontId="38" fillId="22" borderId="0" xfId="9" applyFont="1" applyFill="1" applyAlignment="1">
      <alignment horizontal="left" vertical="center" wrapText="1" indent="1"/>
    </xf>
    <xf numFmtId="165" fontId="40" fillId="16" borderId="0" xfId="2" applyFont="1" applyFill="1"/>
    <xf numFmtId="165" fontId="56" fillId="0" borderId="0" xfId="3" applyNumberFormat="1" applyFont="1" applyFill="1" applyBorder="1" applyAlignment="1">
      <alignment vertical="top"/>
    </xf>
    <xf numFmtId="165" fontId="12" fillId="16" borderId="0" xfId="2" applyFont="1" applyFill="1" applyAlignment="1">
      <alignment horizontal="left" indent="1"/>
    </xf>
    <xf numFmtId="165" fontId="43" fillId="0" borderId="0" xfId="2" applyFont="1" applyAlignment="1">
      <alignment horizontal="left" wrapText="1" indent="1"/>
    </xf>
    <xf numFmtId="165" fontId="40" fillId="16" borderId="0" xfId="2" applyFont="1" applyFill="1" applyAlignment="1">
      <alignment horizontal="left" indent="1"/>
    </xf>
    <xf numFmtId="165" fontId="40" fillId="0" borderId="0" xfId="2" quotePrefix="1" applyFont="1" applyAlignment="1">
      <alignment horizontal="left" wrapText="1" indent="1"/>
    </xf>
    <xf numFmtId="165" fontId="11" fillId="0" borderId="0" xfId="3" applyNumberFormat="1" applyFill="1" applyBorder="1" applyAlignment="1">
      <alignment horizontal="left" vertical="top" wrapText="1" indent="1"/>
    </xf>
    <xf numFmtId="165" fontId="4" fillId="16" borderId="0" xfId="2" applyFill="1" applyAlignment="1">
      <alignment horizontal="left" indent="1"/>
    </xf>
    <xf numFmtId="165" fontId="56" fillId="0" borderId="0" xfId="3" applyNumberFormat="1" applyFont="1" applyFill="1" applyBorder="1" applyAlignment="1">
      <alignment horizontal="left" vertical="top" wrapText="1" indent="1"/>
    </xf>
    <xf numFmtId="165" fontId="12" fillId="0" borderId="0" xfId="9" applyFont="1" applyAlignment="1">
      <alignment horizontal="left" vertical="center" wrapText="1" indent="1"/>
    </xf>
    <xf numFmtId="165" fontId="12" fillId="0" borderId="0" xfId="2" applyFont="1"/>
    <xf numFmtId="165" fontId="12" fillId="0" borderId="0" xfId="2" applyFont="1" applyAlignment="1">
      <alignment horizontal="left" indent="1"/>
    </xf>
    <xf numFmtId="167" fontId="43" fillId="0" borderId="0" xfId="9" applyNumberFormat="1" applyFont="1" applyAlignment="1">
      <alignment horizontal="left" wrapText="1" indent="1"/>
    </xf>
    <xf numFmtId="165" fontId="12" fillId="16" borderId="0" xfId="2" applyFont="1" applyFill="1" applyAlignment="1">
      <alignment wrapText="1"/>
    </xf>
    <xf numFmtId="165" fontId="12" fillId="16" borderId="0" xfId="2" applyFont="1" applyFill="1" applyAlignment="1">
      <alignment horizontal="left" wrapText="1" indent="1"/>
    </xf>
    <xf numFmtId="165" fontId="4" fillId="16" borderId="0" xfId="2" applyFill="1" applyAlignment="1">
      <alignment wrapText="1"/>
    </xf>
    <xf numFmtId="167" fontId="58" fillId="0" borderId="0" xfId="9" applyNumberFormat="1" applyFont="1" applyAlignment="1">
      <alignment horizontal="left" wrapText="1" indent="1"/>
    </xf>
    <xf numFmtId="165" fontId="11" fillId="0" borderId="0" xfId="3" applyAlignment="1">
      <alignment horizontal="left" vertical="center" wrapText="1" indent="1"/>
    </xf>
    <xf numFmtId="165" fontId="56" fillId="0" borderId="0" xfId="3" applyFont="1" applyAlignment="1">
      <alignment horizontal="left" vertical="center" wrapText="1" indent="1"/>
    </xf>
    <xf numFmtId="165" fontId="4" fillId="0" borderId="0" xfId="2" applyAlignment="1">
      <alignment horizontal="left" vertical="center" wrapText="1" indent="1"/>
    </xf>
    <xf numFmtId="165" fontId="43" fillId="0" borderId="0" xfId="2" applyFont="1" applyAlignment="1">
      <alignment horizontal="left" vertical="top" wrapText="1" indent="1"/>
    </xf>
    <xf numFmtId="165" fontId="43" fillId="0" borderId="0" xfId="1" applyFont="1" applyAlignment="1">
      <alignment horizontal="left" vertical="top" wrapText="1" indent="1"/>
    </xf>
    <xf numFmtId="167" fontId="56" fillId="16" borderId="0" xfId="3" applyNumberFormat="1" applyFont="1" applyFill="1" applyBorder="1" applyAlignment="1">
      <alignment horizontal="left" vertical="top" indent="1"/>
    </xf>
    <xf numFmtId="165" fontId="12" fillId="19" borderId="0" xfId="2" applyFont="1" applyFill="1" applyAlignment="1">
      <alignment horizontal="left" indent="1"/>
    </xf>
    <xf numFmtId="167" fontId="5" fillId="19" borderId="0" xfId="9" applyNumberFormat="1" applyFont="1" applyFill="1" applyAlignment="1">
      <alignment horizontal="left" indent="1"/>
    </xf>
    <xf numFmtId="167" fontId="43" fillId="0" borderId="0" xfId="9" applyNumberFormat="1" applyFont="1" applyAlignment="1">
      <alignment horizontal="left" indent="1"/>
    </xf>
    <xf numFmtId="165" fontId="40" fillId="0" borderId="0" xfId="8" applyFont="1" applyAlignment="1">
      <alignment horizontal="left" vertical="top" wrapText="1" indent="1"/>
    </xf>
    <xf numFmtId="165" fontId="6" fillId="16" borderId="0" xfId="2" applyFont="1" applyFill="1"/>
    <xf numFmtId="165" fontId="40" fillId="0" borderId="0" xfId="8" applyFont="1" applyAlignment="1">
      <alignment horizontal="left" indent="1"/>
    </xf>
    <xf numFmtId="165" fontId="41" fillId="25" borderId="0" xfId="2" applyFont="1" applyFill="1" applyAlignment="1">
      <alignment horizontal="left" vertical="top" wrapText="1" indent="1"/>
    </xf>
    <xf numFmtId="165" fontId="39" fillId="25" borderId="0" xfId="2" applyFont="1" applyFill="1" applyAlignment="1">
      <alignment horizontal="left" vertical="top" wrapText="1"/>
    </xf>
    <xf numFmtId="165" fontId="25" fillId="13" borderId="0" xfId="9" applyFont="1" applyFill="1" applyAlignment="1">
      <alignment horizontal="left" vertical="top" wrapText="1"/>
    </xf>
    <xf numFmtId="165" fontId="8" fillId="26" borderId="0" xfId="9" applyFont="1" applyFill="1" applyAlignment="1">
      <alignment horizontal="left" vertical="center" wrapText="1" indent="1"/>
    </xf>
    <xf numFmtId="165" fontId="38" fillId="27" borderId="0" xfId="9" applyFont="1" applyFill="1" applyAlignment="1">
      <alignment horizontal="left" vertical="center" wrapText="1" indent="1"/>
    </xf>
    <xf numFmtId="165" fontId="12" fillId="13" borderId="0" xfId="9" applyFont="1" applyFill="1" applyAlignment="1">
      <alignment horizontal="left" vertical="center" wrapText="1" indent="1"/>
    </xf>
    <xf numFmtId="165" fontId="53" fillId="13" borderId="0" xfId="9" applyFont="1" applyFill="1" applyAlignment="1">
      <alignment horizontal="left" vertical="center" wrapText="1" indent="1"/>
    </xf>
    <xf numFmtId="165" fontId="12" fillId="13" borderId="0" xfId="9" applyFont="1" applyFill="1" applyAlignment="1">
      <alignment horizontal="left" vertical="center" indent="1"/>
    </xf>
    <xf numFmtId="165" fontId="12" fillId="22" borderId="0" xfId="9" applyFont="1" applyFill="1" applyAlignment="1">
      <alignment horizontal="left" vertical="center" indent="1"/>
    </xf>
    <xf numFmtId="167" fontId="5" fillId="22" borderId="0" xfId="9" applyNumberFormat="1" applyFont="1" applyFill="1" applyAlignment="1">
      <alignment horizontal="left" indent="1"/>
    </xf>
    <xf numFmtId="165" fontId="40" fillId="16" borderId="0" xfId="2" applyFont="1" applyFill="1" applyAlignment="1">
      <alignment wrapText="1"/>
    </xf>
    <xf numFmtId="165" fontId="50" fillId="25" borderId="0" xfId="2" applyFont="1" applyFill="1" applyAlignment="1">
      <alignment horizontal="left" vertical="center" indent="1"/>
    </xf>
    <xf numFmtId="165" fontId="29" fillId="25" borderId="0" xfId="3" applyFont="1" applyFill="1" applyAlignment="1">
      <alignment horizontal="left" vertical="center"/>
    </xf>
    <xf numFmtId="165" fontId="50" fillId="25" borderId="0" xfId="2" applyFont="1" applyFill="1" applyAlignment="1">
      <alignment horizontal="left" vertical="center"/>
    </xf>
    <xf numFmtId="165" fontId="51" fillId="25" borderId="0" xfId="2" applyFont="1" applyFill="1" applyAlignment="1">
      <alignment vertical="center"/>
    </xf>
    <xf numFmtId="165" fontId="6" fillId="25" borderId="0" xfId="2" applyFont="1" applyFill="1" applyAlignment="1">
      <alignment vertical="center"/>
    </xf>
    <xf numFmtId="165" fontId="50" fillId="25" borderId="0" xfId="2" applyFont="1" applyFill="1" applyAlignment="1">
      <alignment horizontal="right" vertical="center" wrapText="1"/>
    </xf>
    <xf numFmtId="165" fontId="29" fillId="25" borderId="0" xfId="3" applyFont="1" applyFill="1" applyAlignment="1">
      <alignment horizontal="left" vertical="top" indent="1"/>
    </xf>
    <xf numFmtId="165" fontId="50" fillId="25" borderId="0" xfId="2" applyFont="1" applyFill="1" applyAlignment="1">
      <alignment horizontal="left" vertical="top" indent="1"/>
    </xf>
    <xf numFmtId="165" fontId="50" fillId="25" borderId="0" xfId="2" applyFont="1" applyFill="1"/>
    <xf numFmtId="165" fontId="40" fillId="25" borderId="0" xfId="2" applyFont="1" applyFill="1"/>
    <xf numFmtId="165" fontId="59" fillId="28" borderId="0" xfId="2" applyFont="1" applyFill="1" applyAlignment="1" applyProtection="1">
      <alignment horizontal="center" vertical="top"/>
      <protection hidden="1"/>
    </xf>
    <xf numFmtId="165" fontId="4" fillId="28" borderId="0" xfId="2" applyFill="1" applyProtection="1">
      <protection hidden="1"/>
    </xf>
    <xf numFmtId="165" fontId="13" fillId="22" borderId="0" xfId="9" applyFont="1" applyFill="1" applyAlignment="1">
      <alignment horizontal="left" vertical="center" wrapText="1"/>
    </xf>
    <xf numFmtId="165" fontId="41" fillId="16" borderId="0" xfId="2" applyFont="1" applyFill="1" applyAlignment="1">
      <alignment vertical="center" wrapText="1"/>
    </xf>
    <xf numFmtId="165" fontId="40" fillId="16" borderId="0" xfId="2" applyFont="1" applyFill="1" applyAlignment="1">
      <alignment vertical="center" wrapText="1"/>
    </xf>
    <xf numFmtId="165" fontId="11" fillId="16" borderId="0" xfId="3" applyFill="1" applyAlignment="1">
      <alignment vertical="center" wrapText="1"/>
    </xf>
    <xf numFmtId="165" fontId="41" fillId="16" borderId="0" xfId="2" applyFont="1" applyFill="1" applyAlignment="1">
      <alignment wrapText="1"/>
    </xf>
    <xf numFmtId="165" fontId="40" fillId="16" borderId="0" xfId="2" applyFont="1" applyFill="1" applyAlignment="1">
      <alignment vertical="top" wrapText="1"/>
    </xf>
    <xf numFmtId="165" fontId="4" fillId="0" borderId="0" xfId="2" applyAlignment="1" applyProtection="1">
      <alignment horizontal="center"/>
      <protection hidden="1"/>
    </xf>
    <xf numFmtId="165" fontId="9" fillId="18" borderId="0" xfId="2" applyFont="1" applyFill="1" applyAlignment="1" applyProtection="1">
      <alignment vertical="center" wrapText="1"/>
      <protection hidden="1"/>
    </xf>
    <xf numFmtId="165" fontId="37" fillId="18" borderId="0" xfId="2" applyFont="1" applyFill="1" applyProtection="1">
      <protection hidden="1"/>
    </xf>
    <xf numFmtId="165" fontId="9" fillId="18" borderId="0" xfId="2" applyFont="1" applyFill="1" applyAlignment="1" applyProtection="1">
      <alignment horizontal="left" vertical="center" wrapText="1"/>
      <protection hidden="1"/>
    </xf>
    <xf numFmtId="165" fontId="61" fillId="0" borderId="0" xfId="2" applyFont="1" applyAlignment="1" applyProtection="1">
      <alignment horizontal="center" vertical="top"/>
      <protection hidden="1"/>
    </xf>
    <xf numFmtId="165" fontId="61" fillId="16" borderId="0" xfId="2" applyFont="1" applyFill="1" applyAlignment="1" applyProtection="1">
      <alignment horizontal="center" vertical="top"/>
      <protection hidden="1"/>
    </xf>
    <xf numFmtId="165" fontId="4" fillId="0" borderId="0" xfId="2" applyAlignment="1" applyProtection="1">
      <alignment vertical="center"/>
      <protection hidden="1"/>
    </xf>
    <xf numFmtId="165" fontId="36" fillId="16" borderId="0" xfId="2" applyFont="1" applyFill="1" applyAlignment="1" applyProtection="1">
      <alignment vertical="center"/>
      <protection hidden="1"/>
    </xf>
    <xf numFmtId="165" fontId="36" fillId="0" borderId="0" xfId="2" applyFont="1" applyAlignment="1" applyProtection="1">
      <alignment horizontal="center" vertical="center"/>
      <protection hidden="1"/>
    </xf>
    <xf numFmtId="165" fontId="34" fillId="0" borderId="0" xfId="2" applyFont="1" applyProtection="1">
      <protection hidden="1"/>
    </xf>
    <xf numFmtId="165" fontId="4" fillId="29" borderId="0" xfId="2" applyFill="1" applyProtection="1">
      <protection hidden="1"/>
    </xf>
    <xf numFmtId="165" fontId="4" fillId="16" borderId="0" xfId="2" applyFill="1" applyAlignment="1" applyProtection="1">
      <alignment vertical="center"/>
      <protection hidden="1"/>
    </xf>
    <xf numFmtId="165" fontId="36" fillId="0" borderId="0" xfId="2" applyFont="1" applyAlignment="1" applyProtection="1">
      <alignment horizontal="center" vertical="top"/>
      <protection hidden="1"/>
    </xf>
    <xf numFmtId="165" fontId="36" fillId="16" borderId="0" xfId="2" applyFont="1" applyFill="1" applyAlignment="1" applyProtection="1">
      <alignment horizontal="center" vertical="top"/>
      <protection hidden="1"/>
    </xf>
    <xf numFmtId="165" fontId="48" fillId="0" borderId="0" xfId="2" applyFont="1" applyAlignment="1" applyProtection="1">
      <alignment horizontal="left" vertical="center"/>
      <protection hidden="1"/>
    </xf>
    <xf numFmtId="165" fontId="48" fillId="16" borderId="0" xfId="2" applyFont="1" applyFill="1" applyAlignment="1" applyProtection="1">
      <alignment horizontal="center" vertical="center"/>
      <protection hidden="1"/>
    </xf>
    <xf numFmtId="165" fontId="11" fillId="0" borderId="0" xfId="3" applyFill="1" applyAlignment="1">
      <alignment horizontal="center"/>
    </xf>
    <xf numFmtId="165" fontId="63" fillId="0" borderId="0" xfId="3" applyFont="1" applyFill="1" applyAlignment="1" applyProtection="1">
      <alignment vertical="center"/>
      <protection hidden="1"/>
    </xf>
    <xf numFmtId="165" fontId="63" fillId="16" borderId="0" xfId="3" applyFont="1" applyFill="1" applyAlignment="1" applyProtection="1">
      <alignment vertical="center"/>
      <protection hidden="1"/>
    </xf>
    <xf numFmtId="165" fontId="48" fillId="16" borderId="0" xfId="2" applyFont="1" applyFill="1" applyAlignment="1" applyProtection="1">
      <alignment horizontal="left" vertical="center"/>
      <protection hidden="1"/>
    </xf>
    <xf numFmtId="165" fontId="48" fillId="0" borderId="0" xfId="2" applyFont="1" applyAlignment="1" applyProtection="1">
      <alignment vertical="center"/>
      <protection hidden="1"/>
    </xf>
    <xf numFmtId="165" fontId="41" fillId="0" borderId="0" xfId="2" applyFont="1" applyAlignment="1">
      <alignment vertical="center" wrapText="1"/>
    </xf>
    <xf numFmtId="0" fontId="7" fillId="0" borderId="16" xfId="0" applyFont="1" applyBorder="1"/>
    <xf numFmtId="2" fontId="2" fillId="0" borderId="0" xfId="2" applyNumberFormat="1" applyFont="1" applyAlignment="1">
      <alignment horizontal="right" vertical="center"/>
    </xf>
    <xf numFmtId="165" fontId="4" fillId="0" borderId="0" xfId="2" applyAlignment="1">
      <alignment horizontal="left" vertical="top" wrapText="1"/>
    </xf>
    <xf numFmtId="165" fontId="25" fillId="31" borderId="0" xfId="9" applyFont="1" applyFill="1" applyAlignment="1">
      <alignment horizontal="left" vertical="top"/>
    </xf>
    <xf numFmtId="165" fontId="12" fillId="31" borderId="0" xfId="9" applyFont="1" applyFill="1" applyAlignment="1">
      <alignment horizontal="left" vertical="top" wrapText="1" indent="1"/>
    </xf>
    <xf numFmtId="165" fontId="64" fillId="28" borderId="0" xfId="3" applyFont="1" applyFill="1" applyAlignment="1" applyProtection="1">
      <alignment vertical="center"/>
      <protection hidden="1"/>
    </xf>
    <xf numFmtId="165" fontId="4" fillId="2" borderId="3" xfId="2" applyFill="1" applyBorder="1"/>
    <xf numFmtId="165" fontId="4" fillId="2" borderId="3" xfId="2" applyFill="1" applyBorder="1" applyAlignment="1">
      <alignment horizontal="left" vertical="top"/>
    </xf>
    <xf numFmtId="0" fontId="67" fillId="2" borderId="3" xfId="0" applyFont="1" applyFill="1" applyBorder="1" applyAlignment="1">
      <alignment horizontal="center" vertical="center"/>
    </xf>
    <xf numFmtId="0" fontId="30" fillId="2" borderId="0" xfId="0" applyFont="1" applyFill="1" applyAlignment="1">
      <alignment wrapText="1"/>
    </xf>
    <xf numFmtId="0" fontId="5" fillId="9" borderId="2" xfId="0" applyFont="1" applyFill="1" applyBorder="1" applyAlignment="1">
      <alignment wrapText="1"/>
    </xf>
    <xf numFmtId="4" fontId="5" fillId="0" borderId="6" xfId="0" applyNumberFormat="1" applyFont="1" applyBorder="1" applyAlignment="1">
      <alignment wrapText="1"/>
    </xf>
    <xf numFmtId="2" fontId="5" fillId="0" borderId="17" xfId="0" applyNumberFormat="1" applyFont="1" applyBorder="1" applyAlignment="1">
      <alignment wrapText="1"/>
    </xf>
    <xf numFmtId="2" fontId="5" fillId="0" borderId="64" xfId="0" applyNumberFormat="1" applyFont="1" applyBorder="1" applyAlignment="1">
      <alignment wrapText="1"/>
    </xf>
    <xf numFmtId="2" fontId="5" fillId="0" borderId="18" xfId="0" applyNumberFormat="1" applyFont="1" applyBorder="1" applyAlignment="1">
      <alignment wrapText="1"/>
    </xf>
    <xf numFmtId="2" fontId="5" fillId="0" borderId="6" xfId="0" applyNumberFormat="1" applyFont="1" applyBorder="1" applyAlignment="1">
      <alignment wrapText="1"/>
    </xf>
    <xf numFmtId="165" fontId="6" fillId="2" borderId="14" xfId="8" applyFont="1" applyFill="1" applyBorder="1" applyAlignment="1">
      <alignment horizontal="center" vertical="center" wrapText="1"/>
    </xf>
    <xf numFmtId="165" fontId="5" fillId="2" borderId="6" xfId="8" applyFont="1" applyFill="1" applyBorder="1" applyAlignment="1">
      <alignment horizontal="center" vertical="center" wrapText="1"/>
    </xf>
    <xf numFmtId="166" fontId="10" fillId="0" borderId="57" xfId="0" applyNumberFormat="1" applyFont="1" applyBorder="1" applyAlignment="1">
      <alignment vertical="center"/>
    </xf>
    <xf numFmtId="165" fontId="12" fillId="2" borderId="15" xfId="1" applyFont="1" applyFill="1" applyBorder="1" applyAlignment="1">
      <alignment horizontal="left" vertical="top" wrapText="1" indent="1"/>
    </xf>
    <xf numFmtId="165" fontId="6" fillId="2" borderId="7" xfId="8" applyFont="1" applyFill="1" applyBorder="1" applyAlignment="1">
      <alignment horizontal="center" vertical="center" wrapText="1"/>
    </xf>
    <xf numFmtId="165" fontId="5" fillId="2" borderId="18" xfId="8" applyFont="1" applyFill="1" applyBorder="1" applyAlignment="1">
      <alignment horizontal="center" vertical="center" wrapText="1"/>
    </xf>
    <xf numFmtId="165" fontId="4" fillId="2" borderId="3" xfId="8" applyFill="1" applyBorder="1"/>
    <xf numFmtId="0" fontId="0" fillId="2" borderId="2" xfId="0" applyFill="1" applyBorder="1"/>
    <xf numFmtId="4" fontId="2" fillId="0" borderId="0" xfId="2" applyNumberFormat="1" applyFont="1" applyAlignment="1">
      <alignment horizontal="right" vertical="center"/>
    </xf>
    <xf numFmtId="10" fontId="2" fillId="0" borderId="0" xfId="0" applyNumberFormat="1" applyFont="1"/>
    <xf numFmtId="4" fontId="5" fillId="0" borderId="18" xfId="0" applyNumberFormat="1" applyFont="1" applyBorder="1" applyAlignment="1">
      <alignment wrapText="1"/>
    </xf>
    <xf numFmtId="2" fontId="7" fillId="0" borderId="0" xfId="2" applyNumberFormat="1" applyFont="1" applyAlignment="1">
      <alignment vertical="center"/>
    </xf>
    <xf numFmtId="170" fontId="7" fillId="0" borderId="0" xfId="2" applyNumberFormat="1" applyFont="1" applyAlignment="1">
      <alignment vertical="center"/>
    </xf>
    <xf numFmtId="2" fontId="5" fillId="0" borderId="3" xfId="2" applyNumberFormat="1" applyFont="1" applyBorder="1" applyAlignment="1">
      <alignment horizontal="right" vertical="center" wrapText="1"/>
    </xf>
    <xf numFmtId="2" fontId="10" fillId="0" borderId="3" xfId="2" applyNumberFormat="1" applyFont="1" applyBorder="1" applyAlignment="1">
      <alignment vertical="center"/>
    </xf>
    <xf numFmtId="2" fontId="10" fillId="0" borderId="6" xfId="2" applyNumberFormat="1" applyFont="1" applyBorder="1" applyAlignment="1">
      <alignment vertical="center"/>
    </xf>
    <xf numFmtId="165" fontId="17" fillId="16" borderId="0" xfId="2" applyFont="1" applyFill="1" applyAlignment="1">
      <alignment vertical="center" wrapText="1"/>
    </xf>
    <xf numFmtId="0" fontId="2" fillId="9" borderId="3" xfId="0" applyFont="1" applyFill="1" applyBorder="1"/>
    <xf numFmtId="0" fontId="10" fillId="9" borderId="6" xfId="0" applyFont="1" applyFill="1" applyBorder="1" applyAlignment="1">
      <alignment horizontal="center" wrapText="1"/>
    </xf>
    <xf numFmtId="0" fontId="10" fillId="9" borderId="18" xfId="0" applyFont="1" applyFill="1" applyBorder="1" applyAlignment="1">
      <alignment horizontal="center" wrapText="1"/>
    </xf>
    <xf numFmtId="0" fontId="2" fillId="9" borderId="18" xfId="0" applyFont="1" applyFill="1" applyBorder="1"/>
    <xf numFmtId="0" fontId="5" fillId="12" borderId="0" xfId="0" applyFont="1" applyFill="1"/>
    <xf numFmtId="0" fontId="7" fillId="12" borderId="0" xfId="0" applyFont="1" applyFill="1" applyAlignment="1">
      <alignment wrapText="1"/>
    </xf>
    <xf numFmtId="0" fontId="7" fillId="12" borderId="0" xfId="0" applyFont="1" applyFill="1"/>
    <xf numFmtId="0" fontId="7" fillId="12" borderId="1" xfId="0" applyFont="1" applyFill="1" applyBorder="1"/>
    <xf numFmtId="0" fontId="5" fillId="9" borderId="0" xfId="0" applyFont="1" applyFill="1" applyAlignment="1">
      <alignment wrapText="1"/>
    </xf>
    <xf numFmtId="0" fontId="5" fillId="9" borderId="1" xfId="0" applyFont="1" applyFill="1" applyBorder="1" applyAlignment="1">
      <alignment wrapText="1"/>
    </xf>
    <xf numFmtId="0" fontId="5" fillId="9" borderId="5" xfId="0" applyFont="1" applyFill="1" applyBorder="1" applyAlignment="1">
      <alignment wrapText="1"/>
    </xf>
    <xf numFmtId="0" fontId="2" fillId="9" borderId="21" xfId="0" applyFont="1" applyFill="1" applyBorder="1"/>
    <xf numFmtId="0" fontId="2" fillId="0" borderId="22" xfId="0" applyFont="1" applyBorder="1" applyAlignment="1">
      <alignment wrapText="1"/>
    </xf>
    <xf numFmtId="164" fontId="2" fillId="0" borderId="0" xfId="0" applyNumberFormat="1" applyFont="1"/>
    <xf numFmtId="164" fontId="2" fillId="0" borderId="31" xfId="0" applyNumberFormat="1" applyFont="1" applyBorder="1"/>
    <xf numFmtId="164" fontId="2" fillId="0" borderId="32" xfId="0" applyNumberFormat="1" applyFont="1" applyBorder="1"/>
    <xf numFmtId="9" fontId="2" fillId="0" borderId="23" xfId="0" applyNumberFormat="1" applyFont="1" applyBorder="1"/>
    <xf numFmtId="9" fontId="2" fillId="4" borderId="23" xfId="0" applyNumberFormat="1" applyFont="1" applyFill="1" applyBorder="1"/>
    <xf numFmtId="164" fontId="5" fillId="12" borderId="0" xfId="0" applyNumberFormat="1" applyFont="1" applyFill="1"/>
    <xf numFmtId="0" fontId="5" fillId="12" borderId="1" xfId="0" applyFont="1" applyFill="1" applyBorder="1"/>
    <xf numFmtId="164" fontId="5" fillId="9" borderId="0" xfId="0" applyNumberFormat="1" applyFont="1" applyFill="1" applyAlignment="1">
      <alignment wrapText="1"/>
    </xf>
    <xf numFmtId="164" fontId="5" fillId="9" borderId="24" xfId="0" applyNumberFormat="1" applyFont="1" applyFill="1" applyBorder="1" applyAlignment="1">
      <alignment wrapText="1"/>
    </xf>
    <xf numFmtId="164" fontId="2" fillId="0" borderId="35" xfId="0" applyNumberFormat="1" applyFont="1" applyBorder="1"/>
    <xf numFmtId="164" fontId="5" fillId="9" borderId="27" xfId="0" applyNumberFormat="1" applyFont="1" applyFill="1" applyBorder="1" applyAlignment="1">
      <alignment wrapText="1"/>
    </xf>
    <xf numFmtId="0" fontId="5" fillId="9" borderId="28" xfId="0" applyFont="1" applyFill="1" applyBorder="1" applyAlignment="1">
      <alignment wrapText="1"/>
    </xf>
    <xf numFmtId="164" fontId="2" fillId="0" borderId="25" xfId="0" applyNumberFormat="1" applyFont="1" applyBorder="1"/>
    <xf numFmtId="9" fontId="2" fillId="0" borderId="26" xfId="0" applyNumberFormat="1" applyFont="1" applyBorder="1"/>
    <xf numFmtId="0" fontId="5" fillId="3" borderId="0" xfId="0" applyFont="1" applyFill="1" applyAlignment="1">
      <alignment wrapText="1"/>
    </xf>
    <xf numFmtId="164" fontId="2" fillId="3" borderId="0" xfId="0" applyNumberFormat="1" applyFont="1" applyFill="1"/>
    <xf numFmtId="9" fontId="2" fillId="3" borderId="23" xfId="0" applyNumberFormat="1" applyFont="1" applyFill="1" applyBorder="1"/>
    <xf numFmtId="0" fontId="5" fillId="3" borderId="4" xfId="0" applyFont="1" applyFill="1" applyBorder="1" applyAlignment="1">
      <alignment wrapText="1"/>
    </xf>
    <xf numFmtId="164" fontId="5" fillId="0" borderId="4" xfId="0" applyNumberFormat="1" applyFont="1" applyBorder="1" applyAlignment="1">
      <alignment horizontal="right" wrapText="1"/>
    </xf>
    <xf numFmtId="0" fontId="10" fillId="9" borderId="36" xfId="0" applyFont="1" applyFill="1" applyBorder="1" applyAlignment="1">
      <alignment wrapText="1"/>
    </xf>
    <xf numFmtId="0" fontId="2" fillId="9" borderId="36" xfId="0" applyFont="1" applyFill="1" applyBorder="1"/>
    <xf numFmtId="0" fontId="10" fillId="9" borderId="53" xfId="0" applyFont="1" applyFill="1" applyBorder="1" applyAlignment="1">
      <alignment horizontal="center" wrapText="1"/>
    </xf>
    <xf numFmtId="0" fontId="10" fillId="9" borderId="52" xfId="0" applyFont="1" applyFill="1" applyBorder="1" applyAlignment="1">
      <alignment horizontal="center" wrapText="1"/>
    </xf>
    <xf numFmtId="164" fontId="5" fillId="0" borderId="3" xfId="0" applyNumberFormat="1" applyFont="1" applyBorder="1" applyAlignment="1">
      <alignment wrapText="1"/>
    </xf>
    <xf numFmtId="164" fontId="5" fillId="0" borderId="51" xfId="0" applyNumberFormat="1" applyFont="1" applyBorder="1" applyAlignment="1">
      <alignment wrapText="1"/>
    </xf>
    <xf numFmtId="164" fontId="7" fillId="0" borderId="0" xfId="0" applyNumberFormat="1" applyFont="1"/>
    <xf numFmtId="0" fontId="5" fillId="9" borderId="40" xfId="0" applyFont="1" applyFill="1" applyBorder="1" applyAlignment="1">
      <alignment horizontal="center" wrapText="1"/>
    </xf>
    <xf numFmtId="0" fontId="5" fillId="9" borderId="45" xfId="0" applyFont="1" applyFill="1" applyBorder="1" applyAlignment="1">
      <alignment horizontal="center" wrapText="1"/>
    </xf>
    <xf numFmtId="164" fontId="2" fillId="0" borderId="45" xfId="0" applyNumberFormat="1" applyFont="1" applyBorder="1"/>
    <xf numFmtId="164" fontId="5" fillId="0" borderId="50" xfId="0" applyNumberFormat="1" applyFont="1" applyBorder="1" applyAlignment="1">
      <alignment wrapText="1"/>
    </xf>
    <xf numFmtId="0" fontId="10" fillId="9" borderId="41" xfId="0" applyFont="1" applyFill="1" applyBorder="1" applyAlignment="1">
      <alignment wrapText="1"/>
    </xf>
    <xf numFmtId="0" fontId="7" fillId="0" borderId="42" xfId="0" applyFont="1" applyBorder="1"/>
    <xf numFmtId="10" fontId="5" fillId="0" borderId="3" xfId="0" applyNumberFormat="1" applyFont="1" applyBorder="1" applyAlignment="1">
      <alignment wrapText="1"/>
    </xf>
    <xf numFmtId="0" fontId="5" fillId="9" borderId="15" xfId="0" applyFont="1" applyFill="1" applyBorder="1"/>
    <xf numFmtId="4" fontId="5" fillId="0" borderId="3" xfId="0" applyNumberFormat="1" applyFont="1" applyBorder="1" applyAlignment="1">
      <alignment wrapText="1"/>
    </xf>
    <xf numFmtId="165" fontId="4" fillId="2" borderId="6" xfId="2" applyFill="1" applyBorder="1"/>
    <xf numFmtId="0" fontId="10" fillId="9" borderId="17" xfId="0" applyFont="1" applyFill="1" applyBorder="1" applyAlignment="1">
      <alignment horizontal="center" vertical="center" wrapText="1"/>
    </xf>
    <xf numFmtId="0" fontId="10" fillId="9" borderId="3" xfId="0" applyFont="1" applyFill="1" applyBorder="1" applyAlignment="1">
      <alignment horizontal="center" vertical="center" wrapText="1"/>
    </xf>
    <xf numFmtId="0" fontId="10" fillId="9" borderId="18" xfId="0" applyFont="1" applyFill="1" applyBorder="1" applyAlignment="1">
      <alignment horizontal="center" vertical="center" wrapText="1"/>
    </xf>
    <xf numFmtId="167" fontId="4" fillId="0" borderId="0" xfId="2" applyNumberFormat="1" applyAlignment="1">
      <alignment horizontal="right"/>
    </xf>
    <xf numFmtId="0" fontId="1" fillId="0" borderId="5" xfId="4" applyBorder="1"/>
    <xf numFmtId="165" fontId="4" fillId="2" borderId="2" xfId="2" applyFill="1" applyBorder="1"/>
    <xf numFmtId="2" fontId="5" fillId="0" borderId="47" xfId="0" applyNumberFormat="1" applyFont="1" applyBorder="1" applyAlignment="1">
      <alignment wrapText="1"/>
    </xf>
    <xf numFmtId="165" fontId="2" fillId="0" borderId="16" xfId="9" applyBorder="1" applyAlignment="1">
      <alignment horizontal="left"/>
    </xf>
    <xf numFmtId="166" fontId="7" fillId="0" borderId="0" xfId="0" applyNumberFormat="1" applyFont="1"/>
    <xf numFmtId="166" fontId="2" fillId="0" borderId="0" xfId="8" applyNumberFormat="1" applyFont="1"/>
    <xf numFmtId="166" fontId="2" fillId="0" borderId="4" xfId="8" applyNumberFormat="1" applyFont="1" applyBorder="1"/>
    <xf numFmtId="165" fontId="4" fillId="20" borderId="0" xfId="2" applyFill="1"/>
    <xf numFmtId="165" fontId="73" fillId="0" borderId="0" xfId="2" applyFont="1"/>
    <xf numFmtId="2" fontId="73" fillId="0" borderId="0" xfId="2" applyNumberFormat="1" applyFont="1"/>
    <xf numFmtId="0" fontId="15" fillId="8" borderId="0" xfId="0" applyFont="1" applyFill="1"/>
    <xf numFmtId="2" fontId="7" fillId="0" borderId="0" xfId="2" applyNumberFormat="1" applyFont="1"/>
    <xf numFmtId="165" fontId="4" fillId="6" borderId="0" xfId="2" applyFill="1" applyAlignment="1">
      <alignment horizontal="left" vertical="top"/>
    </xf>
    <xf numFmtId="165" fontId="5" fillId="7" borderId="0" xfId="1" applyFont="1" applyFill="1" applyAlignment="1">
      <alignment horizontal="left" vertical="top"/>
    </xf>
    <xf numFmtId="165" fontId="4" fillId="7" borderId="0" xfId="2" applyFill="1"/>
    <xf numFmtId="165" fontId="4" fillId="7" borderId="0" xfId="2" applyFill="1" applyAlignment="1">
      <alignment horizontal="left" vertical="top"/>
    </xf>
    <xf numFmtId="0" fontId="0" fillId="0" borderId="0" xfId="0" applyAlignment="1">
      <alignment vertical="center"/>
    </xf>
    <xf numFmtId="0" fontId="10" fillId="9" borderId="0" xfId="0" applyFont="1" applyFill="1" applyAlignment="1">
      <alignment wrapText="1"/>
    </xf>
    <xf numFmtId="0" fontId="0" fillId="2" borderId="57" xfId="0" applyFill="1" applyBorder="1"/>
    <xf numFmtId="4" fontId="5" fillId="0" borderId="46" xfId="0" applyNumberFormat="1" applyFont="1" applyBorder="1" applyAlignment="1">
      <alignment wrapText="1"/>
    </xf>
    <xf numFmtId="4" fontId="4" fillId="0" borderId="0" xfId="2" applyNumberFormat="1" applyAlignment="1">
      <alignment horizontal="right" wrapText="1"/>
    </xf>
    <xf numFmtId="0" fontId="5" fillId="9" borderId="8" xfId="0" applyFont="1" applyFill="1" applyBorder="1" applyAlignment="1">
      <alignment wrapText="1"/>
    </xf>
    <xf numFmtId="178" fontId="4" fillId="0" borderId="0" xfId="0" applyNumberFormat="1" applyFont="1"/>
    <xf numFmtId="0" fontId="5" fillId="9" borderId="17" xfId="0" applyFont="1" applyFill="1" applyBorder="1" applyAlignment="1">
      <alignment horizontal="left" vertical="top" wrapText="1"/>
    </xf>
    <xf numFmtId="0" fontId="7" fillId="0" borderId="32" xfId="0" applyFont="1" applyBorder="1"/>
    <xf numFmtId="0" fontId="14" fillId="8" borderId="0" xfId="0" applyFont="1" applyFill="1" applyAlignment="1">
      <alignment horizontal="left" vertical="center" wrapText="1"/>
    </xf>
    <xf numFmtId="164" fontId="21" fillId="10" borderId="33" xfId="0" applyNumberFormat="1" applyFont="1" applyFill="1" applyBorder="1" applyAlignment="1">
      <alignment horizontal="left" indent="2"/>
    </xf>
    <xf numFmtId="0" fontId="0" fillId="2" borderId="18" xfId="0" applyFill="1" applyBorder="1"/>
    <xf numFmtId="164" fontId="2" fillId="0" borderId="8" xfId="0" applyNumberFormat="1" applyFont="1" applyBorder="1"/>
    <xf numFmtId="164" fontId="2" fillId="0" borderId="29" xfId="0" applyNumberFormat="1" applyFont="1" applyBorder="1"/>
    <xf numFmtId="0" fontId="5" fillId="9" borderId="6" xfId="0" applyFont="1" applyFill="1" applyBorder="1" applyAlignment="1">
      <alignment horizontal="center" wrapText="1"/>
    </xf>
    <xf numFmtId="10" fontId="2" fillId="0" borderId="8" xfId="0" applyNumberFormat="1" applyFont="1" applyBorder="1"/>
    <xf numFmtId="10" fontId="5" fillId="0" borderId="55" xfId="0" applyNumberFormat="1" applyFont="1" applyBorder="1" applyAlignment="1">
      <alignment wrapText="1"/>
    </xf>
    <xf numFmtId="0" fontId="5" fillId="9" borderId="17" xfId="0" applyFont="1" applyFill="1" applyBorder="1" applyAlignment="1">
      <alignment horizontal="center" wrapText="1"/>
    </xf>
    <xf numFmtId="4" fontId="73" fillId="0" borderId="8" xfId="2" applyNumberFormat="1" applyFont="1" applyBorder="1" applyAlignment="1">
      <alignment horizontal="right" vertical="center"/>
    </xf>
    <xf numFmtId="4" fontId="4" fillId="0" borderId="8" xfId="2" applyNumberFormat="1" applyBorder="1" applyAlignment="1">
      <alignment horizontal="right" vertical="center"/>
    </xf>
    <xf numFmtId="167" fontId="0" fillId="0" borderId="8" xfId="6" applyNumberFormat="1" applyFont="1" applyBorder="1" applyAlignment="1">
      <alignment horizontal="right" wrapText="1"/>
    </xf>
    <xf numFmtId="4" fontId="0" fillId="0" borderId="8" xfId="6" applyNumberFormat="1" applyFont="1" applyBorder="1" applyAlignment="1">
      <alignment horizontal="right" wrapText="1"/>
    </xf>
    <xf numFmtId="0" fontId="0" fillId="14" borderId="0" xfId="0" applyFill="1"/>
    <xf numFmtId="3" fontId="4" fillId="0" borderId="0" xfId="0" applyNumberFormat="1" applyFont="1"/>
    <xf numFmtId="165" fontId="8" fillId="23" borderId="0" xfId="9" applyFont="1" applyFill="1" applyAlignment="1">
      <alignment horizontal="left" vertical="center" wrapText="1" indent="1"/>
    </xf>
    <xf numFmtId="1" fontId="2" fillId="14" borderId="3" xfId="0" applyNumberFormat="1" applyFont="1" applyFill="1" applyBorder="1" applyAlignment="1">
      <alignment horizontal="right" vertical="center"/>
    </xf>
    <xf numFmtId="1" fontId="2" fillId="14" borderId="20" xfId="0" applyNumberFormat="1" applyFont="1" applyFill="1" applyBorder="1" applyAlignment="1">
      <alignment horizontal="right" vertical="center"/>
    </xf>
    <xf numFmtId="0" fontId="6" fillId="14" borderId="9" xfId="0" applyFont="1" applyFill="1" applyBorder="1" applyAlignment="1">
      <alignment horizontal="right" vertical="center"/>
    </xf>
    <xf numFmtId="1" fontId="2" fillId="14" borderId="9" xfId="0" applyNumberFormat="1" applyFont="1" applyFill="1" applyBorder="1" applyAlignment="1">
      <alignment horizontal="right" vertical="center"/>
    </xf>
    <xf numFmtId="0" fontId="7" fillId="14" borderId="0" xfId="0" applyFont="1" applyFill="1"/>
    <xf numFmtId="0" fontId="2" fillId="14" borderId="0" xfId="0" applyFont="1" applyFill="1"/>
    <xf numFmtId="165" fontId="4" fillId="14" borderId="0" xfId="2" applyFill="1"/>
    <xf numFmtId="0" fontId="10" fillId="14" borderId="0" xfId="0" applyFont="1" applyFill="1"/>
    <xf numFmtId="165" fontId="6" fillId="14" borderId="0" xfId="2" applyFont="1" applyFill="1" applyAlignment="1">
      <alignment horizontal="center" vertical="center" wrapText="1"/>
    </xf>
    <xf numFmtId="165" fontId="6" fillId="14" borderId="4" xfId="2" applyFont="1" applyFill="1" applyBorder="1" applyAlignment="1">
      <alignment horizontal="center" vertical="center" wrapText="1"/>
    </xf>
    <xf numFmtId="1" fontId="2" fillId="14" borderId="4" xfId="0" applyNumberFormat="1" applyFont="1" applyFill="1" applyBorder="1" applyAlignment="1">
      <alignment horizontal="right" vertical="center"/>
    </xf>
    <xf numFmtId="2" fontId="2" fillId="14" borderId="0" xfId="0" applyNumberFormat="1" applyFont="1" applyFill="1"/>
    <xf numFmtId="1" fontId="5" fillId="14" borderId="3" xfId="0" applyNumberFormat="1" applyFont="1" applyFill="1" applyBorder="1" applyAlignment="1">
      <alignment horizontal="right" vertical="center"/>
    </xf>
    <xf numFmtId="0" fontId="0" fillId="14" borderId="0" xfId="0" applyFill="1" applyAlignment="1">
      <alignment vertical="center"/>
    </xf>
    <xf numFmtId="0" fontId="6" fillId="14" borderId="3" xfId="0" applyFont="1" applyFill="1" applyBorder="1" applyAlignment="1">
      <alignment horizontal="right" vertical="center"/>
    </xf>
    <xf numFmtId="0" fontId="6" fillId="14" borderId="20" xfId="0" applyFont="1" applyFill="1" applyBorder="1" applyAlignment="1">
      <alignment horizontal="right" vertical="center"/>
    </xf>
    <xf numFmtId="169" fontId="2" fillId="14" borderId="0" xfId="0" applyNumberFormat="1" applyFont="1" applyFill="1"/>
    <xf numFmtId="166" fontId="2" fillId="14" borderId="0" xfId="2" applyNumberFormat="1" applyFont="1" applyFill="1" applyAlignment="1">
      <alignment horizontal="right" vertical="center"/>
    </xf>
    <xf numFmtId="169" fontId="4" fillId="14" borderId="3" xfId="33964" applyNumberFormat="1" applyFont="1" applyFill="1" applyBorder="1" applyAlignment="1">
      <alignment horizontal="right" vertical="center"/>
    </xf>
    <xf numFmtId="169" fontId="4" fillId="14" borderId="9" xfId="33964" applyNumberFormat="1" applyFont="1" applyFill="1" applyBorder="1" applyAlignment="1">
      <alignment horizontal="right" vertical="center"/>
    </xf>
    <xf numFmtId="4" fontId="73" fillId="0" borderId="0" xfId="2" applyNumberFormat="1" applyFont="1" applyAlignment="1">
      <alignment horizontal="right" wrapText="1"/>
    </xf>
    <xf numFmtId="1" fontId="7" fillId="0" borderId="0" xfId="0" applyNumberFormat="1" applyFont="1"/>
    <xf numFmtId="0" fontId="7" fillId="9" borderId="5" xfId="0" applyFont="1" applyFill="1" applyBorder="1"/>
    <xf numFmtId="0" fontId="10" fillId="9" borderId="17" xfId="0" applyFont="1" applyFill="1" applyBorder="1"/>
    <xf numFmtId="0" fontId="10" fillId="9" borderId="6" xfId="0" applyFont="1" applyFill="1" applyBorder="1"/>
    <xf numFmtId="4" fontId="4" fillId="14" borderId="3" xfId="0" applyNumberFormat="1" applyFont="1" applyFill="1" applyBorder="1" applyAlignment="1">
      <alignment horizontal="right" vertical="center"/>
    </xf>
    <xf numFmtId="4" fontId="4" fillId="14" borderId="20" xfId="0" applyNumberFormat="1" applyFont="1" applyFill="1" applyBorder="1" applyAlignment="1">
      <alignment horizontal="right" vertical="center"/>
    </xf>
    <xf numFmtId="4" fontId="4" fillId="14" borderId="9" xfId="0" applyNumberFormat="1" applyFont="1" applyFill="1" applyBorder="1" applyAlignment="1">
      <alignment horizontal="right" vertical="center"/>
    </xf>
    <xf numFmtId="2" fontId="7" fillId="0" borderId="8" xfId="0" applyNumberFormat="1" applyFont="1" applyBorder="1"/>
    <xf numFmtId="0" fontId="10" fillId="9" borderId="6" xfId="0" applyFont="1" applyFill="1" applyBorder="1" applyAlignment="1">
      <alignment wrapText="1"/>
    </xf>
    <xf numFmtId="4" fontId="5" fillId="0" borderId="53" xfId="0" applyNumberFormat="1" applyFont="1" applyBorder="1" applyAlignment="1">
      <alignment wrapText="1"/>
    </xf>
    <xf numFmtId="4" fontId="5" fillId="0" borderId="99" xfId="0" applyNumberFormat="1" applyFont="1" applyBorder="1" applyAlignment="1">
      <alignment wrapText="1"/>
    </xf>
    <xf numFmtId="1" fontId="7" fillId="0" borderId="16" xfId="0" applyNumberFormat="1" applyFont="1" applyBorder="1"/>
    <xf numFmtId="1" fontId="7" fillId="0" borderId="8" xfId="0" applyNumberFormat="1" applyFont="1" applyBorder="1"/>
    <xf numFmtId="4" fontId="7" fillId="0" borderId="0" xfId="0" applyNumberFormat="1" applyFont="1"/>
    <xf numFmtId="4" fontId="7" fillId="0" borderId="16" xfId="0" applyNumberFormat="1" applyFont="1" applyBorder="1"/>
    <xf numFmtId="4" fontId="7" fillId="0" borderId="8" xfId="0" applyNumberFormat="1" applyFont="1" applyBorder="1"/>
    <xf numFmtId="4" fontId="10" fillId="9" borderId="3" xfId="0" applyNumberFormat="1" applyFont="1" applyFill="1" applyBorder="1"/>
    <xf numFmtId="4" fontId="10" fillId="9" borderId="17" xfId="0" applyNumberFormat="1" applyFont="1" applyFill="1" applyBorder="1"/>
    <xf numFmtId="4" fontId="10" fillId="9" borderId="6" xfId="0" applyNumberFormat="1" applyFont="1" applyFill="1" applyBorder="1"/>
    <xf numFmtId="4" fontId="7" fillId="0" borderId="60" xfId="0" applyNumberFormat="1" applyFont="1" applyBorder="1"/>
    <xf numFmtId="4" fontId="7" fillId="0" borderId="32" xfId="0" applyNumberFormat="1" applyFont="1" applyBorder="1"/>
    <xf numFmtId="10" fontId="7" fillId="0" borderId="16" xfId="0" applyNumberFormat="1" applyFont="1" applyBorder="1"/>
    <xf numFmtId="9" fontId="10" fillId="9" borderId="17" xfId="0" applyNumberFormat="1" applyFont="1" applyFill="1" applyBorder="1"/>
    <xf numFmtId="10" fontId="7" fillId="0" borderId="8" xfId="0" applyNumberFormat="1" applyFont="1" applyBorder="1"/>
    <xf numFmtId="9" fontId="10" fillId="9" borderId="6" xfId="0" applyNumberFormat="1" applyFont="1" applyFill="1" applyBorder="1"/>
    <xf numFmtId="2" fontId="4" fillId="0" borderId="0" xfId="2" applyNumberFormat="1" applyAlignment="1">
      <alignment horizontal="center"/>
    </xf>
    <xf numFmtId="4" fontId="7" fillId="0" borderId="61" xfId="0" applyNumberFormat="1" applyFont="1" applyBorder="1"/>
    <xf numFmtId="4" fontId="7" fillId="0" borderId="25" xfId="0" applyNumberFormat="1" applyFont="1" applyBorder="1"/>
    <xf numFmtId="4" fontId="35" fillId="0" borderId="0" xfId="0" applyNumberFormat="1" applyFont="1"/>
    <xf numFmtId="4" fontId="7" fillId="0" borderId="4" xfId="0" applyNumberFormat="1" applyFont="1" applyBorder="1"/>
    <xf numFmtId="4" fontId="7" fillId="0" borderId="59" xfId="0" applyNumberFormat="1" applyFont="1" applyBorder="1"/>
    <xf numFmtId="4" fontId="7" fillId="0" borderId="0" xfId="2" applyNumberFormat="1" applyFont="1" applyAlignment="1">
      <alignment vertical="center"/>
    </xf>
    <xf numFmtId="4" fontId="5" fillId="0" borderId="64" xfId="0" applyNumberFormat="1" applyFont="1" applyBorder="1" applyAlignment="1">
      <alignment wrapText="1"/>
    </xf>
    <xf numFmtId="4" fontId="2" fillId="0" borderId="0" xfId="0" applyNumberFormat="1" applyFont="1"/>
    <xf numFmtId="4" fontId="5" fillId="0" borderId="17" xfId="0" applyNumberFormat="1" applyFont="1" applyBorder="1" applyAlignment="1">
      <alignment wrapText="1"/>
    </xf>
    <xf numFmtId="0" fontId="7" fillId="30" borderId="0" xfId="0" applyFont="1" applyFill="1"/>
    <xf numFmtId="0" fontId="0" fillId="30" borderId="0" xfId="0" applyFill="1"/>
    <xf numFmtId="0" fontId="0" fillId="2" borderId="7" xfId="0" applyFill="1" applyBorder="1"/>
    <xf numFmtId="0" fontId="7" fillId="12" borderId="8" xfId="0" applyFont="1" applyFill="1" applyBorder="1"/>
    <xf numFmtId="164" fontId="2" fillId="0" borderId="60" xfId="0" applyNumberFormat="1" applyFont="1" applyBorder="1"/>
    <xf numFmtId="164" fontId="21" fillId="10" borderId="95" xfId="0" applyNumberFormat="1" applyFont="1" applyFill="1" applyBorder="1"/>
    <xf numFmtId="164" fontId="2" fillId="0" borderId="97" xfId="0" applyNumberFormat="1" applyFont="1" applyBorder="1"/>
    <xf numFmtId="164" fontId="21" fillId="10" borderId="60" xfId="0" applyNumberFormat="1" applyFont="1" applyFill="1" applyBorder="1"/>
    <xf numFmtId="164" fontId="2" fillId="3" borderId="60" xfId="0" applyNumberFormat="1" applyFont="1" applyFill="1" applyBorder="1"/>
    <xf numFmtId="164" fontId="2" fillId="0" borderId="106" xfId="0" applyNumberFormat="1" applyFont="1" applyBorder="1"/>
    <xf numFmtId="164" fontId="21" fillId="10" borderId="106" xfId="0" applyNumberFormat="1" applyFont="1" applyFill="1" applyBorder="1"/>
    <xf numFmtId="164" fontId="2" fillId="3" borderId="106" xfId="0" applyNumberFormat="1" applyFont="1" applyFill="1" applyBorder="1"/>
    <xf numFmtId="164" fontId="2" fillId="0" borderId="107" xfId="0" applyNumberFormat="1" applyFont="1" applyBorder="1"/>
    <xf numFmtId="9" fontId="2" fillId="3" borderId="1" xfId="0" applyNumberFormat="1" applyFont="1" applyFill="1" applyBorder="1"/>
    <xf numFmtId="164" fontId="5" fillId="0" borderId="3" xfId="0" applyNumberFormat="1" applyFont="1" applyBorder="1" applyAlignment="1">
      <alignment horizontal="right" wrapText="1"/>
    </xf>
    <xf numFmtId="9" fontId="5" fillId="0" borderId="57" xfId="0" applyNumberFormat="1" applyFont="1" applyBorder="1" applyAlignment="1">
      <alignment wrapText="1"/>
    </xf>
    <xf numFmtId="0" fontId="0" fillId="2" borderId="58" xfId="0" applyFill="1" applyBorder="1"/>
    <xf numFmtId="0" fontId="5" fillId="9" borderId="96" xfId="0" applyFont="1" applyFill="1" applyBorder="1" applyAlignment="1">
      <alignment horizontal="center" wrapText="1"/>
    </xf>
    <xf numFmtId="164" fontId="5" fillId="0" borderId="104" xfId="0" applyNumberFormat="1" applyFont="1" applyBorder="1" applyAlignment="1">
      <alignment wrapText="1"/>
    </xf>
    <xf numFmtId="0" fontId="10" fillId="9" borderId="14" xfId="0" applyFont="1" applyFill="1" applyBorder="1" applyAlignment="1">
      <alignment horizontal="center" wrapText="1"/>
    </xf>
    <xf numFmtId="164" fontId="5" fillId="0" borderId="99" xfId="0" applyNumberFormat="1" applyFont="1" applyBorder="1" applyAlignment="1">
      <alignment wrapText="1"/>
    </xf>
    <xf numFmtId="164" fontId="5" fillId="0" borderId="18" xfId="0" applyNumberFormat="1" applyFont="1" applyBorder="1" applyAlignment="1">
      <alignment wrapText="1"/>
    </xf>
    <xf numFmtId="0" fontId="5" fillId="9" borderId="108" xfId="0" applyFont="1" applyFill="1" applyBorder="1" applyAlignment="1">
      <alignment wrapText="1"/>
    </xf>
    <xf numFmtId="2" fontId="2" fillId="0" borderId="16" xfId="0" applyNumberFormat="1" applyFont="1" applyBorder="1"/>
    <xf numFmtId="10" fontId="2" fillId="0" borderId="16" xfId="0" applyNumberFormat="1" applyFont="1" applyBorder="1"/>
    <xf numFmtId="10" fontId="5" fillId="0" borderId="99" xfId="0" applyNumberFormat="1" applyFont="1" applyBorder="1" applyAlignment="1">
      <alignment wrapText="1"/>
    </xf>
    <xf numFmtId="4" fontId="5" fillId="0" borderId="4" xfId="0" applyNumberFormat="1" applyFont="1" applyBorder="1" applyAlignment="1">
      <alignment horizontal="right" wrapText="1"/>
    </xf>
    <xf numFmtId="4" fontId="5" fillId="0" borderId="99" xfId="0" applyNumberFormat="1" applyFont="1" applyBorder="1" applyAlignment="1">
      <alignment horizontal="right" wrapText="1"/>
    </xf>
    <xf numFmtId="4" fontId="5" fillId="0" borderId="110" xfId="0" applyNumberFormat="1" applyFont="1" applyBorder="1" applyAlignment="1">
      <alignment horizontal="right" wrapText="1"/>
    </xf>
    <xf numFmtId="17" fontId="2" fillId="9" borderId="6" xfId="0" applyNumberFormat="1" applyFont="1" applyFill="1" applyBorder="1" applyAlignment="1">
      <alignment horizontal="center" vertical="center"/>
    </xf>
    <xf numFmtId="0" fontId="2" fillId="0" borderId="3" xfId="0" applyFont="1" applyBorder="1" applyAlignment="1">
      <alignment horizontal="center" vertical="center" wrapText="1"/>
    </xf>
    <xf numFmtId="0" fontId="2" fillId="0" borderId="44" xfId="0" applyFont="1" applyBorder="1" applyAlignment="1">
      <alignment horizontal="center" vertical="center" wrapText="1"/>
    </xf>
    <xf numFmtId="0" fontId="2" fillId="9" borderId="8"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10" fillId="9" borderId="6" xfId="0" applyFont="1" applyFill="1" applyBorder="1" applyAlignment="1">
      <alignment horizontal="center" vertical="center" wrapText="1"/>
    </xf>
    <xf numFmtId="0" fontId="10" fillId="9" borderId="52" xfId="0" applyFont="1" applyFill="1" applyBorder="1" applyAlignment="1">
      <alignment horizontal="center" vertical="center" wrapText="1"/>
    </xf>
    <xf numFmtId="0" fontId="5" fillId="9" borderId="111" xfId="0" applyFont="1" applyFill="1" applyBorder="1" applyAlignment="1">
      <alignment horizontal="center" vertical="center" wrapText="1"/>
    </xf>
    <xf numFmtId="10" fontId="10" fillId="0" borderId="34" xfId="0" applyNumberFormat="1" applyFont="1" applyBorder="1"/>
    <xf numFmtId="0" fontId="10" fillId="9" borderId="16" xfId="0" applyFont="1" applyFill="1" applyBorder="1" applyAlignment="1">
      <alignment wrapText="1"/>
    </xf>
    <xf numFmtId="17" fontId="2" fillId="9" borderId="17" xfId="0" applyNumberFormat="1" applyFont="1" applyFill="1" applyBorder="1" applyAlignment="1">
      <alignment horizontal="center" vertical="center"/>
    </xf>
    <xf numFmtId="0" fontId="10" fillId="9" borderId="8" xfId="0" applyFont="1" applyFill="1" applyBorder="1" applyAlignment="1">
      <alignment wrapText="1"/>
    </xf>
    <xf numFmtId="10" fontId="10" fillId="0" borderId="5" xfId="0" applyNumberFormat="1" applyFont="1" applyBorder="1"/>
    <xf numFmtId="3" fontId="7" fillId="0" borderId="6" xfId="0" applyNumberFormat="1" applyFont="1" applyBorder="1"/>
    <xf numFmtId="3" fontId="7" fillId="0" borderId="17" xfId="0" applyNumberFormat="1" applyFont="1" applyBorder="1"/>
    <xf numFmtId="0" fontId="5" fillId="9" borderId="6" xfId="0" applyFont="1" applyFill="1" applyBorder="1" applyAlignment="1">
      <alignment horizontal="center" vertical="center" wrapText="1"/>
    </xf>
    <xf numFmtId="3" fontId="2" fillId="0" borderId="6" xfId="0" applyNumberFormat="1" applyFont="1" applyBorder="1"/>
    <xf numFmtId="10" fontId="10" fillId="0" borderId="6" xfId="0" applyNumberFormat="1" applyFont="1" applyBorder="1"/>
    <xf numFmtId="10" fontId="10" fillId="0" borderId="18" xfId="0" applyNumberFormat="1" applyFont="1" applyBorder="1"/>
    <xf numFmtId="4" fontId="2" fillId="0" borderId="1" xfId="0" applyNumberFormat="1" applyFont="1" applyBorder="1" applyAlignment="1">
      <alignment wrapText="1"/>
    </xf>
    <xf numFmtId="164" fontId="5" fillId="0" borderId="1" xfId="0" applyNumberFormat="1" applyFont="1" applyBorder="1" applyAlignment="1">
      <alignment wrapText="1"/>
    </xf>
    <xf numFmtId="10" fontId="5" fillId="0" borderId="13" xfId="0" applyNumberFormat="1" applyFont="1" applyBorder="1" applyAlignment="1">
      <alignment wrapText="1"/>
    </xf>
    <xf numFmtId="10" fontId="5" fillId="0" borderId="12" xfId="0" applyNumberFormat="1" applyFont="1" applyBorder="1" applyAlignment="1">
      <alignment wrapText="1"/>
    </xf>
    <xf numFmtId="0" fontId="5" fillId="9" borderId="8" xfId="0" applyFont="1" applyFill="1" applyBorder="1" applyAlignment="1">
      <alignment horizontal="center" wrapText="1"/>
    </xf>
    <xf numFmtId="4" fontId="2" fillId="0" borderId="97" xfId="0" applyNumberFormat="1" applyFont="1" applyBorder="1" applyAlignment="1">
      <alignment wrapText="1"/>
    </xf>
    <xf numFmtId="164" fontId="5" fillId="0" borderId="60" xfId="0" applyNumberFormat="1" applyFont="1" applyBorder="1" applyAlignment="1">
      <alignment wrapText="1"/>
    </xf>
    <xf numFmtId="10" fontId="5" fillId="0" borderId="65" xfId="0" applyNumberFormat="1" applyFont="1" applyBorder="1" applyAlignment="1">
      <alignment wrapText="1"/>
    </xf>
    <xf numFmtId="4" fontId="5" fillId="0" borderId="8" xfId="0" applyNumberFormat="1" applyFont="1" applyBorder="1" applyAlignment="1">
      <alignment wrapText="1"/>
    </xf>
    <xf numFmtId="0" fontId="10" fillId="9" borderId="14" xfId="0" applyFont="1" applyFill="1" applyBorder="1" applyAlignment="1">
      <alignment wrapText="1"/>
    </xf>
    <xf numFmtId="0" fontId="5" fillId="0" borderId="14" xfId="0" applyFont="1" applyBorder="1" applyAlignment="1">
      <alignment wrapText="1"/>
    </xf>
    <xf numFmtId="164" fontId="5" fillId="0" borderId="2" xfId="0" applyNumberFormat="1" applyFont="1" applyBorder="1" applyAlignment="1">
      <alignment wrapText="1"/>
    </xf>
    <xf numFmtId="0" fontId="5" fillId="0" borderId="2" xfId="0" applyFont="1" applyBorder="1" applyAlignment="1">
      <alignment wrapText="1"/>
    </xf>
    <xf numFmtId="0" fontId="5" fillId="89" borderId="3" xfId="6" applyFont="1" applyFill="1" applyBorder="1" applyAlignment="1">
      <alignment horizontal="left" vertical="top"/>
    </xf>
    <xf numFmtId="0" fontId="23" fillId="89" borderId="3" xfId="5" applyFont="1" applyFill="1" applyBorder="1" applyAlignment="1">
      <alignment vertical="top" wrapText="1"/>
    </xf>
    <xf numFmtId="0" fontId="5" fillId="89" borderId="3" xfId="6" applyFont="1" applyFill="1" applyBorder="1" applyAlignment="1">
      <alignment horizontal="center" vertical="center" wrapText="1"/>
    </xf>
    <xf numFmtId="4" fontId="2" fillId="89" borderId="0" xfId="6" applyNumberFormat="1" applyFont="1" applyFill="1" applyAlignment="1">
      <alignment horizontal="right" vertical="center"/>
    </xf>
    <xf numFmtId="167" fontId="5" fillId="89" borderId="0" xfId="6" applyNumberFormat="1" applyFont="1" applyFill="1" applyAlignment="1">
      <alignment horizontal="right" wrapText="1"/>
    </xf>
    <xf numFmtId="0" fontId="23" fillId="89" borderId="3" xfId="5" applyFont="1" applyFill="1" applyBorder="1" applyAlignment="1">
      <alignment vertical="top"/>
    </xf>
    <xf numFmtId="0" fontId="5" fillId="89" borderId="6" xfId="6" applyFont="1" applyFill="1" applyBorder="1" applyAlignment="1">
      <alignment horizontal="center" vertical="center" wrapText="1"/>
    </xf>
    <xf numFmtId="0" fontId="5" fillId="89" borderId="14" xfId="6" applyFont="1" applyFill="1" applyBorder="1" applyAlignment="1">
      <alignment horizontal="center" vertical="center" wrapText="1"/>
    </xf>
    <xf numFmtId="0" fontId="5" fillId="89" borderId="47" xfId="6" applyFont="1" applyFill="1" applyBorder="1" applyAlignment="1">
      <alignment horizontal="center" vertical="center" wrapText="1"/>
    </xf>
    <xf numFmtId="0" fontId="0" fillId="89" borderId="3" xfId="0" applyFill="1" applyBorder="1"/>
    <xf numFmtId="0" fontId="5" fillId="89" borderId="99" xfId="6" applyFont="1" applyFill="1" applyBorder="1" applyAlignment="1">
      <alignment horizontal="center" vertical="center" wrapText="1"/>
    </xf>
    <xf numFmtId="0" fontId="10" fillId="10" borderId="14" xfId="0" applyFont="1" applyFill="1" applyBorder="1"/>
    <xf numFmtId="0" fontId="7" fillId="10" borderId="106" xfId="0" applyFont="1" applyFill="1" applyBorder="1"/>
    <xf numFmtId="0" fontId="7" fillId="10" borderId="8" xfId="0" applyFont="1" applyFill="1" applyBorder="1" applyAlignment="1">
      <alignment wrapText="1"/>
    </xf>
    <xf numFmtId="0" fontId="11" fillId="0" borderId="0" xfId="3" applyNumberFormat="1" applyAlignment="1">
      <alignment horizontal="left" vertical="top"/>
    </xf>
    <xf numFmtId="0" fontId="0" fillId="0" borderId="0" xfId="0" applyAlignment="1">
      <alignment horizontal="left" vertical="top"/>
    </xf>
    <xf numFmtId="0" fontId="11" fillId="90" borderId="8" xfId="3" applyNumberFormat="1" applyFill="1" applyBorder="1"/>
    <xf numFmtId="0" fontId="11" fillId="90" borderId="31" xfId="3" applyNumberFormat="1" applyFill="1" applyBorder="1"/>
    <xf numFmtId="0" fontId="11" fillId="90" borderId="33" xfId="3" applyNumberFormat="1" applyFill="1" applyBorder="1"/>
    <xf numFmtId="0" fontId="10" fillId="9" borderId="35" xfId="0" applyFont="1" applyFill="1" applyBorder="1" applyAlignment="1">
      <alignment horizontal="center" vertical="center" wrapText="1"/>
    </xf>
    <xf numFmtId="0" fontId="10" fillId="9" borderId="7" xfId="0"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9" borderId="3" xfId="0" applyFont="1" applyFill="1" applyBorder="1" applyAlignment="1">
      <alignment horizontal="center" vertical="center" wrapText="1"/>
    </xf>
    <xf numFmtId="0" fontId="5" fillId="9" borderId="2" xfId="0" applyFont="1" applyFill="1" applyBorder="1" applyAlignment="1">
      <alignment horizontal="center" vertical="center" wrapText="1"/>
    </xf>
    <xf numFmtId="0" fontId="10" fillId="9" borderId="94" xfId="0" applyFont="1" applyFill="1" applyBorder="1" applyAlignment="1">
      <alignment horizontal="center" vertical="center" wrapText="1"/>
    </xf>
    <xf numFmtId="0" fontId="10" fillId="9" borderId="48" xfId="0" applyFont="1" applyFill="1" applyBorder="1" applyAlignment="1">
      <alignment horizontal="center" vertical="center" wrapText="1"/>
    </xf>
    <xf numFmtId="4" fontId="2" fillId="0" borderId="48" xfId="0" applyNumberFormat="1" applyFont="1" applyBorder="1"/>
    <xf numFmtId="4" fontId="2" fillId="0" borderId="32" xfId="0" applyNumberFormat="1" applyFont="1" applyBorder="1"/>
    <xf numFmtId="4" fontId="2" fillId="0" borderId="35" xfId="0" applyNumberFormat="1" applyFont="1" applyBorder="1"/>
    <xf numFmtId="4" fontId="2" fillId="0" borderId="31" xfId="0" applyNumberFormat="1" applyFont="1" applyBorder="1"/>
    <xf numFmtId="0" fontId="24" fillId="8" borderId="0" xfId="0" applyFont="1" applyFill="1" applyAlignment="1">
      <alignment horizontal="left" vertical="center"/>
    </xf>
    <xf numFmtId="0" fontId="7" fillId="8" borderId="0" xfId="0" applyFont="1" applyFill="1" applyAlignment="1">
      <alignment horizontal="left" vertical="center"/>
    </xf>
    <xf numFmtId="0" fontId="7" fillId="0" borderId="0" xfId="0" applyFont="1" applyAlignment="1">
      <alignment horizontal="left" vertical="center"/>
    </xf>
    <xf numFmtId="0" fontId="0" fillId="0" borderId="0" xfId="0" applyAlignment="1">
      <alignment horizontal="left" vertical="center"/>
    </xf>
    <xf numFmtId="0" fontId="4" fillId="90" borderId="6" xfId="0" applyFont="1" applyFill="1" applyBorder="1" applyAlignment="1">
      <alignment wrapText="1"/>
    </xf>
    <xf numFmtId="0" fontId="5" fillId="10" borderId="14" xfId="0" applyFont="1" applyFill="1" applyBorder="1" applyAlignment="1">
      <alignment horizontal="center" vertical="center" wrapText="1"/>
    </xf>
    <xf numFmtId="0" fontId="5" fillId="10" borderId="6" xfId="0" applyFont="1" applyFill="1" applyBorder="1" applyAlignment="1">
      <alignment horizontal="center" vertical="center" wrapText="1"/>
    </xf>
    <xf numFmtId="0" fontId="7" fillId="0" borderId="1" xfId="0" applyFont="1" applyBorder="1"/>
    <xf numFmtId="0" fontId="5" fillId="0" borderId="6" xfId="0" applyFont="1" applyBorder="1" applyAlignment="1">
      <alignment wrapText="1"/>
    </xf>
    <xf numFmtId="0" fontId="10" fillId="9" borderId="2" xfId="0" applyFont="1" applyFill="1" applyBorder="1" applyAlignment="1">
      <alignment wrapText="1"/>
    </xf>
    <xf numFmtId="0" fontId="2" fillId="0" borderId="17" xfId="0" applyFont="1" applyBorder="1" applyAlignment="1">
      <alignment wrapText="1"/>
    </xf>
    <xf numFmtId="17" fontId="2" fillId="0" borderId="3" xfId="0" applyNumberFormat="1" applyFont="1" applyBorder="1" applyAlignment="1">
      <alignment horizontal="center" vertical="center"/>
    </xf>
    <xf numFmtId="17" fontId="2" fillId="0" borderId="18" xfId="0" applyNumberFormat="1" applyFont="1" applyBorder="1" applyAlignment="1">
      <alignment horizontal="center" vertical="center"/>
    </xf>
    <xf numFmtId="0" fontId="2" fillId="0" borderId="3" xfId="0" applyFont="1" applyBorder="1"/>
    <xf numFmtId="164" fontId="5" fillId="0" borderId="97" xfId="0" applyNumberFormat="1" applyFont="1" applyBorder="1" applyAlignment="1">
      <alignment horizontal="right" wrapText="1"/>
    </xf>
    <xf numFmtId="164" fontId="5" fillId="0" borderId="109" xfId="0" applyNumberFormat="1" applyFont="1" applyBorder="1" applyAlignment="1">
      <alignment horizontal="right" wrapText="1"/>
    </xf>
    <xf numFmtId="164" fontId="2" fillId="0" borderId="4" xfId="0" applyNumberFormat="1" applyFont="1" applyBorder="1" applyAlignment="1">
      <alignment horizontal="right" wrapText="1"/>
    </xf>
    <xf numFmtId="164" fontId="2" fillId="0" borderId="0" xfId="0" applyNumberFormat="1" applyFont="1" applyAlignment="1">
      <alignment horizontal="right" wrapText="1"/>
    </xf>
    <xf numFmtId="164" fontId="2" fillId="0" borderId="95" xfId="0" applyNumberFormat="1" applyFont="1" applyBorder="1" applyAlignment="1">
      <alignment horizontal="right" wrapText="1"/>
    </xf>
    <xf numFmtId="164" fontId="2" fillId="0" borderId="49" xfId="0" applyNumberFormat="1" applyFont="1" applyBorder="1" applyAlignment="1">
      <alignment horizontal="right" wrapText="1"/>
    </xf>
    <xf numFmtId="0" fontId="2" fillId="8" borderId="0" xfId="0" applyFont="1" applyFill="1"/>
    <xf numFmtId="0" fontId="7" fillId="90" borderId="8" xfId="0" applyFont="1" applyFill="1" applyBorder="1"/>
    <xf numFmtId="0" fontId="7" fillId="90" borderId="5" xfId="0" applyFont="1" applyFill="1" applyBorder="1"/>
    <xf numFmtId="0" fontId="5" fillId="10" borderId="50" xfId="0" applyFont="1" applyFill="1" applyBorder="1" applyAlignment="1">
      <alignment horizontal="center" vertical="center" wrapText="1"/>
    </xf>
    <xf numFmtId="0" fontId="7" fillId="90" borderId="8" xfId="0" applyFont="1" applyFill="1" applyBorder="1" applyAlignment="1">
      <alignment wrapText="1"/>
    </xf>
    <xf numFmtId="0" fontId="5" fillId="90" borderId="5" xfId="0" applyFont="1" applyFill="1" applyBorder="1" applyAlignment="1">
      <alignment wrapText="1"/>
    </xf>
    <xf numFmtId="0" fontId="5" fillId="10" borderId="6" xfId="0" applyFont="1" applyFill="1" applyBorder="1" applyAlignment="1">
      <alignment horizontal="center" vertical="center"/>
    </xf>
    <xf numFmtId="0" fontId="0" fillId="90" borderId="8" xfId="0" applyFill="1" applyBorder="1"/>
    <xf numFmtId="0" fontId="5" fillId="9" borderId="14" xfId="0" applyFont="1" applyFill="1" applyBorder="1" applyAlignment="1">
      <alignment horizontal="center" vertical="center" wrapText="1"/>
    </xf>
    <xf numFmtId="0" fontId="5" fillId="9" borderId="18" xfId="0" applyFont="1" applyFill="1" applyBorder="1" applyAlignment="1">
      <alignment horizontal="center" vertical="center" wrapText="1"/>
    </xf>
    <xf numFmtId="0" fontId="5" fillId="9" borderId="13" xfId="0" applyFont="1" applyFill="1" applyBorder="1" applyAlignment="1">
      <alignment horizontal="center" vertical="center" wrapText="1"/>
    </xf>
    <xf numFmtId="0" fontId="5" fillId="9" borderId="12" xfId="0" applyFont="1" applyFill="1" applyBorder="1" applyAlignment="1">
      <alignment horizontal="center" vertical="center" wrapText="1"/>
    </xf>
    <xf numFmtId="0" fontId="5" fillId="9" borderId="4" xfId="0" applyFont="1" applyFill="1" applyBorder="1" applyAlignment="1">
      <alignment horizontal="center" vertical="center" wrapText="1"/>
    </xf>
    <xf numFmtId="0" fontId="5" fillId="9" borderId="39" xfId="0" applyFont="1" applyFill="1" applyBorder="1" applyAlignment="1">
      <alignment horizontal="center" vertical="center" wrapText="1"/>
    </xf>
    <xf numFmtId="0" fontId="2" fillId="15" borderId="3" xfId="0" applyFont="1" applyFill="1" applyBorder="1" applyAlignment="1">
      <alignment horizontal="center" vertical="center"/>
    </xf>
    <xf numFmtId="0" fontId="5" fillId="15" borderId="3" xfId="0" applyFont="1" applyFill="1" applyBorder="1" applyAlignment="1">
      <alignment horizontal="center" vertical="center" wrapText="1"/>
    </xf>
    <xf numFmtId="0" fontId="5" fillId="15" borderId="18" xfId="0" applyFont="1" applyFill="1" applyBorder="1" applyAlignment="1">
      <alignment horizontal="center" vertical="center" wrapText="1"/>
    </xf>
    <xf numFmtId="0" fontId="5" fillId="9" borderId="37" xfId="0" applyFont="1" applyFill="1" applyBorder="1" applyAlignment="1">
      <alignment horizontal="center" vertical="center" wrapText="1"/>
    </xf>
    <xf numFmtId="0" fontId="5" fillId="9" borderId="45" xfId="0" applyFont="1" applyFill="1" applyBorder="1" applyAlignment="1">
      <alignment horizontal="center" vertical="center" wrapText="1"/>
    </xf>
    <xf numFmtId="0" fontId="5" fillId="9" borderId="65" xfId="0" applyFont="1" applyFill="1" applyBorder="1" applyAlignment="1">
      <alignment horizontal="center" vertical="center" wrapText="1"/>
    </xf>
    <xf numFmtId="0" fontId="5" fillId="9" borderId="47" xfId="0" applyFont="1" applyFill="1" applyBorder="1" applyAlignment="1">
      <alignment horizontal="center" vertical="center" wrapText="1"/>
    </xf>
    <xf numFmtId="0" fontId="5" fillId="90" borderId="14" xfId="0" applyFont="1" applyFill="1" applyBorder="1" applyAlignment="1">
      <alignment horizontal="center" vertical="center" wrapText="1"/>
    </xf>
    <xf numFmtId="165" fontId="2" fillId="90" borderId="31" xfId="8" applyFont="1" applyFill="1" applyBorder="1" applyAlignment="1">
      <alignment horizontal="left" vertical="top"/>
    </xf>
    <xf numFmtId="165" fontId="4" fillId="90" borderId="31" xfId="8" applyFill="1" applyBorder="1" applyAlignment="1">
      <alignment horizontal="left" vertical="top"/>
    </xf>
    <xf numFmtId="165" fontId="7" fillId="90" borderId="31" xfId="8" applyFont="1" applyFill="1" applyBorder="1" applyAlignment="1">
      <alignment horizontal="left" vertical="top"/>
    </xf>
    <xf numFmtId="165" fontId="4" fillId="90" borderId="33" xfId="8" applyFill="1" applyBorder="1" applyAlignment="1">
      <alignment vertical="top"/>
    </xf>
    <xf numFmtId="0" fontId="5" fillId="90" borderId="6" xfId="0" applyFont="1" applyFill="1" applyBorder="1" applyAlignment="1">
      <alignment horizontal="center" vertical="center" wrapText="1"/>
    </xf>
    <xf numFmtId="165" fontId="4" fillId="90" borderId="8" xfId="8" applyFill="1" applyBorder="1" applyAlignment="1">
      <alignment horizontal="left" vertical="top"/>
    </xf>
    <xf numFmtId="165" fontId="7" fillId="90" borderId="8" xfId="8" applyFont="1" applyFill="1" applyBorder="1" applyAlignment="1">
      <alignment horizontal="left" vertical="top"/>
    </xf>
    <xf numFmtId="165" fontId="4" fillId="90" borderId="5" xfId="8" applyFill="1" applyBorder="1" applyAlignment="1">
      <alignment horizontal="left" indent="1"/>
    </xf>
    <xf numFmtId="0" fontId="5" fillId="15" borderId="64" xfId="0" applyFont="1" applyFill="1" applyBorder="1" applyAlignment="1">
      <alignment horizontal="center" vertical="center" wrapText="1"/>
    </xf>
    <xf numFmtId="0" fontId="10" fillId="9" borderId="47" xfId="0" applyFont="1" applyFill="1" applyBorder="1" applyAlignment="1">
      <alignment horizontal="center" vertical="center" wrapText="1"/>
    </xf>
    <xf numFmtId="0" fontId="5" fillId="9" borderId="103" xfId="0" applyFont="1" applyFill="1" applyBorder="1" applyAlignment="1">
      <alignment horizontal="center" wrapText="1"/>
    </xf>
    <xf numFmtId="0" fontId="5" fillId="9" borderId="103" xfId="0" applyFont="1" applyFill="1" applyBorder="1" applyAlignment="1">
      <alignment horizontal="center" vertical="center" wrapText="1"/>
    </xf>
    <xf numFmtId="0" fontId="5" fillId="9" borderId="29" xfId="0" applyFont="1" applyFill="1" applyBorder="1" applyAlignment="1">
      <alignment horizontal="center" vertical="center" wrapText="1"/>
    </xf>
    <xf numFmtId="0" fontId="5" fillId="9" borderId="113" xfId="0" applyFont="1" applyFill="1" applyBorder="1" applyAlignment="1">
      <alignment wrapText="1"/>
    </xf>
    <xf numFmtId="0" fontId="12" fillId="9" borderId="3" xfId="0" applyFont="1" applyFill="1" applyBorder="1" applyAlignment="1">
      <alignment horizontal="center" vertical="center" wrapText="1"/>
    </xf>
    <xf numFmtId="0" fontId="12" fillId="9" borderId="48" xfId="0" applyFont="1" applyFill="1" applyBorder="1" applyAlignment="1">
      <alignment horizontal="center" vertical="center" wrapText="1"/>
    </xf>
    <xf numFmtId="0" fontId="5" fillId="9" borderId="44" xfId="0" applyFont="1" applyFill="1" applyBorder="1" applyAlignment="1">
      <alignment horizontal="center" vertical="center" wrapText="1"/>
    </xf>
    <xf numFmtId="0" fontId="5" fillId="9" borderId="101" xfId="0" applyFont="1" applyFill="1" applyBorder="1" applyAlignment="1">
      <alignment horizontal="center" vertical="center" wrapText="1"/>
    </xf>
    <xf numFmtId="0" fontId="5" fillId="9" borderId="8" xfId="0" applyFont="1" applyFill="1" applyBorder="1" applyAlignment="1">
      <alignment horizontal="center" vertical="center" wrapText="1"/>
    </xf>
    <xf numFmtId="0" fontId="5" fillId="9" borderId="102" xfId="0" applyFont="1" applyFill="1" applyBorder="1" applyAlignment="1">
      <alignment horizontal="center" wrapText="1"/>
    </xf>
    <xf numFmtId="0" fontId="5" fillId="9" borderId="105" xfId="0" applyFont="1" applyFill="1" applyBorder="1" applyAlignment="1">
      <alignment horizontal="center" vertical="center" wrapText="1"/>
    </xf>
    <xf numFmtId="0" fontId="5" fillId="9" borderId="100" xfId="0" applyFont="1" applyFill="1" applyBorder="1" applyAlignment="1">
      <alignment horizontal="center" vertical="center" wrapText="1"/>
    </xf>
    <xf numFmtId="0" fontId="12" fillId="9" borderId="15" xfId="0" applyFont="1" applyFill="1" applyBorder="1" applyAlignment="1">
      <alignment horizontal="left" vertical="top" wrapText="1"/>
    </xf>
    <xf numFmtId="0" fontId="7" fillId="9" borderId="3" xfId="0" applyFont="1" applyFill="1" applyBorder="1" applyAlignment="1">
      <alignment horizontal="left" vertical="top"/>
    </xf>
    <xf numFmtId="0" fontId="7" fillId="9" borderId="2" xfId="0" applyFont="1" applyFill="1" applyBorder="1" applyAlignment="1">
      <alignment horizontal="left" vertical="top"/>
    </xf>
    <xf numFmtId="0" fontId="7" fillId="9" borderId="15" xfId="0" applyFont="1" applyFill="1" applyBorder="1" applyAlignment="1">
      <alignment horizontal="left" vertical="top"/>
    </xf>
    <xf numFmtId="0" fontId="7" fillId="9" borderId="14" xfId="0" applyFont="1" applyFill="1" applyBorder="1" applyAlignment="1">
      <alignment horizontal="left" vertical="top"/>
    </xf>
    <xf numFmtId="0" fontId="7" fillId="9" borderId="98" xfId="0" applyFont="1" applyFill="1" applyBorder="1" applyAlignment="1">
      <alignment horizontal="left" vertical="top"/>
    </xf>
    <xf numFmtId="0" fontId="7" fillId="9" borderId="100" xfId="0" applyFont="1" applyFill="1" applyBorder="1" applyAlignment="1">
      <alignment horizontal="left" vertical="top"/>
    </xf>
    <xf numFmtId="0" fontId="12" fillId="9" borderId="17" xfId="0" applyFont="1" applyFill="1" applyBorder="1" applyAlignment="1">
      <alignment horizontal="left" vertical="top" wrapText="1"/>
    </xf>
    <xf numFmtId="0" fontId="7" fillId="9" borderId="57" xfId="0" applyFont="1" applyFill="1" applyBorder="1" applyAlignment="1">
      <alignment horizontal="left" vertical="top"/>
    </xf>
    <xf numFmtId="0" fontId="12" fillId="9" borderId="3" xfId="0" applyFont="1" applyFill="1" applyBorder="1" applyAlignment="1">
      <alignment horizontal="left" vertical="top" wrapText="1"/>
    </xf>
    <xf numFmtId="165" fontId="8" fillId="6" borderId="0" xfId="1" applyFont="1" applyFill="1" applyAlignment="1">
      <alignment horizontal="left" vertical="center"/>
    </xf>
    <xf numFmtId="0" fontId="1" fillId="6" borderId="0" xfId="4" applyFill="1" applyAlignment="1">
      <alignment horizontal="left"/>
    </xf>
    <xf numFmtId="0" fontId="1" fillId="0" borderId="0" xfId="4" applyAlignment="1">
      <alignment horizontal="left"/>
    </xf>
    <xf numFmtId="165" fontId="9" fillId="6" borderId="0" xfId="1" applyFont="1" applyFill="1" applyAlignment="1">
      <alignment horizontal="left" vertical="center"/>
    </xf>
    <xf numFmtId="165" fontId="4" fillId="6" borderId="0" xfId="2" applyFill="1" applyAlignment="1">
      <alignment horizontal="left"/>
    </xf>
    <xf numFmtId="165" fontId="3" fillId="6" borderId="0" xfId="1" applyFont="1" applyFill="1" applyAlignment="1">
      <alignment horizontal="left" vertical="center" wrapText="1"/>
    </xf>
    <xf numFmtId="165" fontId="4" fillId="6" borderId="0" xfId="2" applyFill="1" applyAlignment="1">
      <alignment vertical="center"/>
    </xf>
    <xf numFmtId="165" fontId="4" fillId="0" borderId="0" xfId="2" applyAlignment="1">
      <alignment vertical="center"/>
    </xf>
    <xf numFmtId="165" fontId="7" fillId="5" borderId="0" xfId="2" applyFont="1" applyFill="1" applyAlignment="1">
      <alignment horizontal="left" vertical="top" wrapText="1"/>
    </xf>
    <xf numFmtId="165" fontId="4" fillId="5" borderId="0" xfId="2" applyFill="1" applyAlignment="1">
      <alignment horizontal="left" vertical="top" wrapText="1"/>
    </xf>
    <xf numFmtId="165" fontId="7" fillId="5" borderId="0" xfId="2" applyFont="1" applyFill="1" applyAlignment="1">
      <alignment horizontal="center" vertical="top" wrapText="1"/>
    </xf>
    <xf numFmtId="165" fontId="4" fillId="5" borderId="0" xfId="2" applyFill="1" applyAlignment="1">
      <alignment vertical="top" wrapText="1"/>
    </xf>
    <xf numFmtId="165" fontId="6" fillId="2" borderId="9" xfId="2" applyFont="1" applyFill="1" applyBorder="1" applyAlignment="1">
      <alignment horizontal="right"/>
    </xf>
    <xf numFmtId="4" fontId="4" fillId="2" borderId="10" xfId="2" applyNumberFormat="1" applyFill="1" applyBorder="1" applyAlignment="1">
      <alignment horizontal="right" wrapText="1"/>
    </xf>
    <xf numFmtId="4" fontId="2" fillId="2" borderId="63" xfId="2" applyNumberFormat="1" applyFont="1" applyFill="1" applyBorder="1" applyAlignment="1">
      <alignment horizontal="right" vertical="center" wrapText="1"/>
    </xf>
    <xf numFmtId="167" fontId="5" fillId="2" borderId="10" xfId="2" applyNumberFormat="1" applyFont="1" applyFill="1" applyBorder="1" applyAlignment="1">
      <alignment horizontal="right" wrapText="1"/>
    </xf>
    <xf numFmtId="167" fontId="5" fillId="2" borderId="11" xfId="2" applyNumberFormat="1" applyFont="1" applyFill="1" applyBorder="1" applyAlignment="1">
      <alignment horizontal="right" wrapText="1"/>
    </xf>
    <xf numFmtId="167" fontId="5" fillId="2" borderId="9" xfId="2" applyNumberFormat="1" applyFont="1" applyFill="1" applyBorder="1" applyAlignment="1">
      <alignment horizontal="right" wrapText="1"/>
    </xf>
    <xf numFmtId="167" fontId="5" fillId="2" borderId="9" xfId="2" applyNumberFormat="1" applyFont="1" applyFill="1" applyBorder="1" applyAlignment="1">
      <alignment horizontal="left" vertical="top" wrapText="1"/>
    </xf>
    <xf numFmtId="167" fontId="5" fillId="2" borderId="9" xfId="2" applyNumberFormat="1" applyFont="1" applyFill="1" applyBorder="1" applyAlignment="1">
      <alignment horizontal="right"/>
    </xf>
    <xf numFmtId="167" fontId="5" fillId="2" borderId="10" xfId="2" applyNumberFormat="1" applyFont="1" applyFill="1" applyBorder="1" applyAlignment="1">
      <alignment horizontal="right"/>
    </xf>
    <xf numFmtId="167" fontId="5" fillId="2" borderId="11" xfId="2" applyNumberFormat="1" applyFont="1" applyFill="1" applyBorder="1" applyAlignment="1">
      <alignment horizontal="right"/>
    </xf>
    <xf numFmtId="167" fontId="5" fillId="2" borderId="9" xfId="2" applyNumberFormat="1" applyFont="1" applyFill="1" applyBorder="1" applyAlignment="1">
      <alignment horizontal="left" vertical="top"/>
    </xf>
    <xf numFmtId="4" fontId="4" fillId="2" borderId="9" xfId="2" applyNumberFormat="1" applyFill="1" applyBorder="1" applyAlignment="1">
      <alignment horizontal="right"/>
    </xf>
    <xf numFmtId="165" fontId="4" fillId="0" borderId="0" xfId="2" applyAlignment="1">
      <alignment horizontal="center" vertical="top" wrapText="1"/>
    </xf>
    <xf numFmtId="4" fontId="4" fillId="2" borderId="116" xfId="2" applyNumberFormat="1" applyFill="1" applyBorder="1" applyAlignment="1">
      <alignment horizontal="right" wrapText="1"/>
    </xf>
    <xf numFmtId="2" fontId="4" fillId="6" borderId="0" xfId="2" applyNumberFormat="1" applyFill="1" applyAlignment="1">
      <alignment vertical="center"/>
    </xf>
    <xf numFmtId="166" fontId="6" fillId="2" borderId="8" xfId="2" applyNumberFormat="1" applyFont="1" applyFill="1" applyBorder="1" applyAlignment="1">
      <alignment horizontal="center" vertical="center" wrapText="1"/>
    </xf>
    <xf numFmtId="165" fontId="6" fillId="2" borderId="0" xfId="2" applyFont="1" applyFill="1" applyAlignment="1">
      <alignment horizontal="center" vertical="center" wrapText="1"/>
    </xf>
    <xf numFmtId="165" fontId="41" fillId="2" borderId="4" xfId="2" applyFont="1" applyFill="1" applyBorder="1" applyAlignment="1">
      <alignment horizontal="center" vertical="center" wrapText="1"/>
    </xf>
    <xf numFmtId="165" fontId="12" fillId="2" borderId="3" xfId="1" applyFont="1" applyFill="1" applyBorder="1" applyAlignment="1">
      <alignment horizontal="center" vertical="center" wrapText="1"/>
    </xf>
    <xf numFmtId="165" fontId="53" fillId="2" borderId="3" xfId="1" applyFont="1" applyFill="1" applyBorder="1" applyAlignment="1">
      <alignment horizontal="center" vertical="center" wrapText="1"/>
    </xf>
    <xf numFmtId="165" fontId="3" fillId="2" borderId="3" xfId="1" applyFont="1" applyFill="1" applyBorder="1" applyAlignment="1">
      <alignment horizontal="left" vertical="center" wrapText="1" indent="2"/>
    </xf>
    <xf numFmtId="165" fontId="5" fillId="2" borderId="3" xfId="1" applyFont="1" applyFill="1" applyBorder="1" applyAlignment="1">
      <alignment horizontal="center" vertical="center" wrapText="1"/>
    </xf>
    <xf numFmtId="165" fontId="3" fillId="2" borderId="4" xfId="1" applyFont="1" applyFill="1" applyBorder="1" applyAlignment="1">
      <alignment horizontal="left" vertical="center" wrapText="1" indent="2"/>
    </xf>
    <xf numFmtId="166" fontId="6" fillId="2" borderId="1" xfId="2" applyNumberFormat="1" applyFont="1" applyFill="1" applyBorder="1" applyAlignment="1">
      <alignment horizontal="center" vertical="center" wrapText="1"/>
    </xf>
    <xf numFmtId="165" fontId="4" fillId="0" borderId="123" xfId="2" applyBorder="1"/>
    <xf numFmtId="165" fontId="5" fillId="2" borderId="122" xfId="1" applyFont="1" applyFill="1" applyBorder="1" applyAlignment="1">
      <alignment horizontal="center" vertical="center" wrapText="1"/>
    </xf>
    <xf numFmtId="166" fontId="6" fillId="2" borderId="124" xfId="2" applyNumberFormat="1" applyFont="1" applyFill="1" applyBorder="1" applyAlignment="1">
      <alignment horizontal="center" vertical="center" wrapText="1"/>
    </xf>
    <xf numFmtId="165" fontId="5" fillId="2" borderId="124" xfId="1" applyFont="1" applyFill="1" applyBorder="1" applyAlignment="1">
      <alignment horizontal="center" vertical="center" wrapText="1"/>
    </xf>
    <xf numFmtId="166" fontId="6" fillId="2" borderId="125" xfId="2" applyNumberFormat="1" applyFont="1" applyFill="1" applyBorder="1" applyAlignment="1">
      <alignment horizontal="center" vertical="center" wrapText="1"/>
    </xf>
    <xf numFmtId="165" fontId="5" fillId="2" borderId="118" xfId="1" applyFont="1" applyFill="1" applyBorder="1" applyAlignment="1">
      <alignment horizontal="center" vertical="center" wrapText="1"/>
    </xf>
    <xf numFmtId="166" fontId="6" fillId="2" borderId="119" xfId="2" applyNumberFormat="1" applyFont="1" applyFill="1" applyBorder="1" applyAlignment="1">
      <alignment horizontal="center" vertical="center" wrapText="1"/>
    </xf>
    <xf numFmtId="166" fontId="6" fillId="2" borderId="0" xfId="2" applyNumberFormat="1" applyFont="1" applyFill="1" applyAlignment="1">
      <alignment horizontal="center" vertical="center" wrapText="1"/>
    </xf>
    <xf numFmtId="166" fontId="6" fillId="2" borderId="129" xfId="2" applyNumberFormat="1" applyFont="1" applyFill="1" applyBorder="1" applyAlignment="1">
      <alignment horizontal="center" vertical="center" wrapText="1"/>
    </xf>
    <xf numFmtId="4" fontId="4" fillId="2" borderId="114" xfId="2" applyNumberFormat="1" applyFill="1" applyBorder="1" applyAlignment="1">
      <alignment horizontal="right" wrapText="1"/>
    </xf>
    <xf numFmtId="165" fontId="4" fillId="2" borderId="18" xfId="2" applyFill="1" applyBorder="1"/>
    <xf numFmtId="4" fontId="4" fillId="2" borderId="115" xfId="2" applyNumberFormat="1" applyFill="1" applyBorder="1" applyAlignment="1">
      <alignment horizontal="right"/>
    </xf>
    <xf numFmtId="4" fontId="2" fillId="2" borderId="115" xfId="2" applyNumberFormat="1" applyFont="1" applyFill="1" applyBorder="1" applyAlignment="1">
      <alignment horizontal="right"/>
    </xf>
    <xf numFmtId="165" fontId="6" fillId="2" borderId="137" xfId="2" applyFont="1" applyFill="1" applyBorder="1" applyAlignment="1">
      <alignment horizontal="center" vertical="center" wrapText="1"/>
    </xf>
    <xf numFmtId="165" fontId="6" fillId="2" borderId="124" xfId="2" applyFont="1" applyFill="1" applyBorder="1" applyAlignment="1">
      <alignment horizontal="center" vertical="center" wrapText="1"/>
    </xf>
    <xf numFmtId="165" fontId="6" fillId="2" borderId="118" xfId="2" applyFont="1" applyFill="1" applyBorder="1" applyAlignment="1">
      <alignment horizontal="center" vertical="top" wrapText="1"/>
    </xf>
    <xf numFmtId="165" fontId="6" fillId="2" borderId="138" xfId="2" applyFont="1" applyFill="1" applyBorder="1" applyAlignment="1">
      <alignment horizontal="center" vertical="center" wrapText="1"/>
    </xf>
    <xf numFmtId="165" fontId="6" fillId="2" borderId="118" xfId="2" applyFont="1" applyFill="1" applyBorder="1" applyAlignment="1">
      <alignment horizontal="center" vertical="center" wrapText="1"/>
    </xf>
    <xf numFmtId="4" fontId="4" fillId="2" borderId="117" xfId="2" applyNumberFormat="1" applyFill="1" applyBorder="1" applyAlignment="1">
      <alignment horizontal="right" wrapText="1"/>
    </xf>
    <xf numFmtId="4" fontId="4" fillId="2" borderId="117" xfId="2" applyNumberFormat="1" applyFill="1" applyBorder="1" applyAlignment="1">
      <alignment horizontal="right"/>
    </xf>
    <xf numFmtId="165" fontId="8" fillId="6" borderId="0" xfId="2" applyFont="1" applyFill="1" applyAlignment="1">
      <alignment horizontal="left" vertical="center" wrapText="1"/>
    </xf>
    <xf numFmtId="165" fontId="6" fillId="2" borderId="15" xfId="2" applyFont="1" applyFill="1" applyBorder="1" applyAlignment="1">
      <alignment horizontal="center" vertical="center" wrapText="1"/>
    </xf>
    <xf numFmtId="165" fontId="6" fillId="2" borderId="12" xfId="2" applyFont="1" applyFill="1" applyBorder="1" applyAlignment="1">
      <alignment horizontal="center" vertical="center" wrapText="1"/>
    </xf>
    <xf numFmtId="165" fontId="4" fillId="0" borderId="0" xfId="2" applyAlignment="1">
      <alignment horizontal="left" wrapText="1"/>
    </xf>
    <xf numFmtId="165" fontId="6" fillId="0" borderId="20" xfId="2" applyFont="1" applyBorder="1" applyAlignment="1">
      <alignment horizontal="right" vertical="center" wrapText="1"/>
    </xf>
    <xf numFmtId="0" fontId="7" fillId="10" borderId="8" xfId="0" applyFont="1" applyFill="1" applyBorder="1" applyAlignment="1">
      <alignment horizontal="left" vertical="top" wrapText="1"/>
    </xf>
    <xf numFmtId="2" fontId="4" fillId="6" borderId="0" xfId="2" applyNumberFormat="1" applyFill="1" applyAlignment="1">
      <alignment horizontal="left"/>
    </xf>
    <xf numFmtId="2" fontId="4" fillId="7" borderId="0" xfId="2" applyNumberFormat="1" applyFill="1"/>
    <xf numFmtId="0" fontId="7" fillId="30" borderId="0" xfId="0" applyFont="1" applyFill="1" applyAlignment="1">
      <alignment horizontal="left" vertical="center"/>
    </xf>
    <xf numFmtId="0" fontId="7" fillId="89" borderId="0" xfId="0" applyFont="1" applyFill="1"/>
    <xf numFmtId="0" fontId="5" fillId="11" borderId="6" xfId="0" applyFont="1" applyFill="1" applyBorder="1" applyAlignment="1">
      <alignment wrapText="1"/>
    </xf>
    <xf numFmtId="0" fontId="11" fillId="90" borderId="5" xfId="3" applyNumberFormat="1" applyFill="1" applyBorder="1"/>
    <xf numFmtId="0" fontId="4" fillId="0" borderId="0" xfId="0" applyFont="1" applyAlignment="1">
      <alignment vertical="top" wrapText="1"/>
    </xf>
    <xf numFmtId="165" fontId="11" fillId="0" borderId="0" xfId="3" applyNumberFormat="1" applyFill="1" applyBorder="1" applyAlignment="1">
      <alignment horizontal="left" vertical="top" indent="1"/>
    </xf>
    <xf numFmtId="165" fontId="11" fillId="0" borderId="0" xfId="3" applyAlignment="1">
      <alignment horizontal="left" wrapText="1" indent="1"/>
    </xf>
    <xf numFmtId="165" fontId="11" fillId="0" borderId="0" xfId="3" applyAlignment="1">
      <alignment horizontal="left" vertical="top" wrapText="1" indent="1"/>
    </xf>
    <xf numFmtId="165" fontId="11" fillId="0" borderId="0" xfId="3" applyAlignment="1">
      <alignment horizontal="left" indent="1"/>
    </xf>
    <xf numFmtId="167" fontId="11" fillId="0" borderId="0" xfId="3" applyNumberFormat="1" applyFill="1" applyBorder="1" applyAlignment="1">
      <alignment horizontal="left" vertical="top" indent="1"/>
    </xf>
    <xf numFmtId="165" fontId="11" fillId="25" borderId="0" xfId="3" applyFill="1" applyAlignment="1">
      <alignment horizontal="left" vertical="center"/>
    </xf>
    <xf numFmtId="164" fontId="5" fillId="0" borderId="6" xfId="0" applyNumberFormat="1" applyFont="1" applyBorder="1" applyAlignment="1">
      <alignment horizontal="right" wrapText="1"/>
    </xf>
    <xf numFmtId="4" fontId="74" fillId="0" borderId="32" xfId="0" applyNumberFormat="1" applyFont="1" applyBorder="1"/>
    <xf numFmtId="2" fontId="75" fillId="0" borderId="8" xfId="0" applyNumberFormat="1" applyFont="1" applyBorder="1"/>
    <xf numFmtId="10" fontId="4" fillId="14" borderId="3" xfId="33964" applyNumberFormat="1" applyFont="1" applyFill="1" applyBorder="1" applyAlignment="1">
      <alignment horizontal="right" vertical="center"/>
    </xf>
    <xf numFmtId="10" fontId="4" fillId="14" borderId="9" xfId="33964" applyNumberFormat="1" applyFont="1" applyFill="1" applyBorder="1" applyAlignment="1">
      <alignment horizontal="right" vertical="center"/>
    </xf>
    <xf numFmtId="10" fontId="73" fillId="14" borderId="3" xfId="33964" applyNumberFormat="1" applyFont="1" applyFill="1" applyBorder="1" applyAlignment="1">
      <alignment horizontal="right" vertical="center"/>
    </xf>
    <xf numFmtId="10" fontId="73" fillId="14" borderId="9" xfId="33964" applyNumberFormat="1" applyFont="1" applyFill="1" applyBorder="1" applyAlignment="1">
      <alignment horizontal="right" vertical="center"/>
    </xf>
    <xf numFmtId="4" fontId="6" fillId="0" borderId="3" xfId="0" applyNumberFormat="1" applyFont="1" applyBorder="1"/>
    <xf numFmtId="4" fontId="6" fillId="0" borderId="17" xfId="0" applyNumberFormat="1" applyFont="1" applyBorder="1"/>
    <xf numFmtId="4" fontId="6" fillId="0" borderId="6" xfId="0" applyNumberFormat="1" applyFont="1" applyBorder="1"/>
    <xf numFmtId="165" fontId="4" fillId="0" borderId="7" xfId="2" applyBorder="1" applyAlignment="1">
      <alignment horizontal="left" indent="1"/>
    </xf>
    <xf numFmtId="165" fontId="4" fillId="0" borderId="14" xfId="2" applyBorder="1" applyAlignment="1">
      <alignment horizontal="left"/>
    </xf>
    <xf numFmtId="166" fontId="2" fillId="0" borderId="2" xfId="2" applyNumberFormat="1" applyFont="1" applyBorder="1" applyAlignment="1">
      <alignment horizontal="right" vertical="center"/>
    </xf>
    <xf numFmtId="166" fontId="7" fillId="0" borderId="2" xfId="2" applyNumberFormat="1" applyFont="1" applyBorder="1"/>
    <xf numFmtId="166" fontId="7" fillId="0" borderId="126" xfId="2" applyNumberFormat="1" applyFont="1" applyBorder="1"/>
    <xf numFmtId="166" fontId="7" fillId="0" borderId="62" xfId="2" applyNumberFormat="1" applyFont="1" applyBorder="1"/>
    <xf numFmtId="166" fontId="7" fillId="0" borderId="127" xfId="2" applyNumberFormat="1" applyFont="1" applyBorder="1" applyAlignment="1">
      <alignment vertical="center"/>
    </xf>
    <xf numFmtId="166" fontId="7" fillId="0" borderId="130" xfId="2" applyNumberFormat="1" applyFont="1" applyBorder="1"/>
    <xf numFmtId="166" fontId="7" fillId="0" borderId="131" xfId="2" applyNumberFormat="1" applyFont="1" applyBorder="1"/>
    <xf numFmtId="166" fontId="7" fillId="0" borderId="1" xfId="2" applyNumberFormat="1" applyFont="1" applyBorder="1" applyAlignment="1">
      <alignment horizontal="left" vertical="top"/>
    </xf>
    <xf numFmtId="166" fontId="7" fillId="0" borderId="8" xfId="2" applyNumberFormat="1" applyFont="1" applyBorder="1" applyAlignment="1">
      <alignment horizontal="left" vertical="top"/>
    </xf>
    <xf numFmtId="1" fontId="7" fillId="0" borderId="8" xfId="2" applyNumberFormat="1" applyFont="1" applyBorder="1"/>
    <xf numFmtId="2" fontId="7" fillId="0" borderId="8" xfId="2" applyNumberFormat="1" applyFont="1" applyBorder="1"/>
    <xf numFmtId="165" fontId="7" fillId="0" borderId="1" xfId="2" applyFont="1" applyBorder="1" applyAlignment="1">
      <alignment horizontal="left"/>
    </xf>
    <xf numFmtId="165" fontId="7" fillId="0" borderId="8" xfId="2" applyFont="1" applyBorder="1" applyAlignment="1">
      <alignment horizontal="left"/>
    </xf>
    <xf numFmtId="165" fontId="7" fillId="0" borderId="14" xfId="2" applyFont="1" applyBorder="1" applyAlignment="1">
      <alignment horizontal="left"/>
    </xf>
    <xf numFmtId="0" fontId="7" fillId="0" borderId="0" xfId="2" applyNumberFormat="1" applyFont="1" applyAlignment="1">
      <alignment horizontal="center" vertical="center"/>
    </xf>
    <xf numFmtId="0" fontId="7" fillId="0" borderId="1" xfId="2" applyNumberFormat="1" applyFont="1" applyBorder="1" applyAlignment="1">
      <alignment horizontal="center" vertical="center"/>
    </xf>
    <xf numFmtId="165" fontId="7" fillId="0" borderId="0" xfId="2" applyFont="1" applyAlignment="1">
      <alignment horizontal="left"/>
    </xf>
    <xf numFmtId="165" fontId="2" fillId="0" borderId="0" xfId="2" applyFont="1" applyAlignment="1">
      <alignment horizontal="left" vertical="top" wrapText="1"/>
    </xf>
    <xf numFmtId="165" fontId="4" fillId="0" borderId="1" xfId="2" applyBorder="1" applyAlignment="1">
      <alignment horizontal="left" indent="1"/>
    </xf>
    <xf numFmtId="165" fontId="4" fillId="0" borderId="8" xfId="2" applyBorder="1" applyAlignment="1">
      <alignment horizontal="left"/>
    </xf>
    <xf numFmtId="166" fontId="7" fillId="0" borderId="119" xfId="2" applyNumberFormat="1" applyFont="1" applyBorder="1"/>
    <xf numFmtId="166" fontId="7" fillId="0" borderId="0" xfId="2" applyNumberFormat="1" applyFont="1"/>
    <xf numFmtId="166" fontId="7" fillId="0" borderId="128" xfId="2" applyNumberFormat="1" applyFont="1" applyBorder="1"/>
    <xf numFmtId="166" fontId="7" fillId="0" borderId="121" xfId="2" applyNumberFormat="1" applyFont="1" applyBorder="1"/>
    <xf numFmtId="166" fontId="7" fillId="0" borderId="128" xfId="2" applyNumberFormat="1" applyFont="1" applyBorder="1" applyAlignment="1">
      <alignment vertical="center"/>
    </xf>
    <xf numFmtId="165" fontId="4" fillId="0" borderId="8" xfId="2" applyBorder="1"/>
    <xf numFmtId="166" fontId="2" fillId="0" borderId="121" xfId="2" applyNumberFormat="1" applyFont="1" applyBorder="1" applyAlignment="1">
      <alignment horizontal="right" vertical="center"/>
    </xf>
    <xf numFmtId="166" fontId="2" fillId="0" borderId="1" xfId="2" applyNumberFormat="1" applyFont="1" applyBorder="1" applyAlignment="1">
      <alignment horizontal="left" vertical="top"/>
    </xf>
    <xf numFmtId="166" fontId="2" fillId="0" borderId="8" xfId="2" applyNumberFormat="1" applyFont="1" applyBorder="1" applyAlignment="1">
      <alignment horizontal="left" vertical="top"/>
    </xf>
    <xf numFmtId="1" fontId="2" fillId="0" borderId="8" xfId="2" applyNumberFormat="1" applyFont="1" applyBorder="1" applyAlignment="1">
      <alignment horizontal="right" vertical="center"/>
    </xf>
    <xf numFmtId="165" fontId="4" fillId="0" borderId="8" xfId="2" applyBorder="1" applyAlignment="1">
      <alignment horizontal="left" vertical="top" wrapText="1"/>
    </xf>
    <xf numFmtId="166" fontId="7" fillId="0" borderId="0" xfId="2" applyNumberFormat="1" applyFont="1" applyAlignment="1">
      <alignment vertical="center"/>
    </xf>
    <xf numFmtId="165" fontId="7" fillId="0" borderId="16" xfId="2" applyFont="1" applyBorder="1" applyAlignment="1">
      <alignment horizontal="left"/>
    </xf>
    <xf numFmtId="0" fontId="0" fillId="0" borderId="0" xfId="0" applyAlignment="1">
      <alignment wrapText="1"/>
    </xf>
    <xf numFmtId="165" fontId="4" fillId="0" borderId="0" xfId="2" applyAlignment="1">
      <alignment vertical="top" wrapText="1"/>
    </xf>
    <xf numFmtId="166" fontId="75" fillId="0" borderId="0" xfId="2" applyNumberFormat="1" applyFont="1" applyAlignment="1">
      <alignment horizontal="right" vertical="center"/>
    </xf>
    <xf numFmtId="166" fontId="74" fillId="0" borderId="119" xfId="2" applyNumberFormat="1" applyFont="1" applyBorder="1"/>
    <xf numFmtId="166" fontId="74" fillId="0" borderId="0" xfId="2" applyNumberFormat="1" applyFont="1" applyAlignment="1">
      <alignment vertical="center"/>
    </xf>
    <xf numFmtId="166" fontId="74" fillId="0" borderId="128" xfId="2" applyNumberFormat="1" applyFont="1" applyBorder="1" applyAlignment="1">
      <alignment vertical="center"/>
    </xf>
    <xf numFmtId="166" fontId="74" fillId="0" borderId="121" xfId="2" applyNumberFormat="1" applyFont="1" applyBorder="1"/>
    <xf numFmtId="166" fontId="74" fillId="0" borderId="1" xfId="2" applyNumberFormat="1" applyFont="1" applyBorder="1" applyAlignment="1">
      <alignment horizontal="left" vertical="top"/>
    </xf>
    <xf numFmtId="166" fontId="74" fillId="0" borderId="8" xfId="2" applyNumberFormat="1" applyFont="1" applyBorder="1" applyAlignment="1">
      <alignment horizontal="left" vertical="top"/>
    </xf>
    <xf numFmtId="1" fontId="74" fillId="0" borderId="8" xfId="2" applyNumberFormat="1" applyFont="1" applyBorder="1"/>
    <xf numFmtId="166" fontId="7" fillId="0" borderId="121" xfId="2" applyNumberFormat="1" applyFont="1" applyBorder="1" applyAlignment="1">
      <alignment vertical="center"/>
    </xf>
    <xf numFmtId="1" fontId="7" fillId="0" borderId="8" xfId="2" applyNumberFormat="1" applyFont="1" applyBorder="1" applyAlignment="1">
      <alignment vertical="center"/>
    </xf>
    <xf numFmtId="0" fontId="2" fillId="0" borderId="0" xfId="0" applyFont="1" applyAlignment="1">
      <alignment vertical="top" wrapText="1"/>
    </xf>
    <xf numFmtId="165" fontId="7" fillId="0" borderId="114" xfId="2" applyFont="1" applyBorder="1" applyAlignment="1">
      <alignment horizontal="left"/>
    </xf>
    <xf numFmtId="0" fontId="4" fillId="0" borderId="1" xfId="2" applyNumberFormat="1" applyBorder="1" applyAlignment="1">
      <alignment horizontal="center" vertical="center"/>
    </xf>
    <xf numFmtId="165" fontId="7" fillId="0" borderId="0" xfId="2" applyFont="1" applyAlignment="1">
      <alignment horizontal="left" vertical="top" wrapText="1"/>
    </xf>
    <xf numFmtId="0" fontId="4" fillId="0" borderId="8" xfId="0" applyFont="1" applyBorder="1" applyAlignment="1">
      <alignment vertical="center" wrapText="1"/>
    </xf>
    <xf numFmtId="165" fontId="4" fillId="0" borderId="0" xfId="2" applyAlignment="1">
      <alignment horizontal="left" indent="1"/>
    </xf>
    <xf numFmtId="165" fontId="4" fillId="0" borderId="8" xfId="2" applyBorder="1" applyAlignment="1">
      <alignment vertical="top" wrapText="1"/>
    </xf>
    <xf numFmtId="165" fontId="7" fillId="0" borderId="8" xfId="2" applyFont="1" applyBorder="1" applyAlignment="1">
      <alignment horizontal="left" wrapText="1"/>
    </xf>
    <xf numFmtId="165" fontId="4" fillId="0" borderId="8" xfId="2" applyBorder="1" applyAlignment="1">
      <alignment wrapText="1"/>
    </xf>
    <xf numFmtId="166" fontId="2" fillId="0" borderId="119" xfId="2" applyNumberFormat="1" applyFont="1" applyBorder="1" applyAlignment="1">
      <alignment horizontal="right" vertical="center"/>
    </xf>
    <xf numFmtId="166" fontId="2" fillId="0" borderId="128" xfId="2" applyNumberFormat="1" applyFont="1" applyBorder="1" applyAlignment="1">
      <alignment horizontal="right" vertical="center"/>
    </xf>
    <xf numFmtId="165" fontId="7" fillId="0" borderId="16" xfId="2" applyFont="1" applyBorder="1" applyAlignment="1">
      <alignment horizontal="left" wrapText="1"/>
    </xf>
    <xf numFmtId="165" fontId="75" fillId="0" borderId="0" xfId="2" applyFont="1" applyAlignment="1">
      <alignment horizontal="left" vertical="top" wrapText="1"/>
    </xf>
    <xf numFmtId="165" fontId="2" fillId="0" borderId="0" xfId="2" quotePrefix="1" applyFont="1" applyAlignment="1">
      <alignment horizontal="left" vertical="top" wrapText="1"/>
    </xf>
    <xf numFmtId="165" fontId="73" fillId="0" borderId="1" xfId="2" applyFont="1" applyBorder="1" applyAlignment="1">
      <alignment horizontal="left" indent="1"/>
    </xf>
    <xf numFmtId="0" fontId="74" fillId="0" borderId="8" xfId="0" applyFont="1" applyBorder="1"/>
    <xf numFmtId="0" fontId="75" fillId="0" borderId="0" xfId="0" applyFont="1"/>
    <xf numFmtId="166" fontId="74" fillId="0" borderId="119" xfId="0" applyNumberFormat="1" applyFont="1" applyBorder="1"/>
    <xf numFmtId="166" fontId="74" fillId="0" borderId="0" xfId="0" applyNumberFormat="1" applyFont="1"/>
    <xf numFmtId="0" fontId="74" fillId="0" borderId="128" xfId="0" applyFont="1" applyBorder="1"/>
    <xf numFmtId="0" fontId="74" fillId="0" borderId="0" xfId="0" applyFont="1"/>
    <xf numFmtId="0" fontId="74" fillId="0" borderId="121" xfId="0" applyFont="1" applyBorder="1"/>
    <xf numFmtId="166" fontId="74" fillId="0" borderId="1" xfId="0" applyNumberFormat="1" applyFont="1" applyBorder="1" applyAlignment="1">
      <alignment horizontal="left" vertical="top"/>
    </xf>
    <xf numFmtId="166" fontId="74" fillId="0" borderId="8" xfId="0" applyNumberFormat="1" applyFont="1" applyBorder="1" applyAlignment="1">
      <alignment horizontal="left" vertical="top"/>
    </xf>
    <xf numFmtId="1" fontId="74" fillId="0" borderId="8" xfId="0" applyNumberFormat="1" applyFont="1" applyBorder="1"/>
    <xf numFmtId="0" fontId="74" fillId="0" borderId="1" xfId="0" applyFont="1" applyBorder="1"/>
    <xf numFmtId="0" fontId="74" fillId="0" borderId="8" xfId="0" applyFont="1" applyBorder="1" applyAlignment="1">
      <alignment wrapText="1"/>
    </xf>
    <xf numFmtId="0" fontId="74" fillId="0" borderId="0" xfId="0" applyFont="1" applyAlignment="1">
      <alignment horizontal="center" vertical="center"/>
    </xf>
    <xf numFmtId="0" fontId="74" fillId="0" borderId="1" xfId="0" applyFont="1" applyBorder="1" applyAlignment="1">
      <alignment horizontal="center" vertical="center"/>
    </xf>
    <xf numFmtId="0" fontId="75" fillId="0" borderId="0" xfId="0" applyFont="1" applyAlignment="1">
      <alignment vertical="top" wrapText="1"/>
    </xf>
    <xf numFmtId="0" fontId="74" fillId="0" borderId="1" xfId="0" applyFont="1" applyBorder="1" applyAlignment="1">
      <alignment wrapText="1"/>
    </xf>
    <xf numFmtId="166" fontId="74" fillId="0" borderId="128" xfId="0" applyNumberFormat="1" applyFont="1" applyBorder="1"/>
    <xf numFmtId="166" fontId="74" fillId="0" borderId="121" xfId="0" applyNumberFormat="1" applyFont="1" applyBorder="1"/>
    <xf numFmtId="165" fontId="73" fillId="0" borderId="8" xfId="2" applyFont="1" applyBorder="1"/>
    <xf numFmtId="166" fontId="74" fillId="0" borderId="0" xfId="2" applyNumberFormat="1" applyFont="1"/>
    <xf numFmtId="165" fontId="74" fillId="0" borderId="0" xfId="2" applyFont="1" applyAlignment="1">
      <alignment horizontal="left"/>
    </xf>
    <xf numFmtId="165" fontId="74" fillId="0" borderId="1" xfId="2" applyFont="1" applyBorder="1" applyAlignment="1">
      <alignment horizontal="left"/>
    </xf>
    <xf numFmtId="165" fontId="74" fillId="0" borderId="1" xfId="2" applyFont="1" applyBorder="1" applyAlignment="1">
      <alignment horizontal="left" wrapText="1"/>
    </xf>
    <xf numFmtId="0" fontId="74" fillId="0" borderId="0" xfId="2" applyNumberFormat="1" applyFont="1" applyAlignment="1">
      <alignment horizontal="center" vertical="center"/>
    </xf>
    <xf numFmtId="0" fontId="74" fillId="0" borderId="1" xfId="2" applyNumberFormat="1" applyFont="1" applyBorder="1" applyAlignment="1">
      <alignment horizontal="center" vertical="center"/>
    </xf>
    <xf numFmtId="165" fontId="74" fillId="0" borderId="8" xfId="2" applyFont="1" applyBorder="1" applyAlignment="1">
      <alignment horizontal="left"/>
    </xf>
    <xf numFmtId="165" fontId="74" fillId="0" borderId="8" xfId="2" applyFont="1" applyBorder="1" applyAlignment="1">
      <alignment horizontal="left" wrapText="1"/>
    </xf>
    <xf numFmtId="0" fontId="2" fillId="0" borderId="0" xfId="0" applyFont="1" applyAlignment="1">
      <alignment horizontal="left" vertical="top" wrapText="1"/>
    </xf>
    <xf numFmtId="166" fontId="73" fillId="0" borderId="0" xfId="2" applyNumberFormat="1" applyFont="1" applyAlignment="1">
      <alignment horizontal="right" vertical="center"/>
    </xf>
    <xf numFmtId="166" fontId="73" fillId="0" borderId="0" xfId="2" applyNumberFormat="1" applyFont="1"/>
    <xf numFmtId="166" fontId="73" fillId="0" borderId="119" xfId="2" applyNumberFormat="1" applyFont="1" applyBorder="1"/>
    <xf numFmtId="166" fontId="73" fillId="0" borderId="128" xfId="2" applyNumberFormat="1" applyFont="1" applyBorder="1" applyAlignment="1">
      <alignment vertical="center"/>
    </xf>
    <xf numFmtId="166" fontId="73" fillId="0" borderId="121" xfId="2" applyNumberFormat="1" applyFont="1" applyBorder="1"/>
    <xf numFmtId="166" fontId="73" fillId="0" borderId="1" xfId="2" applyNumberFormat="1" applyFont="1" applyBorder="1" applyAlignment="1">
      <alignment horizontal="left" vertical="top"/>
    </xf>
    <xf numFmtId="166" fontId="73" fillId="0" borderId="8" xfId="2" applyNumberFormat="1" applyFont="1" applyBorder="1" applyAlignment="1">
      <alignment horizontal="left" vertical="top"/>
    </xf>
    <xf numFmtId="1" fontId="73" fillId="0" borderId="8" xfId="2" applyNumberFormat="1" applyFont="1" applyBorder="1"/>
    <xf numFmtId="165" fontId="73" fillId="0" borderId="1" xfId="2" applyFont="1" applyBorder="1" applyAlignment="1">
      <alignment horizontal="left"/>
    </xf>
    <xf numFmtId="165" fontId="73" fillId="0" borderId="8" xfId="2" applyFont="1" applyBorder="1" applyAlignment="1">
      <alignment horizontal="left"/>
    </xf>
    <xf numFmtId="165" fontId="73" fillId="0" borderId="8" xfId="2" applyFont="1" applyBorder="1" applyAlignment="1">
      <alignment horizontal="left" wrapText="1"/>
    </xf>
    <xf numFmtId="0" fontId="74" fillId="0" borderId="0" xfId="2" applyNumberFormat="1" applyFont="1" applyAlignment="1">
      <alignment horizontal="left"/>
    </xf>
    <xf numFmtId="165" fontId="73" fillId="0" borderId="0" xfId="2" applyFont="1" applyAlignment="1">
      <alignment horizontal="left"/>
    </xf>
    <xf numFmtId="165" fontId="73" fillId="0" borderId="0" xfId="2" applyFont="1" applyAlignment="1">
      <alignment horizontal="left" vertical="top" wrapText="1"/>
    </xf>
    <xf numFmtId="166" fontId="7" fillId="0" borderId="0" xfId="2" applyNumberFormat="1" applyFont="1" applyAlignment="1">
      <alignment horizontal="right" vertical="center"/>
    </xf>
    <xf numFmtId="2" fontId="4" fillId="0" borderId="119" xfId="2" applyNumberFormat="1" applyBorder="1"/>
    <xf numFmtId="2" fontId="4" fillId="0" borderId="128" xfId="2" applyNumberFormat="1" applyBorder="1"/>
    <xf numFmtId="166" fontId="4" fillId="0" borderId="128" xfId="2" applyNumberFormat="1" applyBorder="1"/>
    <xf numFmtId="165" fontId="4" fillId="0" borderId="63" xfId="2" applyBorder="1"/>
    <xf numFmtId="166" fontId="7" fillId="0" borderId="120" xfId="2" applyNumberFormat="1" applyFont="1" applyBorder="1"/>
    <xf numFmtId="166" fontId="7" fillId="0" borderId="132" xfId="2" applyNumberFormat="1" applyFont="1" applyBorder="1" applyAlignment="1">
      <alignment vertical="center"/>
    </xf>
    <xf numFmtId="166" fontId="7" fillId="0" borderId="123" xfId="2" applyNumberFormat="1" applyFont="1" applyBorder="1"/>
    <xf numFmtId="166" fontId="7" fillId="0" borderId="133" xfId="2" applyNumberFormat="1" applyFont="1" applyBorder="1"/>
    <xf numFmtId="166" fontId="7" fillId="0" borderId="114" xfId="2" applyNumberFormat="1" applyFont="1" applyBorder="1" applyAlignment="1">
      <alignment horizontal="left" vertical="top"/>
    </xf>
    <xf numFmtId="166" fontId="7" fillId="0" borderId="63" xfId="2" applyNumberFormat="1" applyFont="1" applyBorder="1" applyAlignment="1">
      <alignment horizontal="left" vertical="top"/>
    </xf>
    <xf numFmtId="1" fontId="7" fillId="0" borderId="63" xfId="2" applyNumberFormat="1" applyFont="1" applyBorder="1"/>
    <xf numFmtId="165" fontId="7" fillId="0" borderId="63" xfId="2" applyFont="1" applyBorder="1" applyAlignment="1">
      <alignment horizontal="left"/>
    </xf>
    <xf numFmtId="165" fontId="7" fillId="0" borderId="63" xfId="2" applyFont="1" applyBorder="1" applyAlignment="1">
      <alignment horizontal="left" wrapText="1"/>
    </xf>
    <xf numFmtId="165" fontId="7" fillId="0" borderId="8" xfId="2" applyFont="1" applyBorder="1" applyAlignment="1">
      <alignment horizontal="left" indent="1"/>
    </xf>
    <xf numFmtId="165" fontId="4" fillId="0" borderId="14" xfId="2" applyBorder="1"/>
    <xf numFmtId="168" fontId="7" fillId="0" borderId="0" xfId="2" applyNumberFormat="1" applyFont="1"/>
    <xf numFmtId="168" fontId="7" fillId="0" borderId="119" xfId="2" applyNumberFormat="1" applyFont="1" applyBorder="1"/>
    <xf numFmtId="168" fontId="7" fillId="0" borderId="128" xfId="2" applyNumberFormat="1" applyFont="1" applyBorder="1"/>
    <xf numFmtId="168" fontId="7" fillId="0" borderId="121" xfId="2" applyNumberFormat="1" applyFont="1" applyBorder="1"/>
    <xf numFmtId="165" fontId="7" fillId="0" borderId="7" xfId="2" applyFont="1" applyBorder="1" applyAlignment="1">
      <alignment horizontal="left" vertical="top" wrapText="1"/>
    </xf>
    <xf numFmtId="165" fontId="2" fillId="0" borderId="0" xfId="2" applyFont="1" applyAlignment="1">
      <alignment vertical="top" wrapText="1"/>
    </xf>
    <xf numFmtId="165" fontId="4" fillId="0" borderId="1" xfId="2" applyBorder="1" applyAlignment="1">
      <alignment vertical="top" wrapText="1"/>
    </xf>
    <xf numFmtId="165" fontId="7" fillId="0" borderId="1" xfId="2" applyFont="1" applyBorder="1" applyAlignment="1">
      <alignment horizontal="left" vertical="top" wrapText="1"/>
    </xf>
    <xf numFmtId="165" fontId="4" fillId="0" borderId="16" xfId="2" applyBorder="1"/>
    <xf numFmtId="165" fontId="7" fillId="0" borderId="8" xfId="2" applyFont="1" applyBorder="1"/>
    <xf numFmtId="166" fontId="7" fillId="0" borderId="0" xfId="2" applyNumberFormat="1" applyFont="1" applyAlignment="1">
      <alignment horizontal="right"/>
    </xf>
    <xf numFmtId="168" fontId="7" fillId="0" borderId="0" xfId="2" applyNumberFormat="1" applyFont="1" applyAlignment="1">
      <alignment horizontal="right"/>
    </xf>
    <xf numFmtId="165" fontId="2" fillId="0" borderId="1" xfId="2" applyFont="1" applyBorder="1" applyAlignment="1">
      <alignment horizontal="left" vertical="top" wrapText="1"/>
    </xf>
    <xf numFmtId="165" fontId="4" fillId="0" borderId="119" xfId="2" applyBorder="1"/>
    <xf numFmtId="165" fontId="7" fillId="0" borderId="1" xfId="2" applyFont="1" applyBorder="1"/>
    <xf numFmtId="165" fontId="7" fillId="0" borderId="0" xfId="2" applyFont="1" applyAlignment="1">
      <alignment vertical="top" wrapText="1"/>
    </xf>
    <xf numFmtId="165" fontId="7" fillId="0" borderId="0" xfId="2" applyFont="1" applyAlignment="1">
      <alignment horizontal="left" vertical="top"/>
    </xf>
    <xf numFmtId="165" fontId="4" fillId="0" borderId="8" xfId="2" applyBorder="1" applyAlignment="1">
      <alignment horizontal="left" indent="1"/>
    </xf>
    <xf numFmtId="0" fontId="74" fillId="0" borderId="119" xfId="0" applyFont="1" applyBorder="1"/>
    <xf numFmtId="0" fontId="74" fillId="0" borderId="0" xfId="0" applyFont="1" applyAlignment="1">
      <alignment vertical="top" wrapText="1"/>
    </xf>
    <xf numFmtId="0" fontId="74" fillId="0" borderId="30" xfId="0" applyFont="1" applyBorder="1"/>
    <xf numFmtId="0" fontId="74" fillId="0" borderId="30" xfId="0" applyFont="1" applyBorder="1" applyAlignment="1">
      <alignment vertical="top" wrapText="1"/>
    </xf>
    <xf numFmtId="1" fontId="2" fillId="0" borderId="0" xfId="2" applyNumberFormat="1" applyFont="1" applyAlignment="1">
      <alignment horizontal="right" vertical="center"/>
    </xf>
    <xf numFmtId="1" fontId="7" fillId="0" borderId="0" xfId="2" applyNumberFormat="1" applyFont="1"/>
    <xf numFmtId="1" fontId="7" fillId="0" borderId="0" xfId="2" applyNumberFormat="1" applyFont="1" applyAlignment="1">
      <alignment vertical="center"/>
    </xf>
    <xf numFmtId="3" fontId="7" fillId="0" borderId="119" xfId="2" applyNumberFormat="1" applyFont="1" applyBorder="1"/>
    <xf numFmtId="3" fontId="7" fillId="0" borderId="128" xfId="2" applyNumberFormat="1" applyFont="1" applyBorder="1"/>
    <xf numFmtId="165" fontId="4" fillId="0" borderId="30" xfId="2" applyBorder="1"/>
    <xf numFmtId="0" fontId="4" fillId="0" borderId="30" xfId="2" applyNumberFormat="1" applyBorder="1" applyAlignment="1">
      <alignment horizontal="center" vertical="center"/>
    </xf>
    <xf numFmtId="165" fontId="4" fillId="0" borderId="30" xfId="2" applyBorder="1" applyAlignment="1">
      <alignment vertical="top" wrapText="1"/>
    </xf>
    <xf numFmtId="0" fontId="7" fillId="0" borderId="0" xfId="0" applyFont="1" applyAlignment="1">
      <alignment vertical="top" wrapText="1"/>
    </xf>
    <xf numFmtId="165" fontId="4" fillId="0" borderId="16" xfId="2" applyBorder="1" applyAlignment="1">
      <alignment vertical="top" wrapText="1"/>
    </xf>
    <xf numFmtId="166" fontId="7" fillId="0" borderId="115" xfId="2" applyNumberFormat="1" applyFont="1" applyBorder="1" applyAlignment="1">
      <alignment vertical="center"/>
    </xf>
    <xf numFmtId="168" fontId="7" fillId="0" borderId="132" xfId="2" applyNumberFormat="1" applyFont="1" applyBorder="1"/>
    <xf numFmtId="168" fontId="7" fillId="0" borderId="123" xfId="2" applyNumberFormat="1" applyFont="1" applyBorder="1"/>
    <xf numFmtId="168" fontId="7" fillId="0" borderId="133" xfId="2" applyNumberFormat="1" applyFont="1" applyBorder="1"/>
    <xf numFmtId="0" fontId="7" fillId="91" borderId="0" xfId="0" applyFont="1" applyFill="1" applyAlignment="1">
      <alignment vertical="top" wrapText="1"/>
    </xf>
    <xf numFmtId="165" fontId="11" fillId="5" borderId="0" xfId="3" applyFill="1" applyBorder="1" applyAlignment="1">
      <alignment horizontal="left" vertical="top" wrapText="1"/>
    </xf>
    <xf numFmtId="0" fontId="11" fillId="5" borderId="0" xfId="3" applyNumberFormat="1" applyFill="1" applyAlignment="1">
      <alignment vertical="top" wrapText="1"/>
    </xf>
    <xf numFmtId="165" fontId="4" fillId="0" borderId="14" xfId="2" applyBorder="1" applyAlignment="1">
      <alignment horizontal="left" indent="1"/>
    </xf>
    <xf numFmtId="165" fontId="4" fillId="0" borderId="14" xfId="2" applyBorder="1" applyAlignment="1">
      <alignment horizontal="left" wrapText="1"/>
    </xf>
    <xf numFmtId="165" fontId="4" fillId="0" borderId="8" xfId="2" applyBorder="1" applyAlignment="1">
      <alignment horizontal="left" wrapText="1"/>
    </xf>
    <xf numFmtId="165" fontId="2" fillId="0" borderId="8" xfId="2" applyFont="1" applyBorder="1" applyAlignment="1">
      <alignment horizontal="left" wrapText="1"/>
    </xf>
    <xf numFmtId="165" fontId="2" fillId="0" borderId="8" xfId="2" applyFont="1" applyBorder="1" applyAlignment="1">
      <alignment horizontal="left" vertical="top" indent="1"/>
    </xf>
    <xf numFmtId="165" fontId="2" fillId="0" borderId="8" xfId="2" applyFont="1" applyBorder="1" applyAlignment="1">
      <alignment horizontal="left" vertical="top" wrapText="1"/>
    </xf>
    <xf numFmtId="165" fontId="7" fillId="0" borderId="8" xfId="2" applyFont="1" applyBorder="1" applyAlignment="1">
      <alignment wrapText="1"/>
    </xf>
    <xf numFmtId="165" fontId="2" fillId="0" borderId="8" xfId="2" applyFont="1" applyBorder="1" applyAlignment="1">
      <alignment horizontal="left" indent="1"/>
    </xf>
    <xf numFmtId="165" fontId="4" fillId="0" borderId="5" xfId="2" applyBorder="1" applyAlignment="1">
      <alignment horizontal="left" indent="1"/>
    </xf>
    <xf numFmtId="165" fontId="4" fillId="0" borderId="5" xfId="2" applyBorder="1" applyAlignment="1">
      <alignment horizontal="left" wrapText="1"/>
    </xf>
    <xf numFmtId="0" fontId="1" fillId="0" borderId="1" xfId="4" applyBorder="1"/>
    <xf numFmtId="165" fontId="71" fillId="0" borderId="8" xfId="2" applyFont="1" applyBorder="1"/>
    <xf numFmtId="0" fontId="1" fillId="0" borderId="13" xfId="4" applyBorder="1"/>
    <xf numFmtId="2" fontId="7" fillId="0" borderId="14" xfId="2" applyNumberFormat="1" applyFont="1" applyBorder="1" applyAlignment="1">
      <alignment vertical="center"/>
    </xf>
    <xf numFmtId="2" fontId="7" fillId="0" borderId="1" xfId="2" applyNumberFormat="1" applyFont="1" applyBorder="1" applyAlignment="1">
      <alignment vertical="center"/>
    </xf>
    <xf numFmtId="2" fontId="7" fillId="0" borderId="8" xfId="2" applyNumberFormat="1" applyFont="1" applyBorder="1" applyAlignment="1">
      <alignment vertical="center"/>
    </xf>
    <xf numFmtId="2" fontId="7" fillId="0" borderId="5" xfId="2" applyNumberFormat="1" applyFont="1" applyBorder="1" applyAlignment="1">
      <alignment vertical="center"/>
    </xf>
    <xf numFmtId="2" fontId="7" fillId="0" borderId="0" xfId="2" applyNumberFormat="1" applyFont="1" applyAlignment="1">
      <alignment horizontal="right"/>
    </xf>
    <xf numFmtId="2" fontId="7" fillId="0" borderId="1" xfId="2" applyNumberFormat="1" applyFont="1" applyBorder="1"/>
    <xf numFmtId="2" fontId="7" fillId="0" borderId="5" xfId="2" applyNumberFormat="1" applyFont="1" applyBorder="1"/>
    <xf numFmtId="2" fontId="0" fillId="0" borderId="0" xfId="0" applyNumberFormat="1"/>
    <xf numFmtId="4" fontId="7" fillId="0" borderId="14" xfId="2" applyNumberFormat="1" applyFont="1" applyBorder="1" applyAlignment="1">
      <alignment vertical="center"/>
    </xf>
    <xf numFmtId="4" fontId="7" fillId="0" borderId="1" xfId="2" applyNumberFormat="1" applyFont="1" applyBorder="1" applyAlignment="1">
      <alignment vertical="center"/>
    </xf>
    <xf numFmtId="4" fontId="7" fillId="0" borderId="8" xfId="2" applyNumberFormat="1" applyFont="1" applyBorder="1" applyAlignment="1">
      <alignment vertical="center"/>
    </xf>
    <xf numFmtId="4" fontId="7" fillId="0" borderId="5" xfId="2" applyNumberFormat="1" applyFont="1" applyBorder="1" applyAlignment="1">
      <alignment vertical="center"/>
    </xf>
    <xf numFmtId="4" fontId="2" fillId="0" borderId="0" xfId="33961" applyNumberFormat="1"/>
    <xf numFmtId="4" fontId="2" fillId="0" borderId="14" xfId="33961" applyNumberFormat="1" applyBorder="1"/>
    <xf numFmtId="4" fontId="2" fillId="0" borderId="8" xfId="33961" applyNumberFormat="1" applyBorder="1"/>
    <xf numFmtId="4" fontId="2" fillId="0" borderId="5" xfId="33961" applyNumberFormat="1" applyBorder="1"/>
    <xf numFmtId="170" fontId="7" fillId="0" borderId="8" xfId="2" applyNumberFormat="1" applyFont="1" applyBorder="1" applyAlignment="1">
      <alignment vertical="center"/>
    </xf>
    <xf numFmtId="0" fontId="7" fillId="90" borderId="14" xfId="0" applyFont="1" applyFill="1" applyBorder="1"/>
    <xf numFmtId="165" fontId="2" fillId="90" borderId="14" xfId="8" applyFont="1" applyFill="1" applyBorder="1" applyAlignment="1">
      <alignment horizontal="left" vertical="top" wrapText="1"/>
    </xf>
    <xf numFmtId="165" fontId="2" fillId="90" borderId="8" xfId="8" applyFont="1" applyFill="1" applyBorder="1" applyAlignment="1">
      <alignment horizontal="left" vertical="top" wrapText="1"/>
    </xf>
    <xf numFmtId="165" fontId="2" fillId="90" borderId="35" xfId="8" applyFont="1" applyFill="1" applyBorder="1" applyAlignment="1">
      <alignment horizontal="left" vertical="top" wrapText="1"/>
    </xf>
    <xf numFmtId="165" fontId="2" fillId="90" borderId="31" xfId="8" applyFont="1" applyFill="1" applyBorder="1" applyAlignment="1">
      <alignment horizontal="left" vertical="top" wrapText="1"/>
    </xf>
    <xf numFmtId="165" fontId="7" fillId="90" borderId="31" xfId="8" applyFont="1" applyFill="1" applyBorder="1" applyAlignment="1">
      <alignment horizontal="left" vertical="top" wrapText="1"/>
    </xf>
    <xf numFmtId="166" fontId="2" fillId="0" borderId="0" xfId="8" applyNumberFormat="1" applyFont="1" applyAlignment="1">
      <alignment horizontal="right"/>
    </xf>
    <xf numFmtId="166" fontId="2" fillId="0" borderId="8" xfId="8" applyNumberFormat="1" applyFont="1" applyBorder="1" applyAlignment="1">
      <alignment horizontal="right"/>
    </xf>
    <xf numFmtId="166" fontId="7" fillId="0" borderId="0" xfId="0" applyNumberFormat="1" applyFont="1" applyAlignment="1">
      <alignment horizontal="right"/>
    </xf>
    <xf numFmtId="166" fontId="7" fillId="0" borderId="8" xfId="8" applyNumberFormat="1" applyFont="1" applyBorder="1"/>
    <xf numFmtId="166" fontId="7" fillId="0" borderId="14" xfId="8" applyNumberFormat="1" applyFont="1" applyBorder="1"/>
    <xf numFmtId="166" fontId="2" fillId="0" borderId="8" xfId="8" applyNumberFormat="1" applyFont="1" applyBorder="1" applyAlignment="1">
      <alignment horizontal="right" vertical="center"/>
    </xf>
    <xf numFmtId="166" fontId="2" fillId="0" borderId="115" xfId="2" applyNumberFormat="1" applyFont="1" applyBorder="1" applyAlignment="1">
      <alignment horizontal="right" vertical="center"/>
    </xf>
    <xf numFmtId="0" fontId="7" fillId="0" borderId="114" xfId="2" applyNumberFormat="1" applyFont="1" applyBorder="1" applyAlignment="1">
      <alignment horizontal="center" vertical="center"/>
    </xf>
    <xf numFmtId="165" fontId="4" fillId="4" borderId="0" xfId="2" applyFill="1" applyAlignment="1" applyProtection="1">
      <alignment horizontal="center"/>
      <protection hidden="1"/>
    </xf>
    <xf numFmtId="165" fontId="3" fillId="18" borderId="0" xfId="2" applyFont="1" applyFill="1" applyAlignment="1" applyProtection="1">
      <alignment horizontal="center" vertical="center" wrapText="1"/>
      <protection hidden="1"/>
    </xf>
    <xf numFmtId="165" fontId="4" fillId="0" borderId="0" xfId="2" applyAlignment="1" applyProtection="1">
      <alignment horizontal="center"/>
      <protection hidden="1"/>
    </xf>
    <xf numFmtId="165" fontId="61" fillId="16" borderId="0" xfId="2" applyFont="1" applyFill="1" applyAlignment="1" applyProtection="1">
      <alignment horizontal="center" vertical="top"/>
      <protection hidden="1"/>
    </xf>
    <xf numFmtId="165" fontId="36" fillId="6" borderId="0" xfId="2" applyFont="1" applyFill="1" applyAlignment="1" applyProtection="1">
      <alignment horizontal="center" vertical="center"/>
      <protection hidden="1"/>
    </xf>
    <xf numFmtId="165" fontId="62" fillId="25" borderId="0" xfId="2" applyFont="1" applyFill="1" applyAlignment="1" applyProtection="1">
      <alignment horizontal="center" vertical="center"/>
      <protection hidden="1"/>
    </xf>
    <xf numFmtId="165" fontId="36" fillId="30" borderId="0" xfId="2" applyFont="1" applyFill="1" applyAlignment="1" applyProtection="1">
      <alignment horizontal="center" vertical="center"/>
      <protection hidden="1"/>
    </xf>
    <xf numFmtId="165" fontId="40" fillId="0" borderId="0" xfId="2" applyFont="1" applyAlignment="1">
      <alignment horizontal="left" vertical="top" wrapText="1" indent="1"/>
    </xf>
    <xf numFmtId="165" fontId="8" fillId="23" borderId="0" xfId="2" applyFont="1" applyFill="1" applyAlignment="1" applyProtection="1">
      <alignment horizontal="left" vertical="center" indent="1"/>
      <protection hidden="1"/>
    </xf>
    <xf numFmtId="165" fontId="38" fillId="24" borderId="0" xfId="2" applyFont="1" applyFill="1" applyAlignment="1">
      <alignment horizontal="left" vertical="top" wrapText="1" indent="1"/>
    </xf>
    <xf numFmtId="165" fontId="38" fillId="6" borderId="0" xfId="2" applyFont="1" applyFill="1" applyAlignment="1">
      <alignment horizontal="left" vertical="top" wrapText="1" indent="1"/>
    </xf>
    <xf numFmtId="165" fontId="41" fillId="25" borderId="0" xfId="2" applyFont="1" applyFill="1" applyAlignment="1">
      <alignment horizontal="left" vertical="top" wrapText="1" indent="1"/>
    </xf>
    <xf numFmtId="165" fontId="46" fillId="18" borderId="0" xfId="3" applyFont="1" applyFill="1" applyAlignment="1" applyProtection="1">
      <alignment horizontal="left" vertical="center" wrapText="1"/>
      <protection hidden="1"/>
    </xf>
    <xf numFmtId="165" fontId="40" fillId="0" borderId="0" xfId="2" applyFont="1" applyAlignment="1">
      <alignment horizontal="left" vertical="top" wrapText="1" indent="2"/>
    </xf>
    <xf numFmtId="165" fontId="43" fillId="0" borderId="0" xfId="9" applyFont="1" applyAlignment="1">
      <alignment horizontal="left" vertical="top" wrapText="1" indent="1"/>
    </xf>
    <xf numFmtId="165" fontId="12" fillId="2" borderId="6" xfId="1" applyFont="1" applyFill="1" applyBorder="1" applyAlignment="1">
      <alignment horizontal="center" vertical="center" wrapText="1"/>
    </xf>
    <xf numFmtId="165" fontId="3" fillId="2" borderId="6" xfId="1" applyFont="1" applyFill="1" applyBorder="1" applyAlignment="1">
      <alignment horizontal="center" vertical="center" wrapText="1"/>
    </xf>
    <xf numFmtId="165" fontId="5" fillId="2" borderId="4" xfId="1" applyFont="1" applyFill="1" applyBorder="1" applyAlignment="1">
      <alignment horizontal="center" vertical="center" wrapText="1"/>
    </xf>
    <xf numFmtId="165" fontId="5" fillId="2" borderId="124" xfId="1" applyFont="1" applyFill="1" applyBorder="1" applyAlignment="1">
      <alignment horizontal="center" vertical="center" wrapText="1"/>
    </xf>
    <xf numFmtId="165" fontId="12" fillId="2" borderId="91" xfId="1" applyFont="1" applyFill="1" applyBorder="1" applyAlignment="1">
      <alignment horizontal="center" vertical="center" wrapText="1"/>
    </xf>
    <xf numFmtId="165" fontId="12" fillId="2" borderId="92" xfId="1" applyFont="1" applyFill="1" applyBorder="1" applyAlignment="1">
      <alignment horizontal="center" vertical="center" wrapText="1"/>
    </xf>
    <xf numFmtId="165" fontId="12" fillId="2" borderId="93" xfId="1" applyFont="1" applyFill="1" applyBorder="1" applyAlignment="1">
      <alignment horizontal="center" vertical="center" wrapText="1"/>
    </xf>
    <xf numFmtId="165" fontId="4" fillId="4" borderId="6" xfId="2" applyFill="1" applyBorder="1" applyAlignment="1">
      <alignment horizontal="left" vertical="top" wrapText="1" indent="1"/>
    </xf>
    <xf numFmtId="165" fontId="4" fillId="4" borderId="15" xfId="2" applyFill="1" applyBorder="1" applyAlignment="1">
      <alignment horizontal="left" vertical="top" wrapText="1"/>
    </xf>
    <xf numFmtId="165" fontId="4" fillId="4" borderId="2" xfId="2" applyFill="1" applyBorder="1" applyAlignment="1">
      <alignment horizontal="left" vertical="top" wrapText="1"/>
    </xf>
    <xf numFmtId="165" fontId="4" fillId="4" borderId="7" xfId="2" applyFill="1" applyBorder="1" applyAlignment="1">
      <alignment horizontal="left" vertical="top" wrapText="1"/>
    </xf>
    <xf numFmtId="165" fontId="4" fillId="4" borderId="16" xfId="2" applyFill="1" applyBorder="1" applyAlignment="1">
      <alignment horizontal="left" vertical="top" wrapText="1"/>
    </xf>
    <xf numFmtId="165" fontId="4" fillId="4" borderId="0" xfId="2" applyFill="1" applyAlignment="1">
      <alignment horizontal="left" vertical="top" wrapText="1"/>
    </xf>
    <xf numFmtId="165" fontId="4" fillId="4" borderId="1" xfId="2" applyFill="1" applyBorder="1" applyAlignment="1">
      <alignment horizontal="left" vertical="top" wrapText="1"/>
    </xf>
    <xf numFmtId="165" fontId="4" fillId="4" borderId="12" xfId="2" applyFill="1" applyBorder="1" applyAlignment="1">
      <alignment horizontal="left" vertical="top" wrapText="1"/>
    </xf>
    <xf numFmtId="165" fontId="4" fillId="4" borderId="4" xfId="2" applyFill="1" applyBorder="1" applyAlignment="1">
      <alignment horizontal="left" vertical="top" wrapText="1"/>
    </xf>
    <xf numFmtId="165" fontId="4" fillId="4" borderId="13" xfId="2" applyFill="1" applyBorder="1" applyAlignment="1">
      <alignment horizontal="left" vertical="top" wrapText="1"/>
    </xf>
    <xf numFmtId="165" fontId="6" fillId="2" borderId="134" xfId="2" applyFont="1" applyFill="1" applyBorder="1" applyAlignment="1">
      <alignment horizontal="center" vertical="center"/>
    </xf>
    <xf numFmtId="165" fontId="6" fillId="2" borderId="135" xfId="2" applyFont="1" applyFill="1" applyBorder="1" applyAlignment="1">
      <alignment horizontal="center" vertical="center"/>
    </xf>
    <xf numFmtId="165" fontId="6" fillId="2" borderId="136" xfId="2" applyFont="1" applyFill="1" applyBorder="1" applyAlignment="1">
      <alignment horizontal="center" vertical="center"/>
    </xf>
    <xf numFmtId="165" fontId="6" fillId="2" borderId="17" xfId="3" applyFont="1" applyFill="1" applyBorder="1" applyAlignment="1">
      <alignment horizontal="center" vertical="center"/>
    </xf>
    <xf numFmtId="165" fontId="6" fillId="2" borderId="18" xfId="3" applyFont="1" applyFill="1" applyBorder="1" applyAlignment="1">
      <alignment horizontal="center" vertical="center"/>
    </xf>
    <xf numFmtId="165" fontId="6" fillId="2" borderId="3" xfId="3" applyFont="1" applyFill="1" applyBorder="1" applyAlignment="1">
      <alignment horizontal="center" vertical="center"/>
    </xf>
    <xf numFmtId="165" fontId="6" fillId="2" borderId="17" xfId="2" applyFont="1" applyFill="1" applyBorder="1" applyAlignment="1">
      <alignment horizontal="center" vertical="center"/>
    </xf>
    <xf numFmtId="165" fontId="6" fillId="2" borderId="3" xfId="2" applyFont="1" applyFill="1" applyBorder="1" applyAlignment="1">
      <alignment horizontal="center" vertical="center"/>
    </xf>
    <xf numFmtId="165" fontId="6" fillId="2" borderId="18" xfId="2" applyFont="1" applyFill="1" applyBorder="1" applyAlignment="1">
      <alignment horizontal="center" vertical="center"/>
    </xf>
    <xf numFmtId="0" fontId="2" fillId="10" borderId="8" xfId="0" applyFont="1" applyFill="1" applyBorder="1" applyAlignment="1">
      <alignment horizontal="left" vertical="top" wrapText="1"/>
    </xf>
    <xf numFmtId="0" fontId="2" fillId="10" borderId="5" xfId="0" applyFont="1" applyFill="1" applyBorder="1" applyAlignment="1">
      <alignment horizontal="left" vertical="top" wrapText="1"/>
    </xf>
    <xf numFmtId="0" fontId="2" fillId="10" borderId="14" xfId="0" applyFont="1" applyFill="1" applyBorder="1" applyAlignment="1">
      <alignment horizontal="left" vertical="top" wrapText="1"/>
    </xf>
    <xf numFmtId="0" fontId="2" fillId="10" borderId="29" xfId="0" applyFont="1" applyFill="1" applyBorder="1" applyAlignment="1">
      <alignment horizontal="left" vertical="top" wrapText="1"/>
    </xf>
    <xf numFmtId="0" fontId="2" fillId="10" borderId="8" xfId="0" applyFont="1" applyFill="1" applyBorder="1" applyAlignment="1">
      <alignment vertical="top" wrapText="1"/>
    </xf>
    <xf numFmtId="0" fontId="14" fillId="8" borderId="0" xfId="0" applyFont="1" applyFill="1" applyAlignment="1">
      <alignment horizontal="left" vertical="center" wrapText="1"/>
    </xf>
    <xf numFmtId="0" fontId="4" fillId="4" borderId="35" xfId="0" applyFont="1" applyFill="1" applyBorder="1" applyAlignment="1">
      <alignment horizontal="left" vertical="top" wrapText="1"/>
    </xf>
    <xf numFmtId="0" fontId="4" fillId="4" borderId="33" xfId="0" applyFont="1" applyFill="1" applyBorder="1" applyAlignment="1">
      <alignment horizontal="left" vertical="top" wrapText="1"/>
    </xf>
    <xf numFmtId="0" fontId="4" fillId="4" borderId="14" xfId="0" applyFont="1" applyFill="1" applyBorder="1" applyAlignment="1">
      <alignment horizontal="left" vertical="top" wrapText="1"/>
    </xf>
    <xf numFmtId="0" fontId="4" fillId="4" borderId="8" xfId="0" applyFont="1" applyFill="1" applyBorder="1" applyAlignment="1">
      <alignment horizontal="left" vertical="top" wrapText="1"/>
    </xf>
    <xf numFmtId="0" fontId="4" fillId="4" borderId="5" xfId="0" applyFont="1" applyFill="1" applyBorder="1" applyAlignment="1">
      <alignment horizontal="left" vertical="top" wrapText="1"/>
    </xf>
    <xf numFmtId="0" fontId="16" fillId="0" borderId="0" xfId="0" applyFont="1" applyAlignment="1">
      <alignment wrapText="1"/>
    </xf>
    <xf numFmtId="0" fontId="2" fillId="10" borderId="29" xfId="0" applyFont="1" applyFill="1" applyBorder="1" applyAlignment="1">
      <alignment vertical="top" wrapText="1"/>
    </xf>
    <xf numFmtId="167" fontId="2" fillId="90" borderId="112" xfId="0" applyNumberFormat="1" applyFont="1" applyFill="1" applyBorder="1" applyAlignment="1">
      <alignment horizontal="left" vertical="top" wrapText="1"/>
    </xf>
    <xf numFmtId="167" fontId="2" fillId="90" borderId="8" xfId="0" applyNumberFormat="1" applyFont="1" applyFill="1" applyBorder="1" applyAlignment="1">
      <alignment horizontal="left" vertical="top" wrapText="1"/>
    </xf>
    <xf numFmtId="0" fontId="7" fillId="90" borderId="8" xfId="0" applyFont="1" applyFill="1" applyBorder="1" applyAlignment="1">
      <alignment horizontal="left" vertical="top" wrapText="1"/>
    </xf>
    <xf numFmtId="167" fontId="2" fillId="90" borderId="5" xfId="0" applyNumberFormat="1" applyFont="1" applyFill="1" applyBorder="1" applyAlignment="1">
      <alignment horizontal="left" vertical="top" wrapText="1"/>
    </xf>
    <xf numFmtId="0" fontId="7" fillId="90" borderId="14" xfId="0" applyFont="1" applyFill="1" applyBorder="1" applyAlignment="1">
      <alignment horizontal="left" vertical="top" wrapText="1"/>
    </xf>
    <xf numFmtId="165" fontId="12" fillId="2" borderId="17" xfId="1" applyFont="1" applyFill="1" applyBorder="1" applyAlignment="1">
      <alignment horizontal="left" vertical="top" wrapText="1"/>
    </xf>
    <xf numFmtId="165" fontId="12" fillId="2" borderId="3" xfId="1" applyFont="1" applyFill="1" applyBorder="1" applyAlignment="1">
      <alignment horizontal="left" vertical="top" wrapText="1"/>
    </xf>
    <xf numFmtId="165" fontId="4" fillId="0" borderId="0" xfId="2" applyAlignment="1">
      <alignment horizontal="center"/>
    </xf>
    <xf numFmtId="165" fontId="53" fillId="23" borderId="0" xfId="2" applyFont="1" applyFill="1" applyAlignment="1">
      <alignment horizontal="left" vertical="top" indent="1"/>
    </xf>
    <xf numFmtId="165" fontId="12" fillId="23" borderId="0" xfId="2" applyFont="1" applyFill="1" applyAlignment="1">
      <alignment horizontal="left" vertical="top" indent="1"/>
    </xf>
    <xf numFmtId="165" fontId="8" fillId="28" borderId="0" xfId="2" applyFont="1" applyFill="1" applyAlignment="1">
      <alignment horizontal="left" vertical="center" indent="1"/>
    </xf>
    <xf numFmtId="165" fontId="38" fillId="23" borderId="0" xfId="2" applyFont="1" applyFill="1" applyAlignment="1">
      <alignment horizontal="left" vertical="top" indent="1"/>
    </xf>
    <xf numFmtId="165" fontId="40" fillId="0" borderId="0" xfId="2" applyFont="1" applyAlignment="1">
      <alignment horizontal="left" vertical="top"/>
    </xf>
    <xf numFmtId="165" fontId="40" fillId="0" borderId="0" xfId="2" applyFont="1" applyAlignment="1">
      <alignment vertical="top"/>
    </xf>
    <xf numFmtId="165" fontId="29" fillId="25" borderId="0" xfId="3" applyFont="1" applyFill="1" applyAlignment="1">
      <alignment horizontal="left" vertical="center" wrapText="1"/>
    </xf>
    <xf numFmtId="165" fontId="40" fillId="0" borderId="0" xfId="2" applyFont="1" applyAlignment="1">
      <alignment horizontal="left" indent="1"/>
    </xf>
    <xf numFmtId="165" fontId="40" fillId="0" borderId="0" xfId="2" applyFont="1" applyAlignment="1">
      <alignment horizontal="left" vertical="top" indent="1"/>
    </xf>
    <xf numFmtId="165" fontId="41" fillId="0" borderId="3" xfId="2" applyFont="1" applyBorder="1" applyAlignment="1">
      <alignment horizontal="left" vertical="top" indent="1"/>
    </xf>
    <xf numFmtId="165" fontId="17" fillId="0" borderId="0" xfId="2" applyFont="1" applyAlignment="1">
      <alignment horizontal="left" vertical="top" wrapText="1" indent="1"/>
    </xf>
    <xf numFmtId="165" fontId="29" fillId="25" borderId="0" xfId="3" applyFont="1" applyFill="1" applyAlignment="1">
      <alignment horizontal="left" vertical="top" indent="1"/>
    </xf>
    <xf numFmtId="165" fontId="40" fillId="0" borderId="0" xfId="2" applyFont="1" applyAlignment="1">
      <alignment horizontal="center"/>
    </xf>
    <xf numFmtId="165" fontId="53" fillId="23" borderId="0" xfId="2" applyFont="1" applyFill="1" applyAlignment="1">
      <alignment horizontal="left" vertical="center" indent="1"/>
    </xf>
    <xf numFmtId="165" fontId="40" fillId="0" borderId="0" xfId="2" applyFont="1" applyAlignment="1">
      <alignment horizontal="left" wrapText="1" indent="1"/>
    </xf>
    <xf numFmtId="165" fontId="41" fillId="0" borderId="4" xfId="2" applyFont="1" applyBorder="1" applyAlignment="1">
      <alignment horizontal="left" vertical="top" indent="1"/>
    </xf>
    <xf numFmtId="165" fontId="56" fillId="0" borderId="0" xfId="3" applyFont="1" applyAlignment="1">
      <alignment horizontal="center" vertical="top"/>
    </xf>
    <xf numFmtId="165" fontId="41" fillId="0" borderId="4" xfId="2" applyFont="1" applyBorder="1" applyAlignment="1">
      <alignment horizontal="left" vertical="center" indent="1"/>
    </xf>
    <xf numFmtId="165" fontId="41" fillId="0" borderId="3" xfId="2" applyFont="1" applyBorder="1" applyAlignment="1">
      <alignment horizontal="left" vertical="center" indent="1"/>
    </xf>
    <xf numFmtId="165" fontId="41" fillId="0" borderId="0" xfId="2" applyFont="1" applyAlignment="1">
      <alignment horizontal="left" vertical="top" indent="1"/>
    </xf>
    <xf numFmtId="165" fontId="50" fillId="25" borderId="0" xfId="2" applyFont="1" applyFill="1" applyAlignment="1">
      <alignment horizontal="left" vertical="top" indent="1"/>
    </xf>
    <xf numFmtId="165" fontId="40" fillId="0" borderId="4" xfId="2" applyFont="1" applyBorder="1" applyAlignment="1">
      <alignment horizontal="right" vertical="top" indent="1"/>
    </xf>
    <xf numFmtId="165" fontId="41" fillId="0" borderId="0" xfId="2" applyFont="1" applyAlignment="1">
      <alignment horizontal="left" vertical="center" indent="1"/>
    </xf>
    <xf numFmtId="165" fontId="40" fillId="0" borderId="0" xfId="2" applyFont="1" applyAlignment="1">
      <alignment horizontal="right" vertical="top" indent="1"/>
    </xf>
    <xf numFmtId="165" fontId="29" fillId="25" borderId="0" xfId="3" applyFont="1" applyFill="1" applyAlignment="1">
      <alignment horizontal="left" vertical="top"/>
    </xf>
    <xf numFmtId="165" fontId="43" fillId="0" borderId="0" xfId="9" applyFont="1" applyAlignment="1">
      <alignment horizontal="left" vertical="top" indent="1"/>
    </xf>
    <xf numFmtId="165" fontId="41" fillId="0" borderId="4" xfId="2" applyFont="1" applyBorder="1" applyAlignment="1">
      <alignment horizontal="left" vertical="top" wrapText="1"/>
    </xf>
    <xf numFmtId="165" fontId="12" fillId="0" borderId="4" xfId="9" applyFont="1" applyBorder="1" applyAlignment="1">
      <alignment horizontal="left" vertical="top" wrapText="1"/>
    </xf>
    <xf numFmtId="165" fontId="4" fillId="0" borderId="0" xfId="2" applyAlignment="1">
      <alignment horizontal="left" vertical="top"/>
    </xf>
    <xf numFmtId="165" fontId="41" fillId="0" borderId="0" xfId="2" applyFont="1" applyAlignment="1">
      <alignment horizontal="left" vertical="top" wrapText="1"/>
    </xf>
    <xf numFmtId="165" fontId="50" fillId="25" borderId="0" xfId="2" applyFont="1" applyFill="1" applyAlignment="1">
      <alignment horizontal="left" vertical="center"/>
    </xf>
    <xf numFmtId="165" fontId="43" fillId="0" borderId="0" xfId="2" applyFont="1" applyAlignment="1">
      <alignment horizontal="left" vertical="top" indent="1"/>
    </xf>
    <xf numFmtId="165" fontId="12" fillId="0" borderId="4" xfId="2" applyFont="1" applyBorder="1" applyAlignment="1">
      <alignment horizontal="left" vertical="center"/>
    </xf>
    <xf numFmtId="165" fontId="41" fillId="0" borderId="4" xfId="2" applyFont="1" applyBorder="1" applyAlignment="1">
      <alignment horizontal="left" vertical="top"/>
    </xf>
    <xf numFmtId="165" fontId="6" fillId="0" borderId="0" xfId="2" applyFont="1" applyAlignment="1">
      <alignment horizontal="left" vertical="top"/>
    </xf>
    <xf numFmtId="165" fontId="43" fillId="0" borderId="0" xfId="2" applyFont="1" applyAlignment="1">
      <alignment horizontal="center"/>
    </xf>
    <xf numFmtId="165" fontId="50" fillId="25" borderId="0" xfId="2" applyFont="1" applyFill="1" applyAlignment="1">
      <alignment horizontal="left" vertical="top" wrapText="1" indent="1"/>
    </xf>
    <xf numFmtId="165" fontId="53" fillId="27" borderId="0" xfId="9" applyFont="1" applyFill="1" applyAlignment="1">
      <alignment horizontal="left" vertical="center" wrapText="1" indent="1"/>
    </xf>
    <xf numFmtId="165" fontId="43" fillId="0" borderId="0" xfId="9" applyFont="1" applyAlignment="1">
      <alignment horizontal="left" vertical="top" wrapText="1"/>
    </xf>
    <xf numFmtId="165" fontId="11" fillId="0" borderId="0" xfId="3" applyNumberFormat="1" applyFill="1" applyBorder="1" applyAlignment="1">
      <alignment horizontal="left" vertical="top" wrapText="1"/>
    </xf>
    <xf numFmtId="165" fontId="56" fillId="0" borderId="0" xfId="3" applyNumberFormat="1" applyFont="1" applyFill="1" applyBorder="1" applyAlignment="1">
      <alignment horizontal="left" vertical="top" wrapText="1"/>
    </xf>
    <xf numFmtId="0" fontId="69" fillId="25" borderId="2" xfId="3" applyNumberFormat="1" applyFont="1" applyFill="1" applyBorder="1" applyAlignment="1">
      <alignment horizontal="left" wrapText="1"/>
    </xf>
    <xf numFmtId="0" fontId="70" fillId="25" borderId="2" xfId="0" applyFont="1" applyFill="1" applyBorder="1" applyAlignment="1">
      <alignment horizontal="left" wrapText="1"/>
    </xf>
    <xf numFmtId="165" fontId="41" fillId="0" borderId="17" xfId="2" applyFont="1" applyBorder="1" applyAlignment="1">
      <alignment horizontal="left" vertical="top" wrapText="1"/>
    </xf>
    <xf numFmtId="165" fontId="41" fillId="0" borderId="18" xfId="2" applyFont="1" applyBorder="1" applyAlignment="1">
      <alignment horizontal="left" vertical="top" wrapText="1"/>
    </xf>
    <xf numFmtId="165" fontId="41" fillId="0" borderId="0" xfId="2" applyFont="1" applyAlignment="1">
      <alignment horizontal="left" vertical="top" wrapText="1" indent="1"/>
    </xf>
    <xf numFmtId="165" fontId="40" fillId="0" borderId="17" xfId="2" applyFont="1" applyBorder="1" applyAlignment="1">
      <alignment horizontal="left" vertical="top" wrapText="1"/>
    </xf>
    <xf numFmtId="165" fontId="40" fillId="0" borderId="18" xfId="2" applyFont="1" applyBorder="1" applyAlignment="1">
      <alignment horizontal="left" vertical="top"/>
    </xf>
    <xf numFmtId="165" fontId="40" fillId="0" borderId="18" xfId="2" applyFont="1" applyBorder="1" applyAlignment="1">
      <alignment horizontal="left" vertical="top" wrapText="1"/>
    </xf>
    <xf numFmtId="165" fontId="41" fillId="0" borderId="0" xfId="2" applyFont="1" applyAlignment="1">
      <alignment horizontal="center" vertical="center" wrapText="1"/>
    </xf>
    <xf numFmtId="165" fontId="41" fillId="0" borderId="1" xfId="2" applyFont="1" applyBorder="1" applyAlignment="1">
      <alignment horizontal="center" vertical="center" wrapText="1"/>
    </xf>
    <xf numFmtId="165" fontId="56" fillId="0" borderId="0" xfId="3" applyFont="1" applyAlignment="1">
      <alignment horizontal="left" vertical="top" wrapText="1"/>
    </xf>
    <xf numFmtId="165" fontId="40" fillId="0" borderId="0" xfId="2" applyFont="1" applyAlignment="1">
      <alignment horizontal="left" vertical="top" wrapText="1"/>
    </xf>
  </cellXfs>
  <cellStyles count="33965">
    <cellStyle name="20% - Accent1 10" xfId="17" xr:uid="{BFA37E66-9ED9-413F-8DFA-2139A50876F9}"/>
    <cellStyle name="20% - Accent1 10 2" xfId="1250" xr:uid="{0FDF14EB-E156-4711-88EE-75802134CDC3}"/>
    <cellStyle name="20% - Accent1 10 3" xfId="1000" xr:uid="{71BF1721-B988-4134-8C36-BC7A6696338D}"/>
    <cellStyle name="20% - Accent1 11" xfId="18" xr:uid="{F0F89E85-DEE0-4A3D-BABC-BFC768585333}"/>
    <cellStyle name="20% - Accent1 11 2" xfId="1251" xr:uid="{E60B121C-92F5-4E6C-9FE1-E923D206BD78}"/>
    <cellStyle name="20% - Accent1 11 3" xfId="999" xr:uid="{77AC4F06-1C10-4057-B973-D0BB343C3056}"/>
    <cellStyle name="20% - Accent1 12" xfId="19" xr:uid="{7836CC63-F90E-4CF8-B89B-AE0BB1ECC991}"/>
    <cellStyle name="20% - Accent1 12 2" xfId="1252" xr:uid="{29178ECA-BD6F-486A-8F54-1C69B8E1E8DD}"/>
    <cellStyle name="20% - Accent1 12 3" xfId="998" xr:uid="{40ABBD79-1215-4DE6-9047-4F2643B60571}"/>
    <cellStyle name="20% - Accent1 13" xfId="20" xr:uid="{85ED781D-D6F4-4782-B79F-241C26F22BCB}"/>
    <cellStyle name="20% - Accent1 13 2" xfId="1253" xr:uid="{4BA4B55D-0359-4039-A267-5CC5B406BB7F}"/>
    <cellStyle name="20% - Accent1 13 3" xfId="997" xr:uid="{6A59D606-5645-43FA-BAC5-9472C82888E6}"/>
    <cellStyle name="20% - Accent1 14" xfId="21" xr:uid="{826620A1-C6A9-408D-AF9C-45E9A5E1D12C}"/>
    <cellStyle name="20% - Accent1 14 2" xfId="1254" xr:uid="{53B26905-9FFB-4574-8D46-02C62C3CC6EF}"/>
    <cellStyle name="20% - Accent1 14 3" xfId="996" xr:uid="{3B439746-4375-452C-816E-621E98FB6FD8}"/>
    <cellStyle name="20% - Accent1 15" xfId="22" xr:uid="{101D0207-A7C9-4E56-839A-51625ED0144C}"/>
    <cellStyle name="20% - Accent1 15 2" xfId="1255" xr:uid="{80041207-1CD7-4BF0-B29D-38AC51512C3A}"/>
    <cellStyle name="20% - Accent1 15 3" xfId="995" xr:uid="{A4824463-784C-47ED-9E24-EC1214C3B005}"/>
    <cellStyle name="20% - Accent1 16" xfId="23" xr:uid="{745A856A-33C6-4E48-A2B8-CA497F6FA218}"/>
    <cellStyle name="20% - Accent1 16 2" xfId="1256" xr:uid="{94A98088-308F-4658-9BCC-CA2C76912C1D}"/>
    <cellStyle name="20% - Accent1 16 3" xfId="994" xr:uid="{66F74688-8CA8-4B5F-B4CF-62C2BF05A8A1}"/>
    <cellStyle name="20% - Accent1 17" xfId="24" xr:uid="{D9D2DCFB-CC0F-4224-AA01-12DC8D302CBC}"/>
    <cellStyle name="20% - Accent1 17 2" xfId="1257" xr:uid="{45028021-296A-4CC3-AB65-2FAA52F40999}"/>
    <cellStyle name="20% - Accent1 17 3" xfId="993" xr:uid="{1EFD015B-CDCF-43ED-BD44-2DEE5870536C}"/>
    <cellStyle name="20% - Accent1 18" xfId="25" xr:uid="{93A57809-A335-4F67-906E-140EF06C3DC8}"/>
    <cellStyle name="20% - Accent1 18 2" xfId="1258" xr:uid="{E51A04AA-A5FB-405C-A90B-1493DC979925}"/>
    <cellStyle name="20% - Accent1 18 3" xfId="992" xr:uid="{25658E09-6A8C-4554-81F2-BF68256412A9}"/>
    <cellStyle name="20% - Accent1 19" xfId="26" xr:uid="{8E59012F-764E-4612-A3F6-B64A94A55959}"/>
    <cellStyle name="20% - Accent1 19 2" xfId="1259" xr:uid="{F71EE5A6-3B31-4FC6-BCFE-1D23876C8552}"/>
    <cellStyle name="20% - Accent1 19 3" xfId="991" xr:uid="{93D56121-99CC-4982-AA63-48963C78D672}"/>
    <cellStyle name="20% - Accent1 2" xfId="27" xr:uid="{A98A0B08-D514-4004-A3DB-A52F5047977D}"/>
    <cellStyle name="20% - Accent1 2 2" xfId="1260" xr:uid="{07B94D0D-D41F-48CC-8B0D-A14342B8DA5D}"/>
    <cellStyle name="20% - Accent1 2 3" xfId="990" xr:uid="{DE478761-2320-4EB1-938D-073E6266E91F}"/>
    <cellStyle name="20% - Accent1 20" xfId="28" xr:uid="{D366F923-96AD-456F-A63A-B501A0D31309}"/>
    <cellStyle name="20% - Accent1 20 2" xfId="1261" xr:uid="{004CBBFE-96B0-4E9C-B61E-491D55B09190}"/>
    <cellStyle name="20% - Accent1 20 3" xfId="989" xr:uid="{721C4E85-1C19-449C-AAA0-403C6ED1DA72}"/>
    <cellStyle name="20% - Accent1 21" xfId="402" xr:uid="{CE43A3CA-C2D8-4723-8F45-3EF7DDCA6D82}"/>
    <cellStyle name="20% - Accent1 21 2" xfId="685" xr:uid="{CE0F01CD-460D-4811-A8ED-D2545CB14F2E}"/>
    <cellStyle name="20% - Accent1 22" xfId="466" xr:uid="{58B2BCBB-E6FA-4E6A-AC2C-301D8B22A0F0}"/>
    <cellStyle name="20% - Accent1 22 10" xfId="3940" xr:uid="{A77DAFE6-9A5A-420C-8A9B-7AEBC57D61FE}"/>
    <cellStyle name="20% - Accent1 22 10 2" xfId="7610" xr:uid="{71070C69-D50C-414A-805A-289C918EE67E}"/>
    <cellStyle name="20% - Accent1 22 10 2 2" xfId="15117" xr:uid="{712EBD38-C564-46A8-B387-08297825F7E5}"/>
    <cellStyle name="20% - Accent1 22 10 2 2 2" xfId="31321" xr:uid="{4655972A-0B5B-445D-B901-4E54657F0BDB}"/>
    <cellStyle name="20% - Accent1 22 10 2 3" xfId="23814" xr:uid="{74306800-B186-49A8-B868-9AE44FF41950}"/>
    <cellStyle name="20% - Accent1 22 10 3" xfId="11503" xr:uid="{A8285964-4102-4711-86AA-BD4ACE0E6343}"/>
    <cellStyle name="20% - Accent1 22 10 3 2" xfId="27707" xr:uid="{085DD1CA-E774-4330-A77B-76D99AD7B848}"/>
    <cellStyle name="20% - Accent1 22 10 4" xfId="20144" xr:uid="{C729118D-B376-4A5D-9873-BD451DFB2C4E}"/>
    <cellStyle name="20% - Accent1 22 11" xfId="4365" xr:uid="{7641EBFD-A3AE-4923-A96B-3DBF00352AEF}"/>
    <cellStyle name="20% - Accent1 22 11 2" xfId="8035" xr:uid="{452D0F9B-84E3-4CBE-8A89-33B8CC73DCBC}"/>
    <cellStyle name="20% - Accent1 22 11 2 2" xfId="15542" xr:uid="{6949B2EF-A97D-4E76-898D-540EE348281B}"/>
    <cellStyle name="20% - Accent1 22 11 2 2 2" xfId="31746" xr:uid="{2897F631-ECDA-43E5-8EF6-E0D8E83D8113}"/>
    <cellStyle name="20% - Accent1 22 11 2 3" xfId="24239" xr:uid="{E8AC746B-98B9-48A7-8EF1-F303D32A3450}"/>
    <cellStyle name="20% - Accent1 22 11 3" xfId="11928" xr:uid="{503B3A48-8CE8-4499-B9C5-41651847C30B}"/>
    <cellStyle name="20% - Accent1 22 11 3 2" xfId="28132" xr:uid="{6F8D65FC-A6F8-4CD4-8ACD-B7C5E5F8BDB9}"/>
    <cellStyle name="20% - Accent1 22 11 4" xfId="20569" xr:uid="{1DC4DE70-6A80-45C2-9D2F-0DFAC3896820}"/>
    <cellStyle name="20% - Accent1 22 12" xfId="4788" xr:uid="{9EC28FBD-96A7-48F4-813E-44C91CA52C22}"/>
    <cellStyle name="20% - Accent1 22 12 2" xfId="8457" xr:uid="{7A4996FE-6177-4848-B476-B17CAE3DFC36}"/>
    <cellStyle name="20% - Accent1 22 12 2 2" xfId="15964" xr:uid="{7050E3D9-63D0-4664-840A-73E1CDC5A16D}"/>
    <cellStyle name="20% - Accent1 22 12 2 2 2" xfId="32168" xr:uid="{E0A5A82E-1577-4D62-A07C-FDCFBF0AC5BE}"/>
    <cellStyle name="20% - Accent1 22 12 2 3" xfId="24661" xr:uid="{C1F64B14-F0B7-4FF9-8D39-9B74B626D788}"/>
    <cellStyle name="20% - Accent1 22 12 3" xfId="12350" xr:uid="{42BF1BB5-5B89-4514-A3E8-AA596F185EBA}"/>
    <cellStyle name="20% - Accent1 22 12 3 2" xfId="28554" xr:uid="{795B1A37-D00B-46FE-9281-871E411599ED}"/>
    <cellStyle name="20% - Accent1 22 12 4" xfId="20992" xr:uid="{A8B03647-2A2D-4334-8886-2939FB9BB1DF}"/>
    <cellStyle name="20% - Accent1 22 13" xfId="5275" xr:uid="{2886F535-4E2F-49F2-9181-0861E355364C}"/>
    <cellStyle name="20% - Accent1 22 13 2" xfId="12824" xr:uid="{7254ED99-1A56-4922-BC32-3E30F4315B06}"/>
    <cellStyle name="20% - Accent1 22 13 2 2" xfId="29028" xr:uid="{61404B94-B52D-4BE4-A42C-428CF7091297}"/>
    <cellStyle name="20% - Accent1 22 13 3" xfId="21479" xr:uid="{854C38E4-4920-4A3B-98A6-FD92DF271C6A}"/>
    <cellStyle name="20% - Accent1 22 14" xfId="9391" xr:uid="{EA652542-F9FB-458D-B44F-39AA1809F7AA}"/>
    <cellStyle name="20% - Accent1 22 14 2" xfId="25595" xr:uid="{349C70B3-18F6-4D32-8083-7F7E0E97DB70}"/>
    <cellStyle name="20% - Accent1 22 15" xfId="17905" xr:uid="{8FC56C85-70C1-483E-9193-3AD4851BCABD}"/>
    <cellStyle name="20% - Accent1 22 2" xfId="501" xr:uid="{10A8CD35-F978-403F-BCC8-BB3C0C0CE932}"/>
    <cellStyle name="20% - Accent1 22 2 10" xfId="5298" xr:uid="{7900F161-C573-4AD3-A94F-E0D0B6ADC97C}"/>
    <cellStyle name="20% - Accent1 22 2 10 2" xfId="12847" xr:uid="{9ACFB020-AB88-4F53-A066-DF14F8270168}"/>
    <cellStyle name="20% - Accent1 22 2 10 2 2" xfId="29051" xr:uid="{BBC78CD1-0A9A-4196-8FA6-3EF155CE630A}"/>
    <cellStyle name="20% - Accent1 22 2 10 3" xfId="21502" xr:uid="{65A061B0-7C75-41A2-B7D6-CE1B27BD9B02}"/>
    <cellStyle name="20% - Accent1 22 2 11" xfId="9413" xr:uid="{D57F80FE-6158-4AD2-9B64-3CF6F0124D54}"/>
    <cellStyle name="20% - Accent1 22 2 11 2" xfId="25617" xr:uid="{AA352141-A677-4D24-A50F-1E7138DFEBDF}"/>
    <cellStyle name="20% - Accent1 22 2 12" xfId="17928" xr:uid="{F8EB58DD-B12B-45A0-BB9A-460915A1494B}"/>
    <cellStyle name="20% - Accent1 22 2 2" xfId="572" xr:uid="{A8481541-96DF-48E1-AF9D-88687CC97B29}"/>
    <cellStyle name="20% - Accent1 22 2 2 10" xfId="9480" xr:uid="{EFAE3D2D-993B-490A-A68D-0DC829700F1F}"/>
    <cellStyle name="20% - Accent1 22 2 2 10 2" xfId="25684" xr:uid="{3EF73690-C2DD-4883-B528-15119F75C1A3}"/>
    <cellStyle name="20% - Accent1 22 2 2 11" xfId="17996" xr:uid="{72741158-1992-4FFF-8E23-868FB01A6910}"/>
    <cellStyle name="20% - Accent1 22 2 2 2" xfId="1822" xr:uid="{745A2072-C6C2-44AB-B102-26F430C45493}"/>
    <cellStyle name="20% - Accent1 22 2 2 2 10" xfId="18127" xr:uid="{484D0E5C-3BE7-480C-AC11-4C0E5DA9E8FD}"/>
    <cellStyle name="20% - Accent1 22 2 2 2 2" xfId="2331" xr:uid="{39FAB4CD-6F43-4A0B-8F67-E3E9D306896C}"/>
    <cellStyle name="20% - Accent1 22 2 2 2 2 2" xfId="3178" xr:uid="{1C56C502-9A6E-47F9-902E-40FA8BE669C8}"/>
    <cellStyle name="20% - Accent1 22 2 2 2 2 2 2" xfId="6960" xr:uid="{5FB381BE-ED97-4EF2-AA41-3CF77AB0811A}"/>
    <cellStyle name="20% - Accent1 22 2 2 2 2 2 2 2" xfId="14471" xr:uid="{359765AC-DAE9-43B3-94AF-95FE835E79F3}"/>
    <cellStyle name="20% - Accent1 22 2 2 2 2 2 2 2 2" xfId="30675" xr:uid="{F16F9938-A1DD-4CD0-9EE6-0093DC8E5614}"/>
    <cellStyle name="20% - Accent1 22 2 2 2 2 2 2 3" xfId="23164" xr:uid="{BD400C6F-3146-479E-B054-88F670CD3D02}"/>
    <cellStyle name="20% - Accent1 22 2 2 2 2 2 3" xfId="10871" xr:uid="{1552EADF-ADC6-41C6-8AA6-9E38B530C130}"/>
    <cellStyle name="20% - Accent1 22 2 2 2 2 2 3 2" xfId="27075" xr:uid="{CC3647A7-4C00-43EF-ADC2-6A4B57A55B25}"/>
    <cellStyle name="20% - Accent1 22 2 2 2 2 2 4" xfId="19398" xr:uid="{9FD19E93-CF71-48EE-813F-7AB4196CB89D}"/>
    <cellStyle name="20% - Accent1 22 2 2 2 2 3" xfId="6115" xr:uid="{D50F95BE-48C9-4CA1-941D-721833C8636B}"/>
    <cellStyle name="20% - Accent1 22 2 2 2 2 3 2" xfId="13627" xr:uid="{B4F44032-B086-40E5-B586-BA75BF1C7177}"/>
    <cellStyle name="20% - Accent1 22 2 2 2 2 3 2 2" xfId="29831" xr:uid="{2A65567F-8AA2-42F4-A625-9594FA2C2B41}"/>
    <cellStyle name="20% - Accent1 22 2 2 2 2 3 3" xfId="22319" xr:uid="{170E570A-0966-438E-99C5-FF78C3BBC40A}"/>
    <cellStyle name="20% - Accent1 22 2 2 2 2 4" xfId="10027" xr:uid="{38AA0092-5703-4129-9CD5-401F5CEC7EA6}"/>
    <cellStyle name="20% - Accent1 22 2 2 2 2 4 2" xfId="26231" xr:uid="{7662ECD2-C345-4164-8499-597F55694985}"/>
    <cellStyle name="20% - Accent1 22 2 2 2 2 5" xfId="18553" xr:uid="{CCE07051-6327-44F7-97B2-1A6C052EF329}"/>
    <cellStyle name="20% - Accent1 22 2 2 2 3" xfId="2753" xr:uid="{C8196910-7BE7-498B-B91C-7941BD9D1195}"/>
    <cellStyle name="20% - Accent1 22 2 2 2 3 2" xfId="6537" xr:uid="{2394DE30-550A-4EFC-9B67-316A4C7B5C4B}"/>
    <cellStyle name="20% - Accent1 22 2 2 2 3 2 2" xfId="14049" xr:uid="{920408C6-0F6E-438F-9B72-FFFB2D224F2B}"/>
    <cellStyle name="20% - Accent1 22 2 2 2 3 2 2 2" xfId="30253" xr:uid="{4DB08CEB-311A-446E-9895-E1E0B8CDE4B2}"/>
    <cellStyle name="20% - Accent1 22 2 2 2 3 2 3" xfId="22741" xr:uid="{61235815-D1EA-4F7D-9454-1DDED3468E4E}"/>
    <cellStyle name="20% - Accent1 22 2 2 2 3 3" xfId="10449" xr:uid="{007BBC16-30D6-4B1D-B642-F9AE0E2420F6}"/>
    <cellStyle name="20% - Accent1 22 2 2 2 3 3 2" xfId="26653" xr:uid="{B64D6825-066C-4CDD-8283-81180606BC35}"/>
    <cellStyle name="20% - Accent1 22 2 2 2 3 4" xfId="18975" xr:uid="{5E25EC0C-B8DB-401D-A5AB-81CBA7C38C3F}"/>
    <cellStyle name="20% - Accent1 22 2 2 2 4" xfId="3684" xr:uid="{76994C18-DE8E-49BD-9AE5-F3423620C5FD}"/>
    <cellStyle name="20% - Accent1 22 2 2 2 4 2" xfId="7394" xr:uid="{FE35CB6F-831F-48E7-B2EF-C1ABA22139CC}"/>
    <cellStyle name="20% - Accent1 22 2 2 2 4 2 2" xfId="14903" xr:uid="{80AA174A-5429-46C9-A383-D816805E5E5F}"/>
    <cellStyle name="20% - Accent1 22 2 2 2 4 2 2 2" xfId="31107" xr:uid="{ECD7EE54-9AE8-43BE-A19D-C1A5614161A8}"/>
    <cellStyle name="20% - Accent1 22 2 2 2 4 2 3" xfId="23598" xr:uid="{9D4F2357-0926-41A4-B738-6591A122343D}"/>
    <cellStyle name="20% - Accent1 22 2 2 2 4 3" xfId="11294" xr:uid="{7F44C857-68F7-4054-AE62-376FA027D764}"/>
    <cellStyle name="20% - Accent1 22 2 2 2 4 3 2" xfId="27498" xr:uid="{B979BEB5-17DF-45A1-B753-D28D44DD44F3}"/>
    <cellStyle name="20% - Accent1 22 2 2 2 4 4" xfId="19893" xr:uid="{7930E7B5-57AC-4D91-99BF-832FAB5ECB1F}"/>
    <cellStyle name="20% - Accent1 22 2 2 2 5" xfId="4153" xr:uid="{15E4E8B1-34BC-49BF-8B17-09F2DE0481B1}"/>
    <cellStyle name="20% - Accent1 22 2 2 2 5 2" xfId="7823" xr:uid="{408316F1-2645-48EE-B886-48B4D9823D8D}"/>
    <cellStyle name="20% - Accent1 22 2 2 2 5 2 2" xfId="15330" xr:uid="{5D57FD39-7046-43AB-9F34-78F3ACDA4831}"/>
    <cellStyle name="20% - Accent1 22 2 2 2 5 2 2 2" xfId="31534" xr:uid="{D5D21880-1BBE-471A-BBB3-1FF3238968FD}"/>
    <cellStyle name="20% - Accent1 22 2 2 2 5 2 3" xfId="24027" xr:uid="{73AAD354-711D-4FEC-A42E-BE1EEF0C9C55}"/>
    <cellStyle name="20% - Accent1 22 2 2 2 5 3" xfId="11716" xr:uid="{E9216CC8-B21D-4D4F-B6C3-0EAC9F4096A7}"/>
    <cellStyle name="20% - Accent1 22 2 2 2 5 3 2" xfId="27920" xr:uid="{208CC901-E003-4155-807D-F76842F3965B}"/>
    <cellStyle name="20% - Accent1 22 2 2 2 5 4" xfId="20357" xr:uid="{E78204B8-B682-4665-9FC8-57F407459260}"/>
    <cellStyle name="20% - Accent1 22 2 2 2 6" xfId="4578" xr:uid="{3C438D8C-151F-451D-9322-7C273AE81301}"/>
    <cellStyle name="20% - Accent1 22 2 2 2 6 2" xfId="8248" xr:uid="{9D4D151B-C8CC-4598-9416-77FB931EFBB4}"/>
    <cellStyle name="20% - Accent1 22 2 2 2 6 2 2" xfId="15755" xr:uid="{0EC9FB9D-56E0-4A2B-A389-A4CFC52A45F6}"/>
    <cellStyle name="20% - Accent1 22 2 2 2 6 2 2 2" xfId="31959" xr:uid="{97C08B47-E577-4FA4-9D98-8CD4ACED58D6}"/>
    <cellStyle name="20% - Accent1 22 2 2 2 6 2 3" xfId="24452" xr:uid="{E616A85C-B4CD-4EE3-8844-B8F778AB9C40}"/>
    <cellStyle name="20% - Accent1 22 2 2 2 6 3" xfId="12141" xr:uid="{6D0B3826-C591-4E88-AECD-CCF171B58B3A}"/>
    <cellStyle name="20% - Accent1 22 2 2 2 6 3 2" xfId="28345" xr:uid="{88F5F022-2CC0-4AD8-952B-3223E6695E02}"/>
    <cellStyle name="20% - Accent1 22 2 2 2 6 4" xfId="20782" xr:uid="{89AD643B-BCCA-4099-84BF-B4BBE9134B3C}"/>
    <cellStyle name="20% - Accent1 22 2 2 2 7" xfId="5005" xr:uid="{5D619576-81D4-4AE6-9184-F85856201872}"/>
    <cellStyle name="20% - Accent1 22 2 2 2 7 2" xfId="8671" xr:uid="{711ACFB3-7309-4665-ADEA-3CBB6B05B62C}"/>
    <cellStyle name="20% - Accent1 22 2 2 2 7 2 2" xfId="16178" xr:uid="{63FF8BAB-6235-45A0-B9A0-0791E895A5D5}"/>
    <cellStyle name="20% - Accent1 22 2 2 2 7 2 2 2" xfId="32382" xr:uid="{79329EC0-A00B-41EC-9C8A-D5E7642B4AEB}"/>
    <cellStyle name="20% - Accent1 22 2 2 2 7 2 3" xfId="24875" xr:uid="{7BF35C45-8BF0-4DA5-BC7F-6FF9CD9B05AD}"/>
    <cellStyle name="20% - Accent1 22 2 2 2 7 3" xfId="12563" xr:uid="{AED8168A-36A1-481C-AB86-4F6410BA0425}"/>
    <cellStyle name="20% - Accent1 22 2 2 2 7 3 2" xfId="28767" xr:uid="{C2899CC5-27E7-41D0-904E-17EF965106DE}"/>
    <cellStyle name="20% - Accent1 22 2 2 2 7 4" xfId="21209" xr:uid="{212A722D-FDD6-4498-8A4E-C12E0DDBBFC3}"/>
    <cellStyle name="20% - Accent1 22 2 2 2 8" xfId="5677" xr:uid="{B3BF182E-FF71-448D-BAE6-FD659ADB2E4D}"/>
    <cellStyle name="20% - Accent1 22 2 2 2 8 2" xfId="13192" xr:uid="{168405C6-55D7-473B-ADE3-96ACDCA6FD37}"/>
    <cellStyle name="20% - Accent1 22 2 2 2 8 2 2" xfId="29396" xr:uid="{F3BF944C-C8BB-423C-BC92-0CB4EF46DD11}"/>
    <cellStyle name="20% - Accent1 22 2 2 2 8 3" xfId="21881" xr:uid="{D2780554-72AC-4822-9A6D-6CE3C02B5C14}"/>
    <cellStyle name="20% - Accent1 22 2 2 2 9" xfId="9604" xr:uid="{54220A8C-58EB-454C-9C17-41EC8AF520FE}"/>
    <cellStyle name="20% - Accent1 22 2 2 2 9 2" xfId="25808" xr:uid="{296596CB-FFFA-4EF2-AA25-252F968483D4}"/>
    <cellStyle name="20% - Accent1 22 2 2 3" xfId="2141" xr:uid="{995F5B51-862B-4A9D-A76D-47516EFE5F75}"/>
    <cellStyle name="20% - Accent1 22 2 2 3 2" xfId="3054" xr:uid="{D4E0AB8C-E0F8-4F07-A7C9-4BF2F5C3EBD4}"/>
    <cellStyle name="20% - Accent1 22 2 2 3 2 2" xfId="6836" xr:uid="{65EE77EF-0DA3-4A0C-A1B7-86AF8C7F54ED}"/>
    <cellStyle name="20% - Accent1 22 2 2 3 2 2 2" xfId="14347" xr:uid="{D549CC0E-006B-4F59-AC6E-AB6B61F22034}"/>
    <cellStyle name="20% - Accent1 22 2 2 3 2 2 2 2" xfId="30551" xr:uid="{2F609269-E8DD-4417-8ADF-E68E3BA42FC2}"/>
    <cellStyle name="20% - Accent1 22 2 2 3 2 2 3" xfId="23040" xr:uid="{7623A876-908A-47B3-B8B3-AC80E45F1538}"/>
    <cellStyle name="20% - Accent1 22 2 2 3 2 3" xfId="10747" xr:uid="{6E2E79F3-25C4-4CA9-AE92-9610DBB4F29D}"/>
    <cellStyle name="20% - Accent1 22 2 2 3 2 3 2" xfId="26951" xr:uid="{17E7B362-1D1F-4822-B4CB-34A2F2B904EA}"/>
    <cellStyle name="20% - Accent1 22 2 2 3 2 4" xfId="19274" xr:uid="{3C92F65E-F7CF-4493-8F58-639D4573C252}"/>
    <cellStyle name="20% - Accent1 22 2 2 3 3" xfId="5980" xr:uid="{A4D5AB3E-1A59-4495-BECE-236DA943A7A1}"/>
    <cellStyle name="20% - Accent1 22 2 2 3 3 2" xfId="13494" xr:uid="{0D22C5F7-A0F9-4B22-83DA-B1F99E5EC8F9}"/>
    <cellStyle name="20% - Accent1 22 2 2 3 3 2 2" xfId="29698" xr:uid="{6B2C6027-9A71-4130-95A1-D9DE7184AAE4}"/>
    <cellStyle name="20% - Accent1 22 2 2 3 3 3" xfId="22184" xr:uid="{8AF22F73-E8F2-4327-8781-CACBBF550E52}"/>
    <cellStyle name="20% - Accent1 22 2 2 3 4" xfId="9903" xr:uid="{CFA65FF9-7F13-4DE3-859C-7A4C1822F9AE}"/>
    <cellStyle name="20% - Accent1 22 2 2 3 4 2" xfId="26107" xr:uid="{BF93DEF6-8DE7-4703-B67D-B317FA004F98}"/>
    <cellStyle name="20% - Accent1 22 2 2 3 5" xfId="18428" xr:uid="{8863397E-5555-412F-AE98-41E9272BA25E}"/>
    <cellStyle name="20% - Accent1 22 2 2 4" xfId="2629" xr:uid="{556804EE-2816-407B-96FC-ED2768DE1B05}"/>
    <cellStyle name="20% - Accent1 22 2 2 4 2" xfId="6413" xr:uid="{A12648DD-3EF0-4A0B-8902-E86890D86561}"/>
    <cellStyle name="20% - Accent1 22 2 2 4 2 2" xfId="13925" xr:uid="{FB98AE9F-C692-4D58-9105-13101D290FCC}"/>
    <cellStyle name="20% - Accent1 22 2 2 4 2 2 2" xfId="30129" xr:uid="{82EF931C-7165-42D0-8950-9CF36C1BCA71}"/>
    <cellStyle name="20% - Accent1 22 2 2 4 2 3" xfId="22617" xr:uid="{36FECDB5-6709-47AA-9878-DF80754783AF}"/>
    <cellStyle name="20% - Accent1 22 2 2 4 3" xfId="10325" xr:uid="{4CC910AA-6B2E-43A2-B044-12718EA88A18}"/>
    <cellStyle name="20% - Accent1 22 2 2 4 3 2" xfId="26529" xr:uid="{B0AD12DD-95F3-4E74-B52F-BF87687BAC2A}"/>
    <cellStyle name="20% - Accent1 22 2 2 4 4" xfId="18851" xr:uid="{95F05C9A-D729-40B1-AD3D-39C7C7557106}"/>
    <cellStyle name="20% - Accent1 22 2 2 5" xfId="3505" xr:uid="{A3AB01A6-33EC-4B86-9C11-C87107927FE2}"/>
    <cellStyle name="20% - Accent1 22 2 2 5 2" xfId="7263" xr:uid="{5C1921F9-84F1-4706-9F10-1664DD9F1AFF}"/>
    <cellStyle name="20% - Accent1 22 2 2 5 2 2" xfId="14773" xr:uid="{D325C035-4F75-4E38-9635-017DD8B5D1EA}"/>
    <cellStyle name="20% - Accent1 22 2 2 5 2 2 2" xfId="30977" xr:uid="{3B45BD50-A806-424C-B144-F411EEBF51C4}"/>
    <cellStyle name="20% - Accent1 22 2 2 5 2 3" xfId="23467" xr:uid="{C7F638AA-05D3-4C2C-9F8B-44633FB6E43C}"/>
    <cellStyle name="20% - Accent1 22 2 2 5 3" xfId="11170" xr:uid="{B7D40CF6-0AF2-46F4-84B4-80752ABE7F9F}"/>
    <cellStyle name="20% - Accent1 22 2 2 5 3 2" xfId="27374" xr:uid="{D87038A3-E057-4FC4-93CD-3E09D2089060}"/>
    <cellStyle name="20% - Accent1 22 2 2 5 4" xfId="19721" xr:uid="{46F13584-885F-4AD4-905C-7B2BD89F2457}"/>
    <cellStyle name="20% - Accent1 22 2 2 6" xfId="4029" xr:uid="{67775E8D-9F95-4266-B379-6B2F50E48083}"/>
    <cellStyle name="20% - Accent1 22 2 2 6 2" xfId="7699" xr:uid="{466CC5C3-3817-4DA3-BBE5-65D04158B220}"/>
    <cellStyle name="20% - Accent1 22 2 2 6 2 2" xfId="15206" xr:uid="{80586A7F-431E-4699-BE57-7CAF20255263}"/>
    <cellStyle name="20% - Accent1 22 2 2 6 2 2 2" xfId="31410" xr:uid="{5E7D9532-B4CC-4BE1-9EA7-DE3C01452D69}"/>
    <cellStyle name="20% - Accent1 22 2 2 6 2 3" xfId="23903" xr:uid="{25BF75EE-92E1-4E23-B861-55445BBF7989}"/>
    <cellStyle name="20% - Accent1 22 2 2 6 3" xfId="11592" xr:uid="{FFC46C0D-C3C7-4168-8252-4DA635E0D2BB}"/>
    <cellStyle name="20% - Accent1 22 2 2 6 3 2" xfId="27796" xr:uid="{6E930F44-659A-42A2-94BA-069426264456}"/>
    <cellStyle name="20% - Accent1 22 2 2 6 4" xfId="20233" xr:uid="{8F209AB9-EFDE-4347-B591-186C170842E9}"/>
    <cellStyle name="20% - Accent1 22 2 2 7" xfId="4454" xr:uid="{E706D0AD-EDC0-4E87-A273-DC865765F28B}"/>
    <cellStyle name="20% - Accent1 22 2 2 7 2" xfId="8124" xr:uid="{843FCB64-4C15-4974-AB44-A9A7FDBA408E}"/>
    <cellStyle name="20% - Accent1 22 2 2 7 2 2" xfId="15631" xr:uid="{710CA180-BEC1-4BEF-BC7B-2154D29F47AD}"/>
    <cellStyle name="20% - Accent1 22 2 2 7 2 2 2" xfId="31835" xr:uid="{4FB4A992-9127-4313-A13C-A04353E035EB}"/>
    <cellStyle name="20% - Accent1 22 2 2 7 2 3" xfId="24328" xr:uid="{5EE20E9B-6A32-414A-92C7-31C596B11095}"/>
    <cellStyle name="20% - Accent1 22 2 2 7 3" xfId="12017" xr:uid="{02F4B9C6-4447-4ACB-95DE-BE5B8BE4B4F3}"/>
    <cellStyle name="20% - Accent1 22 2 2 7 3 2" xfId="28221" xr:uid="{FF8F36E0-1D30-4E78-8C87-F4F789DF1261}"/>
    <cellStyle name="20% - Accent1 22 2 2 7 4" xfId="20658" xr:uid="{C7FF421E-8E39-4561-8F88-3567AE361B9F}"/>
    <cellStyle name="20% - Accent1 22 2 2 8" xfId="4879" xr:uid="{C98A127B-F9F5-42B7-81D2-89582647BFFA}"/>
    <cellStyle name="20% - Accent1 22 2 2 8 2" xfId="8547" xr:uid="{170BFE8E-2F83-4284-B63C-3764114E44D3}"/>
    <cellStyle name="20% - Accent1 22 2 2 8 2 2" xfId="16054" xr:uid="{98FDC606-B141-472E-946B-BC91F0D9B065}"/>
    <cellStyle name="20% - Accent1 22 2 2 8 2 2 2" xfId="32258" xr:uid="{BE8FA41D-837C-433F-8A8F-EE0E75697402}"/>
    <cellStyle name="20% - Accent1 22 2 2 8 2 3" xfId="24751" xr:uid="{6264C4CD-DFAB-4E2F-A327-15430A2C376E}"/>
    <cellStyle name="20% - Accent1 22 2 2 8 3" xfId="12439" xr:uid="{61EBC564-D0B1-48B6-8DB2-FEF589823BAF}"/>
    <cellStyle name="20% - Accent1 22 2 2 8 3 2" xfId="28643" xr:uid="{B5231636-3674-4AC6-9A62-5466B859E2F0}"/>
    <cellStyle name="20% - Accent1 22 2 2 8 4" xfId="21083" xr:uid="{9AA8BF8E-2843-4229-A422-00888CB9A60A}"/>
    <cellStyle name="20% - Accent1 22 2 2 9" xfId="5365" xr:uid="{AEAA4CE0-E655-4AFE-9BE7-7F82E9061A64}"/>
    <cellStyle name="20% - Accent1 22 2 2 9 2" xfId="12914" xr:uid="{29BD3616-06E1-4399-832A-97D2C957ADAE}"/>
    <cellStyle name="20% - Accent1 22 2 2 9 2 2" xfId="29118" xr:uid="{36E285C2-78AA-4A99-9E2A-D05A1C75FF3D}"/>
    <cellStyle name="20% - Accent1 22 2 2 9 3" xfId="21569" xr:uid="{47543098-2CF2-40D4-A4F0-1D35467064E4}"/>
    <cellStyle name="20% - Accent1 22 2 3" xfId="1823" xr:uid="{71071955-55A0-4596-818E-4908E8E16CAE}"/>
    <cellStyle name="20% - Accent1 22 2 3 10" xfId="18128" xr:uid="{0EC9C775-9ECD-437B-A852-B5170B1FB61C}"/>
    <cellStyle name="20% - Accent1 22 2 3 2" xfId="2332" xr:uid="{E08F582D-213E-4859-8AD8-9D8663F1333F}"/>
    <cellStyle name="20% - Accent1 22 2 3 2 2" xfId="3179" xr:uid="{DE64E4D5-991A-4150-B1B1-5768387544E8}"/>
    <cellStyle name="20% - Accent1 22 2 3 2 2 2" xfId="6961" xr:uid="{2826A90C-332B-4DB1-9125-95247EAF8D96}"/>
    <cellStyle name="20% - Accent1 22 2 3 2 2 2 2" xfId="14472" xr:uid="{B6053BFF-4157-41B2-83C9-CFC873E16366}"/>
    <cellStyle name="20% - Accent1 22 2 3 2 2 2 2 2" xfId="30676" xr:uid="{A437057F-8DF5-4024-AAF4-9B850105C5A3}"/>
    <cellStyle name="20% - Accent1 22 2 3 2 2 2 3" xfId="23165" xr:uid="{CA12B62B-E173-4568-86A7-5DAF545BF17D}"/>
    <cellStyle name="20% - Accent1 22 2 3 2 2 3" xfId="10872" xr:uid="{BE6D380C-223D-4501-9A39-7A302F44BF9E}"/>
    <cellStyle name="20% - Accent1 22 2 3 2 2 3 2" xfId="27076" xr:uid="{D5E40337-576B-4234-9E97-70B8498E9835}"/>
    <cellStyle name="20% - Accent1 22 2 3 2 2 4" xfId="19399" xr:uid="{A264A45C-F3B9-42A9-8F20-794B35737B1D}"/>
    <cellStyle name="20% - Accent1 22 2 3 2 3" xfId="6116" xr:uid="{C85D1E52-6974-46B3-B894-2E8DB8C2B31F}"/>
    <cellStyle name="20% - Accent1 22 2 3 2 3 2" xfId="13628" xr:uid="{7028920A-1BCC-4919-A1D7-6C571F304AFD}"/>
    <cellStyle name="20% - Accent1 22 2 3 2 3 2 2" xfId="29832" xr:uid="{231A84B0-1CBC-43D1-BEAA-A19B7B27432D}"/>
    <cellStyle name="20% - Accent1 22 2 3 2 3 3" xfId="22320" xr:uid="{A56BCB87-F56D-4F79-9C27-EE7FA28D5395}"/>
    <cellStyle name="20% - Accent1 22 2 3 2 4" xfId="10028" xr:uid="{C9052D5F-2A1A-4380-9A8E-A0F6CB832ED6}"/>
    <cellStyle name="20% - Accent1 22 2 3 2 4 2" xfId="26232" xr:uid="{86A6089F-302F-443E-8BE3-E3C901F26180}"/>
    <cellStyle name="20% - Accent1 22 2 3 2 5" xfId="18554" xr:uid="{E274AA04-103B-4D52-803B-A55C7DB3A8E0}"/>
    <cellStyle name="20% - Accent1 22 2 3 3" xfId="2754" xr:uid="{CCD89255-E99E-418F-8CCB-DD6DB0953024}"/>
    <cellStyle name="20% - Accent1 22 2 3 3 2" xfId="6538" xr:uid="{9E6EB880-77E5-4E45-AC5B-BA83BA7A1F5A}"/>
    <cellStyle name="20% - Accent1 22 2 3 3 2 2" xfId="14050" xr:uid="{12E64552-CFC6-4ECA-9534-79680F9E9D8F}"/>
    <cellStyle name="20% - Accent1 22 2 3 3 2 2 2" xfId="30254" xr:uid="{7386FFB2-67EC-41C9-BE17-27BB70BBC736}"/>
    <cellStyle name="20% - Accent1 22 2 3 3 2 3" xfId="22742" xr:uid="{99D922BB-4282-4FAD-B93B-ABF48CF52F0D}"/>
    <cellStyle name="20% - Accent1 22 2 3 3 3" xfId="10450" xr:uid="{91D89F78-B45C-4512-9B47-A4AEC24152FD}"/>
    <cellStyle name="20% - Accent1 22 2 3 3 3 2" xfId="26654" xr:uid="{2A96F1F3-BF7C-4A7D-B9B3-0D601AD3BFE7}"/>
    <cellStyle name="20% - Accent1 22 2 3 3 4" xfId="18976" xr:uid="{22E4950C-4FF5-4EC6-9544-D7C6CEAE01FE}"/>
    <cellStyle name="20% - Accent1 22 2 3 4" xfId="3685" xr:uid="{2B871C9C-93DF-4E44-A5A9-CA1B139F6502}"/>
    <cellStyle name="20% - Accent1 22 2 3 4 2" xfId="7395" xr:uid="{8A734053-6873-4A60-8AFD-3D6223F8D94C}"/>
    <cellStyle name="20% - Accent1 22 2 3 4 2 2" xfId="14904" xr:uid="{7600C146-1047-45FA-9849-1334E3D542EA}"/>
    <cellStyle name="20% - Accent1 22 2 3 4 2 2 2" xfId="31108" xr:uid="{51665042-2062-4EB4-B0B3-4A6EBBAE0818}"/>
    <cellStyle name="20% - Accent1 22 2 3 4 2 3" xfId="23599" xr:uid="{0164D266-E5D2-4870-A138-145491A83583}"/>
    <cellStyle name="20% - Accent1 22 2 3 4 3" xfId="11295" xr:uid="{ED3BDC83-8ED7-4BB5-901B-DDF8DCC4ABE2}"/>
    <cellStyle name="20% - Accent1 22 2 3 4 3 2" xfId="27499" xr:uid="{302898B0-A682-49B2-ABFE-56A68C57F7D1}"/>
    <cellStyle name="20% - Accent1 22 2 3 4 4" xfId="19894" xr:uid="{B042928A-B763-4DDC-A7F8-33A68BF99C94}"/>
    <cellStyle name="20% - Accent1 22 2 3 5" xfId="4154" xr:uid="{FA923D04-F714-4E83-AA1D-AD611EEBE27E}"/>
    <cellStyle name="20% - Accent1 22 2 3 5 2" xfId="7824" xr:uid="{F8515BF5-8D2B-45EF-A237-42BB140D79D1}"/>
    <cellStyle name="20% - Accent1 22 2 3 5 2 2" xfId="15331" xr:uid="{50974C2C-459E-4506-9F85-2383DCD58A68}"/>
    <cellStyle name="20% - Accent1 22 2 3 5 2 2 2" xfId="31535" xr:uid="{19B664BF-862F-4E19-8CC2-3B66E7423D56}"/>
    <cellStyle name="20% - Accent1 22 2 3 5 2 3" xfId="24028" xr:uid="{B232E62F-A8FF-4C3B-8B96-FDA3D81E3492}"/>
    <cellStyle name="20% - Accent1 22 2 3 5 3" xfId="11717" xr:uid="{24877C81-F627-466C-B1B0-2749B5C8D774}"/>
    <cellStyle name="20% - Accent1 22 2 3 5 3 2" xfId="27921" xr:uid="{5A7863F8-4204-4A9D-8185-5F5DCCFF6DB0}"/>
    <cellStyle name="20% - Accent1 22 2 3 5 4" xfId="20358" xr:uid="{0B72A748-1835-4177-B54D-2892ECE3FA21}"/>
    <cellStyle name="20% - Accent1 22 2 3 6" xfId="4579" xr:uid="{54C3AAFF-B7BD-418D-8D6F-CB959DF9FD12}"/>
    <cellStyle name="20% - Accent1 22 2 3 6 2" xfId="8249" xr:uid="{2BAD70D5-2B97-407D-8DD4-179D036D2191}"/>
    <cellStyle name="20% - Accent1 22 2 3 6 2 2" xfId="15756" xr:uid="{EB3106A4-3F8B-4A3E-9077-B66DC963987D}"/>
    <cellStyle name="20% - Accent1 22 2 3 6 2 2 2" xfId="31960" xr:uid="{D4E34651-0EDB-4FDB-BB06-F5E6FCD71623}"/>
    <cellStyle name="20% - Accent1 22 2 3 6 2 3" xfId="24453" xr:uid="{002D0C7A-0AB9-4038-ABAD-85307A5BAC6F}"/>
    <cellStyle name="20% - Accent1 22 2 3 6 3" xfId="12142" xr:uid="{B691D1C0-2947-4DA5-ADB7-B1B5A93DA5E7}"/>
    <cellStyle name="20% - Accent1 22 2 3 6 3 2" xfId="28346" xr:uid="{F9124712-868D-45B7-8789-2253C77F837C}"/>
    <cellStyle name="20% - Accent1 22 2 3 6 4" xfId="20783" xr:uid="{6C307229-6CB4-4D84-BC59-DFB5CD61D90D}"/>
    <cellStyle name="20% - Accent1 22 2 3 7" xfId="5006" xr:uid="{6D34D81A-9185-49C1-91BA-3AA4A8DB4DA4}"/>
    <cellStyle name="20% - Accent1 22 2 3 7 2" xfId="8672" xr:uid="{5DB4EF6A-F554-40E4-B35F-E99E48A7412B}"/>
    <cellStyle name="20% - Accent1 22 2 3 7 2 2" xfId="16179" xr:uid="{13930C36-8988-4795-90F9-24D1BAB48AD7}"/>
    <cellStyle name="20% - Accent1 22 2 3 7 2 2 2" xfId="32383" xr:uid="{E1127C84-1F6A-4BDF-96CD-E2E14F7297F7}"/>
    <cellStyle name="20% - Accent1 22 2 3 7 2 3" xfId="24876" xr:uid="{532E0912-8401-4C3E-B77E-F2435A47A663}"/>
    <cellStyle name="20% - Accent1 22 2 3 7 3" xfId="12564" xr:uid="{E00860D5-E3CE-4311-87E8-B02407C6F96B}"/>
    <cellStyle name="20% - Accent1 22 2 3 7 3 2" xfId="28768" xr:uid="{81B73BCC-BCCE-4889-B807-8FB28733821D}"/>
    <cellStyle name="20% - Accent1 22 2 3 7 4" xfId="21210" xr:uid="{A052E4E8-3AA6-4DF9-A178-229D35FBE8FE}"/>
    <cellStyle name="20% - Accent1 22 2 3 8" xfId="5678" xr:uid="{682E7BEB-359C-456B-A979-4061CA2A2866}"/>
    <cellStyle name="20% - Accent1 22 2 3 8 2" xfId="13193" xr:uid="{EA675836-D0F0-46CF-8E56-58A35264B41F}"/>
    <cellStyle name="20% - Accent1 22 2 3 8 2 2" xfId="29397" xr:uid="{E7572F93-60B3-418E-BC5F-471D304ADCDD}"/>
    <cellStyle name="20% - Accent1 22 2 3 8 3" xfId="21882" xr:uid="{BB40A3A5-C31F-4533-8595-51FB311B28C3}"/>
    <cellStyle name="20% - Accent1 22 2 3 9" xfId="9605" xr:uid="{31276A2C-A138-4FB1-AC35-75DED1C96F66}"/>
    <cellStyle name="20% - Accent1 22 2 3 9 2" xfId="25809" xr:uid="{92E5DEB9-1E4F-4163-A956-9FE255227BE2}"/>
    <cellStyle name="20% - Accent1 22 2 4" xfId="2074" xr:uid="{D41DCB0A-548B-464C-9388-A5C0AA82A640}"/>
    <cellStyle name="20% - Accent1 22 2 4 2" xfId="2987" xr:uid="{548D92BA-5772-486F-94D9-686B4A87B5BA}"/>
    <cellStyle name="20% - Accent1 22 2 4 2 2" xfId="6769" xr:uid="{9CA111CF-8F23-4361-B25D-D7BEEB38BE6F}"/>
    <cellStyle name="20% - Accent1 22 2 4 2 2 2" xfId="14280" xr:uid="{A833E198-9D21-4E04-B483-02521A0B045C}"/>
    <cellStyle name="20% - Accent1 22 2 4 2 2 2 2" xfId="30484" xr:uid="{1799D8F0-E710-465D-A7EB-09DDA1670817}"/>
    <cellStyle name="20% - Accent1 22 2 4 2 2 3" xfId="22973" xr:uid="{AF7E033F-0B90-4D98-8742-478C5FB84EE4}"/>
    <cellStyle name="20% - Accent1 22 2 4 2 3" xfId="10680" xr:uid="{8FA0F9EE-8993-48C5-B5A5-DCA1ADDABC6F}"/>
    <cellStyle name="20% - Accent1 22 2 4 2 3 2" xfId="26884" xr:uid="{57EF68DE-385E-41D4-8A1D-FAD4BDCA7A1A}"/>
    <cellStyle name="20% - Accent1 22 2 4 2 4" xfId="19207" xr:uid="{FBA3A9DA-FBC1-41A0-9955-7BE5D01F45FD}"/>
    <cellStyle name="20% - Accent1 22 2 4 3" xfId="5913" xr:uid="{E5EA037B-891A-4729-9D64-951FBB65D26A}"/>
    <cellStyle name="20% - Accent1 22 2 4 3 2" xfId="13427" xr:uid="{9F1D2812-FD88-44B7-ADF9-FBC2E3F4B29C}"/>
    <cellStyle name="20% - Accent1 22 2 4 3 2 2" xfId="29631" xr:uid="{44F894FE-5999-40D1-8F22-0E140C581F03}"/>
    <cellStyle name="20% - Accent1 22 2 4 3 3" xfId="22117" xr:uid="{2274ED01-57F1-4910-9FB7-B91CFBEEC554}"/>
    <cellStyle name="20% - Accent1 22 2 4 4" xfId="9836" xr:uid="{3905B731-A21B-49DB-9BC0-1D4A864EB621}"/>
    <cellStyle name="20% - Accent1 22 2 4 4 2" xfId="26040" xr:uid="{A010419E-B30A-43F9-B7F9-D4FFDEEF1E15}"/>
    <cellStyle name="20% - Accent1 22 2 4 5" xfId="18361" xr:uid="{71EFC38C-56B4-4C1A-BBA3-D20FF6C1A5D6}"/>
    <cellStyle name="20% - Accent1 22 2 5" xfId="2562" xr:uid="{5CE41FBD-D9C9-4D6A-857C-98F5B358C294}"/>
    <cellStyle name="20% - Accent1 22 2 5 2" xfId="6346" xr:uid="{A0CCFE19-1943-410D-B322-8ADBE7C85F88}"/>
    <cellStyle name="20% - Accent1 22 2 5 2 2" xfId="13858" xr:uid="{1BB8D16A-A38C-4E55-A6B7-BD18C6F41E53}"/>
    <cellStyle name="20% - Accent1 22 2 5 2 2 2" xfId="30062" xr:uid="{EFA2F6BB-AF70-4980-8B4F-E88C3E4F2274}"/>
    <cellStyle name="20% - Accent1 22 2 5 2 3" xfId="22550" xr:uid="{414683E4-B1B6-4DE9-88DC-0C6F45C02ADA}"/>
    <cellStyle name="20% - Accent1 22 2 5 3" xfId="10258" xr:uid="{9187B72D-1C63-4697-A225-9B5183193078}"/>
    <cellStyle name="20% - Accent1 22 2 5 3 2" xfId="26462" xr:uid="{A3130D99-EF80-4176-9E58-6C0903F5B614}"/>
    <cellStyle name="20% - Accent1 22 2 5 4" xfId="18784" xr:uid="{4A8882AF-641F-412F-A476-4668FDA42609}"/>
    <cellStyle name="20% - Accent1 22 2 6" xfId="3438" xr:uid="{6C252880-7F31-421D-B755-C7358B02379E}"/>
    <cellStyle name="20% - Accent1 22 2 6 2" xfId="7196" xr:uid="{18035A39-A99B-4B57-B994-DC41BE136F21}"/>
    <cellStyle name="20% - Accent1 22 2 6 2 2" xfId="14706" xr:uid="{7E3B244E-686F-40E2-B53F-E99CD311BBEE}"/>
    <cellStyle name="20% - Accent1 22 2 6 2 2 2" xfId="30910" xr:uid="{FF7126E9-1D35-4336-8940-CE859315AD11}"/>
    <cellStyle name="20% - Accent1 22 2 6 2 3" xfId="23400" xr:uid="{01A62ADD-4AB4-42B0-8BC2-E92B8EEB9730}"/>
    <cellStyle name="20% - Accent1 22 2 6 3" xfId="11103" xr:uid="{4244BADE-B6AF-4F4C-8ECB-05C13DE183BE}"/>
    <cellStyle name="20% - Accent1 22 2 6 3 2" xfId="27307" xr:uid="{03305411-E87C-470A-A379-9EB45CA7D3BF}"/>
    <cellStyle name="20% - Accent1 22 2 6 4" xfId="19654" xr:uid="{1F82AECB-8754-468B-9DF4-B2AC78600FCF}"/>
    <cellStyle name="20% - Accent1 22 2 7" xfId="3962" xr:uid="{9E194CAA-2E31-4A1E-9E1F-9CA474C846A9}"/>
    <cellStyle name="20% - Accent1 22 2 7 2" xfId="7632" xr:uid="{DE57C02D-E51E-46EF-86FB-7243D238AB0F}"/>
    <cellStyle name="20% - Accent1 22 2 7 2 2" xfId="15139" xr:uid="{BD286734-03A6-406A-A3DB-8D0CD039692C}"/>
    <cellStyle name="20% - Accent1 22 2 7 2 2 2" xfId="31343" xr:uid="{286897CA-8C39-48E7-B5EE-FF0E7A6A3D25}"/>
    <cellStyle name="20% - Accent1 22 2 7 2 3" xfId="23836" xr:uid="{8B161583-20F9-4933-8880-BD4F002F6236}"/>
    <cellStyle name="20% - Accent1 22 2 7 3" xfId="11525" xr:uid="{F61EED2E-29F0-4F1C-822A-AB59E03E94FA}"/>
    <cellStyle name="20% - Accent1 22 2 7 3 2" xfId="27729" xr:uid="{F45492BA-A94F-4D79-B356-0B17FA02633D}"/>
    <cellStyle name="20% - Accent1 22 2 7 4" xfId="20166" xr:uid="{68285215-FFC7-440E-AF68-A85D698FA220}"/>
    <cellStyle name="20% - Accent1 22 2 8" xfId="4387" xr:uid="{09DE468C-7985-499E-BAA2-1F1B8427F83F}"/>
    <cellStyle name="20% - Accent1 22 2 8 2" xfId="8057" xr:uid="{6BB532D5-0C7A-40E7-8EFB-A5C91A1197F1}"/>
    <cellStyle name="20% - Accent1 22 2 8 2 2" xfId="15564" xr:uid="{C90DC9B9-39EF-476F-A31A-087CA0CE3C3E}"/>
    <cellStyle name="20% - Accent1 22 2 8 2 2 2" xfId="31768" xr:uid="{8FBFBD7C-8568-4BB7-8137-D0410366B762}"/>
    <cellStyle name="20% - Accent1 22 2 8 2 3" xfId="24261" xr:uid="{A5EDC90C-946A-487B-8CE1-63A293FF7B7F}"/>
    <cellStyle name="20% - Accent1 22 2 8 3" xfId="11950" xr:uid="{4A63FEC7-ED0E-4057-AF1D-EDC77A97BE92}"/>
    <cellStyle name="20% - Accent1 22 2 8 3 2" xfId="28154" xr:uid="{A4DF85FA-093D-4FC3-B03D-6B394197EA4C}"/>
    <cellStyle name="20% - Accent1 22 2 8 4" xfId="20591" xr:uid="{F636C5FB-A4AF-4694-A3C3-481EFA5EF104}"/>
    <cellStyle name="20% - Accent1 22 2 9" xfId="4811" xr:uid="{0D512981-6240-4064-A975-8548E50786A8}"/>
    <cellStyle name="20% - Accent1 22 2 9 2" xfId="8480" xr:uid="{5498992F-0B7E-4A9D-8E7C-453604EDD4D5}"/>
    <cellStyle name="20% - Accent1 22 2 9 2 2" xfId="15987" xr:uid="{A456AE2A-4877-40A9-97AD-9F95018E29D4}"/>
    <cellStyle name="20% - Accent1 22 2 9 2 2 2" xfId="32191" xr:uid="{AA92FA23-177A-4B6E-AC1F-2455312A922F}"/>
    <cellStyle name="20% - Accent1 22 2 9 2 3" xfId="24684" xr:uid="{45EBD941-3786-48C4-9576-93D53438E475}"/>
    <cellStyle name="20% - Accent1 22 2 9 3" xfId="12372" xr:uid="{E03C1B8B-79AA-42EF-8F11-959817C485AD}"/>
    <cellStyle name="20% - Accent1 22 2 9 3 2" xfId="28576" xr:uid="{BC65D053-9178-4061-A619-7137B9FAFE2D}"/>
    <cellStyle name="20% - Accent1 22 2 9 4" xfId="21015" xr:uid="{4128579B-471A-4953-B3C3-6C9725EE473B}"/>
    <cellStyle name="20% - Accent1 22 3" xfId="523" xr:uid="{07E06441-4864-4B61-811B-BA5A36B6F084}"/>
    <cellStyle name="20% - Accent1 22 3 10" xfId="5320" xr:uid="{CBA3204C-2F1B-4212-B8E1-752B2E170906}"/>
    <cellStyle name="20% - Accent1 22 3 10 2" xfId="12869" xr:uid="{20903998-B882-41D0-9024-7884BF0C3BF8}"/>
    <cellStyle name="20% - Accent1 22 3 10 2 2" xfId="29073" xr:uid="{69F3E163-09E8-4269-8BBB-1127811D6DCC}"/>
    <cellStyle name="20% - Accent1 22 3 10 3" xfId="21524" xr:uid="{D86E76AA-8481-491D-BF32-D916EBB043DC}"/>
    <cellStyle name="20% - Accent1 22 3 11" xfId="9435" xr:uid="{A4B37D99-93EE-4945-BBB5-566688EF55FA}"/>
    <cellStyle name="20% - Accent1 22 3 11 2" xfId="25639" xr:uid="{CB2E73E0-76F9-4DDC-A4F2-7017499F4C94}"/>
    <cellStyle name="20% - Accent1 22 3 12" xfId="17950" xr:uid="{ECC26247-35C5-4189-A229-F84DBD8599AF}"/>
    <cellStyle name="20% - Accent1 22 3 2" xfId="594" xr:uid="{B0DD08EA-37DB-4225-AECB-0FC01719D980}"/>
    <cellStyle name="20% - Accent1 22 3 2 10" xfId="9502" xr:uid="{BAAD8E52-912F-4765-BFC2-440549526A88}"/>
    <cellStyle name="20% - Accent1 22 3 2 10 2" xfId="25706" xr:uid="{81B09696-19CF-4741-98E4-921BD358D8AC}"/>
    <cellStyle name="20% - Accent1 22 3 2 11" xfId="18018" xr:uid="{D6B13F0D-0E86-4163-8087-F9224C793240}"/>
    <cellStyle name="20% - Accent1 22 3 2 2" xfId="1824" xr:uid="{EDC6E68C-E01C-4F78-9276-E4B893F9E628}"/>
    <cellStyle name="20% - Accent1 22 3 2 2 10" xfId="18129" xr:uid="{E72BD1C5-B7CD-40A0-B752-C0F83D9FC14E}"/>
    <cellStyle name="20% - Accent1 22 3 2 2 2" xfId="2333" xr:uid="{983EFB46-B85F-4ACD-9874-B54F69B1431D}"/>
    <cellStyle name="20% - Accent1 22 3 2 2 2 2" xfId="3180" xr:uid="{498B8605-9DAD-4FE9-9F6E-8920A61830E8}"/>
    <cellStyle name="20% - Accent1 22 3 2 2 2 2 2" xfId="6962" xr:uid="{3F7E0D65-08E7-4F65-AEF7-D8CE8BF61935}"/>
    <cellStyle name="20% - Accent1 22 3 2 2 2 2 2 2" xfId="14473" xr:uid="{8681AB36-8B2A-41C9-8763-EFEF415F40F0}"/>
    <cellStyle name="20% - Accent1 22 3 2 2 2 2 2 2 2" xfId="30677" xr:uid="{6BA7E4EE-F19F-4DE0-9FA8-1575FC53F005}"/>
    <cellStyle name="20% - Accent1 22 3 2 2 2 2 2 3" xfId="23166" xr:uid="{EA1BF22B-346D-4468-9900-8D78610F684A}"/>
    <cellStyle name="20% - Accent1 22 3 2 2 2 2 3" xfId="10873" xr:uid="{AE0884E5-19F6-4BF0-A950-B3E017CEC9F2}"/>
    <cellStyle name="20% - Accent1 22 3 2 2 2 2 3 2" xfId="27077" xr:uid="{6CD63350-408C-49A8-8779-F5E4CA181FFD}"/>
    <cellStyle name="20% - Accent1 22 3 2 2 2 2 4" xfId="19400" xr:uid="{4F778CEB-F872-43AA-973C-67D637591075}"/>
    <cellStyle name="20% - Accent1 22 3 2 2 2 3" xfId="6117" xr:uid="{D47C7BDD-1BE2-4E61-B2DD-C390D0AA5574}"/>
    <cellStyle name="20% - Accent1 22 3 2 2 2 3 2" xfId="13629" xr:uid="{6AEAC864-CDA9-4D6F-AAE9-C85C090679D2}"/>
    <cellStyle name="20% - Accent1 22 3 2 2 2 3 2 2" xfId="29833" xr:uid="{48B62E5E-C0D7-4DC5-9F31-315AE778C4CC}"/>
    <cellStyle name="20% - Accent1 22 3 2 2 2 3 3" xfId="22321" xr:uid="{0CC2EE73-8249-4F90-BE68-98843507086A}"/>
    <cellStyle name="20% - Accent1 22 3 2 2 2 4" xfId="10029" xr:uid="{E82FDB02-32E4-40E5-B80C-68C588010A79}"/>
    <cellStyle name="20% - Accent1 22 3 2 2 2 4 2" xfId="26233" xr:uid="{25B3CF1E-0B9C-4502-AB79-91A54D9FD97E}"/>
    <cellStyle name="20% - Accent1 22 3 2 2 2 5" xfId="18555" xr:uid="{AC2EF55D-21BF-4DE9-BE60-6E2497C06590}"/>
    <cellStyle name="20% - Accent1 22 3 2 2 3" xfId="2755" xr:uid="{E2FE6A45-B4A5-4754-8DE8-0C03D360345A}"/>
    <cellStyle name="20% - Accent1 22 3 2 2 3 2" xfId="6539" xr:uid="{E1C6FAB8-483F-43F9-8522-DB33FE691D10}"/>
    <cellStyle name="20% - Accent1 22 3 2 2 3 2 2" xfId="14051" xr:uid="{A06E7212-FBF3-4E80-A02E-B8A12420AA45}"/>
    <cellStyle name="20% - Accent1 22 3 2 2 3 2 2 2" xfId="30255" xr:uid="{BFF53942-8E73-45D0-ACBE-544F56314D81}"/>
    <cellStyle name="20% - Accent1 22 3 2 2 3 2 3" xfId="22743" xr:uid="{F9849888-DB46-4C9E-B98A-D6B7CA780AF9}"/>
    <cellStyle name="20% - Accent1 22 3 2 2 3 3" xfId="10451" xr:uid="{3F91A2D3-18B2-4AD6-9E31-B525430D7F15}"/>
    <cellStyle name="20% - Accent1 22 3 2 2 3 3 2" xfId="26655" xr:uid="{8CE38BF1-EB58-42A0-89C6-923C1D25AC0B}"/>
    <cellStyle name="20% - Accent1 22 3 2 2 3 4" xfId="18977" xr:uid="{DA06374D-955D-4938-842F-8EDF62CA1D52}"/>
    <cellStyle name="20% - Accent1 22 3 2 2 4" xfId="3686" xr:uid="{F71EBA46-B048-45AD-8EC8-0A21D8F6475E}"/>
    <cellStyle name="20% - Accent1 22 3 2 2 4 2" xfId="7396" xr:uid="{277FE2BF-A6E9-4F4E-8555-78F9A308738B}"/>
    <cellStyle name="20% - Accent1 22 3 2 2 4 2 2" xfId="14905" xr:uid="{1AD79B22-EB69-4B79-A1B5-C28F5ADAA9D5}"/>
    <cellStyle name="20% - Accent1 22 3 2 2 4 2 2 2" xfId="31109" xr:uid="{7B2F3BED-891B-4F1D-BAFD-B7E7BC75A367}"/>
    <cellStyle name="20% - Accent1 22 3 2 2 4 2 3" xfId="23600" xr:uid="{68D28620-0F90-4FE2-9438-F32841C4747C}"/>
    <cellStyle name="20% - Accent1 22 3 2 2 4 3" xfId="11296" xr:uid="{09702C3A-C5E8-4B3A-9F89-B22B0F666BAC}"/>
    <cellStyle name="20% - Accent1 22 3 2 2 4 3 2" xfId="27500" xr:uid="{09AA74BD-4A2C-482F-8033-EA0F290BF723}"/>
    <cellStyle name="20% - Accent1 22 3 2 2 4 4" xfId="19895" xr:uid="{071F53D7-D918-42C8-9A78-FE75F2255140}"/>
    <cellStyle name="20% - Accent1 22 3 2 2 5" xfId="4155" xr:uid="{1E571EFB-047F-4C5E-A65A-E33F87CD4EEC}"/>
    <cellStyle name="20% - Accent1 22 3 2 2 5 2" xfId="7825" xr:uid="{F958D589-C3BA-432E-B92D-2A6538C21DE4}"/>
    <cellStyle name="20% - Accent1 22 3 2 2 5 2 2" xfId="15332" xr:uid="{64EA95D4-1F21-4BDC-8585-6A8C48F05842}"/>
    <cellStyle name="20% - Accent1 22 3 2 2 5 2 2 2" xfId="31536" xr:uid="{6C60E6B8-5A6D-4898-A585-571FE222DF43}"/>
    <cellStyle name="20% - Accent1 22 3 2 2 5 2 3" xfId="24029" xr:uid="{4FFA0E65-0665-4FAB-A9C7-145E68915B8C}"/>
    <cellStyle name="20% - Accent1 22 3 2 2 5 3" xfId="11718" xr:uid="{0A914A6D-7584-4E8D-A1E1-313D6C4DA2F7}"/>
    <cellStyle name="20% - Accent1 22 3 2 2 5 3 2" xfId="27922" xr:uid="{AAA0310D-3203-4ACA-ABE0-06903068D72B}"/>
    <cellStyle name="20% - Accent1 22 3 2 2 5 4" xfId="20359" xr:uid="{81CB94B7-E07E-4B8F-B907-F36CCCC0B6BB}"/>
    <cellStyle name="20% - Accent1 22 3 2 2 6" xfId="4580" xr:uid="{5A972770-C6E7-4852-A33A-97632EAF3ABC}"/>
    <cellStyle name="20% - Accent1 22 3 2 2 6 2" xfId="8250" xr:uid="{E9429143-9B75-41D5-8DC7-99D279834277}"/>
    <cellStyle name="20% - Accent1 22 3 2 2 6 2 2" xfId="15757" xr:uid="{CDF5382C-F198-4B9B-954A-4A611D336470}"/>
    <cellStyle name="20% - Accent1 22 3 2 2 6 2 2 2" xfId="31961" xr:uid="{C0637AD3-25ED-4FFD-8C83-EE1BB76ED0BE}"/>
    <cellStyle name="20% - Accent1 22 3 2 2 6 2 3" xfId="24454" xr:uid="{4C3F0FAC-118C-4EF5-9A09-17A0E17B2878}"/>
    <cellStyle name="20% - Accent1 22 3 2 2 6 3" xfId="12143" xr:uid="{24691FB9-E6EC-4B16-892D-DCB3DCA9E043}"/>
    <cellStyle name="20% - Accent1 22 3 2 2 6 3 2" xfId="28347" xr:uid="{C4E54D73-1597-4875-B9C3-6653222551FF}"/>
    <cellStyle name="20% - Accent1 22 3 2 2 6 4" xfId="20784" xr:uid="{21B00A28-321A-4991-B727-2C3DB5C64404}"/>
    <cellStyle name="20% - Accent1 22 3 2 2 7" xfId="5007" xr:uid="{5BE4F3FF-2FC4-4486-A501-4E2B427006E4}"/>
    <cellStyle name="20% - Accent1 22 3 2 2 7 2" xfId="8673" xr:uid="{53F5C598-4410-4B6D-9FD1-5937623EDBD3}"/>
    <cellStyle name="20% - Accent1 22 3 2 2 7 2 2" xfId="16180" xr:uid="{F71325DA-85AC-4EC8-958C-373AB694AF02}"/>
    <cellStyle name="20% - Accent1 22 3 2 2 7 2 2 2" xfId="32384" xr:uid="{0DD0CC61-5D64-4B40-B3E0-325D437814B6}"/>
    <cellStyle name="20% - Accent1 22 3 2 2 7 2 3" xfId="24877" xr:uid="{F824284F-36C8-4B44-8D59-E99A66EE1D25}"/>
    <cellStyle name="20% - Accent1 22 3 2 2 7 3" xfId="12565" xr:uid="{35B742B6-0460-4AC2-BADC-6B71003EA46E}"/>
    <cellStyle name="20% - Accent1 22 3 2 2 7 3 2" xfId="28769" xr:uid="{CB97EEA7-CE74-4CCD-B6EC-0815F8FE1CA6}"/>
    <cellStyle name="20% - Accent1 22 3 2 2 7 4" xfId="21211" xr:uid="{BFE9AE53-763A-4E15-960B-694BF0AA593D}"/>
    <cellStyle name="20% - Accent1 22 3 2 2 8" xfId="5679" xr:uid="{3ADB1851-7685-413B-9EC8-0D9E84FDDFAA}"/>
    <cellStyle name="20% - Accent1 22 3 2 2 8 2" xfId="13194" xr:uid="{73DD1C93-4E54-4765-B843-22437FCE0958}"/>
    <cellStyle name="20% - Accent1 22 3 2 2 8 2 2" xfId="29398" xr:uid="{34904528-E9CC-4675-A652-199E8D3D96EB}"/>
    <cellStyle name="20% - Accent1 22 3 2 2 8 3" xfId="21883" xr:uid="{67B454AD-FCE5-4A94-915B-F739CB4D3374}"/>
    <cellStyle name="20% - Accent1 22 3 2 2 9" xfId="9606" xr:uid="{F615026B-F6C5-4678-860F-2CC8AF626590}"/>
    <cellStyle name="20% - Accent1 22 3 2 2 9 2" xfId="25810" xr:uid="{DB98C582-15BA-48A1-8939-166FAFE95DCC}"/>
    <cellStyle name="20% - Accent1 22 3 2 3" xfId="2163" xr:uid="{10732A32-199B-42A6-897E-3873EE2A20DB}"/>
    <cellStyle name="20% - Accent1 22 3 2 3 2" xfId="3076" xr:uid="{0FC45711-B1DA-4845-AC0D-4DC2393237C8}"/>
    <cellStyle name="20% - Accent1 22 3 2 3 2 2" xfId="6858" xr:uid="{E3D97CB1-D8FE-47F8-B012-2CD66988002F}"/>
    <cellStyle name="20% - Accent1 22 3 2 3 2 2 2" xfId="14369" xr:uid="{55DB4465-23DC-4595-B866-DF3E0B062D4A}"/>
    <cellStyle name="20% - Accent1 22 3 2 3 2 2 2 2" xfId="30573" xr:uid="{8A284C8C-3F8D-4E86-BDE8-707339F82E46}"/>
    <cellStyle name="20% - Accent1 22 3 2 3 2 2 3" xfId="23062" xr:uid="{D52DFD08-12C4-476F-9DA3-D4E5127ABB32}"/>
    <cellStyle name="20% - Accent1 22 3 2 3 2 3" xfId="10769" xr:uid="{45168481-5318-4370-B0D0-4571F35A1ABE}"/>
    <cellStyle name="20% - Accent1 22 3 2 3 2 3 2" xfId="26973" xr:uid="{DB6DF6EB-5047-4E7B-B21E-646CA9034744}"/>
    <cellStyle name="20% - Accent1 22 3 2 3 2 4" xfId="19296" xr:uid="{DB88BFD3-64B0-4AE0-851D-7C8796B2B4A1}"/>
    <cellStyle name="20% - Accent1 22 3 2 3 3" xfId="6002" xr:uid="{6A19F2B3-D40D-457D-8C6A-DDA9B507B1C2}"/>
    <cellStyle name="20% - Accent1 22 3 2 3 3 2" xfId="13516" xr:uid="{0F213B5D-1943-46C5-A7F0-16360FB6C503}"/>
    <cellStyle name="20% - Accent1 22 3 2 3 3 2 2" xfId="29720" xr:uid="{CBED8581-A0FC-406A-96F4-79ACF0542765}"/>
    <cellStyle name="20% - Accent1 22 3 2 3 3 3" xfId="22206" xr:uid="{8D7F233E-D302-439E-A493-7608961B0310}"/>
    <cellStyle name="20% - Accent1 22 3 2 3 4" xfId="9925" xr:uid="{BCB7AD3A-414E-426A-A47E-C6EF14ECB5A7}"/>
    <cellStyle name="20% - Accent1 22 3 2 3 4 2" xfId="26129" xr:uid="{5C394D60-421D-4F6B-9191-BF7FA18B3AD9}"/>
    <cellStyle name="20% - Accent1 22 3 2 3 5" xfId="18450" xr:uid="{2D2924DF-E0EF-4715-946C-EBA4ACF85B1D}"/>
    <cellStyle name="20% - Accent1 22 3 2 4" xfId="2651" xr:uid="{2FEBC3BF-A1FA-4F7A-87E6-24B90E7211F9}"/>
    <cellStyle name="20% - Accent1 22 3 2 4 2" xfId="6435" xr:uid="{79685CBE-92A1-4A62-98DF-6F7F04897920}"/>
    <cellStyle name="20% - Accent1 22 3 2 4 2 2" xfId="13947" xr:uid="{ABF6BCB4-4AD7-44F3-9A23-D8C08B363BE2}"/>
    <cellStyle name="20% - Accent1 22 3 2 4 2 2 2" xfId="30151" xr:uid="{8A1D1D20-CCD4-485D-AA1B-9B3BF876563E}"/>
    <cellStyle name="20% - Accent1 22 3 2 4 2 3" xfId="22639" xr:uid="{C7C97388-9FB3-44CE-AE6D-F5AA7D52A434}"/>
    <cellStyle name="20% - Accent1 22 3 2 4 3" xfId="10347" xr:uid="{A162D55A-A1E0-469B-B8EB-263DA16908C3}"/>
    <cellStyle name="20% - Accent1 22 3 2 4 3 2" xfId="26551" xr:uid="{D4E90B47-555A-43A0-A5B0-B83CFE024861}"/>
    <cellStyle name="20% - Accent1 22 3 2 4 4" xfId="18873" xr:uid="{89FE4114-E160-4708-A6AB-A5C0B819F7FA}"/>
    <cellStyle name="20% - Accent1 22 3 2 5" xfId="3527" xr:uid="{C430CE1F-AEA2-4078-968F-36E4EB33FE15}"/>
    <cellStyle name="20% - Accent1 22 3 2 5 2" xfId="7285" xr:uid="{A6EA6824-E165-461B-BA36-78E44F483EF5}"/>
    <cellStyle name="20% - Accent1 22 3 2 5 2 2" xfId="14795" xr:uid="{C010CEEF-0508-4432-B11F-7E96ABCCE365}"/>
    <cellStyle name="20% - Accent1 22 3 2 5 2 2 2" xfId="30999" xr:uid="{4AD7411B-BCF3-4F24-A5E9-EF2094A4E505}"/>
    <cellStyle name="20% - Accent1 22 3 2 5 2 3" xfId="23489" xr:uid="{AED5C3F5-F68D-4C18-BAD7-EE8720B8B030}"/>
    <cellStyle name="20% - Accent1 22 3 2 5 3" xfId="11192" xr:uid="{2536B807-6CC9-4CF5-A317-FD368E6851F1}"/>
    <cellStyle name="20% - Accent1 22 3 2 5 3 2" xfId="27396" xr:uid="{4CA859DC-7FF7-4C22-ADD1-A6E07A95A4AA}"/>
    <cellStyle name="20% - Accent1 22 3 2 5 4" xfId="19743" xr:uid="{0E02B8C4-16A4-4D5E-8FB0-5B292DA83FB6}"/>
    <cellStyle name="20% - Accent1 22 3 2 6" xfId="4051" xr:uid="{BCF4C6FF-2D72-447D-A6A3-65AC885AB473}"/>
    <cellStyle name="20% - Accent1 22 3 2 6 2" xfId="7721" xr:uid="{11C81223-DAB5-4E5F-99B3-0E5C90F71C53}"/>
    <cellStyle name="20% - Accent1 22 3 2 6 2 2" xfId="15228" xr:uid="{E9EA8935-624A-42D4-AEED-B552C868DCF6}"/>
    <cellStyle name="20% - Accent1 22 3 2 6 2 2 2" xfId="31432" xr:uid="{4051707A-02B9-46CA-A223-AF0CFAE4F1B2}"/>
    <cellStyle name="20% - Accent1 22 3 2 6 2 3" xfId="23925" xr:uid="{8B13B91D-21B2-4438-9C74-CBFDE6516AAE}"/>
    <cellStyle name="20% - Accent1 22 3 2 6 3" xfId="11614" xr:uid="{A0756A74-2322-4FB6-94A1-1664301403EB}"/>
    <cellStyle name="20% - Accent1 22 3 2 6 3 2" xfId="27818" xr:uid="{C5531C0B-744D-4CEF-87B3-6A342EE26DB5}"/>
    <cellStyle name="20% - Accent1 22 3 2 6 4" xfId="20255" xr:uid="{A238D519-B8C3-4464-B2FD-92EAE6B502B6}"/>
    <cellStyle name="20% - Accent1 22 3 2 7" xfId="4476" xr:uid="{25689C59-6DE0-4E5F-9F1A-9D35F0E0108D}"/>
    <cellStyle name="20% - Accent1 22 3 2 7 2" xfId="8146" xr:uid="{07FE5920-63D0-406B-87CB-C539D59EED72}"/>
    <cellStyle name="20% - Accent1 22 3 2 7 2 2" xfId="15653" xr:uid="{E103002E-D033-4389-BE05-94185A79AD76}"/>
    <cellStyle name="20% - Accent1 22 3 2 7 2 2 2" xfId="31857" xr:uid="{48CDEA62-05AA-4D33-8736-A23D19BEED14}"/>
    <cellStyle name="20% - Accent1 22 3 2 7 2 3" xfId="24350" xr:uid="{75527C9B-5E67-4C42-926D-B809C10DED53}"/>
    <cellStyle name="20% - Accent1 22 3 2 7 3" xfId="12039" xr:uid="{CD095E1E-CD22-4C6B-AD35-6ED657BFAD48}"/>
    <cellStyle name="20% - Accent1 22 3 2 7 3 2" xfId="28243" xr:uid="{DB5F12E5-EFF7-424E-8EEE-5B4D8F560A03}"/>
    <cellStyle name="20% - Accent1 22 3 2 7 4" xfId="20680" xr:uid="{E493CC4A-A168-455A-A5D9-3F3281572E93}"/>
    <cellStyle name="20% - Accent1 22 3 2 8" xfId="4901" xr:uid="{BF1FABAF-FEF1-498A-9F1A-2151C7F148DA}"/>
    <cellStyle name="20% - Accent1 22 3 2 8 2" xfId="8569" xr:uid="{037D76B0-F4D9-42B8-918C-25EA43724B3F}"/>
    <cellStyle name="20% - Accent1 22 3 2 8 2 2" xfId="16076" xr:uid="{C9FC10AD-7BAD-496A-81F7-D37F46AC68A4}"/>
    <cellStyle name="20% - Accent1 22 3 2 8 2 2 2" xfId="32280" xr:uid="{5A9793DB-61FF-4988-AFDA-A184D189C13A}"/>
    <cellStyle name="20% - Accent1 22 3 2 8 2 3" xfId="24773" xr:uid="{AC2C107F-7002-414C-A389-32FE21AD66D3}"/>
    <cellStyle name="20% - Accent1 22 3 2 8 3" xfId="12461" xr:uid="{A45DEE79-4326-43B2-8C22-118503EEE67C}"/>
    <cellStyle name="20% - Accent1 22 3 2 8 3 2" xfId="28665" xr:uid="{90AF886F-8556-4688-BA17-CE4AF7FCC1C5}"/>
    <cellStyle name="20% - Accent1 22 3 2 8 4" xfId="21105" xr:uid="{2FB4EE97-78A8-4BF8-87B4-8C11466DC0CF}"/>
    <cellStyle name="20% - Accent1 22 3 2 9" xfId="5387" xr:uid="{55E9CD00-F57D-4177-8AEA-EA4DD13E4B29}"/>
    <cellStyle name="20% - Accent1 22 3 2 9 2" xfId="12936" xr:uid="{C8972A3A-CC49-4F51-A9E8-F5869E283E85}"/>
    <cellStyle name="20% - Accent1 22 3 2 9 2 2" xfId="29140" xr:uid="{5429E8F6-96B6-4744-869E-2113D925528F}"/>
    <cellStyle name="20% - Accent1 22 3 2 9 3" xfId="21591" xr:uid="{479116AF-EF59-43F3-B694-94333973ECC3}"/>
    <cellStyle name="20% - Accent1 22 3 3" xfId="1825" xr:uid="{177184E5-86F5-48EB-95E5-40F75BEA3523}"/>
    <cellStyle name="20% - Accent1 22 3 3 10" xfId="18130" xr:uid="{20326A21-8076-47C9-94DF-D86CA9F08960}"/>
    <cellStyle name="20% - Accent1 22 3 3 2" xfId="2334" xr:uid="{A5C7F98F-F78E-4543-9569-D70C0C8BD8B4}"/>
    <cellStyle name="20% - Accent1 22 3 3 2 2" xfId="3181" xr:uid="{7189D647-832B-45A5-BF32-A7073C6952DF}"/>
    <cellStyle name="20% - Accent1 22 3 3 2 2 2" xfId="6963" xr:uid="{983B7828-C8DC-491E-98EB-8C615A6FD82A}"/>
    <cellStyle name="20% - Accent1 22 3 3 2 2 2 2" xfId="14474" xr:uid="{E408C14D-D834-460D-828B-070696ABF5C9}"/>
    <cellStyle name="20% - Accent1 22 3 3 2 2 2 2 2" xfId="30678" xr:uid="{3CB03BD8-8A1E-4C70-A6D5-21663011CD5F}"/>
    <cellStyle name="20% - Accent1 22 3 3 2 2 2 3" xfId="23167" xr:uid="{C3A3A59B-1AC2-4887-8F60-AF837D99D9EA}"/>
    <cellStyle name="20% - Accent1 22 3 3 2 2 3" xfId="10874" xr:uid="{D6F20F6B-66F9-439E-8F92-9830569002D6}"/>
    <cellStyle name="20% - Accent1 22 3 3 2 2 3 2" xfId="27078" xr:uid="{097E7FB3-BD0A-42A7-BEFF-C954DD3A8362}"/>
    <cellStyle name="20% - Accent1 22 3 3 2 2 4" xfId="19401" xr:uid="{A7DDFE11-9804-40B0-B5A9-40CAD33BE07E}"/>
    <cellStyle name="20% - Accent1 22 3 3 2 3" xfId="6118" xr:uid="{A37A84B6-F010-4D80-A796-F9D9B8AB2A47}"/>
    <cellStyle name="20% - Accent1 22 3 3 2 3 2" xfId="13630" xr:uid="{A102138B-1A45-4BD2-8EEB-A4F1FBAAE091}"/>
    <cellStyle name="20% - Accent1 22 3 3 2 3 2 2" xfId="29834" xr:uid="{D8E7BF6D-18E7-4B59-AFE7-9E7CB887FB09}"/>
    <cellStyle name="20% - Accent1 22 3 3 2 3 3" xfId="22322" xr:uid="{12C52B88-0F3E-45F5-B9B5-85C10653CDFD}"/>
    <cellStyle name="20% - Accent1 22 3 3 2 4" xfId="10030" xr:uid="{6F48C7DD-6B3E-45E4-9D33-FD68DB7E87FB}"/>
    <cellStyle name="20% - Accent1 22 3 3 2 4 2" xfId="26234" xr:uid="{C3B7A124-026A-4879-B157-306E4A9F36C4}"/>
    <cellStyle name="20% - Accent1 22 3 3 2 5" xfId="18556" xr:uid="{7F039374-5F00-42B2-BD65-6614D0967E60}"/>
    <cellStyle name="20% - Accent1 22 3 3 3" xfId="2756" xr:uid="{C2D0BC12-2923-409A-9518-4094528276F2}"/>
    <cellStyle name="20% - Accent1 22 3 3 3 2" xfId="6540" xr:uid="{88396756-C0E2-4A77-BD9B-A9EE6B823ECF}"/>
    <cellStyle name="20% - Accent1 22 3 3 3 2 2" xfId="14052" xr:uid="{F9F16F41-007C-4141-B714-ACBE4E4F5C12}"/>
    <cellStyle name="20% - Accent1 22 3 3 3 2 2 2" xfId="30256" xr:uid="{101593A2-E779-426D-85B0-AB3B801E7C66}"/>
    <cellStyle name="20% - Accent1 22 3 3 3 2 3" xfId="22744" xr:uid="{32B45DD2-A2BC-4770-9598-0B262327B9D1}"/>
    <cellStyle name="20% - Accent1 22 3 3 3 3" xfId="10452" xr:uid="{4324E186-3655-458E-912B-92611BF1189B}"/>
    <cellStyle name="20% - Accent1 22 3 3 3 3 2" xfId="26656" xr:uid="{138A6E2E-AA9E-4BD9-A9C7-1CE8DA51313F}"/>
    <cellStyle name="20% - Accent1 22 3 3 3 4" xfId="18978" xr:uid="{E9977D48-322B-4699-BD83-404A3C2F0185}"/>
    <cellStyle name="20% - Accent1 22 3 3 4" xfId="3687" xr:uid="{2D89227E-9C50-4A22-B50E-B95D465D1E89}"/>
    <cellStyle name="20% - Accent1 22 3 3 4 2" xfId="7397" xr:uid="{A491ACD6-3ADA-43EE-A326-47FA99F3AE88}"/>
    <cellStyle name="20% - Accent1 22 3 3 4 2 2" xfId="14906" xr:uid="{CB13ABF0-394F-4B4D-9E11-E4A0EC307449}"/>
    <cellStyle name="20% - Accent1 22 3 3 4 2 2 2" xfId="31110" xr:uid="{F8093F5A-E6BD-4823-A79C-91D057EEA7F1}"/>
    <cellStyle name="20% - Accent1 22 3 3 4 2 3" xfId="23601" xr:uid="{05E66AC4-8174-4550-9CF3-DBD78CCF0AF8}"/>
    <cellStyle name="20% - Accent1 22 3 3 4 3" xfId="11297" xr:uid="{58777341-28B3-47D7-8675-DA483354DFBD}"/>
    <cellStyle name="20% - Accent1 22 3 3 4 3 2" xfId="27501" xr:uid="{BD9F7B09-C355-408E-85E8-C8D301F40A91}"/>
    <cellStyle name="20% - Accent1 22 3 3 4 4" xfId="19896" xr:uid="{3C76E659-DCCC-4615-B7D5-EEF46C6F3D15}"/>
    <cellStyle name="20% - Accent1 22 3 3 5" xfId="4156" xr:uid="{5AFCB1E8-0DE9-40D0-B9BA-6EF86D112387}"/>
    <cellStyle name="20% - Accent1 22 3 3 5 2" xfId="7826" xr:uid="{06DEC9C5-3153-4948-A2CD-A46F0E5BABD8}"/>
    <cellStyle name="20% - Accent1 22 3 3 5 2 2" xfId="15333" xr:uid="{67892EDE-6A3D-4A26-B781-131D4BEDF864}"/>
    <cellStyle name="20% - Accent1 22 3 3 5 2 2 2" xfId="31537" xr:uid="{D47035E9-81F3-4575-8A06-63CC59802963}"/>
    <cellStyle name="20% - Accent1 22 3 3 5 2 3" xfId="24030" xr:uid="{C20B46EE-F2C5-4CAD-A801-D931285BAF16}"/>
    <cellStyle name="20% - Accent1 22 3 3 5 3" xfId="11719" xr:uid="{A76FBBB3-9C79-4718-B4E6-BDC2866B44FB}"/>
    <cellStyle name="20% - Accent1 22 3 3 5 3 2" xfId="27923" xr:uid="{FF320F82-EE1D-4ED3-B4DE-0D72E890FFD0}"/>
    <cellStyle name="20% - Accent1 22 3 3 5 4" xfId="20360" xr:uid="{AF3251B5-5CDE-4808-B387-1820BCD27364}"/>
    <cellStyle name="20% - Accent1 22 3 3 6" xfId="4581" xr:uid="{B9E4D309-9EE5-4467-A1BE-C1FD27BABC42}"/>
    <cellStyle name="20% - Accent1 22 3 3 6 2" xfId="8251" xr:uid="{0F581DEE-6837-46D7-8397-574404D8E997}"/>
    <cellStyle name="20% - Accent1 22 3 3 6 2 2" xfId="15758" xr:uid="{03A26DA8-2078-4C88-B9C5-DB5D3E2C8C34}"/>
    <cellStyle name="20% - Accent1 22 3 3 6 2 2 2" xfId="31962" xr:uid="{3928F868-6CDA-498B-A175-5BBEEAED9F42}"/>
    <cellStyle name="20% - Accent1 22 3 3 6 2 3" xfId="24455" xr:uid="{58D676CF-4EDA-49CF-B9F5-9198FAED1C3D}"/>
    <cellStyle name="20% - Accent1 22 3 3 6 3" xfId="12144" xr:uid="{9A84ABB5-1720-4426-982D-9D7DB1193E87}"/>
    <cellStyle name="20% - Accent1 22 3 3 6 3 2" xfId="28348" xr:uid="{F1012087-2F7F-4416-801B-AABC8C0E9984}"/>
    <cellStyle name="20% - Accent1 22 3 3 6 4" xfId="20785" xr:uid="{3AD33395-5C18-4F96-A2D6-1A3F92786067}"/>
    <cellStyle name="20% - Accent1 22 3 3 7" xfId="5008" xr:uid="{7B585D8E-39C1-4549-8DF4-7058510D20B0}"/>
    <cellStyle name="20% - Accent1 22 3 3 7 2" xfId="8674" xr:uid="{C08F8757-E954-4895-98D2-F7B1F0650FC5}"/>
    <cellStyle name="20% - Accent1 22 3 3 7 2 2" xfId="16181" xr:uid="{01A5314F-961B-4964-989F-88DEADCE3B43}"/>
    <cellStyle name="20% - Accent1 22 3 3 7 2 2 2" xfId="32385" xr:uid="{07FAA201-993E-4C87-825E-E54EFF3706F7}"/>
    <cellStyle name="20% - Accent1 22 3 3 7 2 3" xfId="24878" xr:uid="{D4EC1488-84ED-4A22-A351-DFF6D0864DC8}"/>
    <cellStyle name="20% - Accent1 22 3 3 7 3" xfId="12566" xr:uid="{34818472-0BC9-4FE0-B26E-1BA2025A00A7}"/>
    <cellStyle name="20% - Accent1 22 3 3 7 3 2" xfId="28770" xr:uid="{9D9FC1C1-2240-463D-802C-316301AD879E}"/>
    <cellStyle name="20% - Accent1 22 3 3 7 4" xfId="21212" xr:uid="{4DBFEC7C-2CB0-4B4E-8ECB-4D879D15BDB4}"/>
    <cellStyle name="20% - Accent1 22 3 3 8" xfId="5680" xr:uid="{D135E248-75E1-41D6-879B-D92C8DFF763C}"/>
    <cellStyle name="20% - Accent1 22 3 3 8 2" xfId="13195" xr:uid="{76628E06-3C17-4C2E-B613-31FB36511E09}"/>
    <cellStyle name="20% - Accent1 22 3 3 8 2 2" xfId="29399" xr:uid="{69F60867-35A0-4FA8-A6D2-256E3F52524B}"/>
    <cellStyle name="20% - Accent1 22 3 3 8 3" xfId="21884" xr:uid="{A5FBD33E-1027-42F7-8A1C-D64BA6B2021B}"/>
    <cellStyle name="20% - Accent1 22 3 3 9" xfId="9607" xr:uid="{F9FC02E6-0B7B-4B0E-93BB-CD57814708D4}"/>
    <cellStyle name="20% - Accent1 22 3 3 9 2" xfId="25811" xr:uid="{E22C556E-F79F-45B9-93F8-3B32E3586E11}"/>
    <cellStyle name="20% - Accent1 22 3 4" xfId="2096" xr:uid="{EEFB3CD6-F8FF-49F5-A1AD-CC31295F94B0}"/>
    <cellStyle name="20% - Accent1 22 3 4 2" xfId="3009" xr:uid="{0E63935F-8EAA-43B4-836E-9BBCFFA1E335}"/>
    <cellStyle name="20% - Accent1 22 3 4 2 2" xfId="6791" xr:uid="{9707DA14-459E-4D42-9BF9-AA91D67C14D3}"/>
    <cellStyle name="20% - Accent1 22 3 4 2 2 2" xfId="14302" xr:uid="{A722C6D7-811A-4E9B-B5DE-EC730FE3BF05}"/>
    <cellStyle name="20% - Accent1 22 3 4 2 2 2 2" xfId="30506" xr:uid="{4368C297-BA85-4234-A3E1-0894A48DF4DD}"/>
    <cellStyle name="20% - Accent1 22 3 4 2 2 3" xfId="22995" xr:uid="{C846D868-A664-40F2-9782-94C5ECC2EFA8}"/>
    <cellStyle name="20% - Accent1 22 3 4 2 3" xfId="10702" xr:uid="{2C830B46-D1CF-466F-9165-468181AAA9EF}"/>
    <cellStyle name="20% - Accent1 22 3 4 2 3 2" xfId="26906" xr:uid="{F93E5DD6-ADBB-4098-A41B-65DD5CD81760}"/>
    <cellStyle name="20% - Accent1 22 3 4 2 4" xfId="19229" xr:uid="{2DF4BB8C-BC44-4EEF-990B-6788BEF9C128}"/>
    <cellStyle name="20% - Accent1 22 3 4 3" xfId="5935" xr:uid="{31453B71-B3E1-4744-97EE-79D007958406}"/>
    <cellStyle name="20% - Accent1 22 3 4 3 2" xfId="13449" xr:uid="{11D9CC5D-C4C3-4E1B-9419-763B601E721F}"/>
    <cellStyle name="20% - Accent1 22 3 4 3 2 2" xfId="29653" xr:uid="{8B85E266-31EB-41DC-97AB-5D6504C8220C}"/>
    <cellStyle name="20% - Accent1 22 3 4 3 3" xfId="22139" xr:uid="{C5C0DA98-ED76-495B-A1F7-681DFBBA1F49}"/>
    <cellStyle name="20% - Accent1 22 3 4 4" xfId="9858" xr:uid="{6A149480-28A0-4B68-AC6C-4B39BD9492C1}"/>
    <cellStyle name="20% - Accent1 22 3 4 4 2" xfId="26062" xr:uid="{D79B69E1-A340-46C9-B700-747B7BA36AB3}"/>
    <cellStyle name="20% - Accent1 22 3 4 5" xfId="18383" xr:uid="{725C513D-AC87-484B-8158-B674272C435F}"/>
    <cellStyle name="20% - Accent1 22 3 5" xfId="2584" xr:uid="{4D491C9A-7825-4814-99AE-2A075B814167}"/>
    <cellStyle name="20% - Accent1 22 3 5 2" xfId="6368" xr:uid="{82D076B3-F896-449A-9EB8-79B2BDFF11D5}"/>
    <cellStyle name="20% - Accent1 22 3 5 2 2" xfId="13880" xr:uid="{6E5FFBF9-7D6D-484C-8150-9861A0ED0A2D}"/>
    <cellStyle name="20% - Accent1 22 3 5 2 2 2" xfId="30084" xr:uid="{5D8F4E37-C323-4C31-BE9F-A0943E3C5DD3}"/>
    <cellStyle name="20% - Accent1 22 3 5 2 3" xfId="22572" xr:uid="{FB89CED0-5E37-4647-AE12-D0C04045FA5F}"/>
    <cellStyle name="20% - Accent1 22 3 5 3" xfId="10280" xr:uid="{EC30B989-92ED-4765-A84E-DE1CBE9D15D9}"/>
    <cellStyle name="20% - Accent1 22 3 5 3 2" xfId="26484" xr:uid="{A4962CAF-F2C4-4FBF-949F-DDED7F9F2707}"/>
    <cellStyle name="20% - Accent1 22 3 5 4" xfId="18806" xr:uid="{E5299AF0-90B9-4004-A94B-02AEEE8C6053}"/>
    <cellStyle name="20% - Accent1 22 3 6" xfId="3460" xr:uid="{0451190F-B672-4032-9DAF-EFC3CA4E0CC4}"/>
    <cellStyle name="20% - Accent1 22 3 6 2" xfId="7218" xr:uid="{5CE549AF-3684-4D56-A437-87C2FD8FE53A}"/>
    <cellStyle name="20% - Accent1 22 3 6 2 2" xfId="14728" xr:uid="{19C309C3-2267-41CC-BC5B-6A37A455E943}"/>
    <cellStyle name="20% - Accent1 22 3 6 2 2 2" xfId="30932" xr:uid="{9275ACC2-1855-461C-B16E-0BA590F9AB4A}"/>
    <cellStyle name="20% - Accent1 22 3 6 2 3" xfId="23422" xr:uid="{98271CE5-3D18-4370-AA3D-F48D20ED7336}"/>
    <cellStyle name="20% - Accent1 22 3 6 3" xfId="11125" xr:uid="{85D96474-4EFB-4946-B434-A0A77AF26BB3}"/>
    <cellStyle name="20% - Accent1 22 3 6 3 2" xfId="27329" xr:uid="{1505E3A9-D01E-4908-A464-A4221197EE88}"/>
    <cellStyle name="20% - Accent1 22 3 6 4" xfId="19676" xr:uid="{5A91366A-D61E-4EF4-B8BB-82F52F0CD43E}"/>
    <cellStyle name="20% - Accent1 22 3 7" xfId="3984" xr:uid="{6C050F13-9A8C-4E72-833C-8C98A0845DE4}"/>
    <cellStyle name="20% - Accent1 22 3 7 2" xfId="7654" xr:uid="{26E2DDA4-8C5D-4F58-9C28-529EFC04F9BA}"/>
    <cellStyle name="20% - Accent1 22 3 7 2 2" xfId="15161" xr:uid="{8896A8A7-3817-4F07-A3A4-6E8FEA89E9C8}"/>
    <cellStyle name="20% - Accent1 22 3 7 2 2 2" xfId="31365" xr:uid="{79D8F1B5-ACCE-4340-BBAB-6DB33D733274}"/>
    <cellStyle name="20% - Accent1 22 3 7 2 3" xfId="23858" xr:uid="{650390E9-4D3D-42B7-AA1F-EF28AE020102}"/>
    <cellStyle name="20% - Accent1 22 3 7 3" xfId="11547" xr:uid="{4E31A0E9-7C2A-4AF1-AFA3-BF4C462E44D7}"/>
    <cellStyle name="20% - Accent1 22 3 7 3 2" xfId="27751" xr:uid="{95E00701-8697-47C6-9233-9E0038E5FDB9}"/>
    <cellStyle name="20% - Accent1 22 3 7 4" xfId="20188" xr:uid="{3E06E304-2920-4977-9AE1-5CFBE9CB5521}"/>
    <cellStyle name="20% - Accent1 22 3 8" xfId="4409" xr:uid="{D80D2FB2-61BE-474E-91F3-31FD3BD157CF}"/>
    <cellStyle name="20% - Accent1 22 3 8 2" xfId="8079" xr:uid="{8BD0D913-D162-4245-91F4-F6A50E60F892}"/>
    <cellStyle name="20% - Accent1 22 3 8 2 2" xfId="15586" xr:uid="{BBBAA2D6-531D-45C7-A0C7-F296D93D03C4}"/>
    <cellStyle name="20% - Accent1 22 3 8 2 2 2" xfId="31790" xr:uid="{AA818F8F-A7F1-4AD8-AB49-2114DE1A1C00}"/>
    <cellStyle name="20% - Accent1 22 3 8 2 3" xfId="24283" xr:uid="{2C62C2A2-856F-4C1E-9B12-471E8FAD66B0}"/>
    <cellStyle name="20% - Accent1 22 3 8 3" xfId="11972" xr:uid="{72DFA566-A15E-49E8-886D-0AD5D7E1938D}"/>
    <cellStyle name="20% - Accent1 22 3 8 3 2" xfId="28176" xr:uid="{0805E9B1-6D49-444B-A9F3-907185B072E9}"/>
    <cellStyle name="20% - Accent1 22 3 8 4" xfId="20613" xr:uid="{35C75E80-AB27-497A-9C9A-F6E3C564C203}"/>
    <cellStyle name="20% - Accent1 22 3 9" xfId="4833" xr:uid="{007BF0FB-6B74-4AA8-8CF6-96870A3DF147}"/>
    <cellStyle name="20% - Accent1 22 3 9 2" xfId="8502" xr:uid="{170793BD-C99C-458F-8A9E-6CD69E7D3A53}"/>
    <cellStyle name="20% - Accent1 22 3 9 2 2" xfId="16009" xr:uid="{88C165FE-E244-41C2-AF2D-2121BB95909B}"/>
    <cellStyle name="20% - Accent1 22 3 9 2 2 2" xfId="32213" xr:uid="{6306D1C2-8E73-43CC-8C8B-2D05D212A533}"/>
    <cellStyle name="20% - Accent1 22 3 9 2 3" xfId="24706" xr:uid="{0B9810A5-846F-4020-98C7-CE46CC9B8FBB}"/>
    <cellStyle name="20% - Accent1 22 3 9 3" xfId="12394" xr:uid="{1D84BD42-09C3-4E56-985D-8DBBBB539DC7}"/>
    <cellStyle name="20% - Accent1 22 3 9 3 2" xfId="28598" xr:uid="{2E1D3BBC-ECC7-4893-B20B-4434F37364B9}"/>
    <cellStyle name="20% - Accent1 22 3 9 4" xfId="21037" xr:uid="{BF00E1A3-82B0-4516-81E5-6FCE6C7B5EC6}"/>
    <cellStyle name="20% - Accent1 22 4" xfId="550" xr:uid="{A9B45B07-3D18-48F5-8A43-36C7CE3BE42E}"/>
    <cellStyle name="20% - Accent1 22 4 10" xfId="9458" xr:uid="{DC9B9457-4BFE-437D-90BB-B448F1A38942}"/>
    <cellStyle name="20% - Accent1 22 4 10 2" xfId="25662" xr:uid="{45274B75-91A7-44A5-9E61-3EB8AD8A64BD}"/>
    <cellStyle name="20% - Accent1 22 4 11" xfId="17974" xr:uid="{931A0BA1-3AC1-4F6E-93F0-0A165791034C}"/>
    <cellStyle name="20% - Accent1 22 4 2" xfId="1826" xr:uid="{6BAA0E8C-088C-48E7-B337-5DFB6782B59B}"/>
    <cellStyle name="20% - Accent1 22 4 2 10" xfId="18131" xr:uid="{12430410-EC47-4223-BA6A-B7AD5BC0A446}"/>
    <cellStyle name="20% - Accent1 22 4 2 2" xfId="2335" xr:uid="{B4CBF448-904A-43EA-9D3E-822419655824}"/>
    <cellStyle name="20% - Accent1 22 4 2 2 2" xfId="3182" xr:uid="{B78520A1-62F6-4598-8408-E5DF61893AC2}"/>
    <cellStyle name="20% - Accent1 22 4 2 2 2 2" xfId="6964" xr:uid="{83CB2840-E640-4C9A-9590-F01E72FEA760}"/>
    <cellStyle name="20% - Accent1 22 4 2 2 2 2 2" xfId="14475" xr:uid="{47EEF2C1-22C1-443E-9B3C-4F750D3E6D31}"/>
    <cellStyle name="20% - Accent1 22 4 2 2 2 2 2 2" xfId="30679" xr:uid="{96DB2085-9A2E-442A-9518-300D02D37548}"/>
    <cellStyle name="20% - Accent1 22 4 2 2 2 2 3" xfId="23168" xr:uid="{72E678F8-30AB-4E9D-8429-0DEC72E39DD0}"/>
    <cellStyle name="20% - Accent1 22 4 2 2 2 3" xfId="10875" xr:uid="{93817053-32E5-4EF9-A9F0-C42AD332EF36}"/>
    <cellStyle name="20% - Accent1 22 4 2 2 2 3 2" xfId="27079" xr:uid="{852B1435-A3BE-49AF-8A11-120BB0EBE2E5}"/>
    <cellStyle name="20% - Accent1 22 4 2 2 2 4" xfId="19402" xr:uid="{F3B41157-8F99-4A4A-981F-3071207E3C3C}"/>
    <cellStyle name="20% - Accent1 22 4 2 2 3" xfId="6119" xr:uid="{8E7A3B72-FFE2-49FD-B232-928012C951B3}"/>
    <cellStyle name="20% - Accent1 22 4 2 2 3 2" xfId="13631" xr:uid="{543CD1C6-7D49-4353-839C-81F3F7AF224F}"/>
    <cellStyle name="20% - Accent1 22 4 2 2 3 2 2" xfId="29835" xr:uid="{51CDBE88-55B9-4D3C-8D5B-F281F6F5DB08}"/>
    <cellStyle name="20% - Accent1 22 4 2 2 3 3" xfId="22323" xr:uid="{17E69B32-628F-4C04-82B7-A7448830C5F7}"/>
    <cellStyle name="20% - Accent1 22 4 2 2 4" xfId="10031" xr:uid="{4C44C9AE-FCCB-4EDC-A59B-73F5BD08B36E}"/>
    <cellStyle name="20% - Accent1 22 4 2 2 4 2" xfId="26235" xr:uid="{10FDAC69-7717-4A3F-947B-0681DB8BAD44}"/>
    <cellStyle name="20% - Accent1 22 4 2 2 5" xfId="18557" xr:uid="{A5E6B8D5-8F8D-485F-92BF-2E8590AB6D6F}"/>
    <cellStyle name="20% - Accent1 22 4 2 3" xfId="2757" xr:uid="{51099468-821C-4672-AF5B-808402E3049E}"/>
    <cellStyle name="20% - Accent1 22 4 2 3 2" xfId="6541" xr:uid="{DA67729C-941B-410E-BCAF-B9E70E25BBB6}"/>
    <cellStyle name="20% - Accent1 22 4 2 3 2 2" xfId="14053" xr:uid="{027D3B56-8B48-4984-AED3-D7BF18A85A7A}"/>
    <cellStyle name="20% - Accent1 22 4 2 3 2 2 2" xfId="30257" xr:uid="{181E44B6-B975-471A-8D15-4CF248626572}"/>
    <cellStyle name="20% - Accent1 22 4 2 3 2 3" xfId="22745" xr:uid="{A18B4271-D710-43E1-AD8C-315B067DC151}"/>
    <cellStyle name="20% - Accent1 22 4 2 3 3" xfId="10453" xr:uid="{FC56EE72-488E-4396-9488-21EFE40B286C}"/>
    <cellStyle name="20% - Accent1 22 4 2 3 3 2" xfId="26657" xr:uid="{2743180E-65FE-4EF2-8612-1DD70FC2EADF}"/>
    <cellStyle name="20% - Accent1 22 4 2 3 4" xfId="18979" xr:uid="{9078426D-3E8D-468A-AFE1-23A75EB2BF9C}"/>
    <cellStyle name="20% - Accent1 22 4 2 4" xfId="3688" xr:uid="{22E2B23F-DF08-4785-957A-D8EA742A6ABA}"/>
    <cellStyle name="20% - Accent1 22 4 2 4 2" xfId="7398" xr:uid="{4CA2261A-0C5F-4857-9D60-B3C9D8D3FCF7}"/>
    <cellStyle name="20% - Accent1 22 4 2 4 2 2" xfId="14907" xr:uid="{5624D097-B9A1-40A0-802D-5346B1238F64}"/>
    <cellStyle name="20% - Accent1 22 4 2 4 2 2 2" xfId="31111" xr:uid="{5D6D96E4-B989-4CE3-BA59-F159ED36AFD6}"/>
    <cellStyle name="20% - Accent1 22 4 2 4 2 3" xfId="23602" xr:uid="{679E703E-A3F2-4DE4-A611-FCDD423EAE23}"/>
    <cellStyle name="20% - Accent1 22 4 2 4 3" xfId="11298" xr:uid="{41ED53CA-F568-4D12-99E6-5250757D6540}"/>
    <cellStyle name="20% - Accent1 22 4 2 4 3 2" xfId="27502" xr:uid="{10A7D0F3-A388-4FBD-94A6-EB95B4BF5B92}"/>
    <cellStyle name="20% - Accent1 22 4 2 4 4" xfId="19897" xr:uid="{320BB6BC-1ED7-4879-945D-47C65928B359}"/>
    <cellStyle name="20% - Accent1 22 4 2 5" xfId="4157" xr:uid="{B6FD7CE4-7C56-49D8-A7B5-8E0D08B8BC3B}"/>
    <cellStyle name="20% - Accent1 22 4 2 5 2" xfId="7827" xr:uid="{6EB39AD7-BEA6-4393-A5FB-575F060DC2A4}"/>
    <cellStyle name="20% - Accent1 22 4 2 5 2 2" xfId="15334" xr:uid="{A855A72C-4F78-443E-A743-76E72EABEEF4}"/>
    <cellStyle name="20% - Accent1 22 4 2 5 2 2 2" xfId="31538" xr:uid="{919C2D82-A9DE-44B0-BE9F-C33658AC03A2}"/>
    <cellStyle name="20% - Accent1 22 4 2 5 2 3" xfId="24031" xr:uid="{759A21AA-2347-4DF4-BE7A-B60DC8D58B13}"/>
    <cellStyle name="20% - Accent1 22 4 2 5 3" xfId="11720" xr:uid="{E03F4AB3-C6A7-488C-A467-13E29FF6978B}"/>
    <cellStyle name="20% - Accent1 22 4 2 5 3 2" xfId="27924" xr:uid="{82D3E961-7DD2-4835-96A2-217C171B3FE7}"/>
    <cellStyle name="20% - Accent1 22 4 2 5 4" xfId="20361" xr:uid="{27EF83A5-40D6-4F28-9D81-3D59BC400DC0}"/>
    <cellStyle name="20% - Accent1 22 4 2 6" xfId="4582" xr:uid="{34437200-A922-46BA-A63A-9CD5B682C874}"/>
    <cellStyle name="20% - Accent1 22 4 2 6 2" xfId="8252" xr:uid="{B229471F-7F09-42E9-B3BA-68B4CAC7B011}"/>
    <cellStyle name="20% - Accent1 22 4 2 6 2 2" xfId="15759" xr:uid="{0A50C627-FA46-421A-A26B-1A79B870C990}"/>
    <cellStyle name="20% - Accent1 22 4 2 6 2 2 2" xfId="31963" xr:uid="{A37F9342-1FD8-4055-95DF-27D8346C619F}"/>
    <cellStyle name="20% - Accent1 22 4 2 6 2 3" xfId="24456" xr:uid="{7A739FBB-6804-4837-B14D-12429AA3022C}"/>
    <cellStyle name="20% - Accent1 22 4 2 6 3" xfId="12145" xr:uid="{6EC86FC4-6A36-4883-AC02-DCFD1C558EDC}"/>
    <cellStyle name="20% - Accent1 22 4 2 6 3 2" xfId="28349" xr:uid="{555ED769-B073-461B-A662-724106ED3870}"/>
    <cellStyle name="20% - Accent1 22 4 2 6 4" xfId="20786" xr:uid="{1B9FD36A-CF69-4711-B68C-F67F4525A293}"/>
    <cellStyle name="20% - Accent1 22 4 2 7" xfId="5009" xr:uid="{9EE099F9-269F-446F-AF15-1AFB12D3C5A9}"/>
    <cellStyle name="20% - Accent1 22 4 2 7 2" xfId="8675" xr:uid="{0250C75E-B69B-4623-BDFA-A1FF5F8825DC}"/>
    <cellStyle name="20% - Accent1 22 4 2 7 2 2" xfId="16182" xr:uid="{407EA1C0-9907-46AE-AA6C-E8E22D81609C}"/>
    <cellStyle name="20% - Accent1 22 4 2 7 2 2 2" xfId="32386" xr:uid="{DBF82C15-2D7F-454D-961A-519A5D4CA41F}"/>
    <cellStyle name="20% - Accent1 22 4 2 7 2 3" xfId="24879" xr:uid="{507F8C09-D8D2-41F3-B5D3-EF000073003B}"/>
    <cellStyle name="20% - Accent1 22 4 2 7 3" xfId="12567" xr:uid="{4453B90C-25BD-4502-896E-4289DA564569}"/>
    <cellStyle name="20% - Accent1 22 4 2 7 3 2" xfId="28771" xr:uid="{84332E2E-1D61-48D3-ADA3-ECFE15A61C0F}"/>
    <cellStyle name="20% - Accent1 22 4 2 7 4" xfId="21213" xr:uid="{E7F926AF-A7BF-4D19-9FE1-43748FA6A6B0}"/>
    <cellStyle name="20% - Accent1 22 4 2 8" xfId="5681" xr:uid="{2634978F-B44F-4D3A-BD47-A8744F8E5A16}"/>
    <cellStyle name="20% - Accent1 22 4 2 8 2" xfId="13196" xr:uid="{B33D4A74-A09A-446C-9A88-38531DB8B1B3}"/>
    <cellStyle name="20% - Accent1 22 4 2 8 2 2" xfId="29400" xr:uid="{6F797DCD-C80F-4CBC-AD54-E0B45CB82749}"/>
    <cellStyle name="20% - Accent1 22 4 2 8 3" xfId="21885" xr:uid="{0BBC0137-9328-41AB-9243-93BC3E479C11}"/>
    <cellStyle name="20% - Accent1 22 4 2 9" xfId="9608" xr:uid="{7B73292C-642B-4678-B6B0-65B513CDD227}"/>
    <cellStyle name="20% - Accent1 22 4 2 9 2" xfId="25812" xr:uid="{527A8C01-4864-440B-B046-8EA8253566D6}"/>
    <cellStyle name="20% - Accent1 22 4 3" xfId="2119" xr:uid="{E3771207-C793-49FF-95C1-2F264BB60BBB}"/>
    <cellStyle name="20% - Accent1 22 4 3 2" xfId="3032" xr:uid="{16D94AD2-4401-4891-8E1F-520042EE93EA}"/>
    <cellStyle name="20% - Accent1 22 4 3 2 2" xfId="6814" xr:uid="{4E7FBF99-8B43-4240-8321-38E0C789A142}"/>
    <cellStyle name="20% - Accent1 22 4 3 2 2 2" xfId="14325" xr:uid="{2D9C1C01-3D0D-4F18-AAD1-63DEC7D404F5}"/>
    <cellStyle name="20% - Accent1 22 4 3 2 2 2 2" xfId="30529" xr:uid="{5230CEB1-E05C-4E9E-BAA2-74127AB825D2}"/>
    <cellStyle name="20% - Accent1 22 4 3 2 2 3" xfId="23018" xr:uid="{8C61C98A-A59D-4814-8644-4CBC9C2AC259}"/>
    <cellStyle name="20% - Accent1 22 4 3 2 3" xfId="10725" xr:uid="{5F33D4FF-CA9F-40F0-812C-C198749E7B2B}"/>
    <cellStyle name="20% - Accent1 22 4 3 2 3 2" xfId="26929" xr:uid="{7E5D2D61-4E0B-4DB8-B1AD-D8D55FAFB9B9}"/>
    <cellStyle name="20% - Accent1 22 4 3 2 4" xfId="19252" xr:uid="{B2CFC894-FE0F-4621-BC36-53823E0026C1}"/>
    <cellStyle name="20% - Accent1 22 4 3 3" xfId="5958" xr:uid="{C1213421-6951-4BA2-A363-7B779541476F}"/>
    <cellStyle name="20% - Accent1 22 4 3 3 2" xfId="13472" xr:uid="{F5C038D5-0A2C-4857-88E3-717CFEE648BB}"/>
    <cellStyle name="20% - Accent1 22 4 3 3 2 2" xfId="29676" xr:uid="{B1812E8B-517C-471E-966A-DA7BE23C6D97}"/>
    <cellStyle name="20% - Accent1 22 4 3 3 3" xfId="22162" xr:uid="{9099282A-F3E2-4D79-82A8-E0B6C39AC135}"/>
    <cellStyle name="20% - Accent1 22 4 3 4" xfId="9881" xr:uid="{A9A39635-797E-46FB-A1D2-1AB20B1DA247}"/>
    <cellStyle name="20% - Accent1 22 4 3 4 2" xfId="26085" xr:uid="{236BDB1D-D521-421D-875E-F67BE199566D}"/>
    <cellStyle name="20% - Accent1 22 4 3 5" xfId="18406" xr:uid="{120DDDC5-7B1A-431C-8D05-D8D1FEFA585E}"/>
    <cellStyle name="20% - Accent1 22 4 4" xfId="2607" xr:uid="{C5DF2CC5-D12E-409D-8D3F-E4FAE50DECC5}"/>
    <cellStyle name="20% - Accent1 22 4 4 2" xfId="6391" xr:uid="{17609C1A-8C6D-475F-A9C0-3E28CA41BDF3}"/>
    <cellStyle name="20% - Accent1 22 4 4 2 2" xfId="13903" xr:uid="{4E4CFF19-14ED-4DBA-AE31-42CAEFF63F6D}"/>
    <cellStyle name="20% - Accent1 22 4 4 2 2 2" xfId="30107" xr:uid="{0D098EB5-308E-4268-BAD3-6536D4BC7EE6}"/>
    <cellStyle name="20% - Accent1 22 4 4 2 3" xfId="22595" xr:uid="{1F7ECE45-7351-4159-ABCF-A0816D7887BD}"/>
    <cellStyle name="20% - Accent1 22 4 4 3" xfId="10303" xr:uid="{C2F0F933-01D9-4868-8F68-0B5E0DD19C24}"/>
    <cellStyle name="20% - Accent1 22 4 4 3 2" xfId="26507" xr:uid="{8B96465B-DB56-4BFB-A3A9-38F50822F988}"/>
    <cellStyle name="20% - Accent1 22 4 4 4" xfId="18829" xr:uid="{B8889A39-4146-49A5-B5E4-9D0DDD0C450D}"/>
    <cellStyle name="20% - Accent1 22 4 5" xfId="3483" xr:uid="{82C5F754-DA55-4273-8AD2-ED5BCC0E3BBE}"/>
    <cellStyle name="20% - Accent1 22 4 5 2" xfId="7241" xr:uid="{5B60A381-B40B-4FD5-B985-7E0F722BE43C}"/>
    <cellStyle name="20% - Accent1 22 4 5 2 2" xfId="14751" xr:uid="{488C2F4D-D4CE-4FB2-9C6B-52C0A7F37BFB}"/>
    <cellStyle name="20% - Accent1 22 4 5 2 2 2" xfId="30955" xr:uid="{01840579-0DC2-4EA4-86D8-E4CB80F6122E}"/>
    <cellStyle name="20% - Accent1 22 4 5 2 3" xfId="23445" xr:uid="{8CA22DEB-8550-4291-A09C-75184AFE354F}"/>
    <cellStyle name="20% - Accent1 22 4 5 3" xfId="11148" xr:uid="{EF27FF1D-1D28-4293-93F2-2CC707DF17C2}"/>
    <cellStyle name="20% - Accent1 22 4 5 3 2" xfId="27352" xr:uid="{4C59F03B-DC6E-4CE2-8F4C-ED2A8C576ABB}"/>
    <cellStyle name="20% - Accent1 22 4 5 4" xfId="19699" xr:uid="{C18443A3-6719-441F-B38B-938E0917B45D}"/>
    <cellStyle name="20% - Accent1 22 4 6" xfId="4007" xr:uid="{FF1F43D3-6E6E-445C-A1C5-1D8A92275A7A}"/>
    <cellStyle name="20% - Accent1 22 4 6 2" xfId="7677" xr:uid="{7A7A06D2-3922-4F58-B656-0181364E0BE7}"/>
    <cellStyle name="20% - Accent1 22 4 6 2 2" xfId="15184" xr:uid="{A5DD3547-53C4-427D-B490-B3B355F4CB80}"/>
    <cellStyle name="20% - Accent1 22 4 6 2 2 2" xfId="31388" xr:uid="{F1E41D69-F76F-460E-BFBA-027F2A0152F1}"/>
    <cellStyle name="20% - Accent1 22 4 6 2 3" xfId="23881" xr:uid="{B4038337-8D1A-40BE-A64D-A5F8B02B38FC}"/>
    <cellStyle name="20% - Accent1 22 4 6 3" xfId="11570" xr:uid="{B83EC79B-C219-4895-838A-AC32990759E4}"/>
    <cellStyle name="20% - Accent1 22 4 6 3 2" xfId="27774" xr:uid="{8C574FE4-839A-49A3-BBDB-400C5A7EF817}"/>
    <cellStyle name="20% - Accent1 22 4 6 4" xfId="20211" xr:uid="{03A8152B-7B97-4B20-B220-28D48D8C8AA5}"/>
    <cellStyle name="20% - Accent1 22 4 7" xfId="4432" xr:uid="{814D825D-48C9-45BC-BF41-2FB3210AAB48}"/>
    <cellStyle name="20% - Accent1 22 4 7 2" xfId="8102" xr:uid="{AC7543EE-715F-44D3-B7AF-FEA6ADAD1C9B}"/>
    <cellStyle name="20% - Accent1 22 4 7 2 2" xfId="15609" xr:uid="{89999018-F615-439E-B892-81E065DD160A}"/>
    <cellStyle name="20% - Accent1 22 4 7 2 2 2" xfId="31813" xr:uid="{B0908AFC-5949-46A2-9227-1101F9A6205E}"/>
    <cellStyle name="20% - Accent1 22 4 7 2 3" xfId="24306" xr:uid="{4A0262AC-BA4F-44B1-922F-CFD8C5945556}"/>
    <cellStyle name="20% - Accent1 22 4 7 3" xfId="11995" xr:uid="{945EB7D7-FE32-4FEF-9BA9-21953CB23366}"/>
    <cellStyle name="20% - Accent1 22 4 7 3 2" xfId="28199" xr:uid="{37EFCF4C-A704-485E-BE0C-9ACCB5091251}"/>
    <cellStyle name="20% - Accent1 22 4 7 4" xfId="20636" xr:uid="{6F1D4638-46D7-487B-AAF6-49D6BCA3C1EB}"/>
    <cellStyle name="20% - Accent1 22 4 8" xfId="4857" xr:uid="{E6B33EC2-EDBE-4802-B03A-4FE08141FA9F}"/>
    <cellStyle name="20% - Accent1 22 4 8 2" xfId="8525" xr:uid="{559CE243-CBDF-496C-98D4-0FD1634D8DE8}"/>
    <cellStyle name="20% - Accent1 22 4 8 2 2" xfId="16032" xr:uid="{DFDCC3A1-C5CE-4ABB-8D25-1EE02E3689A7}"/>
    <cellStyle name="20% - Accent1 22 4 8 2 2 2" xfId="32236" xr:uid="{55BD105E-EE41-4E35-B44E-4D747DD20D38}"/>
    <cellStyle name="20% - Accent1 22 4 8 2 3" xfId="24729" xr:uid="{5A3DEF73-076F-457C-B2B5-74A8314EA292}"/>
    <cellStyle name="20% - Accent1 22 4 8 3" xfId="12417" xr:uid="{48F38672-6E96-4E55-B176-9FFBFD0915C4}"/>
    <cellStyle name="20% - Accent1 22 4 8 3 2" xfId="28621" xr:uid="{26C76227-EA7F-4C6A-A3F3-06F2D6819DCF}"/>
    <cellStyle name="20% - Accent1 22 4 8 4" xfId="21061" xr:uid="{9C8D7D48-5D71-43C6-BBEA-A4744442037D}"/>
    <cellStyle name="20% - Accent1 22 4 9" xfId="5343" xr:uid="{803D8766-4727-4A3F-B08D-3D8BF3388A05}"/>
    <cellStyle name="20% - Accent1 22 4 9 2" xfId="12892" xr:uid="{8106B878-793D-43FE-9E82-983FC2FCFEE3}"/>
    <cellStyle name="20% - Accent1 22 4 9 2 2" xfId="29096" xr:uid="{33F65A0B-1B3C-465A-A7F2-59B59D4FE766}"/>
    <cellStyle name="20% - Accent1 22 4 9 3" xfId="21547" xr:uid="{A63241C3-9E16-4BA9-99EF-D9CEB65C3AAC}"/>
    <cellStyle name="20% - Accent1 22 5" xfId="1249" xr:uid="{93F611FE-D089-446C-BA93-98F0C849F165}"/>
    <cellStyle name="20% - Accent1 22 6" xfId="1827" xr:uid="{411617BE-95B9-45C6-BCE7-E0C739C41835}"/>
    <cellStyle name="20% - Accent1 22 6 10" xfId="18132" xr:uid="{5096386C-452E-4058-B4C6-D3A37871B5C8}"/>
    <cellStyle name="20% - Accent1 22 6 2" xfId="2336" xr:uid="{9DE8E9C3-2F34-4AA1-8E30-3C43EC21A591}"/>
    <cellStyle name="20% - Accent1 22 6 2 2" xfId="3183" xr:uid="{9CF123B4-02F1-47F9-8877-102D577CC564}"/>
    <cellStyle name="20% - Accent1 22 6 2 2 2" xfId="6965" xr:uid="{E738907E-4E50-4ED6-8FEB-1BDE35EDE352}"/>
    <cellStyle name="20% - Accent1 22 6 2 2 2 2" xfId="14476" xr:uid="{57DBAB1B-6B26-46C3-A8AE-22CD215C9B67}"/>
    <cellStyle name="20% - Accent1 22 6 2 2 2 2 2" xfId="30680" xr:uid="{0D7E48F1-79EF-41B2-98DC-F54BE6E78486}"/>
    <cellStyle name="20% - Accent1 22 6 2 2 2 3" xfId="23169" xr:uid="{B41B5341-1D8D-489D-AE6D-C0E0CA617D46}"/>
    <cellStyle name="20% - Accent1 22 6 2 2 3" xfId="10876" xr:uid="{113CACC5-37A9-4801-AF90-857060908F84}"/>
    <cellStyle name="20% - Accent1 22 6 2 2 3 2" xfId="27080" xr:uid="{76F6C78F-674C-44D7-9473-EA9F2879BA1B}"/>
    <cellStyle name="20% - Accent1 22 6 2 2 4" xfId="19403" xr:uid="{CF5CAD0C-74CC-471B-BDE2-D4A3AC8EBABD}"/>
    <cellStyle name="20% - Accent1 22 6 2 3" xfId="6120" xr:uid="{3082B038-545A-4448-99FE-C4110B12BB74}"/>
    <cellStyle name="20% - Accent1 22 6 2 3 2" xfId="13632" xr:uid="{701233D3-E057-414A-AB03-D15F3708B7B9}"/>
    <cellStyle name="20% - Accent1 22 6 2 3 2 2" xfId="29836" xr:uid="{2DF78019-AACE-4C81-A25C-8FEA9F04BCA5}"/>
    <cellStyle name="20% - Accent1 22 6 2 3 3" xfId="22324" xr:uid="{509A8305-846C-4667-BE9C-AAFE79E092F1}"/>
    <cellStyle name="20% - Accent1 22 6 2 4" xfId="10032" xr:uid="{F3DC6DF7-0C23-484E-8F46-4504E15E3CF1}"/>
    <cellStyle name="20% - Accent1 22 6 2 4 2" xfId="26236" xr:uid="{DB1623B7-16C0-4200-AFBB-A1EF8A4F6FB4}"/>
    <cellStyle name="20% - Accent1 22 6 2 5" xfId="18558" xr:uid="{1439ACD8-9F63-44BB-A989-10F13D56FA05}"/>
    <cellStyle name="20% - Accent1 22 6 3" xfId="2758" xr:uid="{B8FAD96A-8F42-4189-9BAC-0FEFC2227CF9}"/>
    <cellStyle name="20% - Accent1 22 6 3 2" xfId="6542" xr:uid="{69B702C6-106D-4982-960B-89B0545A2AFE}"/>
    <cellStyle name="20% - Accent1 22 6 3 2 2" xfId="14054" xr:uid="{66B3608E-4486-4C6E-BC4A-DBA7F8B50914}"/>
    <cellStyle name="20% - Accent1 22 6 3 2 2 2" xfId="30258" xr:uid="{2D2B4501-B028-4BEC-9EE8-736FBF125AEA}"/>
    <cellStyle name="20% - Accent1 22 6 3 2 3" xfId="22746" xr:uid="{C6FDB9B3-0038-4C7C-85EE-726062C80B1E}"/>
    <cellStyle name="20% - Accent1 22 6 3 3" xfId="10454" xr:uid="{B34BCB2D-1723-4DBF-AE73-70067B63945C}"/>
    <cellStyle name="20% - Accent1 22 6 3 3 2" xfId="26658" xr:uid="{55C926D9-285B-406F-AC7F-04A30623B7B4}"/>
    <cellStyle name="20% - Accent1 22 6 3 4" xfId="18980" xr:uid="{227C1B75-BC75-4EE0-875E-5B572D3EF439}"/>
    <cellStyle name="20% - Accent1 22 6 4" xfId="3689" xr:uid="{283CEF8B-6F66-4195-A21C-123F7126AA83}"/>
    <cellStyle name="20% - Accent1 22 6 4 2" xfId="7399" xr:uid="{BEE50286-D14E-4105-991A-DD9BA2C2C725}"/>
    <cellStyle name="20% - Accent1 22 6 4 2 2" xfId="14908" xr:uid="{C7C65C2E-D942-48BF-A9F8-4DB77734DD3C}"/>
    <cellStyle name="20% - Accent1 22 6 4 2 2 2" xfId="31112" xr:uid="{D8E50BFB-60D9-40BD-9500-61C295521C9C}"/>
    <cellStyle name="20% - Accent1 22 6 4 2 3" xfId="23603" xr:uid="{5C0B38FA-FD00-4695-B2C5-7F07614B6DF3}"/>
    <cellStyle name="20% - Accent1 22 6 4 3" xfId="11299" xr:uid="{E5CE01D2-D22A-4C71-B041-357C18F04589}"/>
    <cellStyle name="20% - Accent1 22 6 4 3 2" xfId="27503" xr:uid="{2946C850-C8E1-402E-8B8D-D1C163CA9B54}"/>
    <cellStyle name="20% - Accent1 22 6 4 4" xfId="19898" xr:uid="{07418666-1054-4D6F-AE7D-009DF542A356}"/>
    <cellStyle name="20% - Accent1 22 6 5" xfId="4158" xr:uid="{09D87099-EB32-4991-ACD9-E74BEE49E5D4}"/>
    <cellStyle name="20% - Accent1 22 6 5 2" xfId="7828" xr:uid="{46FD3992-2B45-41E8-8FFA-4B530DF5DC08}"/>
    <cellStyle name="20% - Accent1 22 6 5 2 2" xfId="15335" xr:uid="{73A09A97-26E7-4AFE-B4B6-1EEF84067201}"/>
    <cellStyle name="20% - Accent1 22 6 5 2 2 2" xfId="31539" xr:uid="{CD9CFF50-5B38-4252-B88C-F4BEACE7B356}"/>
    <cellStyle name="20% - Accent1 22 6 5 2 3" xfId="24032" xr:uid="{4D2A1025-BB34-4BB6-9DBB-9000F6470AE9}"/>
    <cellStyle name="20% - Accent1 22 6 5 3" xfId="11721" xr:uid="{250DFD56-D1CF-45B7-B512-B5798DEE2272}"/>
    <cellStyle name="20% - Accent1 22 6 5 3 2" xfId="27925" xr:uid="{8FBAACCE-F032-4639-B39C-AB2B09E2810C}"/>
    <cellStyle name="20% - Accent1 22 6 5 4" xfId="20362" xr:uid="{0DD2870D-5481-4145-B58C-D56DEDDAF1AE}"/>
    <cellStyle name="20% - Accent1 22 6 6" xfId="4583" xr:uid="{E24EBF7D-C73A-45CD-BDBF-786B28AD6AA4}"/>
    <cellStyle name="20% - Accent1 22 6 6 2" xfId="8253" xr:uid="{DDF04C07-0C7D-471B-BBD4-548A107403A9}"/>
    <cellStyle name="20% - Accent1 22 6 6 2 2" xfId="15760" xr:uid="{9A00B612-A1C7-4F7E-B6B7-2C38FF421CCE}"/>
    <cellStyle name="20% - Accent1 22 6 6 2 2 2" xfId="31964" xr:uid="{DBF52C64-36D2-4F59-A300-BD9DFE739EAB}"/>
    <cellStyle name="20% - Accent1 22 6 6 2 3" xfId="24457" xr:uid="{AC76743F-F4A7-46A9-A96E-8AFF801F32B1}"/>
    <cellStyle name="20% - Accent1 22 6 6 3" xfId="12146" xr:uid="{B4E97B1C-2EF4-4D27-A3E1-66EBF4F6D1EE}"/>
    <cellStyle name="20% - Accent1 22 6 6 3 2" xfId="28350" xr:uid="{ABBF0215-93B1-4BD3-B13B-93BEEE2C73FC}"/>
    <cellStyle name="20% - Accent1 22 6 6 4" xfId="20787" xr:uid="{59D68F28-1E01-49A9-9CD4-4EA984F01DD9}"/>
    <cellStyle name="20% - Accent1 22 6 7" xfId="5010" xr:uid="{B08787D7-F012-49D9-8013-E9E20D9C0CC7}"/>
    <cellStyle name="20% - Accent1 22 6 7 2" xfId="8676" xr:uid="{E577BC7B-0AE3-452B-9232-12B190A4FFA3}"/>
    <cellStyle name="20% - Accent1 22 6 7 2 2" xfId="16183" xr:uid="{6B59CD70-19E1-4A6E-A5A5-58B8F17B847E}"/>
    <cellStyle name="20% - Accent1 22 6 7 2 2 2" xfId="32387" xr:uid="{C4118340-B270-4328-8562-8DDA06C60A23}"/>
    <cellStyle name="20% - Accent1 22 6 7 2 3" xfId="24880" xr:uid="{7D54FE05-3352-48B9-A4A4-68E1405E780D}"/>
    <cellStyle name="20% - Accent1 22 6 7 3" xfId="12568" xr:uid="{61B85432-B36D-4AAE-B251-BADBE3E8C579}"/>
    <cellStyle name="20% - Accent1 22 6 7 3 2" xfId="28772" xr:uid="{9FA660DA-172A-4AF9-AF2D-403A4B4E582E}"/>
    <cellStyle name="20% - Accent1 22 6 7 4" xfId="21214" xr:uid="{DCE26A56-F6F2-4E66-A2AD-314ACD8BF51D}"/>
    <cellStyle name="20% - Accent1 22 6 8" xfId="5682" xr:uid="{88E2758D-9A00-4E98-9E78-88EB9EF083B7}"/>
    <cellStyle name="20% - Accent1 22 6 8 2" xfId="13197" xr:uid="{2B04018B-3B80-48A5-896C-CAC1A7B3DD8A}"/>
    <cellStyle name="20% - Accent1 22 6 8 2 2" xfId="29401" xr:uid="{B8F4EAB2-52EF-477C-B608-83E99BDE136E}"/>
    <cellStyle name="20% - Accent1 22 6 8 3" xfId="21886" xr:uid="{9FE78843-F4B9-4728-A4AA-1183AD1122F9}"/>
    <cellStyle name="20% - Accent1 22 6 9" xfId="9609" xr:uid="{639AA459-CBB9-4B5B-B91D-13367FC5828E}"/>
    <cellStyle name="20% - Accent1 22 6 9 2" xfId="25813" xr:uid="{C739B9FA-B470-4A8B-A3D1-336470557958}"/>
    <cellStyle name="20% - Accent1 22 7" xfId="2052" xr:uid="{485BAA40-C69E-4CB0-AB74-12E97DE1F8CF}"/>
    <cellStyle name="20% - Accent1 22 7 2" xfId="2965" xr:uid="{B3F596B9-B6D4-4254-9BEC-9693D3C6FFEA}"/>
    <cellStyle name="20% - Accent1 22 7 2 2" xfId="6747" xr:uid="{28F131ED-E635-4C46-8868-7ECD28F3F86D}"/>
    <cellStyle name="20% - Accent1 22 7 2 2 2" xfId="14258" xr:uid="{C63F313B-70EF-440D-8552-A13DF1AD6CE8}"/>
    <cellStyle name="20% - Accent1 22 7 2 2 2 2" xfId="30462" xr:uid="{CA4E0F00-0054-4A4D-A4B4-1812A8C578AB}"/>
    <cellStyle name="20% - Accent1 22 7 2 2 3" xfId="22951" xr:uid="{19597FD9-F435-4B2F-AE49-CEDB8D8F8DCF}"/>
    <cellStyle name="20% - Accent1 22 7 2 3" xfId="10658" xr:uid="{1C8B40A2-3D10-4CF1-BD86-352A753013C8}"/>
    <cellStyle name="20% - Accent1 22 7 2 3 2" xfId="26862" xr:uid="{FB3CD9DF-AE70-4BD5-9EDE-F870BCE13CF8}"/>
    <cellStyle name="20% - Accent1 22 7 2 4" xfId="19185" xr:uid="{276728AE-6226-4361-98EE-1688893D94AF}"/>
    <cellStyle name="20% - Accent1 22 7 3" xfId="5891" xr:uid="{A33B4ADA-6342-41F7-BC15-450AB777B863}"/>
    <cellStyle name="20% - Accent1 22 7 3 2" xfId="13405" xr:uid="{7BB3A48D-7EE1-47E9-8CBA-225BDE59217F}"/>
    <cellStyle name="20% - Accent1 22 7 3 2 2" xfId="29609" xr:uid="{D16F2A2A-B948-4EBA-B8CA-935094D8B4D2}"/>
    <cellStyle name="20% - Accent1 22 7 3 3" xfId="22095" xr:uid="{9708B2E0-8B4C-430A-8EEF-082AE4D23649}"/>
    <cellStyle name="20% - Accent1 22 7 4" xfId="9814" xr:uid="{A0331B11-6FF8-406B-97B0-CD7D2E3A481A}"/>
    <cellStyle name="20% - Accent1 22 7 4 2" xfId="26018" xr:uid="{7D208A62-C55B-4669-B8C4-268821E0C24D}"/>
    <cellStyle name="20% - Accent1 22 7 5" xfId="18339" xr:uid="{8BA3F339-04DF-48DF-B346-623195DFAFBF}"/>
    <cellStyle name="20% - Accent1 22 8" xfId="2540" xr:uid="{23F5C156-1D07-4D84-B516-275C3C9FD3EA}"/>
    <cellStyle name="20% - Accent1 22 8 2" xfId="6324" xr:uid="{F8D78DA1-CBB4-47B3-88D4-82CB9C856B6C}"/>
    <cellStyle name="20% - Accent1 22 8 2 2" xfId="13836" xr:uid="{366F0BFF-CCC2-4305-83A4-928059B26989}"/>
    <cellStyle name="20% - Accent1 22 8 2 2 2" xfId="30040" xr:uid="{FC88B45E-6941-4F14-BED9-7EC2CEA61E62}"/>
    <cellStyle name="20% - Accent1 22 8 2 3" xfId="22528" xr:uid="{EFBDB11C-3EF3-4CCE-8286-AB9D4A0176D2}"/>
    <cellStyle name="20% - Accent1 22 8 3" xfId="10236" xr:uid="{8840F726-3057-4C59-9C2C-B8E4958CD0BD}"/>
    <cellStyle name="20% - Accent1 22 8 3 2" xfId="26440" xr:uid="{AB7D65C9-6BB4-40BD-9F66-956E7CA94B2F}"/>
    <cellStyle name="20% - Accent1 22 8 4" xfId="18762" xr:uid="{4DB36DA9-706F-441F-9E42-8F77CB945301}"/>
    <cellStyle name="20% - Accent1 22 9" xfId="3416" xr:uid="{FC735FAF-80A4-40B3-9B15-6634DB437050}"/>
    <cellStyle name="20% - Accent1 22 9 2" xfId="7174" xr:uid="{A74CDFD4-0EB1-4EEF-BB1E-91FB17EB1714}"/>
    <cellStyle name="20% - Accent1 22 9 2 2" xfId="14684" xr:uid="{F36E7BFC-E3D1-43A9-A52E-6C32BAEDFED4}"/>
    <cellStyle name="20% - Accent1 22 9 2 2 2" xfId="30888" xr:uid="{3E95BEA4-182B-4FED-8D39-8554B20985E3}"/>
    <cellStyle name="20% - Accent1 22 9 2 3" xfId="23378" xr:uid="{6F87464F-17F8-4A00-B3CE-F4D976ACAAAD}"/>
    <cellStyle name="20% - Accent1 22 9 3" xfId="11081" xr:uid="{84F46DA2-15F3-4A30-964C-66E159F8770B}"/>
    <cellStyle name="20% - Accent1 22 9 3 2" xfId="27285" xr:uid="{73081A13-FC03-43FB-9B54-81A9344B58CC}"/>
    <cellStyle name="20% - Accent1 22 9 4" xfId="19632" xr:uid="{272DEF73-6F60-45B6-89DD-4F69836C633C}"/>
    <cellStyle name="20% - Accent1 23" xfId="1001" xr:uid="{E98CFBA1-80C2-40A2-8BD9-3E9E8C52DEE8}"/>
    <cellStyle name="20% - Accent1 24" xfId="1808" xr:uid="{FEF225E3-1B4F-49EA-AB4C-343BC62688AF}"/>
    <cellStyle name="20% - Accent1 24 10" xfId="18113" xr:uid="{0D6247B7-3DC6-4254-AA13-AAC752074526}"/>
    <cellStyle name="20% - Accent1 24 2" xfId="2317" xr:uid="{888D0B4F-B82A-4917-9E74-74AA3E5BCFD4}"/>
    <cellStyle name="20% - Accent1 24 2 2" xfId="3164" xr:uid="{813C4F79-5DCC-4D7D-9E67-97D1AE71B362}"/>
    <cellStyle name="20% - Accent1 24 2 2 2" xfId="6946" xr:uid="{633685D0-1AFE-43FB-A1D3-1AC664B6588B}"/>
    <cellStyle name="20% - Accent1 24 2 2 2 2" xfId="14457" xr:uid="{653BA4B6-22EC-43B6-BDAF-ED0E736EC572}"/>
    <cellStyle name="20% - Accent1 24 2 2 2 2 2" xfId="30661" xr:uid="{E69B39B2-E63A-4767-83B8-90BA347322AE}"/>
    <cellStyle name="20% - Accent1 24 2 2 2 3" xfId="23150" xr:uid="{5FCDBE34-E49E-4399-9CAD-6134DE8E9DFA}"/>
    <cellStyle name="20% - Accent1 24 2 2 3" xfId="10857" xr:uid="{983C7ECC-D5DC-45A9-8FFD-94AD2F223E3F}"/>
    <cellStyle name="20% - Accent1 24 2 2 3 2" xfId="27061" xr:uid="{57F014A7-8ED3-4F7E-9BD5-CF762CEDF9A1}"/>
    <cellStyle name="20% - Accent1 24 2 2 4" xfId="19384" xr:uid="{B16BCEA4-B9C7-4253-ABAA-5F26B36EC10F}"/>
    <cellStyle name="20% - Accent1 24 2 3" xfId="6101" xr:uid="{DB8DB6E4-309A-4311-98B6-B2C9A538A24D}"/>
    <cellStyle name="20% - Accent1 24 2 3 2" xfId="13613" xr:uid="{FD1D5BE9-EC24-46BD-A581-2B4FE767677C}"/>
    <cellStyle name="20% - Accent1 24 2 3 2 2" xfId="29817" xr:uid="{FF57A9EC-6614-43C3-9043-C05593E9D3A5}"/>
    <cellStyle name="20% - Accent1 24 2 3 3" xfId="22305" xr:uid="{E76F3037-46DB-4685-B4AA-AC3BF993D643}"/>
    <cellStyle name="20% - Accent1 24 2 4" xfId="10013" xr:uid="{42C919FA-4F08-4F05-B9D4-C2D8202A9542}"/>
    <cellStyle name="20% - Accent1 24 2 4 2" xfId="26217" xr:uid="{14C002C0-FC1E-41CB-8F9A-95B2D94C85DF}"/>
    <cellStyle name="20% - Accent1 24 2 5" xfId="18539" xr:uid="{A4102ABB-8A5F-4231-B32A-A6107FE8BCDB}"/>
    <cellStyle name="20% - Accent1 24 3" xfId="2739" xr:uid="{A72D5C4A-360D-40D8-90C4-65C32BB5AEFF}"/>
    <cellStyle name="20% - Accent1 24 3 2" xfId="6523" xr:uid="{058FEC50-3339-4B93-A72F-E815899D87B2}"/>
    <cellStyle name="20% - Accent1 24 3 2 2" xfId="14035" xr:uid="{1BB216FD-AB8C-42CB-AFFF-9A84A633F799}"/>
    <cellStyle name="20% - Accent1 24 3 2 2 2" xfId="30239" xr:uid="{A1E77CD0-0741-466D-B6B7-05502F8B6330}"/>
    <cellStyle name="20% - Accent1 24 3 2 3" xfId="22727" xr:uid="{4A05173A-7F20-44EE-9CF3-38777B15A9DE}"/>
    <cellStyle name="20% - Accent1 24 3 3" xfId="10435" xr:uid="{3E154EAB-2657-419A-B8AD-2A176D8FF343}"/>
    <cellStyle name="20% - Accent1 24 3 3 2" xfId="26639" xr:uid="{36A9B967-807A-4AD9-BC6F-ACD56A88699C}"/>
    <cellStyle name="20% - Accent1 24 3 4" xfId="18961" xr:uid="{FCE0ADEB-2C2F-4E6C-896E-2538BEE12657}"/>
    <cellStyle name="20% - Accent1 24 4" xfId="3670" xr:uid="{3C0830DF-32BA-4495-8B37-53CAAA6230DF}"/>
    <cellStyle name="20% - Accent1 24 4 2" xfId="7380" xr:uid="{7F8365CC-B0BB-4C0D-968E-4E058D412E71}"/>
    <cellStyle name="20% - Accent1 24 4 2 2" xfId="14889" xr:uid="{EC51EF2A-3B9E-4776-A0A6-33E675B83FA2}"/>
    <cellStyle name="20% - Accent1 24 4 2 2 2" xfId="31093" xr:uid="{FF5583C1-1C5D-41E5-9F5B-220489332D25}"/>
    <cellStyle name="20% - Accent1 24 4 2 3" xfId="23584" xr:uid="{1A65DA53-BE87-4AB6-B4FA-BEE057AED1F8}"/>
    <cellStyle name="20% - Accent1 24 4 3" xfId="11280" xr:uid="{825788F5-EC78-427B-9987-12B59484E3C6}"/>
    <cellStyle name="20% - Accent1 24 4 3 2" xfId="27484" xr:uid="{9631FECF-98D5-4B4C-892E-A1E89FD25526}"/>
    <cellStyle name="20% - Accent1 24 4 4" xfId="19879" xr:uid="{30874542-CC2A-411B-A307-4E49390CAF04}"/>
    <cellStyle name="20% - Accent1 24 5" xfId="4139" xr:uid="{05AE2BD2-D71E-46F7-832C-6758BDD7675A}"/>
    <cellStyle name="20% - Accent1 24 5 2" xfId="7809" xr:uid="{737BE5A8-B925-4CE2-B242-13B799F19CC0}"/>
    <cellStyle name="20% - Accent1 24 5 2 2" xfId="15316" xr:uid="{7086A3BA-65BB-47B6-A9DB-8D7D24D196AD}"/>
    <cellStyle name="20% - Accent1 24 5 2 2 2" xfId="31520" xr:uid="{A2B606FC-B158-404A-B4EF-AF8D832BD4E5}"/>
    <cellStyle name="20% - Accent1 24 5 2 3" xfId="24013" xr:uid="{57062349-80E5-4083-878F-D57F052E3607}"/>
    <cellStyle name="20% - Accent1 24 5 3" xfId="11702" xr:uid="{2151937D-A381-4D97-BA1D-CCFA49376B5B}"/>
    <cellStyle name="20% - Accent1 24 5 3 2" xfId="27906" xr:uid="{D04DB77A-7ACF-4748-A157-9721798AD98D}"/>
    <cellStyle name="20% - Accent1 24 5 4" xfId="20343" xr:uid="{4553C48D-75B1-4D09-B2F8-D91ED9C14AB8}"/>
    <cellStyle name="20% - Accent1 24 6" xfId="4564" xr:uid="{A259759B-2672-4107-B6B5-6DC13D7259B5}"/>
    <cellStyle name="20% - Accent1 24 6 2" xfId="8234" xr:uid="{3976323E-A49D-49AE-A28E-04335E31206F}"/>
    <cellStyle name="20% - Accent1 24 6 2 2" xfId="15741" xr:uid="{76F94F14-5B11-4A97-A535-D61DA3DFDE51}"/>
    <cellStyle name="20% - Accent1 24 6 2 2 2" xfId="31945" xr:uid="{7FB58AAA-6BD9-4319-9E9B-A2524D6C9262}"/>
    <cellStyle name="20% - Accent1 24 6 2 3" xfId="24438" xr:uid="{ECFD77EC-5C69-491C-86FE-B44220EB9ECF}"/>
    <cellStyle name="20% - Accent1 24 6 3" xfId="12127" xr:uid="{80F74213-6D47-49BE-B1D3-E8231FED7B3B}"/>
    <cellStyle name="20% - Accent1 24 6 3 2" xfId="28331" xr:uid="{8DF90F1B-D365-435D-AD39-A70069834E82}"/>
    <cellStyle name="20% - Accent1 24 6 4" xfId="20768" xr:uid="{516B1E08-B97E-4627-97D4-4FC0404B8E3F}"/>
    <cellStyle name="20% - Accent1 24 7" xfId="4991" xr:uid="{3220A83E-14EF-467A-8C23-D251068F8504}"/>
    <cellStyle name="20% - Accent1 24 7 2" xfId="8657" xr:uid="{D0D53E51-CA1F-4281-8635-321D9A6D10D2}"/>
    <cellStyle name="20% - Accent1 24 7 2 2" xfId="16164" xr:uid="{069A928D-50F3-4A51-88E6-867D40F2C431}"/>
    <cellStyle name="20% - Accent1 24 7 2 2 2" xfId="32368" xr:uid="{7D3CBEEF-44C5-4B2F-948D-EB23860E4F71}"/>
    <cellStyle name="20% - Accent1 24 7 2 3" xfId="24861" xr:uid="{14AB6B5E-B056-4599-ADDD-1A6C59F48527}"/>
    <cellStyle name="20% - Accent1 24 7 3" xfId="12549" xr:uid="{6E6F7F04-87ED-484A-AEC6-A574108ADADF}"/>
    <cellStyle name="20% - Accent1 24 7 3 2" xfId="28753" xr:uid="{0E52C4AE-28DA-482F-BECA-C7078FA831A6}"/>
    <cellStyle name="20% - Accent1 24 7 4" xfId="21195" xr:uid="{88C1810B-D046-41BC-98FA-124B9B27EDAC}"/>
    <cellStyle name="20% - Accent1 24 8" xfId="5663" xr:uid="{0A4D0334-D348-4AEB-AB31-F1488E4FB125}"/>
    <cellStyle name="20% - Accent1 24 8 2" xfId="13178" xr:uid="{D5CE2FCA-0835-4C08-8F40-FBCD30F1D2A5}"/>
    <cellStyle name="20% - Accent1 24 8 2 2" xfId="29382" xr:uid="{DC2A7324-A004-4214-9E1F-2E46981734F8}"/>
    <cellStyle name="20% - Accent1 24 8 3" xfId="21867" xr:uid="{37DDB90B-F257-4BCE-980B-A8DA3EF31B7B}"/>
    <cellStyle name="20% - Accent1 24 9" xfId="9590" xr:uid="{DDAA7D6C-33ED-427B-A385-CFEB4E244619}"/>
    <cellStyle name="20% - Accent1 24 9 2" xfId="25794" xr:uid="{DC46A230-40D8-4B1C-8E27-10061311FDF9}"/>
    <cellStyle name="20% - Accent1 25" xfId="16" xr:uid="{78FA30D2-03FF-4764-94BC-570ECFD63155}"/>
    <cellStyle name="20% - Accent1 26" xfId="16843" xr:uid="{0135E3AC-74D5-44C6-BC45-AF2DA7A5238B}"/>
    <cellStyle name="20% - Accent1 3" xfId="29" xr:uid="{CC91B97F-99FF-4CB4-9F9D-CBCD08520792}"/>
    <cellStyle name="20% - Accent1 3 2" xfId="1262" xr:uid="{5ECAED40-6E63-4F67-BA05-CD8DC6FAC499}"/>
    <cellStyle name="20% - Accent1 3 3" xfId="988" xr:uid="{0A1D7370-3478-41B6-87A3-7727B3D5A646}"/>
    <cellStyle name="20% - Accent1 4" xfId="30" xr:uid="{EFDD3513-7519-4F67-BA9D-273F765A5964}"/>
    <cellStyle name="20% - Accent1 4 2" xfId="1263" xr:uid="{35D63537-64D8-4076-B96E-CADADAC35081}"/>
    <cellStyle name="20% - Accent1 4 3" xfId="987" xr:uid="{E4383E40-4490-46E5-B343-41752EDDCA6A}"/>
    <cellStyle name="20% - Accent1 5" xfId="31" xr:uid="{0E39CFCF-1622-4204-B16B-780650CB557C}"/>
    <cellStyle name="20% - Accent1 5 2" xfId="1264" xr:uid="{F1B376B7-4785-41BF-8509-CC7E98D1BA20}"/>
    <cellStyle name="20% - Accent1 5 3" xfId="986" xr:uid="{C91B9C86-57D6-499E-9F73-9E7357EA5AEF}"/>
    <cellStyle name="20% - Accent1 6" xfId="32" xr:uid="{A66891B1-7D81-4A23-B19F-A374FC3844CF}"/>
    <cellStyle name="20% - Accent1 6 2" xfId="1265" xr:uid="{1472C98E-A654-419B-BC92-29E72588CFFA}"/>
    <cellStyle name="20% - Accent1 6 3" xfId="985" xr:uid="{FB6C6D38-EA5F-45AA-A9E7-BF16360E090F}"/>
    <cellStyle name="20% - Accent1 7" xfId="33" xr:uid="{1C423B24-5AD7-4B61-8E83-22A2EBF7DCEE}"/>
    <cellStyle name="20% - Accent1 7 2" xfId="1266" xr:uid="{6B3C19D8-413C-4A80-9E45-63ED88FC4366}"/>
    <cellStyle name="20% - Accent1 7 3" xfId="984" xr:uid="{6416A0C9-4435-4FB9-AF2E-6453FEBDE993}"/>
    <cellStyle name="20% - Accent1 8" xfId="34" xr:uid="{94A94212-D0CA-45FF-BC7B-230559830555}"/>
    <cellStyle name="20% - Accent1 8 2" xfId="1267" xr:uid="{3736DFBC-D8B7-4AFC-AF0A-7A5A58841E7D}"/>
    <cellStyle name="20% - Accent1 8 3" xfId="983" xr:uid="{125053E6-D2CF-43BC-95BD-9E0E2587B325}"/>
    <cellStyle name="20% - Accent1 9" xfId="35" xr:uid="{4D5BE438-AF9A-43C2-A49D-E3D3C1D63846}"/>
    <cellStyle name="20% - Accent1 9 2" xfId="1268" xr:uid="{D063DA1D-7708-4D36-8FB4-5DC1FE6EAA53}"/>
    <cellStyle name="20% - Accent1 9 3" xfId="982" xr:uid="{CB7BA396-96D3-4F3A-B787-19678F6EC588}"/>
    <cellStyle name="20% - Accent2 10" xfId="37" xr:uid="{CA50C624-EACA-4A50-B76B-D533E2942AB9}"/>
    <cellStyle name="20% - Accent2 10 2" xfId="1270" xr:uid="{180C4A9F-71D6-4342-AF34-8F93039D7E74}"/>
    <cellStyle name="20% - Accent2 10 3" xfId="980" xr:uid="{132905E5-6241-4564-9BD2-04ABD8BB7D94}"/>
    <cellStyle name="20% - Accent2 11" xfId="38" xr:uid="{5AB2D733-DAF7-47A3-8E24-5208146400CB}"/>
    <cellStyle name="20% - Accent2 11 2" xfId="1271" xr:uid="{26C4F20F-665F-4580-96B8-D4ADA58F856F}"/>
    <cellStyle name="20% - Accent2 11 3" xfId="979" xr:uid="{CF01FC60-7B14-404B-8926-E2004D41A575}"/>
    <cellStyle name="20% - Accent2 12" xfId="39" xr:uid="{CF9CAB7B-DE17-42E2-BF3F-C3F701A5E342}"/>
    <cellStyle name="20% - Accent2 12 2" xfId="1272" xr:uid="{CFF8F21A-58D3-456B-8FF9-EB8CA8E94DA4}"/>
    <cellStyle name="20% - Accent2 12 3" xfId="978" xr:uid="{DC4D1D57-A48D-42E4-B598-67E928BAB659}"/>
    <cellStyle name="20% - Accent2 13" xfId="40" xr:uid="{5C964084-EC80-4362-89D1-29A1F775951C}"/>
    <cellStyle name="20% - Accent2 13 2" xfId="1273" xr:uid="{9BECFEAA-66AD-4151-A080-AECD6AD2E514}"/>
    <cellStyle name="20% - Accent2 13 3" xfId="977" xr:uid="{949916AF-ECA7-45D0-8CA0-432EA07DF1C3}"/>
    <cellStyle name="20% - Accent2 14" xfId="41" xr:uid="{6A513E14-99B1-405B-986D-C96C7D2B130B}"/>
    <cellStyle name="20% - Accent2 14 2" xfId="1274" xr:uid="{364FAB27-F7AA-4BEA-BF76-1D3BD471EA75}"/>
    <cellStyle name="20% - Accent2 14 3" xfId="976" xr:uid="{D40148CE-3A3F-4223-91B5-F6DF49DD8668}"/>
    <cellStyle name="20% - Accent2 15" xfId="42" xr:uid="{91937111-D0F0-4E06-941E-74D1CA818581}"/>
    <cellStyle name="20% - Accent2 15 2" xfId="1275" xr:uid="{D217E3B0-42D5-4E89-A2AC-BBB7414A92C6}"/>
    <cellStyle name="20% - Accent2 15 3" xfId="975" xr:uid="{B6FEC437-C64A-457C-A6F8-8E38A385AE32}"/>
    <cellStyle name="20% - Accent2 16" xfId="43" xr:uid="{AC152AD8-BEE6-479C-8EC0-045BA4188F7A}"/>
    <cellStyle name="20% - Accent2 16 2" xfId="1276" xr:uid="{F839E9B3-986F-4E25-AA9D-1B326E4C4F53}"/>
    <cellStyle name="20% - Accent2 16 3" xfId="974" xr:uid="{B5E0AC28-F084-4617-B075-5111ADBD5569}"/>
    <cellStyle name="20% - Accent2 17" xfId="44" xr:uid="{A2E632CE-048D-47A0-B4CE-91081177C05E}"/>
    <cellStyle name="20% - Accent2 17 2" xfId="1277" xr:uid="{1DAE3538-28A0-4C84-A60A-9C507B2E77C4}"/>
    <cellStyle name="20% - Accent2 17 3" xfId="973" xr:uid="{0408B831-793E-4491-9774-A4D9231A49F0}"/>
    <cellStyle name="20% - Accent2 18" xfId="45" xr:uid="{75CB6B2A-E67A-4A06-90BF-0D70D4B42601}"/>
    <cellStyle name="20% - Accent2 18 2" xfId="10" xr:uid="{6EABB54E-81F6-4E3D-B5CC-8E00B487CD64}"/>
    <cellStyle name="20% - Accent2 18 3" xfId="972" xr:uid="{9118F63F-4479-4CAC-9A02-96E50FFCD5BC}"/>
    <cellStyle name="20% - Accent2 19" xfId="46" xr:uid="{A72BBDE3-E678-4248-854E-001B5B31652D}"/>
    <cellStyle name="20% - Accent2 19 2" xfId="1278" xr:uid="{AFAE5B36-6AA6-42A8-A455-3FC4E014055F}"/>
    <cellStyle name="20% - Accent2 19 3" xfId="971" xr:uid="{5E6D1E94-1AAC-4C43-84BA-F10A09DFA68F}"/>
    <cellStyle name="20% - Accent2 2" xfId="47" xr:uid="{F24B4C49-E42D-49CE-8DB3-2C174EA0DFC7}"/>
    <cellStyle name="20% - Accent2 2 2" xfId="1279" xr:uid="{0C8EBD58-9C20-4D4F-9347-5CD9DA24E5FA}"/>
    <cellStyle name="20% - Accent2 2 3" xfId="970" xr:uid="{8BE00159-C189-49AB-8C4D-4EC8803C82AD}"/>
    <cellStyle name="20% - Accent2 20" xfId="48" xr:uid="{915812C1-C65C-4C0C-A8EB-427900ED1FAC}"/>
    <cellStyle name="20% - Accent2 20 2" xfId="1280" xr:uid="{55713E10-B910-4582-B5BA-71F1F07B46B5}"/>
    <cellStyle name="20% - Accent2 20 3" xfId="969" xr:uid="{04C865BB-33FE-4906-A0B8-2C793E3383C3}"/>
    <cellStyle name="20% - Accent2 21" xfId="403" xr:uid="{EB49592E-D8F9-4761-B0D8-5A94435F88C6}"/>
    <cellStyle name="20% - Accent2 21 2" xfId="684" xr:uid="{0397A9FC-4D5E-479A-BFAE-72B00DBAEA73}"/>
    <cellStyle name="20% - Accent2 22" xfId="470" xr:uid="{DC4B4203-76D6-419B-B647-A808FAB602C6}"/>
    <cellStyle name="20% - Accent2 22 10" xfId="3942" xr:uid="{D09C670B-A857-4F58-B4AD-6F1482C6E68A}"/>
    <cellStyle name="20% - Accent2 22 10 2" xfId="7612" xr:uid="{6F1EC975-D8D8-4B37-A9F6-477523152A1E}"/>
    <cellStyle name="20% - Accent2 22 10 2 2" xfId="15119" xr:uid="{CD475A27-8F3E-4B21-B75B-B79B9D95A220}"/>
    <cellStyle name="20% - Accent2 22 10 2 2 2" xfId="31323" xr:uid="{94EBF64D-09FB-4D17-8EAA-D00ED5E184E7}"/>
    <cellStyle name="20% - Accent2 22 10 2 3" xfId="23816" xr:uid="{CE2A2433-C66C-4A16-9966-AA11336EA358}"/>
    <cellStyle name="20% - Accent2 22 10 3" xfId="11505" xr:uid="{F6036F57-DD27-4504-9B0C-7823CD2CE250}"/>
    <cellStyle name="20% - Accent2 22 10 3 2" xfId="27709" xr:uid="{822929EF-FADA-4F3B-8FF8-41FF06F48A4D}"/>
    <cellStyle name="20% - Accent2 22 10 4" xfId="20146" xr:uid="{36EEC8BC-46F5-4A99-9019-3B03F53E8F65}"/>
    <cellStyle name="20% - Accent2 22 11" xfId="4367" xr:uid="{14EF6370-A699-4962-B621-71D7F53CEA45}"/>
    <cellStyle name="20% - Accent2 22 11 2" xfId="8037" xr:uid="{A0BF3C9F-4FA1-4405-8639-C484917E6D3A}"/>
    <cellStyle name="20% - Accent2 22 11 2 2" xfId="15544" xr:uid="{20454FAD-3C75-4006-979D-DCAC6483241D}"/>
    <cellStyle name="20% - Accent2 22 11 2 2 2" xfId="31748" xr:uid="{8DCE3EA3-EA50-4730-BB69-D7A67F5C8FB4}"/>
    <cellStyle name="20% - Accent2 22 11 2 3" xfId="24241" xr:uid="{4A6B8681-9EAC-4045-BFF2-61EAD736B5EA}"/>
    <cellStyle name="20% - Accent2 22 11 3" xfId="11930" xr:uid="{8BC540D2-1D6C-4696-ABE3-A43D880D4B2A}"/>
    <cellStyle name="20% - Accent2 22 11 3 2" xfId="28134" xr:uid="{DE37CD19-D73C-40BE-A332-FB3D9E4EDDF4}"/>
    <cellStyle name="20% - Accent2 22 11 4" xfId="20571" xr:uid="{F3D52C27-3A1C-4C30-80E4-D7BD96CB1AB2}"/>
    <cellStyle name="20% - Accent2 22 12" xfId="4790" xr:uid="{7508CE93-4A00-4F6F-9058-4E11DB4E5462}"/>
    <cellStyle name="20% - Accent2 22 12 2" xfId="8459" xr:uid="{A3F73A75-E47C-483B-8139-AF33CBD9BC46}"/>
    <cellStyle name="20% - Accent2 22 12 2 2" xfId="15966" xr:uid="{1DAF71B0-E3F1-457E-A2F5-B4C3B2BF41B5}"/>
    <cellStyle name="20% - Accent2 22 12 2 2 2" xfId="32170" xr:uid="{1757D007-2C63-4341-B4FF-FFE7A552682B}"/>
    <cellStyle name="20% - Accent2 22 12 2 3" xfId="24663" xr:uid="{3C23B0DC-FA75-4833-83DA-53897153BE35}"/>
    <cellStyle name="20% - Accent2 22 12 3" xfId="12352" xr:uid="{CE44688B-AE88-4417-93D9-A560EF9C38C6}"/>
    <cellStyle name="20% - Accent2 22 12 3 2" xfId="28556" xr:uid="{D0582DB3-A064-40E2-AC62-AC6A823431E6}"/>
    <cellStyle name="20% - Accent2 22 12 4" xfId="20994" xr:uid="{19AC6D52-0562-47A3-99DE-CFBF917B76BB}"/>
    <cellStyle name="20% - Accent2 22 13" xfId="5277" xr:uid="{72ED3909-E310-4652-A8B4-E1313E2B7489}"/>
    <cellStyle name="20% - Accent2 22 13 2" xfId="12826" xr:uid="{C9882B15-D8F2-4E8F-B828-F77FD4B4CB8F}"/>
    <cellStyle name="20% - Accent2 22 13 2 2" xfId="29030" xr:uid="{644C9744-2274-474E-80C9-EF8CE15B3907}"/>
    <cellStyle name="20% - Accent2 22 13 3" xfId="21481" xr:uid="{A49D33D8-4379-4B1D-929C-05528050CA06}"/>
    <cellStyle name="20% - Accent2 22 14" xfId="9393" xr:uid="{5D4AE125-A0AD-461B-B708-52AC2384B759}"/>
    <cellStyle name="20% - Accent2 22 14 2" xfId="25597" xr:uid="{223B5023-13C6-430A-849D-658D3256E012}"/>
    <cellStyle name="20% - Accent2 22 15" xfId="17907" xr:uid="{5EF17E8F-DDAC-47A2-9E12-713DC5A8E6B1}"/>
    <cellStyle name="20% - Accent2 22 2" xfId="503" xr:uid="{75407E9B-104E-473C-B2CA-3B16BEB3BE55}"/>
    <cellStyle name="20% - Accent2 22 2 10" xfId="5300" xr:uid="{95170F37-4690-46B1-B34A-0BAB4400EE8B}"/>
    <cellStyle name="20% - Accent2 22 2 10 2" xfId="12849" xr:uid="{73E14333-6977-42A6-B0A7-D579A37C5776}"/>
    <cellStyle name="20% - Accent2 22 2 10 2 2" xfId="29053" xr:uid="{161CD508-1721-4009-981D-C8994ED6D750}"/>
    <cellStyle name="20% - Accent2 22 2 10 3" xfId="21504" xr:uid="{A3C39CFA-4141-4F9D-86E6-47EEC703E7E7}"/>
    <cellStyle name="20% - Accent2 22 2 11" xfId="9415" xr:uid="{E16201C0-275F-4069-A92B-2616435CC635}"/>
    <cellStyle name="20% - Accent2 22 2 11 2" xfId="25619" xr:uid="{ECAD6D06-3ED3-4DC8-AADE-03648761116A}"/>
    <cellStyle name="20% - Accent2 22 2 12" xfId="17930" xr:uid="{E30E4CC8-E162-4106-A089-EC20ADF75469}"/>
    <cellStyle name="20% - Accent2 22 2 2" xfId="574" xr:uid="{E78E5C08-E85C-40EC-A84B-61B0135BB2A0}"/>
    <cellStyle name="20% - Accent2 22 2 2 10" xfId="9482" xr:uid="{A5204A33-5AD3-483B-973E-DCA12C082587}"/>
    <cellStyle name="20% - Accent2 22 2 2 10 2" xfId="25686" xr:uid="{658A7240-F1B9-4B1C-95FF-A3C1DD7C139B}"/>
    <cellStyle name="20% - Accent2 22 2 2 11" xfId="17998" xr:uid="{6EF23648-61CF-40D6-A7AE-393DAA2B8330}"/>
    <cellStyle name="20% - Accent2 22 2 2 2" xfId="1828" xr:uid="{02507207-8DA8-4D03-9CF4-A46BD284117B}"/>
    <cellStyle name="20% - Accent2 22 2 2 2 10" xfId="18133" xr:uid="{977ED87F-E3F5-44EC-97FD-7E99E8D37E37}"/>
    <cellStyle name="20% - Accent2 22 2 2 2 2" xfId="2337" xr:uid="{120D1C96-5E13-4FB1-9638-E5BB07D05E16}"/>
    <cellStyle name="20% - Accent2 22 2 2 2 2 2" xfId="3184" xr:uid="{A4A49863-8CC0-4A48-A30A-760B65EBB3FD}"/>
    <cellStyle name="20% - Accent2 22 2 2 2 2 2 2" xfId="6966" xr:uid="{DBC8B4A0-3D7F-4761-9C35-F2C928ECAB3D}"/>
    <cellStyle name="20% - Accent2 22 2 2 2 2 2 2 2" xfId="14477" xr:uid="{2217B7B9-1933-48D8-93DB-31B9DE50E3C8}"/>
    <cellStyle name="20% - Accent2 22 2 2 2 2 2 2 2 2" xfId="30681" xr:uid="{2CCA5399-FA9F-4F2B-A70C-AFBD220F7734}"/>
    <cellStyle name="20% - Accent2 22 2 2 2 2 2 2 3" xfId="23170" xr:uid="{F86AFD4F-C194-471E-A8CB-CF87F51AA651}"/>
    <cellStyle name="20% - Accent2 22 2 2 2 2 2 3" xfId="10877" xr:uid="{674336A2-1FA2-4A8D-A37C-78D3D48509BE}"/>
    <cellStyle name="20% - Accent2 22 2 2 2 2 2 3 2" xfId="27081" xr:uid="{A3407F7B-8289-4856-962B-DB0771E8A254}"/>
    <cellStyle name="20% - Accent2 22 2 2 2 2 2 4" xfId="19404" xr:uid="{6F197DCD-913F-452D-906F-20DFB751A1E6}"/>
    <cellStyle name="20% - Accent2 22 2 2 2 2 3" xfId="6121" xr:uid="{C47BCB2E-EFE5-4712-A439-081631A7366A}"/>
    <cellStyle name="20% - Accent2 22 2 2 2 2 3 2" xfId="13633" xr:uid="{7A019835-C69F-44E8-881D-8880000A30D9}"/>
    <cellStyle name="20% - Accent2 22 2 2 2 2 3 2 2" xfId="29837" xr:uid="{63DD9873-561B-4CE9-BA7B-C7C9309B113B}"/>
    <cellStyle name="20% - Accent2 22 2 2 2 2 3 3" xfId="22325" xr:uid="{DB61A74C-7F7B-4994-B64D-8F1C58A52445}"/>
    <cellStyle name="20% - Accent2 22 2 2 2 2 4" xfId="10033" xr:uid="{B06874B5-9A9B-4BB6-BD0D-02F7ACAA35BA}"/>
    <cellStyle name="20% - Accent2 22 2 2 2 2 4 2" xfId="26237" xr:uid="{8AF725C2-6136-4010-8394-ECBDEFA4C9DE}"/>
    <cellStyle name="20% - Accent2 22 2 2 2 2 5" xfId="18559" xr:uid="{01E00CD5-2880-4B60-B567-2FEDD4D85EC3}"/>
    <cellStyle name="20% - Accent2 22 2 2 2 3" xfId="2759" xr:uid="{40C30C73-6580-4E11-9BE2-33D14E5A12CB}"/>
    <cellStyle name="20% - Accent2 22 2 2 2 3 2" xfId="6543" xr:uid="{877B7BEC-683B-4DEC-BA5A-A37C20A2FC45}"/>
    <cellStyle name="20% - Accent2 22 2 2 2 3 2 2" xfId="14055" xr:uid="{545D665F-6BF5-4E5D-96B1-7ADE6EDEDE7C}"/>
    <cellStyle name="20% - Accent2 22 2 2 2 3 2 2 2" xfId="30259" xr:uid="{BAB47BF3-E21E-4261-84F3-8525ED9475AB}"/>
    <cellStyle name="20% - Accent2 22 2 2 2 3 2 3" xfId="22747" xr:uid="{D03FEABE-25C0-4D9F-B3F9-7B3A588174DE}"/>
    <cellStyle name="20% - Accent2 22 2 2 2 3 3" xfId="10455" xr:uid="{0B1C1032-E311-4201-9C25-7907E4A6E901}"/>
    <cellStyle name="20% - Accent2 22 2 2 2 3 3 2" xfId="26659" xr:uid="{9B0E9BB7-D376-4437-B744-9ED9C4137153}"/>
    <cellStyle name="20% - Accent2 22 2 2 2 3 4" xfId="18981" xr:uid="{A48F4E10-28A2-4C12-886E-143A3E62299A}"/>
    <cellStyle name="20% - Accent2 22 2 2 2 4" xfId="3690" xr:uid="{3B2CBF48-9410-4BAE-8F6F-044E29741706}"/>
    <cellStyle name="20% - Accent2 22 2 2 2 4 2" xfId="7400" xr:uid="{58DC72CC-3BC4-40B0-9719-164ADCC3252A}"/>
    <cellStyle name="20% - Accent2 22 2 2 2 4 2 2" xfId="14909" xr:uid="{8ECB865C-A364-4CB8-8AED-83AD71504E1C}"/>
    <cellStyle name="20% - Accent2 22 2 2 2 4 2 2 2" xfId="31113" xr:uid="{7E1CF2F8-E938-4908-B5CD-5F7B509732E4}"/>
    <cellStyle name="20% - Accent2 22 2 2 2 4 2 3" xfId="23604" xr:uid="{BF329738-C7F1-46BB-BCD1-738F52BCAC5C}"/>
    <cellStyle name="20% - Accent2 22 2 2 2 4 3" xfId="11300" xr:uid="{27B8A54B-938C-455D-88BC-7C20B2CDAEEE}"/>
    <cellStyle name="20% - Accent2 22 2 2 2 4 3 2" xfId="27504" xr:uid="{7EBA7F57-806A-4B27-B5F2-C240B0E84ECB}"/>
    <cellStyle name="20% - Accent2 22 2 2 2 4 4" xfId="19899" xr:uid="{A7A8CE09-95C0-43E5-9FB3-A59FEAAF56B2}"/>
    <cellStyle name="20% - Accent2 22 2 2 2 5" xfId="4159" xr:uid="{2B81BB9F-3E85-4E39-AC80-45D24D5F7749}"/>
    <cellStyle name="20% - Accent2 22 2 2 2 5 2" xfId="7829" xr:uid="{BF7E41FA-B47F-4AFB-8473-C5C112E285D3}"/>
    <cellStyle name="20% - Accent2 22 2 2 2 5 2 2" xfId="15336" xr:uid="{ADD86B1F-FACC-46DB-A418-31AE35A0D33B}"/>
    <cellStyle name="20% - Accent2 22 2 2 2 5 2 2 2" xfId="31540" xr:uid="{8BC0458F-7190-48DF-9C57-58B38320CCFB}"/>
    <cellStyle name="20% - Accent2 22 2 2 2 5 2 3" xfId="24033" xr:uid="{E0FB2817-485B-4131-AE36-2222F2ABE1C2}"/>
    <cellStyle name="20% - Accent2 22 2 2 2 5 3" xfId="11722" xr:uid="{9B04B222-09EB-447D-81B3-AAE52F505B5A}"/>
    <cellStyle name="20% - Accent2 22 2 2 2 5 3 2" xfId="27926" xr:uid="{D1B5C07B-5940-42F9-91E2-F73BBD6B3F2B}"/>
    <cellStyle name="20% - Accent2 22 2 2 2 5 4" xfId="20363" xr:uid="{65780695-FEF2-40E7-AB35-384F06B92005}"/>
    <cellStyle name="20% - Accent2 22 2 2 2 6" xfId="4584" xr:uid="{D8570621-D5A2-4208-A33A-14F26C0C68A4}"/>
    <cellStyle name="20% - Accent2 22 2 2 2 6 2" xfId="8254" xr:uid="{E08E8759-3B96-4AB9-A5D6-0FC77D90C5ED}"/>
    <cellStyle name="20% - Accent2 22 2 2 2 6 2 2" xfId="15761" xr:uid="{2D8D6C1F-1069-4539-97B9-6AD07335C6FB}"/>
    <cellStyle name="20% - Accent2 22 2 2 2 6 2 2 2" xfId="31965" xr:uid="{5B2D601F-EEAB-46D5-BE4D-1FC5584562F9}"/>
    <cellStyle name="20% - Accent2 22 2 2 2 6 2 3" xfId="24458" xr:uid="{BE9523D7-B494-4754-BD00-27959D2EF538}"/>
    <cellStyle name="20% - Accent2 22 2 2 2 6 3" xfId="12147" xr:uid="{313E0B53-1AB0-4681-A344-90418611C855}"/>
    <cellStyle name="20% - Accent2 22 2 2 2 6 3 2" xfId="28351" xr:uid="{81FBB2D7-743C-450D-8AAB-5382CC80EF70}"/>
    <cellStyle name="20% - Accent2 22 2 2 2 6 4" xfId="20788" xr:uid="{7FBDE495-9C72-4832-AD73-A37913A0D7D2}"/>
    <cellStyle name="20% - Accent2 22 2 2 2 7" xfId="5011" xr:uid="{7BF92EB0-9ACC-49D1-93CE-42B9D18E64DF}"/>
    <cellStyle name="20% - Accent2 22 2 2 2 7 2" xfId="8677" xr:uid="{AE6FFF2A-A47E-4C37-8F81-478BB9D08007}"/>
    <cellStyle name="20% - Accent2 22 2 2 2 7 2 2" xfId="16184" xr:uid="{966C7901-D67D-48C7-A877-B637445BCD03}"/>
    <cellStyle name="20% - Accent2 22 2 2 2 7 2 2 2" xfId="32388" xr:uid="{AA509D09-2208-4693-8737-296DFBD418BB}"/>
    <cellStyle name="20% - Accent2 22 2 2 2 7 2 3" xfId="24881" xr:uid="{DC63A4BA-6CA9-4743-8CE8-9B44E2A9C5DA}"/>
    <cellStyle name="20% - Accent2 22 2 2 2 7 3" xfId="12569" xr:uid="{89EE74FF-7514-44A3-A2F7-CBD26DCF0F42}"/>
    <cellStyle name="20% - Accent2 22 2 2 2 7 3 2" xfId="28773" xr:uid="{7D7A511A-CD34-4B1B-9D72-5CFF92A04717}"/>
    <cellStyle name="20% - Accent2 22 2 2 2 7 4" xfId="21215" xr:uid="{B77E77FE-1F01-4C3F-9991-D6993B380EA7}"/>
    <cellStyle name="20% - Accent2 22 2 2 2 8" xfId="5683" xr:uid="{8269D6EC-6877-4836-A13B-34C740180071}"/>
    <cellStyle name="20% - Accent2 22 2 2 2 8 2" xfId="13198" xr:uid="{8CAF0B35-C79B-49E7-824D-DC6504FCA5CF}"/>
    <cellStyle name="20% - Accent2 22 2 2 2 8 2 2" xfId="29402" xr:uid="{F245569A-E7E4-4C15-B7FC-B56194BCA972}"/>
    <cellStyle name="20% - Accent2 22 2 2 2 8 3" xfId="21887" xr:uid="{B5FF21EC-15DF-4DF1-AE7F-026E50D732A1}"/>
    <cellStyle name="20% - Accent2 22 2 2 2 9" xfId="9610" xr:uid="{EA92C821-0DC4-4FB4-8DD6-225B9DB6652A}"/>
    <cellStyle name="20% - Accent2 22 2 2 2 9 2" xfId="25814" xr:uid="{30A7CF44-109B-47E9-B1EA-EC1B666F1E00}"/>
    <cellStyle name="20% - Accent2 22 2 2 3" xfId="2143" xr:uid="{8C005498-FC7F-40ED-92E1-8B3590B401B7}"/>
    <cellStyle name="20% - Accent2 22 2 2 3 2" xfId="3056" xr:uid="{17EE4307-34D8-424D-94A0-654EE3559192}"/>
    <cellStyle name="20% - Accent2 22 2 2 3 2 2" xfId="6838" xr:uid="{6C24A8D1-9B27-4194-8A92-7EB69C6E5FA1}"/>
    <cellStyle name="20% - Accent2 22 2 2 3 2 2 2" xfId="14349" xr:uid="{6C3A11A5-5876-4785-AE8E-64035D4E7E8B}"/>
    <cellStyle name="20% - Accent2 22 2 2 3 2 2 2 2" xfId="30553" xr:uid="{D10A1CDD-CFF0-4997-A58E-A9D44899D008}"/>
    <cellStyle name="20% - Accent2 22 2 2 3 2 2 3" xfId="23042" xr:uid="{F4775ACF-A500-4522-91C5-D019F7635BFD}"/>
    <cellStyle name="20% - Accent2 22 2 2 3 2 3" xfId="10749" xr:uid="{D20BD69F-B831-47D8-A10C-74F5F1FDE022}"/>
    <cellStyle name="20% - Accent2 22 2 2 3 2 3 2" xfId="26953" xr:uid="{7798CD81-A2D7-4683-A9B3-C94E036CB205}"/>
    <cellStyle name="20% - Accent2 22 2 2 3 2 4" xfId="19276" xr:uid="{1B85C085-7C83-434B-B4F0-6FBB43C6FC87}"/>
    <cellStyle name="20% - Accent2 22 2 2 3 3" xfId="5982" xr:uid="{0D1E6A0E-B8C8-40C2-95CD-B5D48AD0312D}"/>
    <cellStyle name="20% - Accent2 22 2 2 3 3 2" xfId="13496" xr:uid="{57889507-9B73-42C2-9068-3504ABCA48A7}"/>
    <cellStyle name="20% - Accent2 22 2 2 3 3 2 2" xfId="29700" xr:uid="{3A0FC1CF-58AE-4805-92D5-2DFA1D42E6C9}"/>
    <cellStyle name="20% - Accent2 22 2 2 3 3 3" xfId="22186" xr:uid="{446DA0C6-3150-4BA3-AEAB-4715EF31EE2D}"/>
    <cellStyle name="20% - Accent2 22 2 2 3 4" xfId="9905" xr:uid="{331D0FCA-A131-43EE-AF26-7916A6FC1B5C}"/>
    <cellStyle name="20% - Accent2 22 2 2 3 4 2" xfId="26109" xr:uid="{119BB0D0-E77A-40D5-A9AC-3EB79E88C85C}"/>
    <cellStyle name="20% - Accent2 22 2 2 3 5" xfId="18430" xr:uid="{F531BDD0-E44F-43E2-A09C-BB1642EACC2D}"/>
    <cellStyle name="20% - Accent2 22 2 2 4" xfId="2631" xr:uid="{07AE5B59-DC88-405C-8E1B-BEE609C177F1}"/>
    <cellStyle name="20% - Accent2 22 2 2 4 2" xfId="6415" xr:uid="{92999040-40A8-4E03-A06B-95C5F777C447}"/>
    <cellStyle name="20% - Accent2 22 2 2 4 2 2" xfId="13927" xr:uid="{F40342B0-2043-48C4-A957-99BDFF04F456}"/>
    <cellStyle name="20% - Accent2 22 2 2 4 2 2 2" xfId="30131" xr:uid="{E1EA69C0-85A3-4CF8-94EC-88071E74F29E}"/>
    <cellStyle name="20% - Accent2 22 2 2 4 2 3" xfId="22619" xr:uid="{B595812D-76D9-4AE0-8668-6C9F7C75EB2A}"/>
    <cellStyle name="20% - Accent2 22 2 2 4 3" xfId="10327" xr:uid="{4C9DA860-74DB-4A3A-8788-4A3B3730235C}"/>
    <cellStyle name="20% - Accent2 22 2 2 4 3 2" xfId="26531" xr:uid="{2E6B57F5-BCE7-4CFF-B9CA-32D32559E6BB}"/>
    <cellStyle name="20% - Accent2 22 2 2 4 4" xfId="18853" xr:uid="{52A1D09B-D30F-4E42-8A2D-85CA41206300}"/>
    <cellStyle name="20% - Accent2 22 2 2 5" xfId="3507" xr:uid="{654B1A7D-44F3-4F70-85D5-A11BAD4624FF}"/>
    <cellStyle name="20% - Accent2 22 2 2 5 2" xfId="7265" xr:uid="{8E28225C-8224-43F4-8F37-BFC93AE963BB}"/>
    <cellStyle name="20% - Accent2 22 2 2 5 2 2" xfId="14775" xr:uid="{67C315C7-441E-4731-9636-C651F228D9E9}"/>
    <cellStyle name="20% - Accent2 22 2 2 5 2 2 2" xfId="30979" xr:uid="{C702C5D4-4603-4A24-93FD-59D46959C513}"/>
    <cellStyle name="20% - Accent2 22 2 2 5 2 3" xfId="23469" xr:uid="{C93B1AC1-3685-4530-B8AF-F57B6E732DD1}"/>
    <cellStyle name="20% - Accent2 22 2 2 5 3" xfId="11172" xr:uid="{4EF14B7C-95B2-47A2-83BC-07D0C83EB069}"/>
    <cellStyle name="20% - Accent2 22 2 2 5 3 2" xfId="27376" xr:uid="{F36B26E3-FA3B-4133-A855-98A7A874486C}"/>
    <cellStyle name="20% - Accent2 22 2 2 5 4" xfId="19723" xr:uid="{4564D88F-0840-440C-B110-24398440DDD3}"/>
    <cellStyle name="20% - Accent2 22 2 2 6" xfId="4031" xr:uid="{AED16741-4D17-4145-9D5A-A4219A3E1280}"/>
    <cellStyle name="20% - Accent2 22 2 2 6 2" xfId="7701" xr:uid="{39A6C71B-A1B3-48BB-B844-D6D57326D4E6}"/>
    <cellStyle name="20% - Accent2 22 2 2 6 2 2" xfId="15208" xr:uid="{8660DAA7-DEA3-421E-9983-C5D189BFD9CC}"/>
    <cellStyle name="20% - Accent2 22 2 2 6 2 2 2" xfId="31412" xr:uid="{950CF610-9A2D-4561-9793-9AEC8AF0E1B6}"/>
    <cellStyle name="20% - Accent2 22 2 2 6 2 3" xfId="23905" xr:uid="{49046B00-EC26-4072-8898-AC26E3345337}"/>
    <cellStyle name="20% - Accent2 22 2 2 6 3" xfId="11594" xr:uid="{0DF792AB-A357-409A-A733-84A90A39040E}"/>
    <cellStyle name="20% - Accent2 22 2 2 6 3 2" xfId="27798" xr:uid="{CC643819-1512-484A-B586-1260D14DF87C}"/>
    <cellStyle name="20% - Accent2 22 2 2 6 4" xfId="20235" xr:uid="{A2171D01-E22C-4A2D-934D-2C540AF710FC}"/>
    <cellStyle name="20% - Accent2 22 2 2 7" xfId="4456" xr:uid="{9F912776-1A15-4504-9724-765215F147DE}"/>
    <cellStyle name="20% - Accent2 22 2 2 7 2" xfId="8126" xr:uid="{0933F354-D2BE-4936-8463-70FEF02A2678}"/>
    <cellStyle name="20% - Accent2 22 2 2 7 2 2" xfId="15633" xr:uid="{689F0316-01F7-42BF-B36A-1548E82EFAB0}"/>
    <cellStyle name="20% - Accent2 22 2 2 7 2 2 2" xfId="31837" xr:uid="{6AF057CC-E5B5-425E-9B4E-404E53BF95EC}"/>
    <cellStyle name="20% - Accent2 22 2 2 7 2 3" xfId="24330" xr:uid="{4133995A-663F-4113-8EB0-763857DAD6E7}"/>
    <cellStyle name="20% - Accent2 22 2 2 7 3" xfId="12019" xr:uid="{8AF7EAA5-446B-4AFC-91C8-6C5D6962E185}"/>
    <cellStyle name="20% - Accent2 22 2 2 7 3 2" xfId="28223" xr:uid="{EE219B5B-5B95-4A66-9D34-2C8C96DC7DEF}"/>
    <cellStyle name="20% - Accent2 22 2 2 7 4" xfId="20660" xr:uid="{A229DDC5-23B1-492B-970C-B3FC12620EDD}"/>
    <cellStyle name="20% - Accent2 22 2 2 8" xfId="4881" xr:uid="{4C5A7601-ED63-44D2-9201-314DC4DF3517}"/>
    <cellStyle name="20% - Accent2 22 2 2 8 2" xfId="8549" xr:uid="{24FBF11E-E873-4974-B2CE-DFB013680E01}"/>
    <cellStyle name="20% - Accent2 22 2 2 8 2 2" xfId="16056" xr:uid="{D89B2283-80E0-4627-9666-959B162FF984}"/>
    <cellStyle name="20% - Accent2 22 2 2 8 2 2 2" xfId="32260" xr:uid="{8BC45FFB-1F6D-4F8F-B7E9-4566EE3BBE23}"/>
    <cellStyle name="20% - Accent2 22 2 2 8 2 3" xfId="24753" xr:uid="{FE0D8D1C-36F8-4EFF-B8C3-C9BEAB687DA7}"/>
    <cellStyle name="20% - Accent2 22 2 2 8 3" xfId="12441" xr:uid="{7A76234E-A049-4DD4-A873-12CBA39224F7}"/>
    <cellStyle name="20% - Accent2 22 2 2 8 3 2" xfId="28645" xr:uid="{1EEDEE86-CD58-4CC1-94A4-F7FA47F32B23}"/>
    <cellStyle name="20% - Accent2 22 2 2 8 4" xfId="21085" xr:uid="{F1B13AC0-A2CC-4AFC-B211-2C05D084446A}"/>
    <cellStyle name="20% - Accent2 22 2 2 9" xfId="5367" xr:uid="{D4D3688C-53F2-45D0-B855-0B5F555F3E67}"/>
    <cellStyle name="20% - Accent2 22 2 2 9 2" xfId="12916" xr:uid="{B7146BB7-FB98-407C-9C82-4DC3D2CB2B71}"/>
    <cellStyle name="20% - Accent2 22 2 2 9 2 2" xfId="29120" xr:uid="{F8B7E11A-94B0-4EB5-AE00-AC93BE74BD03}"/>
    <cellStyle name="20% - Accent2 22 2 2 9 3" xfId="21571" xr:uid="{81630304-3A3C-4EDA-AB7A-21C46C1689AC}"/>
    <cellStyle name="20% - Accent2 22 2 3" xfId="1829" xr:uid="{B1011A92-AAAA-4291-8C48-6DE252C3D829}"/>
    <cellStyle name="20% - Accent2 22 2 3 10" xfId="18134" xr:uid="{4063BD5B-3F5A-4D50-BAA1-C2DF3FD1DC04}"/>
    <cellStyle name="20% - Accent2 22 2 3 2" xfId="2338" xr:uid="{2F393291-DD3F-42E1-8B27-85E157FB1BBD}"/>
    <cellStyle name="20% - Accent2 22 2 3 2 2" xfId="3185" xr:uid="{A38F2EE1-D326-4A74-9CAE-A3EF5426B693}"/>
    <cellStyle name="20% - Accent2 22 2 3 2 2 2" xfId="6967" xr:uid="{32ADFF78-6E2D-49A1-A9CC-E9DFC9D31076}"/>
    <cellStyle name="20% - Accent2 22 2 3 2 2 2 2" xfId="14478" xr:uid="{728EB493-C20A-4705-BE0A-B8253020E175}"/>
    <cellStyle name="20% - Accent2 22 2 3 2 2 2 2 2" xfId="30682" xr:uid="{4BEED39A-8853-41F2-91D6-90D810B1D50B}"/>
    <cellStyle name="20% - Accent2 22 2 3 2 2 2 3" xfId="23171" xr:uid="{7B841D72-CC6B-4D79-9505-72D9FF9D9B86}"/>
    <cellStyle name="20% - Accent2 22 2 3 2 2 3" xfId="10878" xr:uid="{C05CF950-7CB8-41E0-8EC3-01ADEB4CDA5C}"/>
    <cellStyle name="20% - Accent2 22 2 3 2 2 3 2" xfId="27082" xr:uid="{2FABEB7B-9D85-4D51-8512-063B52FA29D1}"/>
    <cellStyle name="20% - Accent2 22 2 3 2 2 4" xfId="19405" xr:uid="{0AA20E3C-E2EF-43C4-9C02-38FAB84CCBBC}"/>
    <cellStyle name="20% - Accent2 22 2 3 2 3" xfId="6122" xr:uid="{D63019D4-BC75-4937-AEFF-D57BC0DB955D}"/>
    <cellStyle name="20% - Accent2 22 2 3 2 3 2" xfId="13634" xr:uid="{A07D689C-498B-45B6-9EB7-0C000EFC5676}"/>
    <cellStyle name="20% - Accent2 22 2 3 2 3 2 2" xfId="29838" xr:uid="{2B75D010-DFA3-468C-9542-DB400FDA23C8}"/>
    <cellStyle name="20% - Accent2 22 2 3 2 3 3" xfId="22326" xr:uid="{A97015B9-11B0-4B7A-8072-FA1FCF463593}"/>
    <cellStyle name="20% - Accent2 22 2 3 2 4" xfId="10034" xr:uid="{B71E73FA-8DE6-40FF-BA1B-DEEF8BD04552}"/>
    <cellStyle name="20% - Accent2 22 2 3 2 4 2" xfId="26238" xr:uid="{AFCA780C-CD57-4EB5-B4C6-EEB74AD9A90D}"/>
    <cellStyle name="20% - Accent2 22 2 3 2 5" xfId="18560" xr:uid="{452FCA72-C169-44A5-9FA3-8D6F390EBBD4}"/>
    <cellStyle name="20% - Accent2 22 2 3 3" xfId="2760" xr:uid="{1C2F19C9-A67B-4276-A080-243E4ACDF730}"/>
    <cellStyle name="20% - Accent2 22 2 3 3 2" xfId="6544" xr:uid="{14DD7D13-207E-4044-B91B-475EA25B9E96}"/>
    <cellStyle name="20% - Accent2 22 2 3 3 2 2" xfId="14056" xr:uid="{2EC03CAF-C5C2-4E6F-89BB-E4635F92E8B0}"/>
    <cellStyle name="20% - Accent2 22 2 3 3 2 2 2" xfId="30260" xr:uid="{6B2D31B3-626B-4FC0-8063-3FDE1186AAE5}"/>
    <cellStyle name="20% - Accent2 22 2 3 3 2 3" xfId="22748" xr:uid="{549AAED3-537D-4D63-B842-9B80910D3071}"/>
    <cellStyle name="20% - Accent2 22 2 3 3 3" xfId="10456" xr:uid="{BB08C493-F92F-4806-B3D1-B412C745F714}"/>
    <cellStyle name="20% - Accent2 22 2 3 3 3 2" xfId="26660" xr:uid="{5E6FEC21-9D06-41E4-B2C3-5577EF58D994}"/>
    <cellStyle name="20% - Accent2 22 2 3 3 4" xfId="18982" xr:uid="{7C93DD13-6B29-455A-895F-6532C2AFEDFB}"/>
    <cellStyle name="20% - Accent2 22 2 3 4" xfId="3691" xr:uid="{FB920F04-42CC-443A-9438-EA3F15E5347B}"/>
    <cellStyle name="20% - Accent2 22 2 3 4 2" xfId="7401" xr:uid="{9FDC3687-9DA4-42F5-82A1-722C3A539975}"/>
    <cellStyle name="20% - Accent2 22 2 3 4 2 2" xfId="14910" xr:uid="{CE079199-D64D-4961-8780-25D0D8F512E5}"/>
    <cellStyle name="20% - Accent2 22 2 3 4 2 2 2" xfId="31114" xr:uid="{0FE1E784-45C6-4624-BBC3-CBF2ACA0ECCB}"/>
    <cellStyle name="20% - Accent2 22 2 3 4 2 3" xfId="23605" xr:uid="{1AED1A53-21AA-44BF-B517-C5DADC85B657}"/>
    <cellStyle name="20% - Accent2 22 2 3 4 3" xfId="11301" xr:uid="{C8CC86C8-A90C-416C-8182-D44337BCBA82}"/>
    <cellStyle name="20% - Accent2 22 2 3 4 3 2" xfId="27505" xr:uid="{201823B0-7B5C-4B57-841D-DF451688987B}"/>
    <cellStyle name="20% - Accent2 22 2 3 4 4" xfId="19900" xr:uid="{094E480A-E5A2-4D63-9F26-CA51A2529FB7}"/>
    <cellStyle name="20% - Accent2 22 2 3 5" xfId="4160" xr:uid="{6AEC3596-71C3-4808-AE46-19FD8BA8BB3B}"/>
    <cellStyle name="20% - Accent2 22 2 3 5 2" xfId="7830" xr:uid="{1B5ED5FD-D74D-41B0-8CF0-66679A5E2D89}"/>
    <cellStyle name="20% - Accent2 22 2 3 5 2 2" xfId="15337" xr:uid="{3475427B-EFFC-49DE-A197-9DADF0C1F2A2}"/>
    <cellStyle name="20% - Accent2 22 2 3 5 2 2 2" xfId="31541" xr:uid="{3359FFBA-378A-4E60-B8B5-7CAD03328305}"/>
    <cellStyle name="20% - Accent2 22 2 3 5 2 3" xfId="24034" xr:uid="{FF109D71-7AA7-4964-9866-9CDE1E2D77DF}"/>
    <cellStyle name="20% - Accent2 22 2 3 5 3" xfId="11723" xr:uid="{00E153D4-36BF-4D34-AA30-04E5999241D7}"/>
    <cellStyle name="20% - Accent2 22 2 3 5 3 2" xfId="27927" xr:uid="{400671CF-EFB8-44FC-A8CF-40D6655C9B5C}"/>
    <cellStyle name="20% - Accent2 22 2 3 5 4" xfId="20364" xr:uid="{4930B75B-5FEF-43AD-827D-6D851F6CCD47}"/>
    <cellStyle name="20% - Accent2 22 2 3 6" xfId="4585" xr:uid="{64D6BDDD-6814-496C-87E8-1241271286E5}"/>
    <cellStyle name="20% - Accent2 22 2 3 6 2" xfId="8255" xr:uid="{8CF4B749-8F54-4D2D-945A-D62B7C1E1A18}"/>
    <cellStyle name="20% - Accent2 22 2 3 6 2 2" xfId="15762" xr:uid="{136437B0-55A3-47A5-A9C3-A3C682ACE14F}"/>
    <cellStyle name="20% - Accent2 22 2 3 6 2 2 2" xfId="31966" xr:uid="{2A77BC01-06C1-4A1C-B812-33A50860D0B6}"/>
    <cellStyle name="20% - Accent2 22 2 3 6 2 3" xfId="24459" xr:uid="{2B966AAA-5723-43C3-9F84-78EF5B202EB4}"/>
    <cellStyle name="20% - Accent2 22 2 3 6 3" xfId="12148" xr:uid="{5F2C69B0-75F9-4CB8-93F3-4A359D3C213B}"/>
    <cellStyle name="20% - Accent2 22 2 3 6 3 2" xfId="28352" xr:uid="{4D80DBA6-5F2F-4C2F-B249-E163D4D214B0}"/>
    <cellStyle name="20% - Accent2 22 2 3 6 4" xfId="20789" xr:uid="{86059EDA-8B45-4477-8719-1DBB5E7875B1}"/>
    <cellStyle name="20% - Accent2 22 2 3 7" xfId="5012" xr:uid="{90351A37-76C0-4676-ACBE-CE822F28D7FD}"/>
    <cellStyle name="20% - Accent2 22 2 3 7 2" xfId="8678" xr:uid="{1240BC22-3E87-4314-983F-B89CA00F6CE0}"/>
    <cellStyle name="20% - Accent2 22 2 3 7 2 2" xfId="16185" xr:uid="{87A941BE-2252-497E-BA81-3B1894A9CC7A}"/>
    <cellStyle name="20% - Accent2 22 2 3 7 2 2 2" xfId="32389" xr:uid="{AF29ED37-A2B5-4F1D-A4D8-80C7E2E0489C}"/>
    <cellStyle name="20% - Accent2 22 2 3 7 2 3" xfId="24882" xr:uid="{2D18F383-AFA4-4AFF-B7CF-379E03C70C79}"/>
    <cellStyle name="20% - Accent2 22 2 3 7 3" xfId="12570" xr:uid="{B2ABDB06-59B9-4CE8-B4AB-E6D0CD25081C}"/>
    <cellStyle name="20% - Accent2 22 2 3 7 3 2" xfId="28774" xr:uid="{53861A44-71A3-437E-A1ED-9A587326F5FB}"/>
    <cellStyle name="20% - Accent2 22 2 3 7 4" xfId="21216" xr:uid="{B63FC760-E3FE-4C61-B3D6-2DB0C0DF6B8B}"/>
    <cellStyle name="20% - Accent2 22 2 3 8" xfId="5684" xr:uid="{53FD5914-8A93-4BFA-8B48-8D7468D46E16}"/>
    <cellStyle name="20% - Accent2 22 2 3 8 2" xfId="13199" xr:uid="{99F54AB7-5A5C-4C09-B460-557B930B8334}"/>
    <cellStyle name="20% - Accent2 22 2 3 8 2 2" xfId="29403" xr:uid="{A6FD8E20-0BCE-4D20-975A-00A4261EFA33}"/>
    <cellStyle name="20% - Accent2 22 2 3 8 3" xfId="21888" xr:uid="{6320820B-1972-49CF-AD6F-79390432F932}"/>
    <cellStyle name="20% - Accent2 22 2 3 9" xfId="9611" xr:uid="{082B8BF0-4C46-4B3A-99ED-6E123D9203E3}"/>
    <cellStyle name="20% - Accent2 22 2 3 9 2" xfId="25815" xr:uid="{BF432522-5C57-40BA-8F6C-4A2D3145FC09}"/>
    <cellStyle name="20% - Accent2 22 2 4" xfId="2076" xr:uid="{C9FE47DB-774B-4795-88F9-2B8C14E98DEE}"/>
    <cellStyle name="20% - Accent2 22 2 4 2" xfId="2989" xr:uid="{70CB2FC2-0EA4-4880-AD88-9E1A872D14C2}"/>
    <cellStyle name="20% - Accent2 22 2 4 2 2" xfId="6771" xr:uid="{88CB3EDE-EF26-4544-8F65-BE9A96962CCB}"/>
    <cellStyle name="20% - Accent2 22 2 4 2 2 2" xfId="14282" xr:uid="{F6D6D9A0-60BA-4F3C-BD62-75BB04043DCF}"/>
    <cellStyle name="20% - Accent2 22 2 4 2 2 2 2" xfId="30486" xr:uid="{AAFDA8DD-B858-4F91-96BA-515ABBDC4D15}"/>
    <cellStyle name="20% - Accent2 22 2 4 2 2 3" xfId="22975" xr:uid="{B2EF53A8-293B-43D5-9CD2-D4766043C73C}"/>
    <cellStyle name="20% - Accent2 22 2 4 2 3" xfId="10682" xr:uid="{1CFDA1EB-8831-43AD-BF4B-2E67415C9A00}"/>
    <cellStyle name="20% - Accent2 22 2 4 2 3 2" xfId="26886" xr:uid="{A4489D05-46E3-485D-A157-003BB3CF2B73}"/>
    <cellStyle name="20% - Accent2 22 2 4 2 4" xfId="19209" xr:uid="{0EFF7648-EF3B-47D7-B134-6B359DBD985E}"/>
    <cellStyle name="20% - Accent2 22 2 4 3" xfId="5915" xr:uid="{3B465287-7907-4384-8539-D9B1213A3050}"/>
    <cellStyle name="20% - Accent2 22 2 4 3 2" xfId="13429" xr:uid="{D54A7721-42AC-48DC-8531-5F9B278B8918}"/>
    <cellStyle name="20% - Accent2 22 2 4 3 2 2" xfId="29633" xr:uid="{A4742598-BB46-49F7-89B9-EE76225FC6A5}"/>
    <cellStyle name="20% - Accent2 22 2 4 3 3" xfId="22119" xr:uid="{8650E3A1-A883-4A4B-B5BB-BD44B7312FAC}"/>
    <cellStyle name="20% - Accent2 22 2 4 4" xfId="9838" xr:uid="{667BE939-5035-4010-972A-7C1A2CCCCE4E}"/>
    <cellStyle name="20% - Accent2 22 2 4 4 2" xfId="26042" xr:uid="{628AD05A-9496-4381-9B4A-26343A340FC4}"/>
    <cellStyle name="20% - Accent2 22 2 4 5" xfId="18363" xr:uid="{85C69784-3921-4BF0-AC01-46535C7BDE32}"/>
    <cellStyle name="20% - Accent2 22 2 5" xfId="2564" xr:uid="{AD54CC39-BFD3-4B3F-9B08-44F1AD6E799A}"/>
    <cellStyle name="20% - Accent2 22 2 5 2" xfId="6348" xr:uid="{13B0DDF0-1822-42BD-9FBC-44B9D7CE3A91}"/>
    <cellStyle name="20% - Accent2 22 2 5 2 2" xfId="13860" xr:uid="{36F2DF18-1781-4E11-AF74-9CE0D0812BE5}"/>
    <cellStyle name="20% - Accent2 22 2 5 2 2 2" xfId="30064" xr:uid="{5EF5ECDB-7CC9-404B-AAEF-6F769FAA688C}"/>
    <cellStyle name="20% - Accent2 22 2 5 2 3" xfId="22552" xr:uid="{54BCB844-AB61-44D8-ADA5-24BB7E980297}"/>
    <cellStyle name="20% - Accent2 22 2 5 3" xfId="10260" xr:uid="{D6BEAC2E-2A44-499C-9EB9-CEA6809AF497}"/>
    <cellStyle name="20% - Accent2 22 2 5 3 2" xfId="26464" xr:uid="{49F701D7-BEDB-437A-AB0E-1FD868D87C11}"/>
    <cellStyle name="20% - Accent2 22 2 5 4" xfId="18786" xr:uid="{28B97447-43E4-4A89-B4F5-C0FA3A74F168}"/>
    <cellStyle name="20% - Accent2 22 2 6" xfId="3440" xr:uid="{E429DAE8-25B0-4785-B1D2-491977D10E92}"/>
    <cellStyle name="20% - Accent2 22 2 6 2" xfId="7198" xr:uid="{9F1E40C3-71DF-4D08-A229-CA6A6AA4C389}"/>
    <cellStyle name="20% - Accent2 22 2 6 2 2" xfId="14708" xr:uid="{B16EAE13-8982-4021-AAC0-C63C5069D986}"/>
    <cellStyle name="20% - Accent2 22 2 6 2 2 2" xfId="30912" xr:uid="{23604645-42FB-4E97-A29B-FCAC3441C0B2}"/>
    <cellStyle name="20% - Accent2 22 2 6 2 3" xfId="23402" xr:uid="{49A0EA17-5FF4-47C4-8EEC-E96D8D39B224}"/>
    <cellStyle name="20% - Accent2 22 2 6 3" xfId="11105" xr:uid="{FA77966F-090A-41A9-B3EB-9A41C2BE3CDD}"/>
    <cellStyle name="20% - Accent2 22 2 6 3 2" xfId="27309" xr:uid="{84652605-5633-4153-B737-456FB06027FA}"/>
    <cellStyle name="20% - Accent2 22 2 6 4" xfId="19656" xr:uid="{3E073089-1149-4E66-AE70-A3271974F557}"/>
    <cellStyle name="20% - Accent2 22 2 7" xfId="3964" xr:uid="{116DA7EF-58B1-45A2-BC5A-7E45B075F36A}"/>
    <cellStyle name="20% - Accent2 22 2 7 2" xfId="7634" xr:uid="{D2339FC8-8115-45A4-821D-886E212F564C}"/>
    <cellStyle name="20% - Accent2 22 2 7 2 2" xfId="15141" xr:uid="{FFB8ED0B-0E7F-4232-BE9A-B768D8FF81B9}"/>
    <cellStyle name="20% - Accent2 22 2 7 2 2 2" xfId="31345" xr:uid="{DDD11597-F06E-43B9-9AD7-919A3CB4C07D}"/>
    <cellStyle name="20% - Accent2 22 2 7 2 3" xfId="23838" xr:uid="{AEC9C348-94B1-478A-B557-51FC183D53ED}"/>
    <cellStyle name="20% - Accent2 22 2 7 3" xfId="11527" xr:uid="{FCCFCDCE-E96F-489A-9F2F-9D68ECF8AFB8}"/>
    <cellStyle name="20% - Accent2 22 2 7 3 2" xfId="27731" xr:uid="{8907268F-C05A-4D21-9BA9-72D30E4158FD}"/>
    <cellStyle name="20% - Accent2 22 2 7 4" xfId="20168" xr:uid="{A3926C8D-CE7E-4295-B383-E1D8D92EE4A0}"/>
    <cellStyle name="20% - Accent2 22 2 8" xfId="4389" xr:uid="{775F9F95-BAF9-4B5E-A4EA-888D9E31004A}"/>
    <cellStyle name="20% - Accent2 22 2 8 2" xfId="8059" xr:uid="{F2547587-A8D9-40B8-B947-3B486DCAB374}"/>
    <cellStyle name="20% - Accent2 22 2 8 2 2" xfId="15566" xr:uid="{DE197AE1-43BE-4445-8B63-6A29151978E9}"/>
    <cellStyle name="20% - Accent2 22 2 8 2 2 2" xfId="31770" xr:uid="{CFD06550-5CA8-48F6-A874-3B97B7FEC2D3}"/>
    <cellStyle name="20% - Accent2 22 2 8 2 3" xfId="24263" xr:uid="{2535EE84-E1E8-49B0-8F39-775816F77C9F}"/>
    <cellStyle name="20% - Accent2 22 2 8 3" xfId="11952" xr:uid="{72C1AC11-3489-430F-8447-1C28FBE78D94}"/>
    <cellStyle name="20% - Accent2 22 2 8 3 2" xfId="28156" xr:uid="{916F6648-A7EF-493C-B65D-89137E1B7539}"/>
    <cellStyle name="20% - Accent2 22 2 8 4" xfId="20593" xr:uid="{F1BBCAF0-F26E-4ADB-9FA9-B578FF40C554}"/>
    <cellStyle name="20% - Accent2 22 2 9" xfId="4813" xr:uid="{79E48CF4-08A4-44EB-A4F4-4924B2435B84}"/>
    <cellStyle name="20% - Accent2 22 2 9 2" xfId="8482" xr:uid="{DE42CB57-68D9-4C80-88B5-C32A05788109}"/>
    <cellStyle name="20% - Accent2 22 2 9 2 2" xfId="15989" xr:uid="{8150611B-0F1A-450A-A8EF-EA311E1D0A32}"/>
    <cellStyle name="20% - Accent2 22 2 9 2 2 2" xfId="32193" xr:uid="{910789B8-99E1-4304-875C-B41A92A23DB2}"/>
    <cellStyle name="20% - Accent2 22 2 9 2 3" xfId="24686" xr:uid="{76B0AD7D-9676-4856-869F-408FE7DE979B}"/>
    <cellStyle name="20% - Accent2 22 2 9 3" xfId="12374" xr:uid="{D8694165-1713-4A2C-82BE-AEDE6EACF13D}"/>
    <cellStyle name="20% - Accent2 22 2 9 3 2" xfId="28578" xr:uid="{C0E7490C-FFF8-45E4-B03F-9812C9C85FAC}"/>
    <cellStyle name="20% - Accent2 22 2 9 4" xfId="21017" xr:uid="{B70EB3F5-C9E0-4548-A954-3F4D68CB89FB}"/>
    <cellStyle name="20% - Accent2 22 3" xfId="525" xr:uid="{3E87EFBB-A5CC-4D32-9FB5-EE3E0F8894A9}"/>
    <cellStyle name="20% - Accent2 22 3 10" xfId="5322" xr:uid="{080F40BE-A860-421D-82A3-D05FF1D4C020}"/>
    <cellStyle name="20% - Accent2 22 3 10 2" xfId="12871" xr:uid="{DDA26979-9D4F-40BB-A053-6404BF5F6005}"/>
    <cellStyle name="20% - Accent2 22 3 10 2 2" xfId="29075" xr:uid="{547B72D6-57B8-4374-A2D7-9827C771489F}"/>
    <cellStyle name="20% - Accent2 22 3 10 3" xfId="21526" xr:uid="{FC4F1111-8AEE-491E-977C-F03D34A8D766}"/>
    <cellStyle name="20% - Accent2 22 3 11" xfId="9437" xr:uid="{C8644299-D8A6-4768-B4EA-DDC8F1D1F40B}"/>
    <cellStyle name="20% - Accent2 22 3 11 2" xfId="25641" xr:uid="{2903B527-E85B-48E0-A446-E0A870CFBF7C}"/>
    <cellStyle name="20% - Accent2 22 3 12" xfId="17952" xr:uid="{BAD43F19-91A1-474A-8B71-A63ABD274522}"/>
    <cellStyle name="20% - Accent2 22 3 2" xfId="596" xr:uid="{4337723B-8ECA-4DAF-A9F8-43A97DF83A2D}"/>
    <cellStyle name="20% - Accent2 22 3 2 10" xfId="9504" xr:uid="{7131BFA3-F670-4192-B816-E87E902B2E4B}"/>
    <cellStyle name="20% - Accent2 22 3 2 10 2" xfId="25708" xr:uid="{F17F29D4-6645-4CD3-981A-5AB5B56312A5}"/>
    <cellStyle name="20% - Accent2 22 3 2 11" xfId="18020" xr:uid="{07DBA323-96D6-4930-AE91-95ECB47E4216}"/>
    <cellStyle name="20% - Accent2 22 3 2 2" xfId="1830" xr:uid="{1BED6A94-6305-4988-A18B-936102910FBA}"/>
    <cellStyle name="20% - Accent2 22 3 2 2 10" xfId="18135" xr:uid="{209A16F1-E2B1-4CE2-B86C-4BC935B42C1B}"/>
    <cellStyle name="20% - Accent2 22 3 2 2 2" xfId="2339" xr:uid="{0E57A582-89A3-4EF4-93C2-EB4392994CFB}"/>
    <cellStyle name="20% - Accent2 22 3 2 2 2 2" xfId="3186" xr:uid="{18D2B27C-060E-4C84-8537-1D60FE684637}"/>
    <cellStyle name="20% - Accent2 22 3 2 2 2 2 2" xfId="6968" xr:uid="{4F79230C-2B1F-4009-9E36-0D3F9DC8AE36}"/>
    <cellStyle name="20% - Accent2 22 3 2 2 2 2 2 2" xfId="14479" xr:uid="{7EB3A4AB-7753-4F68-B0B1-188998F11562}"/>
    <cellStyle name="20% - Accent2 22 3 2 2 2 2 2 2 2" xfId="30683" xr:uid="{A6D79E25-F4A0-48EF-8F48-6293BB56FFF4}"/>
    <cellStyle name="20% - Accent2 22 3 2 2 2 2 2 3" xfId="23172" xr:uid="{2CF1475A-BBC5-40EC-8808-319D8DF8AAEC}"/>
    <cellStyle name="20% - Accent2 22 3 2 2 2 2 3" xfId="10879" xr:uid="{401DECD8-1706-4D8F-B9D3-72706153082F}"/>
    <cellStyle name="20% - Accent2 22 3 2 2 2 2 3 2" xfId="27083" xr:uid="{13AF2FB1-E585-4E7E-A162-2F36A0C7F595}"/>
    <cellStyle name="20% - Accent2 22 3 2 2 2 2 4" xfId="19406" xr:uid="{3EF62E7B-3542-460D-BBB2-DDFD3CBF4399}"/>
    <cellStyle name="20% - Accent2 22 3 2 2 2 3" xfId="6123" xr:uid="{068A1E1B-7DAE-45B5-8FEF-295EDDA6484A}"/>
    <cellStyle name="20% - Accent2 22 3 2 2 2 3 2" xfId="13635" xr:uid="{57285611-85A9-4FE0-B36C-D631B78F19DC}"/>
    <cellStyle name="20% - Accent2 22 3 2 2 2 3 2 2" xfId="29839" xr:uid="{E79B4333-B394-42A5-BF55-F4C30522BDDA}"/>
    <cellStyle name="20% - Accent2 22 3 2 2 2 3 3" xfId="22327" xr:uid="{BE2DDF41-BE88-4EDD-95E6-70F85C2B27CA}"/>
    <cellStyle name="20% - Accent2 22 3 2 2 2 4" xfId="10035" xr:uid="{D27A6618-F7E3-442D-894F-A58F385963ED}"/>
    <cellStyle name="20% - Accent2 22 3 2 2 2 4 2" xfId="26239" xr:uid="{1565ADE2-D65D-4C2B-91D7-F63519BEDAC1}"/>
    <cellStyle name="20% - Accent2 22 3 2 2 2 5" xfId="18561" xr:uid="{4FC97109-7553-4413-9AE7-B1E0027DE6C0}"/>
    <cellStyle name="20% - Accent2 22 3 2 2 3" xfId="2761" xr:uid="{1E6712F1-0853-41D5-B2F9-8FCF7DE9DB2B}"/>
    <cellStyle name="20% - Accent2 22 3 2 2 3 2" xfId="6545" xr:uid="{EAC4AF09-B6CC-4BE2-992D-A7B22A6B664C}"/>
    <cellStyle name="20% - Accent2 22 3 2 2 3 2 2" xfId="14057" xr:uid="{94BCA4FA-424D-40CB-AFE3-2D528311C4B6}"/>
    <cellStyle name="20% - Accent2 22 3 2 2 3 2 2 2" xfId="30261" xr:uid="{C2836F49-3205-4529-AAFB-D660BCB2118C}"/>
    <cellStyle name="20% - Accent2 22 3 2 2 3 2 3" xfId="22749" xr:uid="{0BAD08AE-162A-41FF-8193-63D818147012}"/>
    <cellStyle name="20% - Accent2 22 3 2 2 3 3" xfId="10457" xr:uid="{F582E574-0247-4D14-9538-8D2803B02E1B}"/>
    <cellStyle name="20% - Accent2 22 3 2 2 3 3 2" xfId="26661" xr:uid="{BD33D9DD-06C3-4358-813C-DECF515F8826}"/>
    <cellStyle name="20% - Accent2 22 3 2 2 3 4" xfId="18983" xr:uid="{B15B8D80-A1D5-4258-8818-4096A238B4E9}"/>
    <cellStyle name="20% - Accent2 22 3 2 2 4" xfId="3692" xr:uid="{7B8CEB42-094E-4BCE-9EC4-9599CF2D6028}"/>
    <cellStyle name="20% - Accent2 22 3 2 2 4 2" xfId="7402" xr:uid="{E9199D0E-7465-484B-9718-9F81289304AC}"/>
    <cellStyle name="20% - Accent2 22 3 2 2 4 2 2" xfId="14911" xr:uid="{11B5A317-ABAF-4ADE-92CE-CF19A6D2E8C8}"/>
    <cellStyle name="20% - Accent2 22 3 2 2 4 2 2 2" xfId="31115" xr:uid="{3C5D7B1C-54E5-425F-8CFA-D29A9353C41E}"/>
    <cellStyle name="20% - Accent2 22 3 2 2 4 2 3" xfId="23606" xr:uid="{D625D74A-73AC-4554-9D3B-E349940825A6}"/>
    <cellStyle name="20% - Accent2 22 3 2 2 4 3" xfId="11302" xr:uid="{DCE65531-C1AD-441B-BC0E-6205C75DFFC3}"/>
    <cellStyle name="20% - Accent2 22 3 2 2 4 3 2" xfId="27506" xr:uid="{A4D1F868-1536-4CA6-823C-41EAC6D0B9B2}"/>
    <cellStyle name="20% - Accent2 22 3 2 2 4 4" xfId="19901" xr:uid="{5B0C4CFE-5BEB-4D96-8445-635E6CA0B1BB}"/>
    <cellStyle name="20% - Accent2 22 3 2 2 5" xfId="4161" xr:uid="{095D5A39-8A15-42C8-9673-8CBF8D60AC19}"/>
    <cellStyle name="20% - Accent2 22 3 2 2 5 2" xfId="7831" xr:uid="{EB0251C8-FA82-4DB8-A025-4E7EABF8E505}"/>
    <cellStyle name="20% - Accent2 22 3 2 2 5 2 2" xfId="15338" xr:uid="{BECE490F-D458-4AC7-9585-116AABFC61D7}"/>
    <cellStyle name="20% - Accent2 22 3 2 2 5 2 2 2" xfId="31542" xr:uid="{BF24016B-9021-4B87-87DC-B5B0D5CB37B2}"/>
    <cellStyle name="20% - Accent2 22 3 2 2 5 2 3" xfId="24035" xr:uid="{2192A275-841B-4106-AD7E-5E07B5617683}"/>
    <cellStyle name="20% - Accent2 22 3 2 2 5 3" xfId="11724" xr:uid="{5E95B32A-F190-4357-B187-D7B711B7BC17}"/>
    <cellStyle name="20% - Accent2 22 3 2 2 5 3 2" xfId="27928" xr:uid="{0F54E6DA-BD37-4150-8A0A-B51C7FE03341}"/>
    <cellStyle name="20% - Accent2 22 3 2 2 5 4" xfId="20365" xr:uid="{C6EBF03F-C2F1-4FC2-9363-AF1ED4088E78}"/>
    <cellStyle name="20% - Accent2 22 3 2 2 6" xfId="4586" xr:uid="{0BA6956F-7815-454A-842D-67522B1D07E4}"/>
    <cellStyle name="20% - Accent2 22 3 2 2 6 2" xfId="8256" xr:uid="{FBD127F6-A0C5-436D-A3A2-0685C1FCEC8A}"/>
    <cellStyle name="20% - Accent2 22 3 2 2 6 2 2" xfId="15763" xr:uid="{E3626FBC-9E76-4311-ACF2-3056705B64C6}"/>
    <cellStyle name="20% - Accent2 22 3 2 2 6 2 2 2" xfId="31967" xr:uid="{6BA4AF0C-DA9D-4773-8908-AFFE573DD635}"/>
    <cellStyle name="20% - Accent2 22 3 2 2 6 2 3" xfId="24460" xr:uid="{65C926C2-736E-42A2-92C3-7503A6F99332}"/>
    <cellStyle name="20% - Accent2 22 3 2 2 6 3" xfId="12149" xr:uid="{455953F0-B1EA-4A46-85A3-F598B1167E30}"/>
    <cellStyle name="20% - Accent2 22 3 2 2 6 3 2" xfId="28353" xr:uid="{865ECA9F-43F1-45A7-B14B-7E1E34264D48}"/>
    <cellStyle name="20% - Accent2 22 3 2 2 6 4" xfId="20790" xr:uid="{68CD06C3-A038-4097-8023-720C89C6A522}"/>
    <cellStyle name="20% - Accent2 22 3 2 2 7" xfId="5013" xr:uid="{FB410246-EC56-42ED-9AD6-D962784DA7F4}"/>
    <cellStyle name="20% - Accent2 22 3 2 2 7 2" xfId="8679" xr:uid="{9CBAD58F-EA96-49DC-B906-65BE13173FFA}"/>
    <cellStyle name="20% - Accent2 22 3 2 2 7 2 2" xfId="16186" xr:uid="{7D383BE0-5346-4119-ADBD-8D53ED8E26E2}"/>
    <cellStyle name="20% - Accent2 22 3 2 2 7 2 2 2" xfId="32390" xr:uid="{2A722F34-0079-46FF-ABF4-BF0ED06B0BE7}"/>
    <cellStyle name="20% - Accent2 22 3 2 2 7 2 3" xfId="24883" xr:uid="{27B56678-7B9F-46A2-9777-1A7821C5AF97}"/>
    <cellStyle name="20% - Accent2 22 3 2 2 7 3" xfId="12571" xr:uid="{9CAFF513-33AC-417C-A55B-2D8D75E88FF2}"/>
    <cellStyle name="20% - Accent2 22 3 2 2 7 3 2" xfId="28775" xr:uid="{26CBDAAA-49E8-4BFC-849E-E7E37257C31A}"/>
    <cellStyle name="20% - Accent2 22 3 2 2 7 4" xfId="21217" xr:uid="{02ADC1F3-369B-435A-A9FC-58D3928DEFAC}"/>
    <cellStyle name="20% - Accent2 22 3 2 2 8" xfId="5685" xr:uid="{F061F37E-B854-46F2-BE3A-E4F846AFAB1F}"/>
    <cellStyle name="20% - Accent2 22 3 2 2 8 2" xfId="13200" xr:uid="{7D2539B0-E902-473B-A38F-24B9B5E4F916}"/>
    <cellStyle name="20% - Accent2 22 3 2 2 8 2 2" xfId="29404" xr:uid="{045A3467-3EBD-49B6-AEB9-3A742DBA0577}"/>
    <cellStyle name="20% - Accent2 22 3 2 2 8 3" xfId="21889" xr:uid="{04736D82-55F8-477D-B727-E81941FA95EA}"/>
    <cellStyle name="20% - Accent2 22 3 2 2 9" xfId="9612" xr:uid="{B9D5E824-9022-4E61-AF02-8CD93636113D}"/>
    <cellStyle name="20% - Accent2 22 3 2 2 9 2" xfId="25816" xr:uid="{DB12131E-529C-4630-A882-08DFB6AED93E}"/>
    <cellStyle name="20% - Accent2 22 3 2 3" xfId="2165" xr:uid="{C10B78FE-9CE3-417E-AFC4-F608BBDA61FC}"/>
    <cellStyle name="20% - Accent2 22 3 2 3 2" xfId="3078" xr:uid="{A4EC5783-6503-4B53-B733-9B53712E94B6}"/>
    <cellStyle name="20% - Accent2 22 3 2 3 2 2" xfId="6860" xr:uid="{3213FBF9-8D27-4FF3-A627-914D02428CA9}"/>
    <cellStyle name="20% - Accent2 22 3 2 3 2 2 2" xfId="14371" xr:uid="{7B806B10-1900-4979-BDB2-B0A7E9CEE460}"/>
    <cellStyle name="20% - Accent2 22 3 2 3 2 2 2 2" xfId="30575" xr:uid="{5C796AA0-FCFF-4B00-921C-0DC6C60DC1E8}"/>
    <cellStyle name="20% - Accent2 22 3 2 3 2 2 3" xfId="23064" xr:uid="{A3551EF4-440C-47F7-9015-AE1765438D74}"/>
    <cellStyle name="20% - Accent2 22 3 2 3 2 3" xfId="10771" xr:uid="{607DFA2B-9BAE-404A-B902-5332F035E413}"/>
    <cellStyle name="20% - Accent2 22 3 2 3 2 3 2" xfId="26975" xr:uid="{56B20FFD-1B30-4B85-A61C-7FB6E5FA8DAF}"/>
    <cellStyle name="20% - Accent2 22 3 2 3 2 4" xfId="19298" xr:uid="{CF98CBFC-D37E-4254-BF80-6079E8F12AF1}"/>
    <cellStyle name="20% - Accent2 22 3 2 3 3" xfId="6004" xr:uid="{8AD802CF-5B4D-4FA6-9C8A-3F70482544C6}"/>
    <cellStyle name="20% - Accent2 22 3 2 3 3 2" xfId="13518" xr:uid="{46B9DAA3-C608-4EA3-8C71-7D39A622F3DD}"/>
    <cellStyle name="20% - Accent2 22 3 2 3 3 2 2" xfId="29722" xr:uid="{CBE55F7A-EEC3-4278-B4E5-1559B0C0EAEE}"/>
    <cellStyle name="20% - Accent2 22 3 2 3 3 3" xfId="22208" xr:uid="{9CFACD6F-7129-4DE5-8714-26BECD38169B}"/>
    <cellStyle name="20% - Accent2 22 3 2 3 4" xfId="9927" xr:uid="{58E9F206-11D2-4BA0-A2B6-17E74A0DA890}"/>
    <cellStyle name="20% - Accent2 22 3 2 3 4 2" xfId="26131" xr:uid="{8839C1D0-1FF0-4503-BF12-49592736AB73}"/>
    <cellStyle name="20% - Accent2 22 3 2 3 5" xfId="18452" xr:uid="{02771C2B-306C-4FB2-9279-80353D2F6037}"/>
    <cellStyle name="20% - Accent2 22 3 2 4" xfId="2653" xr:uid="{74D1BB8F-0AC8-4D71-9316-62794222EF93}"/>
    <cellStyle name="20% - Accent2 22 3 2 4 2" xfId="6437" xr:uid="{A2972E62-A2AE-45CB-849F-2B11F8D5E005}"/>
    <cellStyle name="20% - Accent2 22 3 2 4 2 2" xfId="13949" xr:uid="{58826D9B-2554-45A6-9C1E-A2474CCA3052}"/>
    <cellStyle name="20% - Accent2 22 3 2 4 2 2 2" xfId="30153" xr:uid="{E822C85F-7D24-48B0-B7EB-D3D0064419B2}"/>
    <cellStyle name="20% - Accent2 22 3 2 4 2 3" xfId="22641" xr:uid="{CF247ACB-6CDA-40C4-949E-EA1D5BEDA248}"/>
    <cellStyle name="20% - Accent2 22 3 2 4 3" xfId="10349" xr:uid="{845AAB21-E274-4BC3-9A48-E83910837E26}"/>
    <cellStyle name="20% - Accent2 22 3 2 4 3 2" xfId="26553" xr:uid="{0742F97C-D415-42A1-8581-DC92B8B0B07A}"/>
    <cellStyle name="20% - Accent2 22 3 2 4 4" xfId="18875" xr:uid="{BE9E839E-4AD9-4929-BCD2-6BCB0BFD4B9B}"/>
    <cellStyle name="20% - Accent2 22 3 2 5" xfId="3529" xr:uid="{A2C96F92-2B1C-4ABB-AE6D-77D1EE9BEC79}"/>
    <cellStyle name="20% - Accent2 22 3 2 5 2" xfId="7287" xr:uid="{D880D428-DA36-4932-9031-56778E9F38AE}"/>
    <cellStyle name="20% - Accent2 22 3 2 5 2 2" xfId="14797" xr:uid="{3A5170A5-ACC2-452A-B4F6-2DA001A34E00}"/>
    <cellStyle name="20% - Accent2 22 3 2 5 2 2 2" xfId="31001" xr:uid="{E46AEF58-E7C7-4927-B5C1-264D27A3FA8A}"/>
    <cellStyle name="20% - Accent2 22 3 2 5 2 3" xfId="23491" xr:uid="{2DCD1B63-6C3B-40BC-91CB-0B053577018B}"/>
    <cellStyle name="20% - Accent2 22 3 2 5 3" xfId="11194" xr:uid="{3DA41AD9-A5E2-4B24-B0F7-0C5E94EB7AA5}"/>
    <cellStyle name="20% - Accent2 22 3 2 5 3 2" xfId="27398" xr:uid="{45B7DD77-864E-4679-9560-B973DF71F839}"/>
    <cellStyle name="20% - Accent2 22 3 2 5 4" xfId="19745" xr:uid="{8E14E84E-709D-41C8-A91E-58879287C5C5}"/>
    <cellStyle name="20% - Accent2 22 3 2 6" xfId="4053" xr:uid="{03B155F7-F1C5-432B-96B1-1E4F139ED674}"/>
    <cellStyle name="20% - Accent2 22 3 2 6 2" xfId="7723" xr:uid="{F7FD0D57-8570-4CF6-A837-28910A4A657F}"/>
    <cellStyle name="20% - Accent2 22 3 2 6 2 2" xfId="15230" xr:uid="{5CAED238-9846-4D8A-92D6-3F3224B77DE9}"/>
    <cellStyle name="20% - Accent2 22 3 2 6 2 2 2" xfId="31434" xr:uid="{88D6C815-1B97-44F2-A331-6088E51ED98F}"/>
    <cellStyle name="20% - Accent2 22 3 2 6 2 3" xfId="23927" xr:uid="{76E289F4-FCE5-47D5-9A1C-2EA1BEF26111}"/>
    <cellStyle name="20% - Accent2 22 3 2 6 3" xfId="11616" xr:uid="{4589312F-42D1-4B72-8C32-785A067BA9A1}"/>
    <cellStyle name="20% - Accent2 22 3 2 6 3 2" xfId="27820" xr:uid="{A0CCD2C2-E92F-4B7E-BEC2-E0E7D8B83861}"/>
    <cellStyle name="20% - Accent2 22 3 2 6 4" xfId="20257" xr:uid="{F5120D21-F0F5-4F96-A1D4-B9F2ECA128D0}"/>
    <cellStyle name="20% - Accent2 22 3 2 7" xfId="4478" xr:uid="{591CD9F6-C448-49C4-9BB1-F7B1DAD26497}"/>
    <cellStyle name="20% - Accent2 22 3 2 7 2" xfId="8148" xr:uid="{35861003-AD6B-4DBC-9F27-5B4CB80876A9}"/>
    <cellStyle name="20% - Accent2 22 3 2 7 2 2" xfId="15655" xr:uid="{4A438628-821D-484A-9AC2-8CC9526A19F1}"/>
    <cellStyle name="20% - Accent2 22 3 2 7 2 2 2" xfId="31859" xr:uid="{4D87F1FD-3A41-44E8-8494-940FDBD4CF7E}"/>
    <cellStyle name="20% - Accent2 22 3 2 7 2 3" xfId="24352" xr:uid="{AF64A37E-B808-4DAD-A13A-B7CD637D91E8}"/>
    <cellStyle name="20% - Accent2 22 3 2 7 3" xfId="12041" xr:uid="{990AB951-4268-47ED-B2F8-D0575C6C6AD8}"/>
    <cellStyle name="20% - Accent2 22 3 2 7 3 2" xfId="28245" xr:uid="{04E16457-C061-4305-9F86-04AEDAEE311E}"/>
    <cellStyle name="20% - Accent2 22 3 2 7 4" xfId="20682" xr:uid="{F8FCE519-9A5A-48A9-B003-EE11C1E66AC8}"/>
    <cellStyle name="20% - Accent2 22 3 2 8" xfId="4903" xr:uid="{99C5E422-CE39-4811-92EC-2E8A52F9D8F6}"/>
    <cellStyle name="20% - Accent2 22 3 2 8 2" xfId="8571" xr:uid="{BF90497E-5AD7-471C-876F-192370218F73}"/>
    <cellStyle name="20% - Accent2 22 3 2 8 2 2" xfId="16078" xr:uid="{CF191CC5-3895-404A-AF5F-DA76614D191E}"/>
    <cellStyle name="20% - Accent2 22 3 2 8 2 2 2" xfId="32282" xr:uid="{891E244D-435A-400A-993F-E2DBAD1F2111}"/>
    <cellStyle name="20% - Accent2 22 3 2 8 2 3" xfId="24775" xr:uid="{77D2703A-5934-418C-935C-C9806B3D79C5}"/>
    <cellStyle name="20% - Accent2 22 3 2 8 3" xfId="12463" xr:uid="{D634CC5D-686B-4E43-B3AF-486DA95013D7}"/>
    <cellStyle name="20% - Accent2 22 3 2 8 3 2" xfId="28667" xr:uid="{3986395D-A309-4E0C-8986-226C33C78C44}"/>
    <cellStyle name="20% - Accent2 22 3 2 8 4" xfId="21107" xr:uid="{1FC333D8-E3E9-4928-AAEC-E9A7416A786F}"/>
    <cellStyle name="20% - Accent2 22 3 2 9" xfId="5389" xr:uid="{295BFE5C-5227-44D8-94A5-76DAFD578D74}"/>
    <cellStyle name="20% - Accent2 22 3 2 9 2" xfId="12938" xr:uid="{98A5A4D7-2DAA-407C-B07A-E9078456AE59}"/>
    <cellStyle name="20% - Accent2 22 3 2 9 2 2" xfId="29142" xr:uid="{DA89BB05-121D-4A46-B6B7-1C8CD368C7F2}"/>
    <cellStyle name="20% - Accent2 22 3 2 9 3" xfId="21593" xr:uid="{F0B98BE9-948F-43D8-A388-E44A2BC437E8}"/>
    <cellStyle name="20% - Accent2 22 3 3" xfId="1831" xr:uid="{8795705A-708D-426C-9EE6-9BBE8158198E}"/>
    <cellStyle name="20% - Accent2 22 3 3 10" xfId="18136" xr:uid="{D08B3D6F-8436-4EF3-8F97-0133DA55B3DB}"/>
    <cellStyle name="20% - Accent2 22 3 3 2" xfId="2340" xr:uid="{428C4876-0ADD-4FFB-B27B-C01985D285EB}"/>
    <cellStyle name="20% - Accent2 22 3 3 2 2" xfId="3187" xr:uid="{50CE2355-C450-43A7-9F6E-4A3A4B958BA6}"/>
    <cellStyle name="20% - Accent2 22 3 3 2 2 2" xfId="6969" xr:uid="{63A6A21A-0060-43E3-BBA5-F64EE218FAE3}"/>
    <cellStyle name="20% - Accent2 22 3 3 2 2 2 2" xfId="14480" xr:uid="{DF8A8438-D0C7-45ED-BF5D-16FFD65B6B51}"/>
    <cellStyle name="20% - Accent2 22 3 3 2 2 2 2 2" xfId="30684" xr:uid="{159CBFA1-6BEE-4280-85A8-622A400FE71B}"/>
    <cellStyle name="20% - Accent2 22 3 3 2 2 2 3" xfId="23173" xr:uid="{4B106AA1-20A7-4D55-8443-B83B79FEB2D6}"/>
    <cellStyle name="20% - Accent2 22 3 3 2 2 3" xfId="10880" xr:uid="{1D822D02-5290-41B4-A6FF-D6E980348EF5}"/>
    <cellStyle name="20% - Accent2 22 3 3 2 2 3 2" xfId="27084" xr:uid="{935E8B98-69AF-4B2A-9335-26B4D67C2CE0}"/>
    <cellStyle name="20% - Accent2 22 3 3 2 2 4" xfId="19407" xr:uid="{6C043F91-99D5-4427-BF36-4366C9843686}"/>
    <cellStyle name="20% - Accent2 22 3 3 2 3" xfId="6124" xr:uid="{7970CC4D-0845-428E-BD55-95046A4E9D92}"/>
    <cellStyle name="20% - Accent2 22 3 3 2 3 2" xfId="13636" xr:uid="{2BB9EA69-B74D-46EB-AB48-B83979668BAF}"/>
    <cellStyle name="20% - Accent2 22 3 3 2 3 2 2" xfId="29840" xr:uid="{0C401479-C4F9-407B-B4B9-4F96FE84A114}"/>
    <cellStyle name="20% - Accent2 22 3 3 2 3 3" xfId="22328" xr:uid="{4809C46B-2405-4C07-AFA5-6B313D84E52A}"/>
    <cellStyle name="20% - Accent2 22 3 3 2 4" xfId="10036" xr:uid="{9FDF5F5A-21D6-46EE-A6A4-9CF2DDF94DE4}"/>
    <cellStyle name="20% - Accent2 22 3 3 2 4 2" xfId="26240" xr:uid="{29AF4DFC-A328-4BA4-AEAD-A236A522128F}"/>
    <cellStyle name="20% - Accent2 22 3 3 2 5" xfId="18562" xr:uid="{DB68B241-3C94-45CD-B55D-98F5AC4B7838}"/>
    <cellStyle name="20% - Accent2 22 3 3 3" xfId="2762" xr:uid="{C0DE8A63-EA3B-43D1-B781-C09859348B05}"/>
    <cellStyle name="20% - Accent2 22 3 3 3 2" xfId="6546" xr:uid="{24DD095D-5761-41DF-B1DE-307C0530D167}"/>
    <cellStyle name="20% - Accent2 22 3 3 3 2 2" xfId="14058" xr:uid="{BF7E633C-5D76-42AC-A945-5F7AC73B7E82}"/>
    <cellStyle name="20% - Accent2 22 3 3 3 2 2 2" xfId="30262" xr:uid="{4C66800E-BE6B-47C6-BA8A-EED004053F51}"/>
    <cellStyle name="20% - Accent2 22 3 3 3 2 3" xfId="22750" xr:uid="{3B13E543-376A-4C97-A474-24DEEC486DAB}"/>
    <cellStyle name="20% - Accent2 22 3 3 3 3" xfId="10458" xr:uid="{B8179466-867C-42DD-AC83-E3B48FBDC1E6}"/>
    <cellStyle name="20% - Accent2 22 3 3 3 3 2" xfId="26662" xr:uid="{8053BBA1-A5C2-4B40-A35C-7140C4127920}"/>
    <cellStyle name="20% - Accent2 22 3 3 3 4" xfId="18984" xr:uid="{B3B3052A-1BE2-44EB-BE40-AE22BD97B059}"/>
    <cellStyle name="20% - Accent2 22 3 3 4" xfId="3693" xr:uid="{7953CB33-A8D7-4658-ADB9-6C26C72EA06D}"/>
    <cellStyle name="20% - Accent2 22 3 3 4 2" xfId="7403" xr:uid="{48D2EB75-B225-4BDA-8792-E547D1BA9169}"/>
    <cellStyle name="20% - Accent2 22 3 3 4 2 2" xfId="14912" xr:uid="{A741C026-E48F-49A7-AE5B-17D8FEDC2E04}"/>
    <cellStyle name="20% - Accent2 22 3 3 4 2 2 2" xfId="31116" xr:uid="{FD9D3914-E1AE-47B6-B5A4-DD7B94F11624}"/>
    <cellStyle name="20% - Accent2 22 3 3 4 2 3" xfId="23607" xr:uid="{9EFA9708-BC54-4304-9014-F2F304542583}"/>
    <cellStyle name="20% - Accent2 22 3 3 4 3" xfId="11303" xr:uid="{458AE392-7A03-4F82-92F2-1683CEBD898D}"/>
    <cellStyle name="20% - Accent2 22 3 3 4 3 2" xfId="27507" xr:uid="{EE412DBA-F54B-4383-AF5F-0C50D91ED990}"/>
    <cellStyle name="20% - Accent2 22 3 3 4 4" xfId="19902" xr:uid="{CE8CF394-F9D9-4C52-88C2-C02105C40D21}"/>
    <cellStyle name="20% - Accent2 22 3 3 5" xfId="4162" xr:uid="{5362449A-ABE7-44F8-9FBE-6F1F2A7D99F9}"/>
    <cellStyle name="20% - Accent2 22 3 3 5 2" xfId="7832" xr:uid="{3FF732DB-F9AA-4343-BB6B-B88B8B956E1E}"/>
    <cellStyle name="20% - Accent2 22 3 3 5 2 2" xfId="15339" xr:uid="{A20106D7-C5A7-4DEF-BD9B-29A2CFF1D6EE}"/>
    <cellStyle name="20% - Accent2 22 3 3 5 2 2 2" xfId="31543" xr:uid="{98CFD3BF-7058-4F09-8D39-5A0A74D0D899}"/>
    <cellStyle name="20% - Accent2 22 3 3 5 2 3" xfId="24036" xr:uid="{24A62A13-F6CB-474B-9AE2-75098C34F23F}"/>
    <cellStyle name="20% - Accent2 22 3 3 5 3" xfId="11725" xr:uid="{0B2F26A1-04AE-4780-BC79-08F00B593E4F}"/>
    <cellStyle name="20% - Accent2 22 3 3 5 3 2" xfId="27929" xr:uid="{57D2D3A7-4C79-41E2-8999-2A9EECE36097}"/>
    <cellStyle name="20% - Accent2 22 3 3 5 4" xfId="20366" xr:uid="{6FA4567E-2B63-4C96-9A70-C408AD71AEFB}"/>
    <cellStyle name="20% - Accent2 22 3 3 6" xfId="4587" xr:uid="{7AE5F939-4DAA-4DF9-AE7E-8FDF4037AF1F}"/>
    <cellStyle name="20% - Accent2 22 3 3 6 2" xfId="8257" xr:uid="{D6AB0A6F-584C-4F69-A6ED-328DD21DD6E4}"/>
    <cellStyle name="20% - Accent2 22 3 3 6 2 2" xfId="15764" xr:uid="{0AD47F81-4F98-4976-B878-E687F9292C57}"/>
    <cellStyle name="20% - Accent2 22 3 3 6 2 2 2" xfId="31968" xr:uid="{4180A7CA-4A29-4F00-8E9A-E1F0606AAD13}"/>
    <cellStyle name="20% - Accent2 22 3 3 6 2 3" xfId="24461" xr:uid="{F89E58EB-8805-4684-AE0E-5382A06268A5}"/>
    <cellStyle name="20% - Accent2 22 3 3 6 3" xfId="12150" xr:uid="{3B9556DD-C0DD-4266-8D92-35B7A280B1F1}"/>
    <cellStyle name="20% - Accent2 22 3 3 6 3 2" xfId="28354" xr:uid="{CB0B09C3-8FFF-42C2-883C-3AD679E51FA2}"/>
    <cellStyle name="20% - Accent2 22 3 3 6 4" xfId="20791" xr:uid="{C5F69BCD-6594-4B8E-9534-84A7AA37B0A0}"/>
    <cellStyle name="20% - Accent2 22 3 3 7" xfId="5014" xr:uid="{0A7BD0E1-0447-4B81-BB73-65E50476F717}"/>
    <cellStyle name="20% - Accent2 22 3 3 7 2" xfId="8680" xr:uid="{250F2DB4-1AEF-48EF-8083-01429ECE6D77}"/>
    <cellStyle name="20% - Accent2 22 3 3 7 2 2" xfId="16187" xr:uid="{6D94E1A8-0695-43AE-8BAB-D32407573A18}"/>
    <cellStyle name="20% - Accent2 22 3 3 7 2 2 2" xfId="32391" xr:uid="{65F4B818-E429-4584-A6BA-340C901BAAA7}"/>
    <cellStyle name="20% - Accent2 22 3 3 7 2 3" xfId="24884" xr:uid="{4EB58648-9533-4B18-8567-97B904787576}"/>
    <cellStyle name="20% - Accent2 22 3 3 7 3" xfId="12572" xr:uid="{FC70C48B-72B0-40B7-BF12-282DF641C04E}"/>
    <cellStyle name="20% - Accent2 22 3 3 7 3 2" xfId="28776" xr:uid="{4D0EADF6-571C-4637-8836-B77D45F2485B}"/>
    <cellStyle name="20% - Accent2 22 3 3 7 4" xfId="21218" xr:uid="{1F9D7B46-28EA-4DF8-916E-47B70F243EA3}"/>
    <cellStyle name="20% - Accent2 22 3 3 8" xfId="5686" xr:uid="{E99F059C-6E63-4F84-A24A-7BA20749E6A3}"/>
    <cellStyle name="20% - Accent2 22 3 3 8 2" xfId="13201" xr:uid="{93AB1366-F2E5-4834-9292-EB650D2E7010}"/>
    <cellStyle name="20% - Accent2 22 3 3 8 2 2" xfId="29405" xr:uid="{EB12F371-AF7E-4C97-B5AB-40D1B9C575DD}"/>
    <cellStyle name="20% - Accent2 22 3 3 8 3" xfId="21890" xr:uid="{7FD92531-0CA5-407E-8174-7E9A57BD6A47}"/>
    <cellStyle name="20% - Accent2 22 3 3 9" xfId="9613" xr:uid="{35E8BF21-75B7-45C1-BBDF-3C5C655D0DA5}"/>
    <cellStyle name="20% - Accent2 22 3 3 9 2" xfId="25817" xr:uid="{CF100BAE-BC06-4D23-99E9-CF0E42CBB5E8}"/>
    <cellStyle name="20% - Accent2 22 3 4" xfId="2098" xr:uid="{642744E4-1B46-47EF-8C5F-1FBB186A15F6}"/>
    <cellStyle name="20% - Accent2 22 3 4 2" xfId="3011" xr:uid="{597DE7B1-A562-4E37-8FC8-1C5F1E9C835F}"/>
    <cellStyle name="20% - Accent2 22 3 4 2 2" xfId="6793" xr:uid="{A7E9E2EE-7941-4021-93E6-1B4D0B393012}"/>
    <cellStyle name="20% - Accent2 22 3 4 2 2 2" xfId="14304" xr:uid="{A68FA463-753C-4BCB-9F54-BAE5045F3B87}"/>
    <cellStyle name="20% - Accent2 22 3 4 2 2 2 2" xfId="30508" xr:uid="{2D723431-F328-4682-B7FE-104AF9664D54}"/>
    <cellStyle name="20% - Accent2 22 3 4 2 2 3" xfId="22997" xr:uid="{8BDCE2ED-9A16-4DE0-BA7B-53583883965E}"/>
    <cellStyle name="20% - Accent2 22 3 4 2 3" xfId="10704" xr:uid="{BB700829-9F40-47B5-961D-2FF4E675324D}"/>
    <cellStyle name="20% - Accent2 22 3 4 2 3 2" xfId="26908" xr:uid="{B9D649F8-A052-464F-B6FD-906EA93306BA}"/>
    <cellStyle name="20% - Accent2 22 3 4 2 4" xfId="19231" xr:uid="{3BA26B24-367E-4447-B07C-4FDDA479C19C}"/>
    <cellStyle name="20% - Accent2 22 3 4 3" xfId="5937" xr:uid="{8EB13201-EDB4-42BA-A1F1-9061277A27F8}"/>
    <cellStyle name="20% - Accent2 22 3 4 3 2" xfId="13451" xr:uid="{B2F10BE7-1746-41C3-B8D8-BF9E01EB4093}"/>
    <cellStyle name="20% - Accent2 22 3 4 3 2 2" xfId="29655" xr:uid="{C00B4981-A571-48B3-B44A-7595FDF7D0C1}"/>
    <cellStyle name="20% - Accent2 22 3 4 3 3" xfId="22141" xr:uid="{ADB8BFF4-AC5A-4C4A-A10D-C162AA5ACB51}"/>
    <cellStyle name="20% - Accent2 22 3 4 4" xfId="9860" xr:uid="{AB88AC2A-293E-452D-99F0-95A39DFAED33}"/>
    <cellStyle name="20% - Accent2 22 3 4 4 2" xfId="26064" xr:uid="{E5DE380C-6362-4864-9E3C-1C618B2531F0}"/>
    <cellStyle name="20% - Accent2 22 3 4 5" xfId="18385" xr:uid="{5E7C91B9-1D15-4EBC-9CB1-33E0AC6151B6}"/>
    <cellStyle name="20% - Accent2 22 3 5" xfId="2586" xr:uid="{B20216D8-5B01-4979-8CF4-29F28CF6605A}"/>
    <cellStyle name="20% - Accent2 22 3 5 2" xfId="6370" xr:uid="{D3BC7258-0243-43B2-B9B4-A5F6F5B60D0C}"/>
    <cellStyle name="20% - Accent2 22 3 5 2 2" xfId="13882" xr:uid="{BE653AA0-0EBC-40C7-9F9C-7CCE8904F18F}"/>
    <cellStyle name="20% - Accent2 22 3 5 2 2 2" xfId="30086" xr:uid="{F248BF10-410B-4D6E-94FF-0CFD1C0E501B}"/>
    <cellStyle name="20% - Accent2 22 3 5 2 3" xfId="22574" xr:uid="{1C8ADBD0-D2F6-4346-8770-7E817A7E5DE9}"/>
    <cellStyle name="20% - Accent2 22 3 5 3" xfId="10282" xr:uid="{BA88D1C9-18E4-4C93-B64C-86A1772A5DAA}"/>
    <cellStyle name="20% - Accent2 22 3 5 3 2" xfId="26486" xr:uid="{EE844817-F552-4337-A2DC-FF047A94CB18}"/>
    <cellStyle name="20% - Accent2 22 3 5 4" xfId="18808" xr:uid="{056A4F6C-94E0-4348-84FF-7A843EF876E5}"/>
    <cellStyle name="20% - Accent2 22 3 6" xfId="3462" xr:uid="{21DCC4AF-745A-4E54-9386-E4D34012751C}"/>
    <cellStyle name="20% - Accent2 22 3 6 2" xfId="7220" xr:uid="{5190DFA6-4175-4D12-B070-2EDB6EA7060F}"/>
    <cellStyle name="20% - Accent2 22 3 6 2 2" xfId="14730" xr:uid="{A111A287-6724-4508-A830-A5C54BE8555E}"/>
    <cellStyle name="20% - Accent2 22 3 6 2 2 2" xfId="30934" xr:uid="{6B30DE9E-7B1B-45F6-A490-CDC6C940086B}"/>
    <cellStyle name="20% - Accent2 22 3 6 2 3" xfId="23424" xr:uid="{3BA5E700-7989-4196-BB66-F904EF35FDF0}"/>
    <cellStyle name="20% - Accent2 22 3 6 3" xfId="11127" xr:uid="{5032C838-8652-4FCE-A6B2-9C352B75DD3E}"/>
    <cellStyle name="20% - Accent2 22 3 6 3 2" xfId="27331" xr:uid="{F43369A9-CC41-4956-AF95-95575E41DF2E}"/>
    <cellStyle name="20% - Accent2 22 3 6 4" xfId="19678" xr:uid="{D2444947-F15F-454E-B6B1-2E14EEA6C194}"/>
    <cellStyle name="20% - Accent2 22 3 7" xfId="3986" xr:uid="{73BC2315-D06A-4BA6-9FC0-4052BACD8BD8}"/>
    <cellStyle name="20% - Accent2 22 3 7 2" xfId="7656" xr:uid="{0B14D2F7-10FE-44E3-8B57-A3FE4B70D06B}"/>
    <cellStyle name="20% - Accent2 22 3 7 2 2" xfId="15163" xr:uid="{E72AAB1B-58CB-41D5-B883-850AF5B2DABB}"/>
    <cellStyle name="20% - Accent2 22 3 7 2 2 2" xfId="31367" xr:uid="{DDFED2A8-1C6A-45F7-8429-76DAE7785A02}"/>
    <cellStyle name="20% - Accent2 22 3 7 2 3" xfId="23860" xr:uid="{F13BC70C-8694-4F0F-818C-C43DE172B231}"/>
    <cellStyle name="20% - Accent2 22 3 7 3" xfId="11549" xr:uid="{15037B3B-9FA6-4803-984F-948558228CB4}"/>
    <cellStyle name="20% - Accent2 22 3 7 3 2" xfId="27753" xr:uid="{6152887A-5CBD-4920-88AE-114BCC5805F9}"/>
    <cellStyle name="20% - Accent2 22 3 7 4" xfId="20190" xr:uid="{94B09470-FAEC-4B0F-905E-970831CB4DEC}"/>
    <cellStyle name="20% - Accent2 22 3 8" xfId="4411" xr:uid="{DC87B11A-1A37-4750-B49D-C556D990AB78}"/>
    <cellStyle name="20% - Accent2 22 3 8 2" xfId="8081" xr:uid="{7FF160DE-6645-4B13-9305-AA14F3D021BB}"/>
    <cellStyle name="20% - Accent2 22 3 8 2 2" xfId="15588" xr:uid="{11B5D60A-AE8A-4D77-A365-13AF2A9C1D03}"/>
    <cellStyle name="20% - Accent2 22 3 8 2 2 2" xfId="31792" xr:uid="{8741684C-B8EC-4883-8AB6-9FB9ABAF810F}"/>
    <cellStyle name="20% - Accent2 22 3 8 2 3" xfId="24285" xr:uid="{3EB21E4B-C176-44C3-A930-C70AF8EBE641}"/>
    <cellStyle name="20% - Accent2 22 3 8 3" xfId="11974" xr:uid="{C04AAFCB-8245-4A90-BBD4-1A353F319360}"/>
    <cellStyle name="20% - Accent2 22 3 8 3 2" xfId="28178" xr:uid="{68F829A8-EEAE-4263-A1D9-FFD06FB81CCF}"/>
    <cellStyle name="20% - Accent2 22 3 8 4" xfId="20615" xr:uid="{D813F338-ADE0-4DDD-B15C-01E2BCB93777}"/>
    <cellStyle name="20% - Accent2 22 3 9" xfId="4835" xr:uid="{56801A8B-E2FB-45DA-892E-3B4F733921AC}"/>
    <cellStyle name="20% - Accent2 22 3 9 2" xfId="8504" xr:uid="{8577A126-9458-491E-B03D-A873AE28A1C7}"/>
    <cellStyle name="20% - Accent2 22 3 9 2 2" xfId="16011" xr:uid="{2C384FC3-053D-4969-9E99-E7C50BBD4D18}"/>
    <cellStyle name="20% - Accent2 22 3 9 2 2 2" xfId="32215" xr:uid="{52FED7C2-DC12-4E20-9C34-8CDD619126DD}"/>
    <cellStyle name="20% - Accent2 22 3 9 2 3" xfId="24708" xr:uid="{EF2428B7-580B-4191-B072-8C2200F8BA3F}"/>
    <cellStyle name="20% - Accent2 22 3 9 3" xfId="12396" xr:uid="{AA7732BB-EB4C-49D8-B7DB-FF1C399F1013}"/>
    <cellStyle name="20% - Accent2 22 3 9 3 2" xfId="28600" xr:uid="{5B9D4EAD-D16D-4D45-92DA-E7B5F5173FDC}"/>
    <cellStyle name="20% - Accent2 22 3 9 4" xfId="21039" xr:uid="{5C7C3F0A-5701-4D01-8A25-46F9601C833B}"/>
    <cellStyle name="20% - Accent2 22 4" xfId="552" xr:uid="{291E1B18-31A4-4940-BCEC-B7E98A94EEF6}"/>
    <cellStyle name="20% - Accent2 22 4 10" xfId="9460" xr:uid="{A2414575-5CED-4C4E-B684-17C85F76022D}"/>
    <cellStyle name="20% - Accent2 22 4 10 2" xfId="25664" xr:uid="{48FBDF93-0783-4C83-99D2-1BA9E983D186}"/>
    <cellStyle name="20% - Accent2 22 4 11" xfId="17976" xr:uid="{4C1F4810-20E2-4A21-9DB0-E61016E08F65}"/>
    <cellStyle name="20% - Accent2 22 4 2" xfId="1832" xr:uid="{BEC27834-246A-4358-B1DB-13C8A5701DB9}"/>
    <cellStyle name="20% - Accent2 22 4 2 10" xfId="18137" xr:uid="{30C9BD49-0B24-4AA5-A0E6-44DF899817F4}"/>
    <cellStyle name="20% - Accent2 22 4 2 2" xfId="2341" xr:uid="{1CDE19FF-EAE5-4B04-8DE0-D618DC04D504}"/>
    <cellStyle name="20% - Accent2 22 4 2 2 2" xfId="3188" xr:uid="{61718EB1-2CC9-4722-B6A7-4589075F87EC}"/>
    <cellStyle name="20% - Accent2 22 4 2 2 2 2" xfId="6970" xr:uid="{2292AE7A-A96E-4945-A727-D8F118238B5C}"/>
    <cellStyle name="20% - Accent2 22 4 2 2 2 2 2" xfId="14481" xr:uid="{A881015E-00E5-4D2C-81ED-0C8E52C9788B}"/>
    <cellStyle name="20% - Accent2 22 4 2 2 2 2 2 2" xfId="30685" xr:uid="{A8050731-AF7D-461B-AD8A-F90F6956F953}"/>
    <cellStyle name="20% - Accent2 22 4 2 2 2 2 3" xfId="23174" xr:uid="{F06B8B99-82AC-4749-B4DA-FC8D616E9389}"/>
    <cellStyle name="20% - Accent2 22 4 2 2 2 3" xfId="10881" xr:uid="{928EC407-4717-4B70-99CC-5BB63C81F7DA}"/>
    <cellStyle name="20% - Accent2 22 4 2 2 2 3 2" xfId="27085" xr:uid="{CCFF7B11-1240-4FC5-9799-139751E98F84}"/>
    <cellStyle name="20% - Accent2 22 4 2 2 2 4" xfId="19408" xr:uid="{1DE5696E-49AC-4382-83C4-0C0A1FD36144}"/>
    <cellStyle name="20% - Accent2 22 4 2 2 3" xfId="6125" xr:uid="{6BB4CF6B-2A12-4EB8-9140-B5BE38163526}"/>
    <cellStyle name="20% - Accent2 22 4 2 2 3 2" xfId="13637" xr:uid="{F02272D6-517E-4100-AB3C-74DF477F5566}"/>
    <cellStyle name="20% - Accent2 22 4 2 2 3 2 2" xfId="29841" xr:uid="{DCAB9270-D280-4462-AD2C-EC03A92D4052}"/>
    <cellStyle name="20% - Accent2 22 4 2 2 3 3" xfId="22329" xr:uid="{28D0BC2F-F8C8-41E7-ADE3-852CE96545BC}"/>
    <cellStyle name="20% - Accent2 22 4 2 2 4" xfId="10037" xr:uid="{20464E7B-146C-4CAE-A11E-07DE25586B6D}"/>
    <cellStyle name="20% - Accent2 22 4 2 2 4 2" xfId="26241" xr:uid="{2A019044-59B5-4C7B-8479-86EEDE2152AA}"/>
    <cellStyle name="20% - Accent2 22 4 2 2 5" xfId="18563" xr:uid="{18692798-63DE-4D02-9570-14D81FACE872}"/>
    <cellStyle name="20% - Accent2 22 4 2 3" xfId="2763" xr:uid="{6358BA22-4592-4162-9879-22E0EDBD26C3}"/>
    <cellStyle name="20% - Accent2 22 4 2 3 2" xfId="6547" xr:uid="{6BB1D36E-EF6B-4AED-85F1-3D6A33DAD647}"/>
    <cellStyle name="20% - Accent2 22 4 2 3 2 2" xfId="14059" xr:uid="{22C6E3E1-4A92-493C-B4EC-4DE81D3E7679}"/>
    <cellStyle name="20% - Accent2 22 4 2 3 2 2 2" xfId="30263" xr:uid="{7F23D648-F2E8-4098-98E6-7949FB831DB8}"/>
    <cellStyle name="20% - Accent2 22 4 2 3 2 3" xfId="22751" xr:uid="{BC3B8F7E-BDFB-4EC1-80F8-BDF075E62130}"/>
    <cellStyle name="20% - Accent2 22 4 2 3 3" xfId="10459" xr:uid="{1FDEC90F-0F0F-45EC-A3A4-8DB98014A115}"/>
    <cellStyle name="20% - Accent2 22 4 2 3 3 2" xfId="26663" xr:uid="{0583C2FB-BD44-48BB-82C6-C668C364DAF8}"/>
    <cellStyle name="20% - Accent2 22 4 2 3 4" xfId="18985" xr:uid="{7F629D73-C6A1-4AB6-A1B0-77A626F3D337}"/>
    <cellStyle name="20% - Accent2 22 4 2 4" xfId="3694" xr:uid="{9F2D21AB-E76C-4BFA-954B-14BB619189DA}"/>
    <cellStyle name="20% - Accent2 22 4 2 4 2" xfId="7404" xr:uid="{48D97EEA-5E4A-4E16-BAA4-A1600023589B}"/>
    <cellStyle name="20% - Accent2 22 4 2 4 2 2" xfId="14913" xr:uid="{29A535BD-9F18-47BD-8F5B-9CF3FE4534D2}"/>
    <cellStyle name="20% - Accent2 22 4 2 4 2 2 2" xfId="31117" xr:uid="{C7D353F5-76CB-4B66-86E8-85F39171C322}"/>
    <cellStyle name="20% - Accent2 22 4 2 4 2 3" xfId="23608" xr:uid="{24C9771A-2AC3-4995-9402-0C0C9ED68272}"/>
    <cellStyle name="20% - Accent2 22 4 2 4 3" xfId="11304" xr:uid="{714F093D-7ED6-4DB4-8E09-3751964CC41A}"/>
    <cellStyle name="20% - Accent2 22 4 2 4 3 2" xfId="27508" xr:uid="{605F5E8E-058E-4D5D-B673-7B793F5E1334}"/>
    <cellStyle name="20% - Accent2 22 4 2 4 4" xfId="19903" xr:uid="{A377AE54-61EB-4C77-B3DC-F3CFEFB3E14C}"/>
    <cellStyle name="20% - Accent2 22 4 2 5" xfId="4163" xr:uid="{F5DEBA43-F831-4BD3-BC39-1AFF54471A9A}"/>
    <cellStyle name="20% - Accent2 22 4 2 5 2" xfId="7833" xr:uid="{9A2BE555-466D-4C5A-92DD-38F2893B156C}"/>
    <cellStyle name="20% - Accent2 22 4 2 5 2 2" xfId="15340" xr:uid="{0EFDD225-C9C2-49D8-81E5-1890E1F251F6}"/>
    <cellStyle name="20% - Accent2 22 4 2 5 2 2 2" xfId="31544" xr:uid="{DD2C81A3-3442-43FC-B710-938788265892}"/>
    <cellStyle name="20% - Accent2 22 4 2 5 2 3" xfId="24037" xr:uid="{401CB651-DC72-4484-B1D0-1A69BB51C70E}"/>
    <cellStyle name="20% - Accent2 22 4 2 5 3" xfId="11726" xr:uid="{657D78E4-4B84-4D31-8FEF-1E14D6FBCC81}"/>
    <cellStyle name="20% - Accent2 22 4 2 5 3 2" xfId="27930" xr:uid="{9E4738E5-E0E5-49F4-9A0F-EB99794BF731}"/>
    <cellStyle name="20% - Accent2 22 4 2 5 4" xfId="20367" xr:uid="{FD8517F7-E827-49DB-B07B-541386306EED}"/>
    <cellStyle name="20% - Accent2 22 4 2 6" xfId="4588" xr:uid="{DFB79751-D88E-43E8-9AD1-35782DF5642D}"/>
    <cellStyle name="20% - Accent2 22 4 2 6 2" xfId="8258" xr:uid="{02930471-1622-4635-80CF-7388432692B6}"/>
    <cellStyle name="20% - Accent2 22 4 2 6 2 2" xfId="15765" xr:uid="{43264CD5-2890-47B4-A4A9-AEF283A1D4F4}"/>
    <cellStyle name="20% - Accent2 22 4 2 6 2 2 2" xfId="31969" xr:uid="{8302E5D9-226E-440C-85C6-9C7CB6849F73}"/>
    <cellStyle name="20% - Accent2 22 4 2 6 2 3" xfId="24462" xr:uid="{42068189-F7DC-4E8F-9504-74ADFA428570}"/>
    <cellStyle name="20% - Accent2 22 4 2 6 3" xfId="12151" xr:uid="{D2F1807E-F5CA-4F59-88C0-D25E0F3E14D4}"/>
    <cellStyle name="20% - Accent2 22 4 2 6 3 2" xfId="28355" xr:uid="{0364CF8F-CFA3-4F95-B451-B6357AEA8235}"/>
    <cellStyle name="20% - Accent2 22 4 2 6 4" xfId="20792" xr:uid="{25BE6A72-3B3A-4932-994E-DCDA5449CAEE}"/>
    <cellStyle name="20% - Accent2 22 4 2 7" xfId="5015" xr:uid="{5B896627-1EB8-45C4-B7D1-0D4626CDE903}"/>
    <cellStyle name="20% - Accent2 22 4 2 7 2" xfId="8681" xr:uid="{3B7256C3-7D62-488A-93BF-AB38EF460718}"/>
    <cellStyle name="20% - Accent2 22 4 2 7 2 2" xfId="16188" xr:uid="{55FE99A2-B7DB-407F-8903-C0A03900E5D1}"/>
    <cellStyle name="20% - Accent2 22 4 2 7 2 2 2" xfId="32392" xr:uid="{B58818AF-EE7A-49B2-8DCE-462E7C23C043}"/>
    <cellStyle name="20% - Accent2 22 4 2 7 2 3" xfId="24885" xr:uid="{B5330D87-610A-4AE5-8A52-3BC93C00B529}"/>
    <cellStyle name="20% - Accent2 22 4 2 7 3" xfId="12573" xr:uid="{D506FD55-43BA-46F5-914A-E552FE792E93}"/>
    <cellStyle name="20% - Accent2 22 4 2 7 3 2" xfId="28777" xr:uid="{6D5FE1C2-830D-40F3-BFAA-2A2967E0DAE5}"/>
    <cellStyle name="20% - Accent2 22 4 2 7 4" xfId="21219" xr:uid="{DC4FE83D-D905-44EE-AC09-F7B936C8CA9E}"/>
    <cellStyle name="20% - Accent2 22 4 2 8" xfId="5687" xr:uid="{3DBBD776-45E7-4C9D-B0F2-61F73EFC59C2}"/>
    <cellStyle name="20% - Accent2 22 4 2 8 2" xfId="13202" xr:uid="{E7560744-2E06-4CD1-8A99-F5B25FDA88C1}"/>
    <cellStyle name="20% - Accent2 22 4 2 8 2 2" xfId="29406" xr:uid="{1D58EA1E-E05A-4E83-A088-C762797E7FAE}"/>
    <cellStyle name="20% - Accent2 22 4 2 8 3" xfId="21891" xr:uid="{50267310-2842-4783-8EB2-F35E98D945A3}"/>
    <cellStyle name="20% - Accent2 22 4 2 9" xfId="9614" xr:uid="{904E0584-F7A8-41B4-B513-6A670B608CDE}"/>
    <cellStyle name="20% - Accent2 22 4 2 9 2" xfId="25818" xr:uid="{55882337-5D35-4C2D-97F9-600791100620}"/>
    <cellStyle name="20% - Accent2 22 4 3" xfId="2121" xr:uid="{FB833A78-4021-4B4A-BEC0-C640D142E089}"/>
    <cellStyle name="20% - Accent2 22 4 3 2" xfId="3034" xr:uid="{B770E3C2-E6FD-41A8-B269-5CD3C9B39E3D}"/>
    <cellStyle name="20% - Accent2 22 4 3 2 2" xfId="6816" xr:uid="{0ED7B5EF-6B32-4EE5-8017-80EF4A871597}"/>
    <cellStyle name="20% - Accent2 22 4 3 2 2 2" xfId="14327" xr:uid="{F018E0EC-50DC-4EE6-A520-6D8499B61ACC}"/>
    <cellStyle name="20% - Accent2 22 4 3 2 2 2 2" xfId="30531" xr:uid="{9D0F7ABD-E592-40CC-9C2F-D253F40D81CC}"/>
    <cellStyle name="20% - Accent2 22 4 3 2 2 3" xfId="23020" xr:uid="{E307AD0E-1855-4D10-B301-1EB9766D28EE}"/>
    <cellStyle name="20% - Accent2 22 4 3 2 3" xfId="10727" xr:uid="{7D60933B-3B26-4266-AAE1-0082D7DA0783}"/>
    <cellStyle name="20% - Accent2 22 4 3 2 3 2" xfId="26931" xr:uid="{39E6DCFC-929C-4DC3-AA12-070C202DA42F}"/>
    <cellStyle name="20% - Accent2 22 4 3 2 4" xfId="19254" xr:uid="{4ECB4087-650B-4B71-8C34-076AAD36FB49}"/>
    <cellStyle name="20% - Accent2 22 4 3 3" xfId="5960" xr:uid="{AA743D23-C779-48E6-AB5C-9142B6ABD90F}"/>
    <cellStyle name="20% - Accent2 22 4 3 3 2" xfId="13474" xr:uid="{D613AEC4-5E5B-42A5-BA03-1478A0B4CC7C}"/>
    <cellStyle name="20% - Accent2 22 4 3 3 2 2" xfId="29678" xr:uid="{F4780BBF-CF27-4733-AC3B-E78A0AEFAD06}"/>
    <cellStyle name="20% - Accent2 22 4 3 3 3" xfId="22164" xr:uid="{2EBDC2D9-59ED-4799-AD9D-3288D4953C43}"/>
    <cellStyle name="20% - Accent2 22 4 3 4" xfId="9883" xr:uid="{AFFB9211-A099-4C9D-BB30-BBA2C4F2B8FA}"/>
    <cellStyle name="20% - Accent2 22 4 3 4 2" xfId="26087" xr:uid="{38C9A91F-2979-4D93-BFC3-EDF39A282C82}"/>
    <cellStyle name="20% - Accent2 22 4 3 5" xfId="18408" xr:uid="{CA8CF473-52D3-47BC-8757-82D0401A8C53}"/>
    <cellStyle name="20% - Accent2 22 4 4" xfId="2609" xr:uid="{7FC4C249-F2DE-4196-B212-4B01DE74AAA2}"/>
    <cellStyle name="20% - Accent2 22 4 4 2" xfId="6393" xr:uid="{221B56CC-AA9E-4221-960D-1A048CA1CE4D}"/>
    <cellStyle name="20% - Accent2 22 4 4 2 2" xfId="13905" xr:uid="{72905384-5626-47C0-8443-9758AA25AF02}"/>
    <cellStyle name="20% - Accent2 22 4 4 2 2 2" xfId="30109" xr:uid="{3CF7A4AB-9049-4708-928F-D3778377C166}"/>
    <cellStyle name="20% - Accent2 22 4 4 2 3" xfId="22597" xr:uid="{09A835DE-3A7A-47F2-AC94-CE1063432B92}"/>
    <cellStyle name="20% - Accent2 22 4 4 3" xfId="10305" xr:uid="{7626DBD6-7D0A-4567-B75D-CB4C7FE32A42}"/>
    <cellStyle name="20% - Accent2 22 4 4 3 2" xfId="26509" xr:uid="{20A82814-60D2-446D-932F-34387D606EB1}"/>
    <cellStyle name="20% - Accent2 22 4 4 4" xfId="18831" xr:uid="{112A0841-5AB2-4A0C-BF44-7EE1233ADBAE}"/>
    <cellStyle name="20% - Accent2 22 4 5" xfId="3485" xr:uid="{F3ACEEC2-46ED-49B6-BBF6-228CE119C134}"/>
    <cellStyle name="20% - Accent2 22 4 5 2" xfId="7243" xr:uid="{2347E8E1-ACEA-4A56-8C36-823018B7EF2B}"/>
    <cellStyle name="20% - Accent2 22 4 5 2 2" xfId="14753" xr:uid="{74634ACD-CB3E-47ED-8EBD-3C0A356D2A3F}"/>
    <cellStyle name="20% - Accent2 22 4 5 2 2 2" xfId="30957" xr:uid="{17FBE0C4-5316-4563-BB1A-5587E21C7B28}"/>
    <cellStyle name="20% - Accent2 22 4 5 2 3" xfId="23447" xr:uid="{443219CE-90FD-4E2A-8D14-C5CC4FEF623A}"/>
    <cellStyle name="20% - Accent2 22 4 5 3" xfId="11150" xr:uid="{DA13E7F4-6EEC-46C7-91A4-729BB2007012}"/>
    <cellStyle name="20% - Accent2 22 4 5 3 2" xfId="27354" xr:uid="{D41AA465-7C14-4D37-A281-540CF8AC514B}"/>
    <cellStyle name="20% - Accent2 22 4 5 4" xfId="19701" xr:uid="{5ED6996C-5F3D-4742-950F-47B3D54A2940}"/>
    <cellStyle name="20% - Accent2 22 4 6" xfId="4009" xr:uid="{D246299A-D6B1-4B71-85F9-1E271B9BB51C}"/>
    <cellStyle name="20% - Accent2 22 4 6 2" xfId="7679" xr:uid="{1AC5C5D0-1152-42DF-875E-7C2759AB7A62}"/>
    <cellStyle name="20% - Accent2 22 4 6 2 2" xfId="15186" xr:uid="{9C8FB270-C050-4F6F-9B83-BAB933F4F020}"/>
    <cellStyle name="20% - Accent2 22 4 6 2 2 2" xfId="31390" xr:uid="{70E96DF2-E9B9-43B6-B178-721ABC76B7EA}"/>
    <cellStyle name="20% - Accent2 22 4 6 2 3" xfId="23883" xr:uid="{96B8B5D0-C51B-466F-A98D-6B46FF485400}"/>
    <cellStyle name="20% - Accent2 22 4 6 3" xfId="11572" xr:uid="{9B60452C-7783-4E4B-8E79-1052296D0322}"/>
    <cellStyle name="20% - Accent2 22 4 6 3 2" xfId="27776" xr:uid="{12F61808-49FB-47AA-8A0F-8B0ED783DCC4}"/>
    <cellStyle name="20% - Accent2 22 4 6 4" xfId="20213" xr:uid="{2604DE72-A384-4EA8-8159-B7E78465F668}"/>
    <cellStyle name="20% - Accent2 22 4 7" xfId="4434" xr:uid="{63F65A08-C0B9-42F3-9692-BC29A86598A4}"/>
    <cellStyle name="20% - Accent2 22 4 7 2" xfId="8104" xr:uid="{65222209-C3F8-45BE-8A1D-34ED751B9A18}"/>
    <cellStyle name="20% - Accent2 22 4 7 2 2" xfId="15611" xr:uid="{6A556EE0-8B00-4C2B-B8C6-F9AEE0A0E027}"/>
    <cellStyle name="20% - Accent2 22 4 7 2 2 2" xfId="31815" xr:uid="{609255BB-D97A-4828-9A98-50F376E87219}"/>
    <cellStyle name="20% - Accent2 22 4 7 2 3" xfId="24308" xr:uid="{BE41B070-C94D-4E53-9ADE-2AC4A6639954}"/>
    <cellStyle name="20% - Accent2 22 4 7 3" xfId="11997" xr:uid="{5FE2C5A8-E4AF-4178-8C7B-36695897D78C}"/>
    <cellStyle name="20% - Accent2 22 4 7 3 2" xfId="28201" xr:uid="{908E64F2-BF2A-4B6B-AA5F-C1CA21F2F15E}"/>
    <cellStyle name="20% - Accent2 22 4 7 4" xfId="20638" xr:uid="{CD429209-9FA3-4FC9-B8BF-DB56081385FB}"/>
    <cellStyle name="20% - Accent2 22 4 8" xfId="4859" xr:uid="{BB7700D1-BC59-426F-97B1-901C4C31FA7C}"/>
    <cellStyle name="20% - Accent2 22 4 8 2" xfId="8527" xr:uid="{B3605EBD-82BA-4B0A-AC56-19A43D392E16}"/>
    <cellStyle name="20% - Accent2 22 4 8 2 2" xfId="16034" xr:uid="{197CD74D-6F5D-432B-A7AE-9FF24062480C}"/>
    <cellStyle name="20% - Accent2 22 4 8 2 2 2" xfId="32238" xr:uid="{B5B84CE8-0454-4C20-8926-8A6EF8A42802}"/>
    <cellStyle name="20% - Accent2 22 4 8 2 3" xfId="24731" xr:uid="{531E4391-B443-4E99-A190-B8718ABD657D}"/>
    <cellStyle name="20% - Accent2 22 4 8 3" xfId="12419" xr:uid="{15FE96E2-F35D-486E-8F30-2E0C5590475C}"/>
    <cellStyle name="20% - Accent2 22 4 8 3 2" xfId="28623" xr:uid="{6DF5E287-8BEF-4471-B452-E2A0A09A4F7D}"/>
    <cellStyle name="20% - Accent2 22 4 8 4" xfId="21063" xr:uid="{A3C34A26-62A8-4E27-A926-B8CA7DDE8830}"/>
    <cellStyle name="20% - Accent2 22 4 9" xfId="5345" xr:uid="{08DAB5D6-28D9-4774-8B3C-2C45620D53AF}"/>
    <cellStyle name="20% - Accent2 22 4 9 2" xfId="12894" xr:uid="{30C7593C-42B5-4BC1-AB80-BBD6344C7139}"/>
    <cellStyle name="20% - Accent2 22 4 9 2 2" xfId="29098" xr:uid="{74B20165-47F6-4729-98DC-D062C08BA7D1}"/>
    <cellStyle name="20% - Accent2 22 4 9 3" xfId="21549" xr:uid="{E94089F1-1F03-4660-B14F-863645449179}"/>
    <cellStyle name="20% - Accent2 22 5" xfId="1269" xr:uid="{926BEAEF-09D2-458A-B037-CF9DA932B718}"/>
    <cellStyle name="20% - Accent2 22 6" xfId="1833" xr:uid="{24949E08-A257-44E3-92C7-9ECF65F47D1A}"/>
    <cellStyle name="20% - Accent2 22 6 10" xfId="18138" xr:uid="{4E6435C1-B828-42DC-92CD-C77F6E3317C3}"/>
    <cellStyle name="20% - Accent2 22 6 2" xfId="2342" xr:uid="{BBB71D80-9B3D-4319-859F-47ED0EADC741}"/>
    <cellStyle name="20% - Accent2 22 6 2 2" xfId="3189" xr:uid="{BD2FB828-FF73-43AB-B5FA-AAE779860255}"/>
    <cellStyle name="20% - Accent2 22 6 2 2 2" xfId="6971" xr:uid="{62C9194E-3F7B-4E21-84E3-19CD84B85B6C}"/>
    <cellStyle name="20% - Accent2 22 6 2 2 2 2" xfId="14482" xr:uid="{8697F921-74C2-4225-9D07-9186324046C6}"/>
    <cellStyle name="20% - Accent2 22 6 2 2 2 2 2" xfId="30686" xr:uid="{A098BFF9-2FA1-4282-A3A9-29B6B86F33B8}"/>
    <cellStyle name="20% - Accent2 22 6 2 2 2 3" xfId="23175" xr:uid="{40E0C72C-FCEE-4597-A3BD-5AB52EA02DED}"/>
    <cellStyle name="20% - Accent2 22 6 2 2 3" xfId="10882" xr:uid="{B51735E4-CF4A-4500-8F71-39CDCD7FF7B5}"/>
    <cellStyle name="20% - Accent2 22 6 2 2 3 2" xfId="27086" xr:uid="{C16142AD-9D1A-4A70-84B5-7AD67AA20BBD}"/>
    <cellStyle name="20% - Accent2 22 6 2 2 4" xfId="19409" xr:uid="{5C4D23AD-73D1-46C4-9E0B-F753B762EDDA}"/>
    <cellStyle name="20% - Accent2 22 6 2 3" xfId="6126" xr:uid="{31097012-210D-412E-A91F-532E4C2366DD}"/>
    <cellStyle name="20% - Accent2 22 6 2 3 2" xfId="13638" xr:uid="{DA9BB5EB-BF34-4EDD-A54D-4A1A46E8BBC5}"/>
    <cellStyle name="20% - Accent2 22 6 2 3 2 2" xfId="29842" xr:uid="{80F17682-9CB1-47F7-BD30-BA9D4B26DBFC}"/>
    <cellStyle name="20% - Accent2 22 6 2 3 3" xfId="22330" xr:uid="{852FE62C-F266-42D6-A325-845E6FABB421}"/>
    <cellStyle name="20% - Accent2 22 6 2 4" xfId="10038" xr:uid="{7595294B-B29A-40A7-B74C-B6A0C9C9A5B2}"/>
    <cellStyle name="20% - Accent2 22 6 2 4 2" xfId="26242" xr:uid="{8D02B5B2-7B6C-4915-AFB9-077550AFDAD5}"/>
    <cellStyle name="20% - Accent2 22 6 2 5" xfId="18564" xr:uid="{029E974F-FFDE-44F2-B449-4FE512883EC1}"/>
    <cellStyle name="20% - Accent2 22 6 3" xfId="2764" xr:uid="{FCA38190-7E76-43FA-98A8-A76EC6E2A848}"/>
    <cellStyle name="20% - Accent2 22 6 3 2" xfId="6548" xr:uid="{C91EB29E-E064-4152-ABA2-64997DB49883}"/>
    <cellStyle name="20% - Accent2 22 6 3 2 2" xfId="14060" xr:uid="{123638A7-215D-479C-AFC9-A32F1096E408}"/>
    <cellStyle name="20% - Accent2 22 6 3 2 2 2" xfId="30264" xr:uid="{8D47B276-E67D-4A24-8BF6-75F48D806C5C}"/>
    <cellStyle name="20% - Accent2 22 6 3 2 3" xfId="22752" xr:uid="{3A0D5DB6-430F-4A48-BCE3-6D8630F98003}"/>
    <cellStyle name="20% - Accent2 22 6 3 3" xfId="10460" xr:uid="{797AA325-8D8D-4298-BC9D-C5FE189D9D78}"/>
    <cellStyle name="20% - Accent2 22 6 3 3 2" xfId="26664" xr:uid="{29D94C19-B406-47A5-BA16-B601F8467C02}"/>
    <cellStyle name="20% - Accent2 22 6 3 4" xfId="18986" xr:uid="{8185A3D0-FDE2-4ADB-88DD-4F3A0EFE7C37}"/>
    <cellStyle name="20% - Accent2 22 6 4" xfId="3695" xr:uid="{ACF70062-20F0-4D04-BD0E-6B906D94AF0C}"/>
    <cellStyle name="20% - Accent2 22 6 4 2" xfId="7405" xr:uid="{55519D28-F095-4ABA-B1D4-34E39C1897F3}"/>
    <cellStyle name="20% - Accent2 22 6 4 2 2" xfId="14914" xr:uid="{9EE12AD4-0ABB-44D3-AE4E-69C0BBEC7742}"/>
    <cellStyle name="20% - Accent2 22 6 4 2 2 2" xfId="31118" xr:uid="{878B6ED1-75F1-458D-A6ED-AAF7B191CA59}"/>
    <cellStyle name="20% - Accent2 22 6 4 2 3" xfId="23609" xr:uid="{910D8C22-3FF5-4721-8401-5F70FC078690}"/>
    <cellStyle name="20% - Accent2 22 6 4 3" xfId="11305" xr:uid="{97BE1912-474D-4FC4-BF27-0F4106286C63}"/>
    <cellStyle name="20% - Accent2 22 6 4 3 2" xfId="27509" xr:uid="{CA6D82C4-A78D-4F96-9627-19D392FB0F73}"/>
    <cellStyle name="20% - Accent2 22 6 4 4" xfId="19904" xr:uid="{E05145C1-1A9B-46C0-A8B1-6D769929B9F7}"/>
    <cellStyle name="20% - Accent2 22 6 5" xfId="4164" xr:uid="{BA417B57-19C5-4283-A7A8-824B09A75CB7}"/>
    <cellStyle name="20% - Accent2 22 6 5 2" xfId="7834" xr:uid="{3E155921-E666-4E6A-8252-C8D9670C012D}"/>
    <cellStyle name="20% - Accent2 22 6 5 2 2" xfId="15341" xr:uid="{0CBC2C90-3F46-4FEF-9B91-31AE46BF9D06}"/>
    <cellStyle name="20% - Accent2 22 6 5 2 2 2" xfId="31545" xr:uid="{6C65214D-B3CB-493E-ACCB-AFFF976DBE5B}"/>
    <cellStyle name="20% - Accent2 22 6 5 2 3" xfId="24038" xr:uid="{A57C852B-D745-495B-921A-588D538C7FF7}"/>
    <cellStyle name="20% - Accent2 22 6 5 3" xfId="11727" xr:uid="{9C92203D-5307-4BFB-B32A-310687CA51FA}"/>
    <cellStyle name="20% - Accent2 22 6 5 3 2" xfId="27931" xr:uid="{2897E6C8-D622-48DD-9572-EA6664F1CB64}"/>
    <cellStyle name="20% - Accent2 22 6 5 4" xfId="20368" xr:uid="{774FFC02-6E0D-4B2D-BDBA-0EA04DCAEDAE}"/>
    <cellStyle name="20% - Accent2 22 6 6" xfId="4589" xr:uid="{0116193E-6F77-4A45-9B74-B44E21202BE3}"/>
    <cellStyle name="20% - Accent2 22 6 6 2" xfId="8259" xr:uid="{15576E48-6D1F-4532-999F-CE1F22B59B9C}"/>
    <cellStyle name="20% - Accent2 22 6 6 2 2" xfId="15766" xr:uid="{B4A36072-23C3-4290-8C7C-AD50907DC161}"/>
    <cellStyle name="20% - Accent2 22 6 6 2 2 2" xfId="31970" xr:uid="{A65DEEC5-EB29-4B1E-9C6F-54F7B7E4131A}"/>
    <cellStyle name="20% - Accent2 22 6 6 2 3" xfId="24463" xr:uid="{2B5A3D4D-E581-4461-AF52-B7070A8E908A}"/>
    <cellStyle name="20% - Accent2 22 6 6 3" xfId="12152" xr:uid="{66A6CA02-F792-4175-AD77-2839DB74CEEC}"/>
    <cellStyle name="20% - Accent2 22 6 6 3 2" xfId="28356" xr:uid="{DC3E9B8E-2F47-4FA6-BB6E-80FB5DF9776A}"/>
    <cellStyle name="20% - Accent2 22 6 6 4" xfId="20793" xr:uid="{D3DD87D9-2044-4FC5-8B0D-73BE50AF2F07}"/>
    <cellStyle name="20% - Accent2 22 6 7" xfId="5016" xr:uid="{BF6A842C-F70F-474F-ABAD-98D6C774A353}"/>
    <cellStyle name="20% - Accent2 22 6 7 2" xfId="8682" xr:uid="{1F792C6D-6E94-4023-A693-E7C635DFEDA8}"/>
    <cellStyle name="20% - Accent2 22 6 7 2 2" xfId="16189" xr:uid="{D6FB14F0-5296-4677-B4BC-CFD2EFFC817C}"/>
    <cellStyle name="20% - Accent2 22 6 7 2 2 2" xfId="32393" xr:uid="{65C1F04B-AB41-4F14-9B14-9DAE94E05A11}"/>
    <cellStyle name="20% - Accent2 22 6 7 2 3" xfId="24886" xr:uid="{B4C9C4E8-0E4D-49B1-8955-F690EF2F9131}"/>
    <cellStyle name="20% - Accent2 22 6 7 3" xfId="12574" xr:uid="{AB509CFC-C5D9-424B-962F-BAC254347E8C}"/>
    <cellStyle name="20% - Accent2 22 6 7 3 2" xfId="28778" xr:uid="{0350A3D3-649C-485A-B668-0B01CB235077}"/>
    <cellStyle name="20% - Accent2 22 6 7 4" xfId="21220" xr:uid="{21433297-46E3-474D-AA50-1A5ACE3F4382}"/>
    <cellStyle name="20% - Accent2 22 6 8" xfId="5688" xr:uid="{F62666A0-70D6-449A-947B-CD9229159452}"/>
    <cellStyle name="20% - Accent2 22 6 8 2" xfId="13203" xr:uid="{AF548C98-E5CF-4980-A98C-186E82054974}"/>
    <cellStyle name="20% - Accent2 22 6 8 2 2" xfId="29407" xr:uid="{55858081-7D84-4C4E-9CCE-6BE19A616CD2}"/>
    <cellStyle name="20% - Accent2 22 6 8 3" xfId="21892" xr:uid="{B11E3F6B-A328-4383-9641-3715F6B0E891}"/>
    <cellStyle name="20% - Accent2 22 6 9" xfId="9615" xr:uid="{571BC867-6726-498F-9C33-387597A051E0}"/>
    <cellStyle name="20% - Accent2 22 6 9 2" xfId="25819" xr:uid="{27987E74-4F52-42E9-8FB9-0EBBA7A99F0F}"/>
    <cellStyle name="20% - Accent2 22 7" xfId="2054" xr:uid="{CCC752EA-85A0-43C1-A722-A552D31132CE}"/>
    <cellStyle name="20% - Accent2 22 7 2" xfId="2967" xr:uid="{B930A401-69E4-4CFD-AB53-926EBC860715}"/>
    <cellStyle name="20% - Accent2 22 7 2 2" xfId="6749" xr:uid="{50604FAC-0568-4665-BF7E-A8E7A91F90BC}"/>
    <cellStyle name="20% - Accent2 22 7 2 2 2" xfId="14260" xr:uid="{D17A82D0-B8AD-4BF4-A3D5-E95C5AB2DE3B}"/>
    <cellStyle name="20% - Accent2 22 7 2 2 2 2" xfId="30464" xr:uid="{F075B6F9-1F75-4196-8A6C-7ACA8B2565A4}"/>
    <cellStyle name="20% - Accent2 22 7 2 2 3" xfId="22953" xr:uid="{830F061B-62B9-4D84-AB9A-4E2575D89521}"/>
    <cellStyle name="20% - Accent2 22 7 2 3" xfId="10660" xr:uid="{5E57D57D-7601-4832-B282-BA70759ABE5E}"/>
    <cellStyle name="20% - Accent2 22 7 2 3 2" xfId="26864" xr:uid="{6F0E71F2-16BA-48FB-98DE-EB99606606C7}"/>
    <cellStyle name="20% - Accent2 22 7 2 4" xfId="19187" xr:uid="{96ED495F-A219-4A2E-A672-D13E7D6EBA4A}"/>
    <cellStyle name="20% - Accent2 22 7 3" xfId="5893" xr:uid="{E166D0E9-E7D9-4088-8E42-7CB56F9279DD}"/>
    <cellStyle name="20% - Accent2 22 7 3 2" xfId="13407" xr:uid="{7BBC2A13-D099-4AAB-AD99-075EEA4A874E}"/>
    <cellStyle name="20% - Accent2 22 7 3 2 2" xfId="29611" xr:uid="{B989F22F-CE65-418C-8B99-5EA58DE53FC1}"/>
    <cellStyle name="20% - Accent2 22 7 3 3" xfId="22097" xr:uid="{3C989D51-2FEB-4EA9-82A0-1BFB6FD034ED}"/>
    <cellStyle name="20% - Accent2 22 7 4" xfId="9816" xr:uid="{F52D0E88-CF5B-40FC-A14F-BFC4B886EE78}"/>
    <cellStyle name="20% - Accent2 22 7 4 2" xfId="26020" xr:uid="{E9102257-447A-4F13-8B76-B4194284AC47}"/>
    <cellStyle name="20% - Accent2 22 7 5" xfId="18341" xr:uid="{3D955CDB-0313-417D-903F-E5B83624F3F0}"/>
    <cellStyle name="20% - Accent2 22 8" xfId="2542" xr:uid="{5ED6683F-93E7-4875-86F7-5E14C36F8502}"/>
    <cellStyle name="20% - Accent2 22 8 2" xfId="6326" xr:uid="{2372629C-5504-4D67-BBC7-1CE65C6817B2}"/>
    <cellStyle name="20% - Accent2 22 8 2 2" xfId="13838" xr:uid="{B4A00E0A-7A13-446E-8EC9-2F2C0357438C}"/>
    <cellStyle name="20% - Accent2 22 8 2 2 2" xfId="30042" xr:uid="{698BE052-DD78-4CFB-A967-F515587B3C3C}"/>
    <cellStyle name="20% - Accent2 22 8 2 3" xfId="22530" xr:uid="{83C8F9E3-6910-4A95-B05D-4FCF7EF2234E}"/>
    <cellStyle name="20% - Accent2 22 8 3" xfId="10238" xr:uid="{20F006A9-0D98-4B5C-BD74-67D76FF6FC5E}"/>
    <cellStyle name="20% - Accent2 22 8 3 2" xfId="26442" xr:uid="{FBE7DFD2-2668-4396-BFA0-1A3A56714E08}"/>
    <cellStyle name="20% - Accent2 22 8 4" xfId="18764" xr:uid="{7C69CACE-6950-445A-AD37-F5063DB87BE2}"/>
    <cellStyle name="20% - Accent2 22 9" xfId="3418" xr:uid="{071B940F-DA23-4DE3-A8BE-EBCD2434AB3E}"/>
    <cellStyle name="20% - Accent2 22 9 2" xfId="7176" xr:uid="{FE458FC9-3072-42A3-90E6-7580D5C811ED}"/>
    <cellStyle name="20% - Accent2 22 9 2 2" xfId="14686" xr:uid="{30EC37F6-58F5-4484-BA04-8FFD33FE65FB}"/>
    <cellStyle name="20% - Accent2 22 9 2 2 2" xfId="30890" xr:uid="{4EF541BD-6749-496B-9D88-BA7A63DEA075}"/>
    <cellStyle name="20% - Accent2 22 9 2 3" xfId="23380" xr:uid="{35E46B65-3784-4709-81E2-E27C10D347DB}"/>
    <cellStyle name="20% - Accent2 22 9 3" xfId="11083" xr:uid="{3334BF83-D872-4BA5-AED8-F67CC5364B94}"/>
    <cellStyle name="20% - Accent2 22 9 3 2" xfId="27287" xr:uid="{13190A9B-70DB-452D-9431-C853085A2C77}"/>
    <cellStyle name="20% - Accent2 22 9 4" xfId="19634" xr:uid="{3F02C4D6-4585-4D73-915F-8DFB566D742E}"/>
    <cellStyle name="20% - Accent2 23" xfId="981" xr:uid="{95BC57AC-8D6B-4952-8BC6-61977B65F314}"/>
    <cellStyle name="20% - Accent2 24" xfId="1810" xr:uid="{BDA964F5-5F6D-4B0E-AC79-AF8DD81543DF}"/>
    <cellStyle name="20% - Accent2 24 10" xfId="18115" xr:uid="{84CBDB12-A124-4C40-964A-A65DE0CE5019}"/>
    <cellStyle name="20% - Accent2 24 2" xfId="2319" xr:uid="{16782727-1A34-4D25-B280-791E699D9600}"/>
    <cellStyle name="20% - Accent2 24 2 2" xfId="3166" xr:uid="{1DEFBD70-F488-4EF5-871B-7521A039B273}"/>
    <cellStyle name="20% - Accent2 24 2 2 2" xfId="6948" xr:uid="{8F0F3896-90C1-4EF5-948A-8F8D3B74BB2F}"/>
    <cellStyle name="20% - Accent2 24 2 2 2 2" xfId="14459" xr:uid="{2401D992-05F1-4349-BB5E-EC3E966D9B1B}"/>
    <cellStyle name="20% - Accent2 24 2 2 2 2 2" xfId="30663" xr:uid="{DE6C84AE-5F09-4571-8DEB-F34D6A4A0D40}"/>
    <cellStyle name="20% - Accent2 24 2 2 2 3" xfId="23152" xr:uid="{1D5920EA-0E4F-4406-B271-97330C6F016D}"/>
    <cellStyle name="20% - Accent2 24 2 2 3" xfId="10859" xr:uid="{0FD983E8-DAF3-47D0-952A-156A800DE62E}"/>
    <cellStyle name="20% - Accent2 24 2 2 3 2" xfId="27063" xr:uid="{6C9E0F1B-4DFF-4291-AB90-097787C4B7D9}"/>
    <cellStyle name="20% - Accent2 24 2 2 4" xfId="19386" xr:uid="{DEEC67F3-D150-478F-861B-632ADA3FF859}"/>
    <cellStyle name="20% - Accent2 24 2 3" xfId="6103" xr:uid="{961F1C8B-FC79-4347-80D7-7A71CA54F3CD}"/>
    <cellStyle name="20% - Accent2 24 2 3 2" xfId="13615" xr:uid="{EC0C23D6-AD1E-4B05-A71C-947F73287A7B}"/>
    <cellStyle name="20% - Accent2 24 2 3 2 2" xfId="29819" xr:uid="{B4F20E04-0A7A-4719-A6DE-9656005FA9CC}"/>
    <cellStyle name="20% - Accent2 24 2 3 3" xfId="22307" xr:uid="{BA47333E-90A5-4235-AFAE-C795BD7000CF}"/>
    <cellStyle name="20% - Accent2 24 2 4" xfId="10015" xr:uid="{DD12517D-4B41-4278-AE56-FB85C03CA530}"/>
    <cellStyle name="20% - Accent2 24 2 4 2" xfId="26219" xr:uid="{8CF81D08-49AD-4A99-9277-CFAB2A89ED75}"/>
    <cellStyle name="20% - Accent2 24 2 5" xfId="18541" xr:uid="{9EC3DABD-E2EE-491C-A4A9-78E42D05DA85}"/>
    <cellStyle name="20% - Accent2 24 3" xfId="2741" xr:uid="{D79C071A-0600-4042-BE81-35F238BD8CDE}"/>
    <cellStyle name="20% - Accent2 24 3 2" xfId="6525" xr:uid="{B961D950-DFA2-4E8E-BDA8-A9726EDB5B70}"/>
    <cellStyle name="20% - Accent2 24 3 2 2" xfId="14037" xr:uid="{2197258A-0431-4D7C-9BC1-CFCC6389B4F4}"/>
    <cellStyle name="20% - Accent2 24 3 2 2 2" xfId="30241" xr:uid="{03C45066-2FBC-4DA5-858A-57B2DDAE8D64}"/>
    <cellStyle name="20% - Accent2 24 3 2 3" xfId="22729" xr:uid="{8B9B26B1-0B19-4310-8480-492EF3A1A876}"/>
    <cellStyle name="20% - Accent2 24 3 3" xfId="10437" xr:uid="{13E828CB-29DE-4AE0-96EA-A0293CC157E6}"/>
    <cellStyle name="20% - Accent2 24 3 3 2" xfId="26641" xr:uid="{A890D9AA-0B41-4836-8B86-EAB2498BD779}"/>
    <cellStyle name="20% - Accent2 24 3 4" xfId="18963" xr:uid="{BE2FE772-BA69-4E0C-BCA8-ED6DA6E52488}"/>
    <cellStyle name="20% - Accent2 24 4" xfId="3672" xr:uid="{5C1A6390-923E-426A-B263-E08FB5722B12}"/>
    <cellStyle name="20% - Accent2 24 4 2" xfId="7382" xr:uid="{305F1939-24A3-4FA1-943D-3166C5FBB134}"/>
    <cellStyle name="20% - Accent2 24 4 2 2" xfId="14891" xr:uid="{A79E62F6-8369-4ACA-A6A8-38BA8478513E}"/>
    <cellStyle name="20% - Accent2 24 4 2 2 2" xfId="31095" xr:uid="{86F51BDA-FDCE-4CA4-84AD-22BAFB12DA52}"/>
    <cellStyle name="20% - Accent2 24 4 2 3" xfId="23586" xr:uid="{9AE06A21-E424-417B-A4EC-30D2B04E09CE}"/>
    <cellStyle name="20% - Accent2 24 4 3" xfId="11282" xr:uid="{51DC3150-D820-4230-A8EE-F46F9E54D925}"/>
    <cellStyle name="20% - Accent2 24 4 3 2" xfId="27486" xr:uid="{CBC24A80-D20F-4F7E-9F9D-8A04B0306AE2}"/>
    <cellStyle name="20% - Accent2 24 4 4" xfId="19881" xr:uid="{95A2AAB6-3EDF-4FF1-93A6-E760FD03D509}"/>
    <cellStyle name="20% - Accent2 24 5" xfId="4141" xr:uid="{A5E72A60-9852-4BEF-913F-970D4AA09A43}"/>
    <cellStyle name="20% - Accent2 24 5 2" xfId="7811" xr:uid="{F7B6092D-1596-420F-A5A0-6B30F08BF9E8}"/>
    <cellStyle name="20% - Accent2 24 5 2 2" xfId="15318" xr:uid="{A3EAC210-69BC-4398-9E7B-827F6E6BE498}"/>
    <cellStyle name="20% - Accent2 24 5 2 2 2" xfId="31522" xr:uid="{17104060-830F-49BB-8DC0-2F5F77353C8D}"/>
    <cellStyle name="20% - Accent2 24 5 2 3" xfId="24015" xr:uid="{1FCDD811-761C-4F2B-9434-3EABDAADAECE}"/>
    <cellStyle name="20% - Accent2 24 5 3" xfId="11704" xr:uid="{E0A95E6D-0715-4E96-831A-B355D791CF6F}"/>
    <cellStyle name="20% - Accent2 24 5 3 2" xfId="27908" xr:uid="{CE9B24E6-1584-40CB-AB92-F6EA64F12130}"/>
    <cellStyle name="20% - Accent2 24 5 4" xfId="20345" xr:uid="{C16E0158-2BC7-45B6-A678-1A0C31A955DE}"/>
    <cellStyle name="20% - Accent2 24 6" xfId="4566" xr:uid="{D5EAB8CF-D29C-4C6F-8491-869F7F6FD2D5}"/>
    <cellStyle name="20% - Accent2 24 6 2" xfId="8236" xr:uid="{7B6D2339-8389-43F9-BC45-D439A55BC156}"/>
    <cellStyle name="20% - Accent2 24 6 2 2" xfId="15743" xr:uid="{5438DEE5-92E7-4F80-A866-2DD61CE903A8}"/>
    <cellStyle name="20% - Accent2 24 6 2 2 2" xfId="31947" xr:uid="{1E627866-120C-4E8D-9362-A5DA30AE3F70}"/>
    <cellStyle name="20% - Accent2 24 6 2 3" xfId="24440" xr:uid="{84B53ED1-544C-4B3F-B2B3-95174BC8113E}"/>
    <cellStyle name="20% - Accent2 24 6 3" xfId="12129" xr:uid="{204085BB-B606-41C6-8798-1897F2B99D83}"/>
    <cellStyle name="20% - Accent2 24 6 3 2" xfId="28333" xr:uid="{E27F954F-1207-409E-870F-9AC25CEA43D8}"/>
    <cellStyle name="20% - Accent2 24 6 4" xfId="20770" xr:uid="{D6F94AAD-AE86-4721-B0FC-91FD1847F370}"/>
    <cellStyle name="20% - Accent2 24 7" xfId="4993" xr:uid="{00367A34-921B-46CF-96F0-AEE10FF69054}"/>
    <cellStyle name="20% - Accent2 24 7 2" xfId="8659" xr:uid="{85DD3202-7A3C-4988-883B-BF12427C2372}"/>
    <cellStyle name="20% - Accent2 24 7 2 2" xfId="16166" xr:uid="{F71067E0-2D5D-4A89-9042-27E92A28FB60}"/>
    <cellStyle name="20% - Accent2 24 7 2 2 2" xfId="32370" xr:uid="{7B93F26C-C580-4267-A0D8-73150A6C7210}"/>
    <cellStyle name="20% - Accent2 24 7 2 3" xfId="24863" xr:uid="{2FF71CE0-4B6B-4E7C-BF91-DBDF226D5AB7}"/>
    <cellStyle name="20% - Accent2 24 7 3" xfId="12551" xr:uid="{2B4716C1-D866-4342-A3EE-163BF4818B56}"/>
    <cellStyle name="20% - Accent2 24 7 3 2" xfId="28755" xr:uid="{23FF8976-DFD6-4B94-B895-6AE80CCCAFBB}"/>
    <cellStyle name="20% - Accent2 24 7 4" xfId="21197" xr:uid="{C69F2278-6FE7-4B0D-B2F5-931D92D52339}"/>
    <cellStyle name="20% - Accent2 24 8" xfId="5665" xr:uid="{B0D6D966-4373-408E-B436-CC8093DCC917}"/>
    <cellStyle name="20% - Accent2 24 8 2" xfId="13180" xr:uid="{E588F6B4-6F06-4DBA-81F7-6C8E1C7CCDAF}"/>
    <cellStyle name="20% - Accent2 24 8 2 2" xfId="29384" xr:uid="{33C72E73-AB76-4A4D-A843-5B552D9D3F59}"/>
    <cellStyle name="20% - Accent2 24 8 3" xfId="21869" xr:uid="{49B49B74-F70C-4496-87EF-C119E11CFA15}"/>
    <cellStyle name="20% - Accent2 24 9" xfId="9592" xr:uid="{A1C79D85-8045-4D04-9184-2F8BE1AF4D51}"/>
    <cellStyle name="20% - Accent2 24 9 2" xfId="25796" xr:uid="{768868D6-772E-4828-B990-7C3A25171906}"/>
    <cellStyle name="20% - Accent2 25" xfId="36" xr:uid="{181057FF-ABC1-4F97-BBB6-35F44A098120}"/>
    <cellStyle name="20% - Accent2 26" xfId="16847" xr:uid="{CDE5DD25-5CAE-4A6D-9C11-AE2DF395C613}"/>
    <cellStyle name="20% - Accent2 3" xfId="49" xr:uid="{721C10BA-1C72-4D25-B768-2F97ADE8823C}"/>
    <cellStyle name="20% - Accent2 3 2" xfId="1281" xr:uid="{F943C718-C797-432E-ADCB-F35FC0BFDF9D}"/>
    <cellStyle name="20% - Accent2 3 3" xfId="968" xr:uid="{27A8990C-C0ED-4010-9DE2-4854C32EFF07}"/>
    <cellStyle name="20% - Accent2 4" xfId="50" xr:uid="{1FA96BBE-C948-4788-8AE5-D61CA94D3AE0}"/>
    <cellStyle name="20% - Accent2 4 2" xfId="1282" xr:uid="{AEF41C1A-9268-40AE-A69A-0F4B9E06D710}"/>
    <cellStyle name="20% - Accent2 4 3" xfId="967" xr:uid="{7AABE9A0-517A-4D6D-B87D-0F56A6F63EA5}"/>
    <cellStyle name="20% - Accent2 5" xfId="51" xr:uid="{17831FFC-DBA2-410E-B320-E7CA6EE8DED0}"/>
    <cellStyle name="20% - Accent2 5 2" xfId="1283" xr:uid="{02F9CE6A-9FC2-4E22-A5FB-FAC96F9A1FDD}"/>
    <cellStyle name="20% - Accent2 5 3" xfId="966" xr:uid="{83FB1523-35F2-41CC-BB2A-F93F025A8011}"/>
    <cellStyle name="20% - Accent2 6" xfId="52" xr:uid="{B2C9C7A9-B6AC-42EE-947A-8DF4E95E6601}"/>
    <cellStyle name="20% - Accent2 6 2" xfId="1284" xr:uid="{9FE05EAB-26BE-4C90-B06A-12C6C35A9C91}"/>
    <cellStyle name="20% - Accent2 6 3" xfId="965" xr:uid="{89B01CA2-8E80-4F84-B9D3-41E112326C3F}"/>
    <cellStyle name="20% - Accent2 7" xfId="53" xr:uid="{EC232DFD-D0FB-43C2-A0AB-3C1E87BD3736}"/>
    <cellStyle name="20% - Accent2 7 2" xfId="1285" xr:uid="{1A9CEEBE-08FD-4471-AB9E-0B4CAA29D13D}"/>
    <cellStyle name="20% - Accent2 7 3" xfId="964" xr:uid="{31F8BA12-8D4D-473B-839B-CB167406C4EA}"/>
    <cellStyle name="20% - Accent2 8" xfId="54" xr:uid="{372B56D0-8DBF-4950-966D-282142126042}"/>
    <cellStyle name="20% - Accent2 8 2" xfId="1286" xr:uid="{6F071C4D-B41D-4439-8478-05F3E70746BE}"/>
    <cellStyle name="20% - Accent2 8 3" xfId="963" xr:uid="{C03E39B1-05B0-4C58-99FC-4FDA889881DD}"/>
    <cellStyle name="20% - Accent2 9" xfId="55" xr:uid="{74A79601-43CE-432F-AFC4-6A11DD2FE02A}"/>
    <cellStyle name="20% - Accent2 9 2" xfId="1287" xr:uid="{7F1A09D1-4313-4BF9-8965-A3B12AD61BE2}"/>
    <cellStyle name="20% - Accent2 9 3" xfId="962" xr:uid="{8A6A6650-C8E0-426D-BC9F-71AB967B30BF}"/>
    <cellStyle name="20% - Accent3 10" xfId="57" xr:uid="{3D181906-C0EF-4C05-A026-A5B7471AF0D1}"/>
    <cellStyle name="20% - Accent3 10 2" xfId="1289" xr:uid="{6C3C2651-0001-4D1A-9FE5-2CE02C629CE1}"/>
    <cellStyle name="20% - Accent3 10 3" xfId="960" xr:uid="{6496F5FF-55CE-47BB-AB9B-D5898EA3600E}"/>
    <cellStyle name="20% - Accent3 11" xfId="58" xr:uid="{FC42D1DF-7678-46A7-B041-54A61B59B7DB}"/>
    <cellStyle name="20% - Accent3 11 2" xfId="1290" xr:uid="{7299B8FA-F47F-4747-98E4-20D8D416023B}"/>
    <cellStyle name="20% - Accent3 11 3" xfId="959" xr:uid="{5400AE69-C42D-4D66-A2B3-D464864760A9}"/>
    <cellStyle name="20% - Accent3 12" xfId="59" xr:uid="{E9E392A8-B422-4F60-B745-418EAC9EE030}"/>
    <cellStyle name="20% - Accent3 12 2" xfId="1291" xr:uid="{B19042FD-A17B-400C-9922-3912DC34B387}"/>
    <cellStyle name="20% - Accent3 12 3" xfId="958" xr:uid="{32F396CA-8C23-44CA-91F4-C27EC18E82DB}"/>
    <cellStyle name="20% - Accent3 13" xfId="60" xr:uid="{7E8B5062-D861-46D5-8462-7FDF96245B4A}"/>
    <cellStyle name="20% - Accent3 13 2" xfId="1292" xr:uid="{94AEB59B-3097-4123-B175-1C4305881328}"/>
    <cellStyle name="20% - Accent3 13 3" xfId="957" xr:uid="{0C0D4500-27BB-44DE-9097-B62D2CD461E7}"/>
    <cellStyle name="20% - Accent3 14" xfId="61" xr:uid="{9B7BC9D4-53AA-4B54-B08A-1C6BC293AE8B}"/>
    <cellStyle name="20% - Accent3 14 2" xfId="1293" xr:uid="{2B7111F6-CEA9-47B6-9603-359631E35ECB}"/>
    <cellStyle name="20% - Accent3 14 3" xfId="956" xr:uid="{6FE68E97-3C7D-4C62-BEEE-BBC61047C2F0}"/>
    <cellStyle name="20% - Accent3 15" xfId="62" xr:uid="{61AA99CD-0044-4F5C-B6BA-7833D213C987}"/>
    <cellStyle name="20% - Accent3 15 2" xfId="1294" xr:uid="{2897249F-4AE8-49A3-910E-83D27C2FDFA4}"/>
    <cellStyle name="20% - Accent3 15 3" xfId="955" xr:uid="{AB3C5799-AAC3-4ACD-8A9B-508DCA7D4928}"/>
    <cellStyle name="20% - Accent3 16" xfId="63" xr:uid="{6F76AD6F-D4AB-485D-A104-5DCAD43CB720}"/>
    <cellStyle name="20% - Accent3 16 2" xfId="1295" xr:uid="{1CF8F459-23BF-4EBA-A08D-B9B17CE394DF}"/>
    <cellStyle name="20% - Accent3 16 3" xfId="954" xr:uid="{18E16FB9-4366-4E53-816F-43098CF5DDCE}"/>
    <cellStyle name="20% - Accent3 17" xfId="64" xr:uid="{2404203F-7885-43B7-A024-A3D17EBF8ED3}"/>
    <cellStyle name="20% - Accent3 17 2" xfId="1296" xr:uid="{44E88E54-4C79-48B8-A9C8-C536D1CAE576}"/>
    <cellStyle name="20% - Accent3 17 3" xfId="953" xr:uid="{4E8A4362-DAC9-452F-A1F4-3B14BFCD8AD7}"/>
    <cellStyle name="20% - Accent3 18" xfId="65" xr:uid="{9C6635AE-3D7B-4BA0-962B-13FDB384783B}"/>
    <cellStyle name="20% - Accent3 18 2" xfId="1297" xr:uid="{ED24F9F8-EC13-43FE-9664-18CD4A81D22D}"/>
    <cellStyle name="20% - Accent3 18 3" xfId="952" xr:uid="{F55ECD58-FC9E-4C0E-881D-A74D4EBF45DB}"/>
    <cellStyle name="20% - Accent3 19" xfId="66" xr:uid="{CDD800CF-6A80-4C05-B53A-375B3F427799}"/>
    <cellStyle name="20% - Accent3 19 2" xfId="1298" xr:uid="{7E4DF8F4-3E5F-45D2-8B14-7A8E11B7E821}"/>
    <cellStyle name="20% - Accent3 19 3" xfId="951" xr:uid="{BCD1A8D4-BD27-4AD2-ADC6-EF2758B4DB28}"/>
    <cellStyle name="20% - Accent3 2" xfId="67" xr:uid="{86AB2ADE-C914-48F9-BD19-D19817E2E479}"/>
    <cellStyle name="20% - Accent3 2 2" xfId="1299" xr:uid="{F0930F2D-8C76-4AB6-9F18-CA8D46ADDF9F}"/>
    <cellStyle name="20% - Accent3 2 3" xfId="950" xr:uid="{9FA635A5-F859-4D06-9667-7D2420CDB170}"/>
    <cellStyle name="20% - Accent3 20" xfId="68" xr:uid="{153B3A22-F5ED-4446-AED5-1DBB882E58BA}"/>
    <cellStyle name="20% - Accent3 20 2" xfId="1300" xr:uid="{FC03DADD-BCB4-4BF2-99FA-9D496C2AC3DA}"/>
    <cellStyle name="20% - Accent3 20 3" xfId="949" xr:uid="{879C746C-B4F5-4830-91B0-7BF323266173}"/>
    <cellStyle name="20% - Accent3 21" xfId="404" xr:uid="{96A918B2-5023-477D-B9C8-73094F11DD3A}"/>
    <cellStyle name="20% - Accent3 21 2" xfId="683" xr:uid="{D038B0DD-8E81-4218-9C2F-EF6DF782BE2A}"/>
    <cellStyle name="20% - Accent3 22" xfId="474" xr:uid="{2B03FA84-5295-44AD-8D2D-91CACB80A40E}"/>
    <cellStyle name="20% - Accent3 22 10" xfId="3944" xr:uid="{1D6D0817-998D-439E-8780-929126AFF97F}"/>
    <cellStyle name="20% - Accent3 22 10 2" xfId="7614" xr:uid="{762064FF-CA54-4966-B07C-445849CC2532}"/>
    <cellStyle name="20% - Accent3 22 10 2 2" xfId="15121" xr:uid="{56E615E5-F375-4323-BC16-C601A8BD393C}"/>
    <cellStyle name="20% - Accent3 22 10 2 2 2" xfId="31325" xr:uid="{A112E2A2-B3F5-4118-A0C3-7A5AA5FF8E89}"/>
    <cellStyle name="20% - Accent3 22 10 2 3" xfId="23818" xr:uid="{AD580358-6E29-4F8B-9B2C-908538B2EFE5}"/>
    <cellStyle name="20% - Accent3 22 10 3" xfId="11507" xr:uid="{E16AF33F-A360-4B7F-A1BD-F6F56DDE2F47}"/>
    <cellStyle name="20% - Accent3 22 10 3 2" xfId="27711" xr:uid="{C05D916F-93E7-4AAA-87B1-AD8B96C2BFB3}"/>
    <cellStyle name="20% - Accent3 22 10 4" xfId="20148" xr:uid="{6B6E03D5-2AEF-4C62-BADE-638E37D2875E}"/>
    <cellStyle name="20% - Accent3 22 11" xfId="4369" xr:uid="{5B4EA0CE-DFDB-4186-9731-34184952620B}"/>
    <cellStyle name="20% - Accent3 22 11 2" xfId="8039" xr:uid="{63B4C206-977E-4770-AE1A-F494D94F534C}"/>
    <cellStyle name="20% - Accent3 22 11 2 2" xfId="15546" xr:uid="{64F580A9-391E-486E-82D0-A96138DEA7FB}"/>
    <cellStyle name="20% - Accent3 22 11 2 2 2" xfId="31750" xr:uid="{CDEAF0AC-E6B7-4E29-9A16-7B02503A2ACD}"/>
    <cellStyle name="20% - Accent3 22 11 2 3" xfId="24243" xr:uid="{3545300F-32FE-4F95-80F9-A1BB27889A45}"/>
    <cellStyle name="20% - Accent3 22 11 3" xfId="11932" xr:uid="{E1376558-6EEC-44C8-A340-7526F7B1DBFF}"/>
    <cellStyle name="20% - Accent3 22 11 3 2" xfId="28136" xr:uid="{5200F708-ECF7-4C89-B091-C8E05B727D26}"/>
    <cellStyle name="20% - Accent3 22 11 4" xfId="20573" xr:uid="{7DF65BB1-3A8C-4C1B-B313-6982012D3310}"/>
    <cellStyle name="20% - Accent3 22 12" xfId="4792" xr:uid="{54C490E6-BE6A-404C-979B-31C7BEF644CF}"/>
    <cellStyle name="20% - Accent3 22 12 2" xfId="8461" xr:uid="{A667419F-B38A-4ED4-9819-7BCE9942599F}"/>
    <cellStyle name="20% - Accent3 22 12 2 2" xfId="15968" xr:uid="{73F10D64-F2CE-4FD4-9938-2AD28DECE9C4}"/>
    <cellStyle name="20% - Accent3 22 12 2 2 2" xfId="32172" xr:uid="{80E9CDBD-A134-45C2-92E2-D7E015338A23}"/>
    <cellStyle name="20% - Accent3 22 12 2 3" xfId="24665" xr:uid="{915C812E-11E6-4F17-895C-683C77069074}"/>
    <cellStyle name="20% - Accent3 22 12 3" xfId="12354" xr:uid="{BB57AB33-005F-48F2-BEE8-CAD86F4EFD39}"/>
    <cellStyle name="20% - Accent3 22 12 3 2" xfId="28558" xr:uid="{B36FB220-C896-42A8-AC63-FCAC9A663E5C}"/>
    <cellStyle name="20% - Accent3 22 12 4" xfId="20996" xr:uid="{6A7A2BF1-51AE-41D1-8ED1-4190046695FE}"/>
    <cellStyle name="20% - Accent3 22 13" xfId="5279" xr:uid="{30813A51-E524-435D-AFB7-60AF3869778C}"/>
    <cellStyle name="20% - Accent3 22 13 2" xfId="12828" xr:uid="{08822F9F-3D3E-4122-AEB7-331410EBCE54}"/>
    <cellStyle name="20% - Accent3 22 13 2 2" xfId="29032" xr:uid="{75972F6C-C1F7-4BC3-81CD-71850F0BA31D}"/>
    <cellStyle name="20% - Accent3 22 13 3" xfId="21483" xr:uid="{2FC69837-FAFB-493B-9E42-E7A53CDED429}"/>
    <cellStyle name="20% - Accent3 22 14" xfId="9395" xr:uid="{899F5245-AAFC-45DE-B2C3-F24C71BB6F81}"/>
    <cellStyle name="20% - Accent3 22 14 2" xfId="25599" xr:uid="{BCA600FF-69F0-4F53-9AF4-2FCB2E18CA79}"/>
    <cellStyle name="20% - Accent3 22 15" xfId="17909" xr:uid="{30531A31-ED93-441A-92D0-6738FB5D871C}"/>
    <cellStyle name="20% - Accent3 22 2" xfId="505" xr:uid="{DE6AE710-85C8-4368-9BD8-0B9247D26238}"/>
    <cellStyle name="20% - Accent3 22 2 10" xfId="5302" xr:uid="{9DBB39E3-32B6-4551-AD36-05E77689A24B}"/>
    <cellStyle name="20% - Accent3 22 2 10 2" xfId="12851" xr:uid="{1F19F037-A40A-4BD0-9D68-1328A0AE481B}"/>
    <cellStyle name="20% - Accent3 22 2 10 2 2" xfId="29055" xr:uid="{36469DE3-487A-4E39-ABC0-EC659CD1D1DC}"/>
    <cellStyle name="20% - Accent3 22 2 10 3" xfId="21506" xr:uid="{47DB49EF-FBCB-4BEA-8368-5CDFBC89A4B4}"/>
    <cellStyle name="20% - Accent3 22 2 11" xfId="9417" xr:uid="{B963E746-89F0-4DBF-9065-5E7422FA2B3D}"/>
    <cellStyle name="20% - Accent3 22 2 11 2" xfId="25621" xr:uid="{CFBE9D2E-C323-416C-839D-3CB5A8BBF3A0}"/>
    <cellStyle name="20% - Accent3 22 2 12" xfId="17932" xr:uid="{4A036A87-4B20-4BCD-A10E-AEB3730CA1A1}"/>
    <cellStyle name="20% - Accent3 22 2 2" xfId="576" xr:uid="{D21E8F6E-7EC6-4CB0-A121-2519741CC29E}"/>
    <cellStyle name="20% - Accent3 22 2 2 10" xfId="9484" xr:uid="{660B2329-5094-4B86-A032-601A8D136ABA}"/>
    <cellStyle name="20% - Accent3 22 2 2 10 2" xfId="25688" xr:uid="{5AEA6DA4-C0B3-4174-8BAD-FBB27112789B}"/>
    <cellStyle name="20% - Accent3 22 2 2 11" xfId="18000" xr:uid="{C27F26B6-9676-4897-B69B-1D501271E132}"/>
    <cellStyle name="20% - Accent3 22 2 2 2" xfId="1834" xr:uid="{F8305CCF-8744-467E-905A-7A7B578BC517}"/>
    <cellStyle name="20% - Accent3 22 2 2 2 10" xfId="18139" xr:uid="{12EB550A-2EF9-4E42-B80C-5868C2AF89C9}"/>
    <cellStyle name="20% - Accent3 22 2 2 2 2" xfId="2343" xr:uid="{7DC2DF2F-9DE4-425B-BA56-7FCC2F9042E7}"/>
    <cellStyle name="20% - Accent3 22 2 2 2 2 2" xfId="3190" xr:uid="{0CA2695D-496A-4CAB-BDD5-EBE0E922492B}"/>
    <cellStyle name="20% - Accent3 22 2 2 2 2 2 2" xfId="6972" xr:uid="{245E7F9B-1100-47E6-8CFC-002F440B01D9}"/>
    <cellStyle name="20% - Accent3 22 2 2 2 2 2 2 2" xfId="14483" xr:uid="{D6FF7593-3539-4185-81E8-EF2CA88C9C13}"/>
    <cellStyle name="20% - Accent3 22 2 2 2 2 2 2 2 2" xfId="30687" xr:uid="{8F27B2C8-7F61-442D-AF1A-8B69DD513367}"/>
    <cellStyle name="20% - Accent3 22 2 2 2 2 2 2 3" xfId="23176" xr:uid="{68D38D5C-3F4E-4E55-BE23-43AC79BE5B8A}"/>
    <cellStyle name="20% - Accent3 22 2 2 2 2 2 3" xfId="10883" xr:uid="{0A6FE9E1-396F-4975-9A79-4523C556B2FF}"/>
    <cellStyle name="20% - Accent3 22 2 2 2 2 2 3 2" xfId="27087" xr:uid="{7E0DFDF9-5157-4BDD-9A7A-6271319A9EAC}"/>
    <cellStyle name="20% - Accent3 22 2 2 2 2 2 4" xfId="19410" xr:uid="{E2925526-3BFD-4B8D-B8CD-7CE2AEDA3FE6}"/>
    <cellStyle name="20% - Accent3 22 2 2 2 2 3" xfId="6127" xr:uid="{5BF845AA-538C-4310-9D84-E2B303B3A4CF}"/>
    <cellStyle name="20% - Accent3 22 2 2 2 2 3 2" xfId="13639" xr:uid="{F62CAB1F-9958-4E88-B055-8C9D344F6DDA}"/>
    <cellStyle name="20% - Accent3 22 2 2 2 2 3 2 2" xfId="29843" xr:uid="{240FB023-D312-4225-BCFE-24E2FC353683}"/>
    <cellStyle name="20% - Accent3 22 2 2 2 2 3 3" xfId="22331" xr:uid="{8FEA288E-F845-42DE-A414-197FD403C705}"/>
    <cellStyle name="20% - Accent3 22 2 2 2 2 4" xfId="10039" xr:uid="{60BA303A-D2B5-4711-9E4A-751A58B26BDC}"/>
    <cellStyle name="20% - Accent3 22 2 2 2 2 4 2" xfId="26243" xr:uid="{432DF2A1-19AF-49E6-8B5C-0D5391601AFB}"/>
    <cellStyle name="20% - Accent3 22 2 2 2 2 5" xfId="18565" xr:uid="{FAAFEEDB-8067-460D-9EF1-25A37689331E}"/>
    <cellStyle name="20% - Accent3 22 2 2 2 3" xfId="2765" xr:uid="{13BF6A6C-13CF-4F83-B52F-2C8CF1C3A877}"/>
    <cellStyle name="20% - Accent3 22 2 2 2 3 2" xfId="6549" xr:uid="{38EE5F77-3526-49C1-BD32-8E026E4C79C0}"/>
    <cellStyle name="20% - Accent3 22 2 2 2 3 2 2" xfId="14061" xr:uid="{A64DA692-564D-4D58-9219-353202D22F8B}"/>
    <cellStyle name="20% - Accent3 22 2 2 2 3 2 2 2" xfId="30265" xr:uid="{394B7B66-F6D4-40A2-AEF7-5D3F1EF0AE19}"/>
    <cellStyle name="20% - Accent3 22 2 2 2 3 2 3" xfId="22753" xr:uid="{5657F41F-2C5D-4CA1-B5F8-0961300C7812}"/>
    <cellStyle name="20% - Accent3 22 2 2 2 3 3" xfId="10461" xr:uid="{FA4B5B2A-598E-4BA7-A5DF-D2112E079B6B}"/>
    <cellStyle name="20% - Accent3 22 2 2 2 3 3 2" xfId="26665" xr:uid="{B89F6505-11A0-461F-94AF-F1C210081318}"/>
    <cellStyle name="20% - Accent3 22 2 2 2 3 4" xfId="18987" xr:uid="{B5EDCD6A-7620-4B27-AB8F-896E43E2B532}"/>
    <cellStyle name="20% - Accent3 22 2 2 2 4" xfId="3696" xr:uid="{027927C7-E609-4DAA-9314-8BD91C486BD2}"/>
    <cellStyle name="20% - Accent3 22 2 2 2 4 2" xfId="7406" xr:uid="{B4BE5E7F-8E08-4FDB-8EA2-2B98B3E00E44}"/>
    <cellStyle name="20% - Accent3 22 2 2 2 4 2 2" xfId="14915" xr:uid="{D78C216F-8153-4B8D-BE22-7DFFC4C03D3C}"/>
    <cellStyle name="20% - Accent3 22 2 2 2 4 2 2 2" xfId="31119" xr:uid="{A5D5B2B1-AC5F-4FAE-8BC1-98AE0B570473}"/>
    <cellStyle name="20% - Accent3 22 2 2 2 4 2 3" xfId="23610" xr:uid="{F0BFC888-AB97-4668-AA44-6A33F0575C76}"/>
    <cellStyle name="20% - Accent3 22 2 2 2 4 3" xfId="11306" xr:uid="{76778784-4695-4BCC-BAD0-57BBEBB748EC}"/>
    <cellStyle name="20% - Accent3 22 2 2 2 4 3 2" xfId="27510" xr:uid="{864E684F-5B9B-48B1-B432-61FB208E5FF8}"/>
    <cellStyle name="20% - Accent3 22 2 2 2 4 4" xfId="19905" xr:uid="{32D07D16-573A-4771-8E0E-A7A80FD3AF11}"/>
    <cellStyle name="20% - Accent3 22 2 2 2 5" xfId="4165" xr:uid="{2152B768-5F03-458C-9540-11C32A47A3EB}"/>
    <cellStyle name="20% - Accent3 22 2 2 2 5 2" xfId="7835" xr:uid="{4AB87B56-A3CA-4F86-A43F-829E94BCF99E}"/>
    <cellStyle name="20% - Accent3 22 2 2 2 5 2 2" xfId="15342" xr:uid="{F400FE76-B5AE-47C5-A105-F4A2E66E18D8}"/>
    <cellStyle name="20% - Accent3 22 2 2 2 5 2 2 2" xfId="31546" xr:uid="{D642A4B6-1FBF-4614-8C04-402A7227C2D7}"/>
    <cellStyle name="20% - Accent3 22 2 2 2 5 2 3" xfId="24039" xr:uid="{023CB515-E6E7-4F42-A97E-0803CD0BB038}"/>
    <cellStyle name="20% - Accent3 22 2 2 2 5 3" xfId="11728" xr:uid="{EF7AA32C-BD9B-4AD0-8202-292C653BF1D7}"/>
    <cellStyle name="20% - Accent3 22 2 2 2 5 3 2" xfId="27932" xr:uid="{07471400-7851-452D-9BB7-F29F7D7AE690}"/>
    <cellStyle name="20% - Accent3 22 2 2 2 5 4" xfId="20369" xr:uid="{44961460-44E8-4769-A5AE-67184ED149C7}"/>
    <cellStyle name="20% - Accent3 22 2 2 2 6" xfId="4590" xr:uid="{5755FA05-7018-4C57-8B19-D7B519523FEB}"/>
    <cellStyle name="20% - Accent3 22 2 2 2 6 2" xfId="8260" xr:uid="{0C1D9260-07A2-4D30-B9BD-E518F6D291F2}"/>
    <cellStyle name="20% - Accent3 22 2 2 2 6 2 2" xfId="15767" xr:uid="{8ABCCCF9-394D-49A1-9E77-3C9F1ABD0476}"/>
    <cellStyle name="20% - Accent3 22 2 2 2 6 2 2 2" xfId="31971" xr:uid="{F9EED0BF-ADEE-406F-B540-2A586EF7EF2E}"/>
    <cellStyle name="20% - Accent3 22 2 2 2 6 2 3" xfId="24464" xr:uid="{C96FB092-DA9F-4490-B70E-AA3C50588999}"/>
    <cellStyle name="20% - Accent3 22 2 2 2 6 3" xfId="12153" xr:uid="{0AC1C6C1-EC62-4118-940A-5C5307E0E7D2}"/>
    <cellStyle name="20% - Accent3 22 2 2 2 6 3 2" xfId="28357" xr:uid="{8F57C082-1FC2-4E08-AA75-EAE0C99F1B14}"/>
    <cellStyle name="20% - Accent3 22 2 2 2 6 4" xfId="20794" xr:uid="{8BA2A728-CD54-4CDE-AEE8-0236F12DB1ED}"/>
    <cellStyle name="20% - Accent3 22 2 2 2 7" xfId="5017" xr:uid="{4FF82F43-F92D-4E2E-81A5-900D8E811236}"/>
    <cellStyle name="20% - Accent3 22 2 2 2 7 2" xfId="8683" xr:uid="{33934404-501E-46F9-A53A-83457C039CE6}"/>
    <cellStyle name="20% - Accent3 22 2 2 2 7 2 2" xfId="16190" xr:uid="{AC3BAB85-4A1D-4740-9F99-213A6E02DE20}"/>
    <cellStyle name="20% - Accent3 22 2 2 2 7 2 2 2" xfId="32394" xr:uid="{5C56DB8F-5424-4929-9D0B-C97FF7E652EC}"/>
    <cellStyle name="20% - Accent3 22 2 2 2 7 2 3" xfId="24887" xr:uid="{55B4E131-B985-4B7E-9350-F2F47327C648}"/>
    <cellStyle name="20% - Accent3 22 2 2 2 7 3" xfId="12575" xr:uid="{AAFC5648-5131-4EA8-865F-81FCA8A21BAE}"/>
    <cellStyle name="20% - Accent3 22 2 2 2 7 3 2" xfId="28779" xr:uid="{BD3E5207-4A14-4626-8B7F-30BFEDA92914}"/>
    <cellStyle name="20% - Accent3 22 2 2 2 7 4" xfId="21221" xr:uid="{30921749-0B1E-4C71-8C57-99BD390D7C24}"/>
    <cellStyle name="20% - Accent3 22 2 2 2 8" xfId="5689" xr:uid="{A9EF240D-B0D6-4C80-877B-EEF2FD708741}"/>
    <cellStyle name="20% - Accent3 22 2 2 2 8 2" xfId="13204" xr:uid="{6F3DE2F2-6B8E-4834-96C5-1D1BE7FECE8A}"/>
    <cellStyle name="20% - Accent3 22 2 2 2 8 2 2" xfId="29408" xr:uid="{CF78896D-55F6-44EF-AEE7-7DEB5B7570AB}"/>
    <cellStyle name="20% - Accent3 22 2 2 2 8 3" xfId="21893" xr:uid="{F1488D4D-33C1-4729-AAF2-BDDF11140669}"/>
    <cellStyle name="20% - Accent3 22 2 2 2 9" xfId="9616" xr:uid="{A690805E-A2BC-4C1C-B0F4-A84F7107BB52}"/>
    <cellStyle name="20% - Accent3 22 2 2 2 9 2" xfId="25820" xr:uid="{47360B20-81A2-48B3-B3CD-4A5264D969B4}"/>
    <cellStyle name="20% - Accent3 22 2 2 3" xfId="2145" xr:uid="{F3A6ED69-DC7A-417C-9087-B74C32F82539}"/>
    <cellStyle name="20% - Accent3 22 2 2 3 2" xfId="3058" xr:uid="{D5F2F33E-5A06-449D-B90B-048E173330F0}"/>
    <cellStyle name="20% - Accent3 22 2 2 3 2 2" xfId="6840" xr:uid="{A2E0AC07-AFBD-41F6-89E3-D2BF3DC42E4F}"/>
    <cellStyle name="20% - Accent3 22 2 2 3 2 2 2" xfId="14351" xr:uid="{E84A35C0-965A-4C43-A0F2-85FED97D2BD1}"/>
    <cellStyle name="20% - Accent3 22 2 2 3 2 2 2 2" xfId="30555" xr:uid="{B98CAC17-90C8-4165-A5DB-99ADC84CAF63}"/>
    <cellStyle name="20% - Accent3 22 2 2 3 2 2 3" xfId="23044" xr:uid="{F1AEF1BE-CAE7-413B-BA53-890BF18B1D4F}"/>
    <cellStyle name="20% - Accent3 22 2 2 3 2 3" xfId="10751" xr:uid="{8A79F0AD-F4F4-425E-AA67-0FC78BF11F3A}"/>
    <cellStyle name="20% - Accent3 22 2 2 3 2 3 2" xfId="26955" xr:uid="{6E4FCB9D-E839-4EC1-9053-D3CF1F96C2C8}"/>
    <cellStyle name="20% - Accent3 22 2 2 3 2 4" xfId="19278" xr:uid="{6B1E5B86-7238-4025-BE29-F928B5BB3294}"/>
    <cellStyle name="20% - Accent3 22 2 2 3 3" xfId="5984" xr:uid="{972320CE-927F-4AFA-8265-0A16998F49C2}"/>
    <cellStyle name="20% - Accent3 22 2 2 3 3 2" xfId="13498" xr:uid="{D6302945-6785-49A6-A0DD-026124DB18A6}"/>
    <cellStyle name="20% - Accent3 22 2 2 3 3 2 2" xfId="29702" xr:uid="{DFBF8689-3130-44F1-A992-AA62CBD8772B}"/>
    <cellStyle name="20% - Accent3 22 2 2 3 3 3" xfId="22188" xr:uid="{1E56ADCE-1388-48AB-A079-03572A50A896}"/>
    <cellStyle name="20% - Accent3 22 2 2 3 4" xfId="9907" xr:uid="{0A5B08F6-726B-4DBA-BC4A-D82A6A8EE632}"/>
    <cellStyle name="20% - Accent3 22 2 2 3 4 2" xfId="26111" xr:uid="{876A29D8-A908-4244-8FC5-17179036DCC5}"/>
    <cellStyle name="20% - Accent3 22 2 2 3 5" xfId="18432" xr:uid="{232C304D-66E7-4BB1-BBC6-4FD6B9CF28F2}"/>
    <cellStyle name="20% - Accent3 22 2 2 4" xfId="2633" xr:uid="{0544F254-A0AD-4114-AC43-403F1A10CC92}"/>
    <cellStyle name="20% - Accent3 22 2 2 4 2" xfId="6417" xr:uid="{A53450DE-3CC6-408A-8AFA-F99C241718C6}"/>
    <cellStyle name="20% - Accent3 22 2 2 4 2 2" xfId="13929" xr:uid="{065D93FB-7100-4958-843B-880A24FA3E03}"/>
    <cellStyle name="20% - Accent3 22 2 2 4 2 2 2" xfId="30133" xr:uid="{66A0E33D-A5E2-41E3-A23C-8A95E6E8125D}"/>
    <cellStyle name="20% - Accent3 22 2 2 4 2 3" xfId="22621" xr:uid="{9EC76B6E-28AC-42BB-B8E7-1289A8434670}"/>
    <cellStyle name="20% - Accent3 22 2 2 4 3" xfId="10329" xr:uid="{DBB3C0E1-DF9E-49C0-907E-2C65361DE626}"/>
    <cellStyle name="20% - Accent3 22 2 2 4 3 2" xfId="26533" xr:uid="{0EDCF353-4F58-4A9D-B0E5-1082372DC60C}"/>
    <cellStyle name="20% - Accent3 22 2 2 4 4" xfId="18855" xr:uid="{34B5E632-4C4F-438B-BD02-10137BB46CE2}"/>
    <cellStyle name="20% - Accent3 22 2 2 5" xfId="3509" xr:uid="{DB51FF14-5DB3-48D9-A833-D8CC6285ECB5}"/>
    <cellStyle name="20% - Accent3 22 2 2 5 2" xfId="7267" xr:uid="{189C16D6-3DA9-45A6-9108-1842162D2090}"/>
    <cellStyle name="20% - Accent3 22 2 2 5 2 2" xfId="14777" xr:uid="{5E237CAE-2D0C-47A8-B02C-B6001E2A5100}"/>
    <cellStyle name="20% - Accent3 22 2 2 5 2 2 2" xfId="30981" xr:uid="{D7CD5AF8-F567-41B9-9093-0CE62D82E1F7}"/>
    <cellStyle name="20% - Accent3 22 2 2 5 2 3" xfId="23471" xr:uid="{CD9FE151-51C1-413F-889C-90D94A3F3DB1}"/>
    <cellStyle name="20% - Accent3 22 2 2 5 3" xfId="11174" xr:uid="{2C686F3B-A1FC-49CF-B0A5-6868831006CA}"/>
    <cellStyle name="20% - Accent3 22 2 2 5 3 2" xfId="27378" xr:uid="{7EB75B4E-0C0C-4BB6-8A34-F0EC75F4FE1F}"/>
    <cellStyle name="20% - Accent3 22 2 2 5 4" xfId="19725" xr:uid="{623DA0D0-59F6-4AE4-829D-3EC8AC4E3E71}"/>
    <cellStyle name="20% - Accent3 22 2 2 6" xfId="4033" xr:uid="{0FD2BDA9-00E7-4699-958A-C9BC9F202EB2}"/>
    <cellStyle name="20% - Accent3 22 2 2 6 2" xfId="7703" xr:uid="{E0F42422-F263-467C-8890-53C934CA70B1}"/>
    <cellStyle name="20% - Accent3 22 2 2 6 2 2" xfId="15210" xr:uid="{508FAE93-AE83-45A3-BFBC-DA5BFBE1E6DB}"/>
    <cellStyle name="20% - Accent3 22 2 2 6 2 2 2" xfId="31414" xr:uid="{1A94D5FD-C719-431B-8FB9-8D2AD2583DE9}"/>
    <cellStyle name="20% - Accent3 22 2 2 6 2 3" xfId="23907" xr:uid="{AC6CCCDA-6921-46B6-A21F-9F125B0AC3F0}"/>
    <cellStyle name="20% - Accent3 22 2 2 6 3" xfId="11596" xr:uid="{18B9935D-A4D7-4BF8-97FE-D893D55B14C0}"/>
    <cellStyle name="20% - Accent3 22 2 2 6 3 2" xfId="27800" xr:uid="{E86FB6DA-1CC2-4DBA-B980-CC7116D07D61}"/>
    <cellStyle name="20% - Accent3 22 2 2 6 4" xfId="20237" xr:uid="{5F99D29F-5717-468E-86DD-45C40EDE2A4D}"/>
    <cellStyle name="20% - Accent3 22 2 2 7" xfId="4458" xr:uid="{52491B28-76E9-435F-B47D-A06761582226}"/>
    <cellStyle name="20% - Accent3 22 2 2 7 2" xfId="8128" xr:uid="{D606BE07-F63C-4112-B0C1-D6CE95E4B8A0}"/>
    <cellStyle name="20% - Accent3 22 2 2 7 2 2" xfId="15635" xr:uid="{098D9ABB-6B9F-41F8-912B-DD9808621B99}"/>
    <cellStyle name="20% - Accent3 22 2 2 7 2 2 2" xfId="31839" xr:uid="{AF99144F-2D12-40A5-B590-66125AE6B7CF}"/>
    <cellStyle name="20% - Accent3 22 2 2 7 2 3" xfId="24332" xr:uid="{3C81F2E8-BA07-4AA3-B75C-6F090B12D77D}"/>
    <cellStyle name="20% - Accent3 22 2 2 7 3" xfId="12021" xr:uid="{7D6DD5FF-D7D1-4787-B58F-0106EB779336}"/>
    <cellStyle name="20% - Accent3 22 2 2 7 3 2" xfId="28225" xr:uid="{F5DC90BD-2361-4226-823D-BF170869AFC8}"/>
    <cellStyle name="20% - Accent3 22 2 2 7 4" xfId="20662" xr:uid="{4702DA3A-7659-4798-99C6-CFE015D98F4A}"/>
    <cellStyle name="20% - Accent3 22 2 2 8" xfId="4883" xr:uid="{D072B9EF-47DE-41E0-9A74-9E4CC7B5B47D}"/>
    <cellStyle name="20% - Accent3 22 2 2 8 2" xfId="8551" xr:uid="{7EE22090-452F-43EE-8232-63590703964A}"/>
    <cellStyle name="20% - Accent3 22 2 2 8 2 2" xfId="16058" xr:uid="{0C02459B-BFE5-4676-AAB1-12C04F21B4E7}"/>
    <cellStyle name="20% - Accent3 22 2 2 8 2 2 2" xfId="32262" xr:uid="{9A75A2B0-4D4D-4B7C-837F-0565EE29ED47}"/>
    <cellStyle name="20% - Accent3 22 2 2 8 2 3" xfId="24755" xr:uid="{EE4FFFE2-EE52-488E-AD75-5441E6CFFC18}"/>
    <cellStyle name="20% - Accent3 22 2 2 8 3" xfId="12443" xr:uid="{AC6A0211-1888-47C2-9FB1-F59A51C8DBC8}"/>
    <cellStyle name="20% - Accent3 22 2 2 8 3 2" xfId="28647" xr:uid="{4C6E0ACD-769D-4F70-BC40-1189193E9D1D}"/>
    <cellStyle name="20% - Accent3 22 2 2 8 4" xfId="21087" xr:uid="{5440910B-A4B1-4B3B-BE3B-FE61ADCCF954}"/>
    <cellStyle name="20% - Accent3 22 2 2 9" xfId="5369" xr:uid="{23030ACE-36B0-404B-A818-05EF47B44EED}"/>
    <cellStyle name="20% - Accent3 22 2 2 9 2" xfId="12918" xr:uid="{64668A8D-F01A-4888-AD26-7681248830C7}"/>
    <cellStyle name="20% - Accent3 22 2 2 9 2 2" xfId="29122" xr:uid="{4D0F7681-2B57-461E-966E-23C512D52A6A}"/>
    <cellStyle name="20% - Accent3 22 2 2 9 3" xfId="21573" xr:uid="{E5E0CDBB-1067-4568-B068-B2668AA0586D}"/>
    <cellStyle name="20% - Accent3 22 2 3" xfId="1835" xr:uid="{80DCD790-B692-4D92-ACF0-6E1818A84D30}"/>
    <cellStyle name="20% - Accent3 22 2 3 10" xfId="18140" xr:uid="{EF427EAD-F054-4760-85AB-6465BDEFB191}"/>
    <cellStyle name="20% - Accent3 22 2 3 2" xfId="2344" xr:uid="{406B5255-F7D8-4F79-99F8-4ED004B93537}"/>
    <cellStyle name="20% - Accent3 22 2 3 2 2" xfId="3191" xr:uid="{4DFD8B80-84E9-4750-8654-94159B290483}"/>
    <cellStyle name="20% - Accent3 22 2 3 2 2 2" xfId="6973" xr:uid="{2CEC7B15-3A19-4D0E-B5AD-70337C7F8371}"/>
    <cellStyle name="20% - Accent3 22 2 3 2 2 2 2" xfId="14484" xr:uid="{5C8E65CC-3B29-466A-8E52-8B3E76973009}"/>
    <cellStyle name="20% - Accent3 22 2 3 2 2 2 2 2" xfId="30688" xr:uid="{4F90292A-EABD-47CB-97B7-A677D474EEF9}"/>
    <cellStyle name="20% - Accent3 22 2 3 2 2 2 3" xfId="23177" xr:uid="{BE12A250-0CCB-47C1-9B54-FF48BA60BA41}"/>
    <cellStyle name="20% - Accent3 22 2 3 2 2 3" xfId="10884" xr:uid="{A266416F-BE2C-4BD9-A87A-F97A2A2B5019}"/>
    <cellStyle name="20% - Accent3 22 2 3 2 2 3 2" xfId="27088" xr:uid="{8215672B-3512-4F6D-A636-2DF102EAE10E}"/>
    <cellStyle name="20% - Accent3 22 2 3 2 2 4" xfId="19411" xr:uid="{D5654F49-7500-4F30-B9C7-66AC5BF806FF}"/>
    <cellStyle name="20% - Accent3 22 2 3 2 3" xfId="6128" xr:uid="{74350D1E-26E5-47B0-A1F8-B8AF552FE099}"/>
    <cellStyle name="20% - Accent3 22 2 3 2 3 2" xfId="13640" xr:uid="{742EEB21-174C-4B59-B5EB-519982CCBC1B}"/>
    <cellStyle name="20% - Accent3 22 2 3 2 3 2 2" xfId="29844" xr:uid="{2BD17CD0-9CE2-469F-90E7-FC0625CFFAE1}"/>
    <cellStyle name="20% - Accent3 22 2 3 2 3 3" xfId="22332" xr:uid="{98BBA928-0B79-4FAC-A40F-6F4E3665411B}"/>
    <cellStyle name="20% - Accent3 22 2 3 2 4" xfId="10040" xr:uid="{814218F8-F900-49C1-904D-8EF400873A9A}"/>
    <cellStyle name="20% - Accent3 22 2 3 2 4 2" xfId="26244" xr:uid="{663AFE4C-394D-419F-AD96-01282525E701}"/>
    <cellStyle name="20% - Accent3 22 2 3 2 5" xfId="18566" xr:uid="{33D090BA-1820-47B2-A414-EB3A2156D152}"/>
    <cellStyle name="20% - Accent3 22 2 3 3" xfId="2766" xr:uid="{940DF786-A049-49E8-8F94-CA051536544A}"/>
    <cellStyle name="20% - Accent3 22 2 3 3 2" xfId="6550" xr:uid="{8F67889D-9EE0-4733-9971-74650B1BB0CE}"/>
    <cellStyle name="20% - Accent3 22 2 3 3 2 2" xfId="14062" xr:uid="{3BB85548-0020-4E8B-A611-DED4D24D9DE5}"/>
    <cellStyle name="20% - Accent3 22 2 3 3 2 2 2" xfId="30266" xr:uid="{46A2DC75-7E0F-4CE8-80F3-7F7AF1E6B5A8}"/>
    <cellStyle name="20% - Accent3 22 2 3 3 2 3" xfId="22754" xr:uid="{79057E76-764B-42D8-B953-A5B99C498015}"/>
    <cellStyle name="20% - Accent3 22 2 3 3 3" xfId="10462" xr:uid="{8BD1C552-0BC2-4540-BAFC-D540A119B39D}"/>
    <cellStyle name="20% - Accent3 22 2 3 3 3 2" xfId="26666" xr:uid="{54F1F7F3-3748-48CB-A563-F25DE500BD5A}"/>
    <cellStyle name="20% - Accent3 22 2 3 3 4" xfId="18988" xr:uid="{93CFA112-096E-4277-9CBF-CD282B36CFAC}"/>
    <cellStyle name="20% - Accent3 22 2 3 4" xfId="3697" xr:uid="{BEE66760-EF4A-4F6D-BB77-62D8709A8C98}"/>
    <cellStyle name="20% - Accent3 22 2 3 4 2" xfId="7407" xr:uid="{AF9DD2FB-73F3-430D-A101-2EE23569F925}"/>
    <cellStyle name="20% - Accent3 22 2 3 4 2 2" xfId="14916" xr:uid="{14B2307C-2EF6-4C01-8D4C-1B9F897DF12B}"/>
    <cellStyle name="20% - Accent3 22 2 3 4 2 2 2" xfId="31120" xr:uid="{FBA96BEB-B7A5-409B-9B0A-2961F19438CF}"/>
    <cellStyle name="20% - Accent3 22 2 3 4 2 3" xfId="23611" xr:uid="{B3C704E4-463E-47F8-96E8-F838068D64B1}"/>
    <cellStyle name="20% - Accent3 22 2 3 4 3" xfId="11307" xr:uid="{25EB172F-16F7-4FD0-81DB-58F348C786AE}"/>
    <cellStyle name="20% - Accent3 22 2 3 4 3 2" xfId="27511" xr:uid="{1C0EA67E-C0F6-4291-8881-EFCC4B202ABA}"/>
    <cellStyle name="20% - Accent3 22 2 3 4 4" xfId="19906" xr:uid="{590C9985-3919-41A3-A656-13C4BCB0C543}"/>
    <cellStyle name="20% - Accent3 22 2 3 5" xfId="4166" xr:uid="{17F12BD6-A0A0-4F31-B2F1-8194650492FA}"/>
    <cellStyle name="20% - Accent3 22 2 3 5 2" xfId="7836" xr:uid="{D917D4AC-8C55-4DF5-A302-627A83F964D9}"/>
    <cellStyle name="20% - Accent3 22 2 3 5 2 2" xfId="15343" xr:uid="{F42BFC3C-F9FA-442F-B1AA-30064D26F5BA}"/>
    <cellStyle name="20% - Accent3 22 2 3 5 2 2 2" xfId="31547" xr:uid="{C413F3D2-3ECE-4187-9C88-D972D301C8B2}"/>
    <cellStyle name="20% - Accent3 22 2 3 5 2 3" xfId="24040" xr:uid="{F7D3D78E-45A5-4944-ACB2-94AA0DF555CE}"/>
    <cellStyle name="20% - Accent3 22 2 3 5 3" xfId="11729" xr:uid="{72A65A93-1E86-4126-9F1A-03E41586D65A}"/>
    <cellStyle name="20% - Accent3 22 2 3 5 3 2" xfId="27933" xr:uid="{A301C4F2-C94A-4771-B5D9-8D654D034E1D}"/>
    <cellStyle name="20% - Accent3 22 2 3 5 4" xfId="20370" xr:uid="{75E2C224-D849-4343-B5BF-09D7C62BB2EB}"/>
    <cellStyle name="20% - Accent3 22 2 3 6" xfId="4591" xr:uid="{9D5FD4F1-A348-43AE-8B33-B46F036C6B74}"/>
    <cellStyle name="20% - Accent3 22 2 3 6 2" xfId="8261" xr:uid="{07F38B51-5988-4838-BD94-E563F7F41FC2}"/>
    <cellStyle name="20% - Accent3 22 2 3 6 2 2" xfId="15768" xr:uid="{D7903A52-DF77-4828-8F47-63038CA07075}"/>
    <cellStyle name="20% - Accent3 22 2 3 6 2 2 2" xfId="31972" xr:uid="{1B7A0E03-84D2-48D3-B7C9-8DAA5489D547}"/>
    <cellStyle name="20% - Accent3 22 2 3 6 2 3" xfId="24465" xr:uid="{55D9EBCE-A821-4777-847B-6ACDD132EC1C}"/>
    <cellStyle name="20% - Accent3 22 2 3 6 3" xfId="12154" xr:uid="{7F40B49C-955B-4208-B4F8-D66C242238CF}"/>
    <cellStyle name="20% - Accent3 22 2 3 6 3 2" xfId="28358" xr:uid="{D1BF9D15-6355-453F-9DF9-9D5BF2AA6E11}"/>
    <cellStyle name="20% - Accent3 22 2 3 6 4" xfId="20795" xr:uid="{D28EA903-5DDE-45AA-BF77-FDB72910F336}"/>
    <cellStyle name="20% - Accent3 22 2 3 7" xfId="5018" xr:uid="{561A144A-E447-4E73-9667-047F2C9024E2}"/>
    <cellStyle name="20% - Accent3 22 2 3 7 2" xfId="8684" xr:uid="{2EB21DD8-6840-4983-AAAA-8910843BE478}"/>
    <cellStyle name="20% - Accent3 22 2 3 7 2 2" xfId="16191" xr:uid="{86B42348-8702-48B7-83E4-E31E75A9F49A}"/>
    <cellStyle name="20% - Accent3 22 2 3 7 2 2 2" xfId="32395" xr:uid="{BF999B15-CB1B-4E97-934A-6B32EEE95F4D}"/>
    <cellStyle name="20% - Accent3 22 2 3 7 2 3" xfId="24888" xr:uid="{BE799B6C-5ABF-4D02-9DD3-592354A7C3F3}"/>
    <cellStyle name="20% - Accent3 22 2 3 7 3" xfId="12576" xr:uid="{C74DDF99-0EBB-44C3-8336-3C4ECEB8F129}"/>
    <cellStyle name="20% - Accent3 22 2 3 7 3 2" xfId="28780" xr:uid="{5AC5B660-6E3D-46A6-83AA-8AEEA898D885}"/>
    <cellStyle name="20% - Accent3 22 2 3 7 4" xfId="21222" xr:uid="{DDD45A93-7946-4931-8763-32A16CF627DE}"/>
    <cellStyle name="20% - Accent3 22 2 3 8" xfId="5690" xr:uid="{295BFE93-7BAC-4336-A8C0-3531C65CB80E}"/>
    <cellStyle name="20% - Accent3 22 2 3 8 2" xfId="13205" xr:uid="{57D15A2B-19DE-4672-97AE-C56DDA0D0573}"/>
    <cellStyle name="20% - Accent3 22 2 3 8 2 2" xfId="29409" xr:uid="{B8DB505A-B749-46A9-B0A0-C86B81CD9435}"/>
    <cellStyle name="20% - Accent3 22 2 3 8 3" xfId="21894" xr:uid="{AB2405FC-8D30-434B-8D9A-BBABDC14E62B}"/>
    <cellStyle name="20% - Accent3 22 2 3 9" xfId="9617" xr:uid="{238120B0-A6D4-4990-B12B-9EF7FF43614C}"/>
    <cellStyle name="20% - Accent3 22 2 3 9 2" xfId="25821" xr:uid="{B79F6C5B-304D-4026-91B4-40BBDF26F295}"/>
    <cellStyle name="20% - Accent3 22 2 4" xfId="2078" xr:uid="{9AC1DB9A-CB19-42B7-81D7-DAF0902015EC}"/>
    <cellStyle name="20% - Accent3 22 2 4 2" xfId="2991" xr:uid="{EEFED55B-8509-4279-A8E6-F8BB0488C91E}"/>
    <cellStyle name="20% - Accent3 22 2 4 2 2" xfId="6773" xr:uid="{A5BCE4AD-3142-4F68-AD14-91AEFFCBEE40}"/>
    <cellStyle name="20% - Accent3 22 2 4 2 2 2" xfId="14284" xr:uid="{C85C20BC-17A3-4C52-8B41-F279728C294B}"/>
    <cellStyle name="20% - Accent3 22 2 4 2 2 2 2" xfId="30488" xr:uid="{251C8C47-C8A9-4C28-A9C1-D98DD72673FC}"/>
    <cellStyle name="20% - Accent3 22 2 4 2 2 3" xfId="22977" xr:uid="{2E07B031-6869-4F27-80A6-BC8F3A5B4437}"/>
    <cellStyle name="20% - Accent3 22 2 4 2 3" xfId="10684" xr:uid="{4EBF01AA-9003-4DCD-9EFF-87E4C98BF138}"/>
    <cellStyle name="20% - Accent3 22 2 4 2 3 2" xfId="26888" xr:uid="{E11E1785-6A60-4656-BAF7-F552A676FA48}"/>
    <cellStyle name="20% - Accent3 22 2 4 2 4" xfId="19211" xr:uid="{70F499B9-CF94-4B92-9D32-2E88DF1C83B1}"/>
    <cellStyle name="20% - Accent3 22 2 4 3" xfId="5917" xr:uid="{AD1067C0-7989-4B4D-941B-5C801AC69732}"/>
    <cellStyle name="20% - Accent3 22 2 4 3 2" xfId="13431" xr:uid="{07D397D1-C7FA-408D-AA00-794EDDF037E9}"/>
    <cellStyle name="20% - Accent3 22 2 4 3 2 2" xfId="29635" xr:uid="{8E9AA376-0410-420E-8E1E-FDCDF64FA3BF}"/>
    <cellStyle name="20% - Accent3 22 2 4 3 3" xfId="22121" xr:uid="{91D1E212-9DE7-44E2-B75F-1FD0E7136B51}"/>
    <cellStyle name="20% - Accent3 22 2 4 4" xfId="9840" xr:uid="{F8907D98-543D-4D68-BDDF-5C23FF295CF7}"/>
    <cellStyle name="20% - Accent3 22 2 4 4 2" xfId="26044" xr:uid="{6FCF82EC-BBB6-4840-83F5-0062B0976997}"/>
    <cellStyle name="20% - Accent3 22 2 4 5" xfId="18365" xr:uid="{EB4677F7-3CDD-488E-BF27-53A7264902D9}"/>
    <cellStyle name="20% - Accent3 22 2 5" xfId="2566" xr:uid="{CC302689-DE71-4411-B01E-122C3559686F}"/>
    <cellStyle name="20% - Accent3 22 2 5 2" xfId="6350" xr:uid="{E06EF0F9-BB46-487B-82E0-D0E6B78D6507}"/>
    <cellStyle name="20% - Accent3 22 2 5 2 2" xfId="13862" xr:uid="{0C70FBA7-5F9F-49B3-BD4A-09FDE558DE08}"/>
    <cellStyle name="20% - Accent3 22 2 5 2 2 2" xfId="30066" xr:uid="{A5DE3534-ECA6-46C1-B9C7-376F444B59AB}"/>
    <cellStyle name="20% - Accent3 22 2 5 2 3" xfId="22554" xr:uid="{4ADB2359-F831-4014-8E72-46F1F1D54F06}"/>
    <cellStyle name="20% - Accent3 22 2 5 3" xfId="10262" xr:uid="{DF090FBE-4193-48A2-AE60-5CD944264F09}"/>
    <cellStyle name="20% - Accent3 22 2 5 3 2" xfId="26466" xr:uid="{1DC3EC89-1517-43CE-B632-426EE59449F6}"/>
    <cellStyle name="20% - Accent3 22 2 5 4" xfId="18788" xr:uid="{038FAB12-6EA3-477F-A338-659E42EBFF6F}"/>
    <cellStyle name="20% - Accent3 22 2 6" xfId="3442" xr:uid="{F63E0A86-1EAD-4361-99C1-204252097282}"/>
    <cellStyle name="20% - Accent3 22 2 6 2" xfId="7200" xr:uid="{36131A29-CA90-490B-9043-34082D944F56}"/>
    <cellStyle name="20% - Accent3 22 2 6 2 2" xfId="14710" xr:uid="{AE759CA2-5B60-42E1-AD36-7E1BFC190DEC}"/>
    <cellStyle name="20% - Accent3 22 2 6 2 2 2" xfId="30914" xr:uid="{81A373DB-8FEE-45CA-8570-87E8E2D51589}"/>
    <cellStyle name="20% - Accent3 22 2 6 2 3" xfId="23404" xr:uid="{C3CD09B0-48DE-400B-9881-DA6FFDDEF4AE}"/>
    <cellStyle name="20% - Accent3 22 2 6 3" xfId="11107" xr:uid="{2A483219-7C14-4B6B-9DD0-B25CB0895903}"/>
    <cellStyle name="20% - Accent3 22 2 6 3 2" xfId="27311" xr:uid="{AAAEF65D-5CB6-4C3C-B1AE-177EED6B2829}"/>
    <cellStyle name="20% - Accent3 22 2 6 4" xfId="19658" xr:uid="{C8B9EA49-CB84-4862-A6FC-3C8FE35480FB}"/>
    <cellStyle name="20% - Accent3 22 2 7" xfId="3966" xr:uid="{3E1D6F47-273B-4D44-A07B-C8F6DC3B29BA}"/>
    <cellStyle name="20% - Accent3 22 2 7 2" xfId="7636" xr:uid="{9964754F-193E-45EE-AE1A-A4CC9306E4F9}"/>
    <cellStyle name="20% - Accent3 22 2 7 2 2" xfId="15143" xr:uid="{99C88B6B-55A5-40C4-A70B-E3CAC30C5D99}"/>
    <cellStyle name="20% - Accent3 22 2 7 2 2 2" xfId="31347" xr:uid="{5ACEC019-0DA2-429C-ACEE-FAEF54223CC9}"/>
    <cellStyle name="20% - Accent3 22 2 7 2 3" xfId="23840" xr:uid="{EF285FC6-F31D-46C8-AAD9-2E4E0FA1BAC9}"/>
    <cellStyle name="20% - Accent3 22 2 7 3" xfId="11529" xr:uid="{CBF06363-048A-4389-A92A-0AC868D41D0F}"/>
    <cellStyle name="20% - Accent3 22 2 7 3 2" xfId="27733" xr:uid="{9E9335E2-99E8-4E56-A7B8-B66A237FFC3A}"/>
    <cellStyle name="20% - Accent3 22 2 7 4" xfId="20170" xr:uid="{54D88AB8-CF64-4387-B3C5-9B2E67B2FAE7}"/>
    <cellStyle name="20% - Accent3 22 2 8" xfId="4391" xr:uid="{09DCE5B4-1073-401A-AC0F-058E9D64A763}"/>
    <cellStyle name="20% - Accent3 22 2 8 2" xfId="8061" xr:uid="{7EC15A1A-DCED-4E83-B7B6-60799247FC2B}"/>
    <cellStyle name="20% - Accent3 22 2 8 2 2" xfId="15568" xr:uid="{BC575BD8-0FCB-4846-970A-0F8F9746B385}"/>
    <cellStyle name="20% - Accent3 22 2 8 2 2 2" xfId="31772" xr:uid="{3569446F-F025-45DB-B97A-A7BB2D44C89E}"/>
    <cellStyle name="20% - Accent3 22 2 8 2 3" xfId="24265" xr:uid="{FE3BFFE7-018B-470E-8EAD-5D0A687393AF}"/>
    <cellStyle name="20% - Accent3 22 2 8 3" xfId="11954" xr:uid="{585F74A5-A4EE-46EC-9F5C-4DF59E4E19A6}"/>
    <cellStyle name="20% - Accent3 22 2 8 3 2" xfId="28158" xr:uid="{AE46F719-9E95-4A8D-84A0-818E3A697F73}"/>
    <cellStyle name="20% - Accent3 22 2 8 4" xfId="20595" xr:uid="{FD71A5F0-AA53-4B76-99E9-E281374D27D3}"/>
    <cellStyle name="20% - Accent3 22 2 9" xfId="4815" xr:uid="{2E7CEE2A-36DA-4077-8F99-D68870377C50}"/>
    <cellStyle name="20% - Accent3 22 2 9 2" xfId="8484" xr:uid="{5EDD7B4B-51D5-44C9-A1AF-231E84A2106F}"/>
    <cellStyle name="20% - Accent3 22 2 9 2 2" xfId="15991" xr:uid="{86F90FBD-CC12-4063-817A-3A3C2B5DB069}"/>
    <cellStyle name="20% - Accent3 22 2 9 2 2 2" xfId="32195" xr:uid="{D7F11436-A659-464A-9415-1E28D11D1BFA}"/>
    <cellStyle name="20% - Accent3 22 2 9 2 3" xfId="24688" xr:uid="{8F027D7D-7C68-46BA-9F9C-48F9608B49C1}"/>
    <cellStyle name="20% - Accent3 22 2 9 3" xfId="12376" xr:uid="{F01417BA-4060-43A9-9197-1FE17DC59C0C}"/>
    <cellStyle name="20% - Accent3 22 2 9 3 2" xfId="28580" xr:uid="{1FF85197-5C61-468A-AEB1-31BC5BCF7948}"/>
    <cellStyle name="20% - Accent3 22 2 9 4" xfId="21019" xr:uid="{F844EFFD-F29C-4C82-AE68-B9A1069D7A38}"/>
    <cellStyle name="20% - Accent3 22 3" xfId="527" xr:uid="{561340DC-7BFF-4608-AC48-E357585CD81B}"/>
    <cellStyle name="20% - Accent3 22 3 10" xfId="5324" xr:uid="{4EDC78D5-DD3B-4605-BCC6-B12528C4E1ED}"/>
    <cellStyle name="20% - Accent3 22 3 10 2" xfId="12873" xr:uid="{EFC7F32D-306F-4255-AEBA-E89A16B30C49}"/>
    <cellStyle name="20% - Accent3 22 3 10 2 2" xfId="29077" xr:uid="{A8A35883-82CC-48D6-8C90-7E3AA8EFFEF8}"/>
    <cellStyle name="20% - Accent3 22 3 10 3" xfId="21528" xr:uid="{D0B0A7B3-08F9-4841-A141-8D670A14CAD4}"/>
    <cellStyle name="20% - Accent3 22 3 11" xfId="9439" xr:uid="{8303C404-9428-4DAC-8DF3-F7D6C26DE2EF}"/>
    <cellStyle name="20% - Accent3 22 3 11 2" xfId="25643" xr:uid="{CE8A01FA-FF3E-4F8F-87AD-384700CE997F}"/>
    <cellStyle name="20% - Accent3 22 3 12" xfId="17954" xr:uid="{AF4CBB86-1396-43D6-9F13-E1AAD4F923CE}"/>
    <cellStyle name="20% - Accent3 22 3 2" xfId="598" xr:uid="{0EE1050C-0C74-4D77-991E-B28FC725D577}"/>
    <cellStyle name="20% - Accent3 22 3 2 10" xfId="9506" xr:uid="{CFA180F6-3FC5-4CF2-9ADB-A372E9A473E4}"/>
    <cellStyle name="20% - Accent3 22 3 2 10 2" xfId="25710" xr:uid="{D1680499-F37D-4D64-B9B5-1232B88D9659}"/>
    <cellStyle name="20% - Accent3 22 3 2 11" xfId="18022" xr:uid="{37F8469D-C772-4EF7-9D98-A48F63BCBB78}"/>
    <cellStyle name="20% - Accent3 22 3 2 2" xfId="1836" xr:uid="{E52EA7C4-558F-4CCB-B0F7-3E0BC802FAD1}"/>
    <cellStyle name="20% - Accent3 22 3 2 2 10" xfId="18141" xr:uid="{7E52F2D7-97BE-4263-9A23-4D43190F8736}"/>
    <cellStyle name="20% - Accent3 22 3 2 2 2" xfId="2345" xr:uid="{20EEFC03-1D15-4542-B671-0E284AF944F3}"/>
    <cellStyle name="20% - Accent3 22 3 2 2 2 2" xfId="3192" xr:uid="{E8E60674-68EB-4320-B88D-03E7D450D30D}"/>
    <cellStyle name="20% - Accent3 22 3 2 2 2 2 2" xfId="6974" xr:uid="{A7B5A538-3071-4616-82CE-42AE3E4C9B74}"/>
    <cellStyle name="20% - Accent3 22 3 2 2 2 2 2 2" xfId="14485" xr:uid="{54C6495B-81D1-4A4F-A982-977E920CFCD8}"/>
    <cellStyle name="20% - Accent3 22 3 2 2 2 2 2 2 2" xfId="30689" xr:uid="{B96D999B-703D-4946-9861-82CDE9E31735}"/>
    <cellStyle name="20% - Accent3 22 3 2 2 2 2 2 3" xfId="23178" xr:uid="{1012FEBA-7628-41CA-AE76-1F02B0C450AE}"/>
    <cellStyle name="20% - Accent3 22 3 2 2 2 2 3" xfId="10885" xr:uid="{35C5A24F-C27A-4C66-A64A-6C2096F49AF3}"/>
    <cellStyle name="20% - Accent3 22 3 2 2 2 2 3 2" xfId="27089" xr:uid="{2C30898F-E96B-4E3B-86AA-4B50E904A78A}"/>
    <cellStyle name="20% - Accent3 22 3 2 2 2 2 4" xfId="19412" xr:uid="{F762E839-B9B0-4419-9F07-437246FCF887}"/>
    <cellStyle name="20% - Accent3 22 3 2 2 2 3" xfId="6129" xr:uid="{40320499-22BE-4E08-8E48-389FB46ECC21}"/>
    <cellStyle name="20% - Accent3 22 3 2 2 2 3 2" xfId="13641" xr:uid="{BFB2447E-2CB0-4EB1-A217-D7072822C71E}"/>
    <cellStyle name="20% - Accent3 22 3 2 2 2 3 2 2" xfId="29845" xr:uid="{1A70B2E4-E094-4BC0-AA71-67B8DC4FA3C2}"/>
    <cellStyle name="20% - Accent3 22 3 2 2 2 3 3" xfId="22333" xr:uid="{382D8BD5-9793-473E-A12B-6C8EFE6F7B94}"/>
    <cellStyle name="20% - Accent3 22 3 2 2 2 4" xfId="10041" xr:uid="{4404B28A-A874-4F34-B4D5-ACCD790AC0E5}"/>
    <cellStyle name="20% - Accent3 22 3 2 2 2 4 2" xfId="26245" xr:uid="{0DC83FA5-04C2-4654-B037-550C0CE0398D}"/>
    <cellStyle name="20% - Accent3 22 3 2 2 2 5" xfId="18567" xr:uid="{6F15BE2A-3BCC-4BA6-80C4-3551E36EA5E5}"/>
    <cellStyle name="20% - Accent3 22 3 2 2 3" xfId="2767" xr:uid="{D32B9B64-444C-409E-B3A6-D9F237189EAD}"/>
    <cellStyle name="20% - Accent3 22 3 2 2 3 2" xfId="6551" xr:uid="{BB25DD4F-626D-428E-9B03-29605F283CE3}"/>
    <cellStyle name="20% - Accent3 22 3 2 2 3 2 2" xfId="14063" xr:uid="{24869DE7-E600-45FC-9A68-8937047E9182}"/>
    <cellStyle name="20% - Accent3 22 3 2 2 3 2 2 2" xfId="30267" xr:uid="{9B8EDF34-A086-4353-8341-681E1F2098C1}"/>
    <cellStyle name="20% - Accent3 22 3 2 2 3 2 3" xfId="22755" xr:uid="{30E8BDEF-A3AF-491A-91E3-1CF98636F6D8}"/>
    <cellStyle name="20% - Accent3 22 3 2 2 3 3" xfId="10463" xr:uid="{1339E7A0-456C-466D-AF96-39294C271DF9}"/>
    <cellStyle name="20% - Accent3 22 3 2 2 3 3 2" xfId="26667" xr:uid="{D6155D0D-D116-4684-83F9-FDBF24C36ED9}"/>
    <cellStyle name="20% - Accent3 22 3 2 2 3 4" xfId="18989" xr:uid="{8B25D250-B8B7-4A0F-854E-341197BEEB25}"/>
    <cellStyle name="20% - Accent3 22 3 2 2 4" xfId="3698" xr:uid="{34E3E47B-3376-4E4F-A0F0-9106213D6FBE}"/>
    <cellStyle name="20% - Accent3 22 3 2 2 4 2" xfId="7408" xr:uid="{355E10C6-6939-4F79-971E-F77B0910A532}"/>
    <cellStyle name="20% - Accent3 22 3 2 2 4 2 2" xfId="14917" xr:uid="{D993141E-D736-437B-824D-27B3E8ADB3CA}"/>
    <cellStyle name="20% - Accent3 22 3 2 2 4 2 2 2" xfId="31121" xr:uid="{18E3E142-9973-4868-85D6-C3708CCE922F}"/>
    <cellStyle name="20% - Accent3 22 3 2 2 4 2 3" xfId="23612" xr:uid="{400F8828-5738-4580-8448-827D8EB382AA}"/>
    <cellStyle name="20% - Accent3 22 3 2 2 4 3" xfId="11308" xr:uid="{EA64FD97-3E66-4BFD-A63E-40EB0C5C8BDB}"/>
    <cellStyle name="20% - Accent3 22 3 2 2 4 3 2" xfId="27512" xr:uid="{66DA6E27-5BA9-4FE2-AAF7-0A4893C3F3A1}"/>
    <cellStyle name="20% - Accent3 22 3 2 2 4 4" xfId="19907" xr:uid="{CA9D4BF2-35C1-4A0C-A8AC-2A0AF30EF498}"/>
    <cellStyle name="20% - Accent3 22 3 2 2 5" xfId="4167" xr:uid="{D6A5FD5B-698E-454C-A242-B2F07A177CE1}"/>
    <cellStyle name="20% - Accent3 22 3 2 2 5 2" xfId="7837" xr:uid="{4C6F613B-5A65-40D6-BB37-20EAC1FA5B0B}"/>
    <cellStyle name="20% - Accent3 22 3 2 2 5 2 2" xfId="15344" xr:uid="{CB9FFCC9-BBF9-4285-B4D7-84146DC71CC5}"/>
    <cellStyle name="20% - Accent3 22 3 2 2 5 2 2 2" xfId="31548" xr:uid="{10AE4E63-2C93-481E-9C32-C0422E3A2411}"/>
    <cellStyle name="20% - Accent3 22 3 2 2 5 2 3" xfId="24041" xr:uid="{D7BE1BD5-2F0E-4867-8F93-3CAFF705AF36}"/>
    <cellStyle name="20% - Accent3 22 3 2 2 5 3" xfId="11730" xr:uid="{CFCAE073-E143-4C29-B40B-60AFD577D032}"/>
    <cellStyle name="20% - Accent3 22 3 2 2 5 3 2" xfId="27934" xr:uid="{C426B8A8-6E18-4207-8A6B-D12F3D0CA6B8}"/>
    <cellStyle name="20% - Accent3 22 3 2 2 5 4" xfId="20371" xr:uid="{EDC47499-B440-4800-83C8-4D7F8B32B402}"/>
    <cellStyle name="20% - Accent3 22 3 2 2 6" xfId="4592" xr:uid="{B5D40255-3A60-48D4-9469-187FBE39B3DA}"/>
    <cellStyle name="20% - Accent3 22 3 2 2 6 2" xfId="8262" xr:uid="{D64D8F01-7218-4E81-A6D3-994DD9C00800}"/>
    <cellStyle name="20% - Accent3 22 3 2 2 6 2 2" xfId="15769" xr:uid="{65BC9A45-5533-452F-A78B-4F91AAFE6AB3}"/>
    <cellStyle name="20% - Accent3 22 3 2 2 6 2 2 2" xfId="31973" xr:uid="{99F7EEAA-CD53-473B-A554-D7A12913978C}"/>
    <cellStyle name="20% - Accent3 22 3 2 2 6 2 3" xfId="24466" xr:uid="{FB68913B-3C79-477C-AF42-FCB4B9B3778B}"/>
    <cellStyle name="20% - Accent3 22 3 2 2 6 3" xfId="12155" xr:uid="{6B0AE19D-C9AC-440A-A526-0258B4CA4B67}"/>
    <cellStyle name="20% - Accent3 22 3 2 2 6 3 2" xfId="28359" xr:uid="{F850D4B2-5B68-4422-9C70-F310E1E021B2}"/>
    <cellStyle name="20% - Accent3 22 3 2 2 6 4" xfId="20796" xr:uid="{F792D79B-D8B6-4B09-B8D2-724CA6799572}"/>
    <cellStyle name="20% - Accent3 22 3 2 2 7" xfId="5019" xr:uid="{1E040B0E-7946-4695-989B-474257BB9191}"/>
    <cellStyle name="20% - Accent3 22 3 2 2 7 2" xfId="8685" xr:uid="{8B0DC4EE-F8EB-4CD3-817B-18FBDA69F415}"/>
    <cellStyle name="20% - Accent3 22 3 2 2 7 2 2" xfId="16192" xr:uid="{9475F9B8-1F1E-4590-A204-55B380275578}"/>
    <cellStyle name="20% - Accent3 22 3 2 2 7 2 2 2" xfId="32396" xr:uid="{60522335-0BAD-4CB2-8CA7-A09AD6C7FDF3}"/>
    <cellStyle name="20% - Accent3 22 3 2 2 7 2 3" xfId="24889" xr:uid="{83C9C96B-1B64-4E80-B3F8-51C0D1BD32B6}"/>
    <cellStyle name="20% - Accent3 22 3 2 2 7 3" xfId="12577" xr:uid="{0F5EBDA5-495E-4B8E-BCEE-17DBDD5AF548}"/>
    <cellStyle name="20% - Accent3 22 3 2 2 7 3 2" xfId="28781" xr:uid="{2B73A893-57D0-494E-B214-EAA77B2EDF4A}"/>
    <cellStyle name="20% - Accent3 22 3 2 2 7 4" xfId="21223" xr:uid="{7662A59B-8364-480A-A068-8769D5B85AC6}"/>
    <cellStyle name="20% - Accent3 22 3 2 2 8" xfId="5691" xr:uid="{20AE9F69-9B66-48B3-9715-492156ECB9E6}"/>
    <cellStyle name="20% - Accent3 22 3 2 2 8 2" xfId="13206" xr:uid="{B23DB1BF-D1B5-4839-9567-720C21450B24}"/>
    <cellStyle name="20% - Accent3 22 3 2 2 8 2 2" xfId="29410" xr:uid="{F4906543-9C00-47E1-9468-8E93FCA4FC81}"/>
    <cellStyle name="20% - Accent3 22 3 2 2 8 3" xfId="21895" xr:uid="{5C58FAF9-E02C-487B-9881-0283BAA7650C}"/>
    <cellStyle name="20% - Accent3 22 3 2 2 9" xfId="9618" xr:uid="{964E67EB-9AA8-4BF1-925F-4CA1E92177D1}"/>
    <cellStyle name="20% - Accent3 22 3 2 2 9 2" xfId="25822" xr:uid="{4668FB6B-A061-4676-9FBF-7766177D981B}"/>
    <cellStyle name="20% - Accent3 22 3 2 3" xfId="2167" xr:uid="{6633CE64-2613-40FA-8181-2B4A67BD3DE4}"/>
    <cellStyle name="20% - Accent3 22 3 2 3 2" xfId="3080" xr:uid="{01B3FD44-9CA0-4F6C-8CF4-A3B2A18CA310}"/>
    <cellStyle name="20% - Accent3 22 3 2 3 2 2" xfId="6862" xr:uid="{F5DD856B-DD6A-44DC-B180-FA613017F271}"/>
    <cellStyle name="20% - Accent3 22 3 2 3 2 2 2" xfId="14373" xr:uid="{B88A3251-BC2E-496D-9077-F4E85B19FD74}"/>
    <cellStyle name="20% - Accent3 22 3 2 3 2 2 2 2" xfId="30577" xr:uid="{B3E0D182-2C63-4028-B97F-81CB95CE6A18}"/>
    <cellStyle name="20% - Accent3 22 3 2 3 2 2 3" xfId="23066" xr:uid="{78A2F4FE-5F70-40D9-BF23-11A536F944CC}"/>
    <cellStyle name="20% - Accent3 22 3 2 3 2 3" xfId="10773" xr:uid="{2776B02E-2026-4986-8FE3-0F184B98B709}"/>
    <cellStyle name="20% - Accent3 22 3 2 3 2 3 2" xfId="26977" xr:uid="{BFAD76FC-BB13-4CD9-8AD5-000C7A4F2BF1}"/>
    <cellStyle name="20% - Accent3 22 3 2 3 2 4" xfId="19300" xr:uid="{079C4A98-76FE-4B2A-A03B-7B42B573A34F}"/>
    <cellStyle name="20% - Accent3 22 3 2 3 3" xfId="6006" xr:uid="{B28DE01E-0F89-4BA2-B57C-8F20CAC5B296}"/>
    <cellStyle name="20% - Accent3 22 3 2 3 3 2" xfId="13520" xr:uid="{A6F7EA20-0660-47C2-A7A8-D2FF75CA94C1}"/>
    <cellStyle name="20% - Accent3 22 3 2 3 3 2 2" xfId="29724" xr:uid="{E229F129-20ED-428D-8C82-D6716B317EB2}"/>
    <cellStyle name="20% - Accent3 22 3 2 3 3 3" xfId="22210" xr:uid="{8446AADD-F602-4392-A123-B11415C9F6BB}"/>
    <cellStyle name="20% - Accent3 22 3 2 3 4" xfId="9929" xr:uid="{DC738B15-C336-40AB-9B9E-F28CB4515D39}"/>
    <cellStyle name="20% - Accent3 22 3 2 3 4 2" xfId="26133" xr:uid="{64F11735-C212-4675-BFB4-78772BFA8C64}"/>
    <cellStyle name="20% - Accent3 22 3 2 3 5" xfId="18454" xr:uid="{1EC8E61E-DEB2-4E00-9F6B-DB1F120434D8}"/>
    <cellStyle name="20% - Accent3 22 3 2 4" xfId="2655" xr:uid="{4C8CE73A-075F-4159-A209-D65DA86DD200}"/>
    <cellStyle name="20% - Accent3 22 3 2 4 2" xfId="6439" xr:uid="{1508FC8B-6589-4F30-9612-E1320A920785}"/>
    <cellStyle name="20% - Accent3 22 3 2 4 2 2" xfId="13951" xr:uid="{D7DE8A3E-88F8-4084-8166-C866BC6DECAC}"/>
    <cellStyle name="20% - Accent3 22 3 2 4 2 2 2" xfId="30155" xr:uid="{9402885F-320A-4B2B-843E-6A97150FBFA6}"/>
    <cellStyle name="20% - Accent3 22 3 2 4 2 3" xfId="22643" xr:uid="{13814EA5-AA17-438F-8134-9F006704BE97}"/>
    <cellStyle name="20% - Accent3 22 3 2 4 3" xfId="10351" xr:uid="{B92C79E9-DF71-4F80-92F3-A0D92F032EDC}"/>
    <cellStyle name="20% - Accent3 22 3 2 4 3 2" xfId="26555" xr:uid="{B82B29C5-AA6C-4359-BEA9-AA25127288C0}"/>
    <cellStyle name="20% - Accent3 22 3 2 4 4" xfId="18877" xr:uid="{35224F53-3922-4ACB-B865-56EB1A0790C8}"/>
    <cellStyle name="20% - Accent3 22 3 2 5" xfId="3531" xr:uid="{5C2FE4C6-8BDD-4C79-B116-72490B463590}"/>
    <cellStyle name="20% - Accent3 22 3 2 5 2" xfId="7289" xr:uid="{EFD17779-B417-4DBF-8DFA-13D47AF1D22F}"/>
    <cellStyle name="20% - Accent3 22 3 2 5 2 2" xfId="14799" xr:uid="{6A141ABA-8B41-41E3-91FA-A86ABEE4078F}"/>
    <cellStyle name="20% - Accent3 22 3 2 5 2 2 2" xfId="31003" xr:uid="{E0DB9C82-0CD3-4611-A3B9-33C7BD385368}"/>
    <cellStyle name="20% - Accent3 22 3 2 5 2 3" xfId="23493" xr:uid="{0CE7FCB2-5C54-466A-838C-6B928F06043E}"/>
    <cellStyle name="20% - Accent3 22 3 2 5 3" xfId="11196" xr:uid="{154DFA55-DF6B-42AD-A81C-C74B51BDF8D1}"/>
    <cellStyle name="20% - Accent3 22 3 2 5 3 2" xfId="27400" xr:uid="{1EA8E034-5651-4985-87DF-BAA4E19BEC6A}"/>
    <cellStyle name="20% - Accent3 22 3 2 5 4" xfId="19747" xr:uid="{D4A56246-E00B-4CB3-834A-4EDB7A6F41A8}"/>
    <cellStyle name="20% - Accent3 22 3 2 6" xfId="4055" xr:uid="{737FDB79-7049-46C2-91DE-3804E2367E14}"/>
    <cellStyle name="20% - Accent3 22 3 2 6 2" xfId="7725" xr:uid="{672C8B4D-8078-47A1-AE70-A58951AEBAA9}"/>
    <cellStyle name="20% - Accent3 22 3 2 6 2 2" xfId="15232" xr:uid="{2D61D0E1-4248-4B30-AABF-7105C2F8457C}"/>
    <cellStyle name="20% - Accent3 22 3 2 6 2 2 2" xfId="31436" xr:uid="{8BA6BDF9-ED6D-4E45-BEFC-DA7D1121FB61}"/>
    <cellStyle name="20% - Accent3 22 3 2 6 2 3" xfId="23929" xr:uid="{7B32DA5B-047F-4370-8588-79F38BFA3F7C}"/>
    <cellStyle name="20% - Accent3 22 3 2 6 3" xfId="11618" xr:uid="{58444128-061F-45C0-B862-0612F044C661}"/>
    <cellStyle name="20% - Accent3 22 3 2 6 3 2" xfId="27822" xr:uid="{BF4C8FE0-B488-4F3A-8716-87601ACF85ED}"/>
    <cellStyle name="20% - Accent3 22 3 2 6 4" xfId="20259" xr:uid="{A33079DF-08E8-4198-9AAC-6CD4737C5784}"/>
    <cellStyle name="20% - Accent3 22 3 2 7" xfId="4480" xr:uid="{8E7E2B5B-84CE-4F22-B08C-5E17C6B87480}"/>
    <cellStyle name="20% - Accent3 22 3 2 7 2" xfId="8150" xr:uid="{39B2B9A6-1FD1-45CA-A592-DBAA78B2CAB8}"/>
    <cellStyle name="20% - Accent3 22 3 2 7 2 2" xfId="15657" xr:uid="{47745955-1C81-47C4-BDCD-606F8BB28C6C}"/>
    <cellStyle name="20% - Accent3 22 3 2 7 2 2 2" xfId="31861" xr:uid="{30EB4D22-D26B-4720-8854-424FA8AA3A92}"/>
    <cellStyle name="20% - Accent3 22 3 2 7 2 3" xfId="24354" xr:uid="{C6F5602A-DCF4-404E-A89D-E66E814DF9E5}"/>
    <cellStyle name="20% - Accent3 22 3 2 7 3" xfId="12043" xr:uid="{36FB171A-B9D8-4E76-9ABC-BBD4E9728B11}"/>
    <cellStyle name="20% - Accent3 22 3 2 7 3 2" xfId="28247" xr:uid="{78CCEC1B-9962-4AA1-A0DC-00BD3924D259}"/>
    <cellStyle name="20% - Accent3 22 3 2 7 4" xfId="20684" xr:uid="{D2D84885-5801-470A-A730-C438C450FC0D}"/>
    <cellStyle name="20% - Accent3 22 3 2 8" xfId="4905" xr:uid="{2CC9B810-44E3-4F45-A675-D75831D9F834}"/>
    <cellStyle name="20% - Accent3 22 3 2 8 2" xfId="8573" xr:uid="{B1B853CF-7B25-4D42-B3BC-0DC4CF5300E2}"/>
    <cellStyle name="20% - Accent3 22 3 2 8 2 2" xfId="16080" xr:uid="{BFAF5A61-06B5-4BF1-991D-CDB5BF9AF860}"/>
    <cellStyle name="20% - Accent3 22 3 2 8 2 2 2" xfId="32284" xr:uid="{6A025FEA-F793-417C-9D96-D28DBB745A47}"/>
    <cellStyle name="20% - Accent3 22 3 2 8 2 3" xfId="24777" xr:uid="{9B8FFBAA-56ED-4DA1-8AD4-41240100A14B}"/>
    <cellStyle name="20% - Accent3 22 3 2 8 3" xfId="12465" xr:uid="{173EEC79-CE77-4A28-BFF7-F809AB12CBC9}"/>
    <cellStyle name="20% - Accent3 22 3 2 8 3 2" xfId="28669" xr:uid="{9D7922F8-9CAE-499F-865F-A38F64F5CAF0}"/>
    <cellStyle name="20% - Accent3 22 3 2 8 4" xfId="21109" xr:uid="{C86B0CED-5186-4CE9-ACE0-846580B80954}"/>
    <cellStyle name="20% - Accent3 22 3 2 9" xfId="5391" xr:uid="{F26C1D1A-AAF0-4F19-82FA-47546D972FC4}"/>
    <cellStyle name="20% - Accent3 22 3 2 9 2" xfId="12940" xr:uid="{21467399-276A-48A5-9831-1C183E11C2AF}"/>
    <cellStyle name="20% - Accent3 22 3 2 9 2 2" xfId="29144" xr:uid="{E07217BF-EE3C-4F61-82F3-DABF1D14257D}"/>
    <cellStyle name="20% - Accent3 22 3 2 9 3" xfId="21595" xr:uid="{93B4463F-C5E8-4EE4-B74B-F856862E862E}"/>
    <cellStyle name="20% - Accent3 22 3 3" xfId="1837" xr:uid="{42BC7EF2-8C28-4513-BB14-6A8819A749BC}"/>
    <cellStyle name="20% - Accent3 22 3 3 10" xfId="18142" xr:uid="{558BC01B-FA4B-474E-B170-33D1C64162C6}"/>
    <cellStyle name="20% - Accent3 22 3 3 2" xfId="2346" xr:uid="{C2FB5EB3-1E78-4E84-A2BF-93EBD175B627}"/>
    <cellStyle name="20% - Accent3 22 3 3 2 2" xfId="3193" xr:uid="{1B4F258C-EB84-4AA0-ADE3-2E24AF152A40}"/>
    <cellStyle name="20% - Accent3 22 3 3 2 2 2" xfId="6975" xr:uid="{1E5C134E-A96D-4F88-8A1D-B338DE5EF906}"/>
    <cellStyle name="20% - Accent3 22 3 3 2 2 2 2" xfId="14486" xr:uid="{3EAF5FDB-8881-4BB4-AAA0-2728576DC89D}"/>
    <cellStyle name="20% - Accent3 22 3 3 2 2 2 2 2" xfId="30690" xr:uid="{3C56BEA3-6ECA-4242-94F7-1AD3BABE2C03}"/>
    <cellStyle name="20% - Accent3 22 3 3 2 2 2 3" xfId="23179" xr:uid="{DD830F8B-0101-4155-9D0B-51072B620E46}"/>
    <cellStyle name="20% - Accent3 22 3 3 2 2 3" xfId="10886" xr:uid="{7C6E9583-8FB1-4829-AF77-9F28A6FD8D6D}"/>
    <cellStyle name="20% - Accent3 22 3 3 2 2 3 2" xfId="27090" xr:uid="{6B2B739B-525A-4CDC-BC79-134769166AB5}"/>
    <cellStyle name="20% - Accent3 22 3 3 2 2 4" xfId="19413" xr:uid="{69F370CF-BCAA-45B6-BBF0-48D267C870BA}"/>
    <cellStyle name="20% - Accent3 22 3 3 2 3" xfId="6130" xr:uid="{09615FFC-6DE6-47E9-A938-04B1128B09CE}"/>
    <cellStyle name="20% - Accent3 22 3 3 2 3 2" xfId="13642" xr:uid="{6ECB59A3-62BC-4B01-9FB4-7E2231E67429}"/>
    <cellStyle name="20% - Accent3 22 3 3 2 3 2 2" xfId="29846" xr:uid="{2107D02A-61AD-425B-B871-9230E8CA7B79}"/>
    <cellStyle name="20% - Accent3 22 3 3 2 3 3" xfId="22334" xr:uid="{A961E7E5-545A-4747-BC62-C8D4B8685D9B}"/>
    <cellStyle name="20% - Accent3 22 3 3 2 4" xfId="10042" xr:uid="{E4567D5D-A4BD-4710-AB21-8F52BC801429}"/>
    <cellStyle name="20% - Accent3 22 3 3 2 4 2" xfId="26246" xr:uid="{73F0594C-CF93-42A3-9095-EF8E13AC2318}"/>
    <cellStyle name="20% - Accent3 22 3 3 2 5" xfId="18568" xr:uid="{76007BF4-1EEA-4AC1-AC3B-0A9212602EED}"/>
    <cellStyle name="20% - Accent3 22 3 3 3" xfId="2768" xr:uid="{14BC02A2-F253-404E-91D4-03CF35679934}"/>
    <cellStyle name="20% - Accent3 22 3 3 3 2" xfId="6552" xr:uid="{829C9987-0448-4AE6-BE42-BAE2339CAA7F}"/>
    <cellStyle name="20% - Accent3 22 3 3 3 2 2" xfId="14064" xr:uid="{774B3BA7-16E3-40CA-BAED-EBB767083E3E}"/>
    <cellStyle name="20% - Accent3 22 3 3 3 2 2 2" xfId="30268" xr:uid="{F3C98B13-E5B8-4F6F-AB7D-8547D2437E2F}"/>
    <cellStyle name="20% - Accent3 22 3 3 3 2 3" xfId="22756" xr:uid="{40D98AE2-C8FA-4CF6-B398-75C1BD8277E2}"/>
    <cellStyle name="20% - Accent3 22 3 3 3 3" xfId="10464" xr:uid="{830FB1C0-F329-40FE-946E-8163BE8D1137}"/>
    <cellStyle name="20% - Accent3 22 3 3 3 3 2" xfId="26668" xr:uid="{9910709E-2C48-498B-A434-DF4A7301616F}"/>
    <cellStyle name="20% - Accent3 22 3 3 3 4" xfId="18990" xr:uid="{A0E7EFB6-43FF-45E3-9945-6F854ACD34C0}"/>
    <cellStyle name="20% - Accent3 22 3 3 4" xfId="3699" xr:uid="{11248174-262F-44F4-B595-753C0592CE5C}"/>
    <cellStyle name="20% - Accent3 22 3 3 4 2" xfId="7409" xr:uid="{5C158380-CA0D-4614-B257-31021B1F8CE2}"/>
    <cellStyle name="20% - Accent3 22 3 3 4 2 2" xfId="14918" xr:uid="{DF053259-C296-4A8D-8D8C-09A6EC284F0C}"/>
    <cellStyle name="20% - Accent3 22 3 3 4 2 2 2" xfId="31122" xr:uid="{51623F54-6CA6-46AD-BC92-86CC8DB8A63D}"/>
    <cellStyle name="20% - Accent3 22 3 3 4 2 3" xfId="23613" xr:uid="{8FDBFBA7-4209-46A5-8C27-FC2F87AD2094}"/>
    <cellStyle name="20% - Accent3 22 3 3 4 3" xfId="11309" xr:uid="{9987C400-DAA8-4BEC-895B-2387EB801C96}"/>
    <cellStyle name="20% - Accent3 22 3 3 4 3 2" xfId="27513" xr:uid="{ABB0DD6A-93A8-42A4-8343-98EB8035535D}"/>
    <cellStyle name="20% - Accent3 22 3 3 4 4" xfId="19908" xr:uid="{93BC5DF3-5F3C-4664-B5F6-2EB1C8255890}"/>
    <cellStyle name="20% - Accent3 22 3 3 5" xfId="4168" xr:uid="{CF6F285D-2214-4FE0-A942-ECA2BC818969}"/>
    <cellStyle name="20% - Accent3 22 3 3 5 2" xfId="7838" xr:uid="{7EB004B8-0745-42C9-8EAC-4B9C50A21D9A}"/>
    <cellStyle name="20% - Accent3 22 3 3 5 2 2" xfId="15345" xr:uid="{10C1ED4A-2D28-40ED-A16C-51BCA415EE1C}"/>
    <cellStyle name="20% - Accent3 22 3 3 5 2 2 2" xfId="31549" xr:uid="{B895A333-3708-40D0-A10B-8FDBB894A28B}"/>
    <cellStyle name="20% - Accent3 22 3 3 5 2 3" xfId="24042" xr:uid="{196D8368-547E-415E-ABD7-1C04AEB2E5ED}"/>
    <cellStyle name="20% - Accent3 22 3 3 5 3" xfId="11731" xr:uid="{F549A793-EECC-4032-BA68-98BE331540E4}"/>
    <cellStyle name="20% - Accent3 22 3 3 5 3 2" xfId="27935" xr:uid="{BD221258-6610-462D-94C4-77990FF524C8}"/>
    <cellStyle name="20% - Accent3 22 3 3 5 4" xfId="20372" xr:uid="{9E2F71CE-194A-4BD6-8956-846DD5BD8109}"/>
    <cellStyle name="20% - Accent3 22 3 3 6" xfId="4593" xr:uid="{E6BD82FC-2A77-4FF9-B1F7-7B01FAC8409D}"/>
    <cellStyle name="20% - Accent3 22 3 3 6 2" xfId="8263" xr:uid="{B300AF91-F7A0-4B08-9100-156CDC39B47E}"/>
    <cellStyle name="20% - Accent3 22 3 3 6 2 2" xfId="15770" xr:uid="{D7301392-7B74-4BAC-B0FE-857D1BDAAF23}"/>
    <cellStyle name="20% - Accent3 22 3 3 6 2 2 2" xfId="31974" xr:uid="{390E0025-B0C4-47D7-93FC-51701F5CD04E}"/>
    <cellStyle name="20% - Accent3 22 3 3 6 2 3" xfId="24467" xr:uid="{E271705A-ABC2-439C-AAA9-036EACCA0E71}"/>
    <cellStyle name="20% - Accent3 22 3 3 6 3" xfId="12156" xr:uid="{45964A94-354A-457B-8656-94F9730612D8}"/>
    <cellStyle name="20% - Accent3 22 3 3 6 3 2" xfId="28360" xr:uid="{9CA825E4-6FC5-40B6-BA9A-1F2997A51C89}"/>
    <cellStyle name="20% - Accent3 22 3 3 6 4" xfId="20797" xr:uid="{62D75AC8-60CC-4922-80C6-426D7C46BF11}"/>
    <cellStyle name="20% - Accent3 22 3 3 7" xfId="5020" xr:uid="{E891D67B-7804-4144-ADBB-BA125F75B688}"/>
    <cellStyle name="20% - Accent3 22 3 3 7 2" xfId="8686" xr:uid="{658882EA-53AD-4B81-9D86-50C771AB544C}"/>
    <cellStyle name="20% - Accent3 22 3 3 7 2 2" xfId="16193" xr:uid="{F0331CF0-8F5C-4D9D-8C3B-09CB17F3F6C5}"/>
    <cellStyle name="20% - Accent3 22 3 3 7 2 2 2" xfId="32397" xr:uid="{1B85CD5C-C004-4DE0-8653-2C23A889C9E8}"/>
    <cellStyle name="20% - Accent3 22 3 3 7 2 3" xfId="24890" xr:uid="{B6544469-B7A6-440E-86B0-CB17A3714257}"/>
    <cellStyle name="20% - Accent3 22 3 3 7 3" xfId="12578" xr:uid="{3D702D7B-22C1-4DD0-9A7F-7A30AAB59440}"/>
    <cellStyle name="20% - Accent3 22 3 3 7 3 2" xfId="28782" xr:uid="{44A87BCD-E54D-4162-917E-924C83C5C579}"/>
    <cellStyle name="20% - Accent3 22 3 3 7 4" xfId="21224" xr:uid="{073A320D-5216-44EB-9CB8-60A5CF39EA08}"/>
    <cellStyle name="20% - Accent3 22 3 3 8" xfId="5692" xr:uid="{7B0051D1-00CE-4926-832B-2573D69A90E8}"/>
    <cellStyle name="20% - Accent3 22 3 3 8 2" xfId="13207" xr:uid="{0A286C1E-E056-49C0-8479-3CF01CE9FA7A}"/>
    <cellStyle name="20% - Accent3 22 3 3 8 2 2" xfId="29411" xr:uid="{53291F18-30FF-4406-8782-ABE5BDA852A0}"/>
    <cellStyle name="20% - Accent3 22 3 3 8 3" xfId="21896" xr:uid="{168955F6-8F00-477F-BECE-C3C301569508}"/>
    <cellStyle name="20% - Accent3 22 3 3 9" xfId="9619" xr:uid="{ACBEFC09-D4F8-46EF-8506-025F04DAB35E}"/>
    <cellStyle name="20% - Accent3 22 3 3 9 2" xfId="25823" xr:uid="{BD461D65-67F1-4D79-BCDB-4681197CAB93}"/>
    <cellStyle name="20% - Accent3 22 3 4" xfId="2100" xr:uid="{47EA1B3C-3BB0-41CC-AE17-30107A7DCDDA}"/>
    <cellStyle name="20% - Accent3 22 3 4 2" xfId="3013" xr:uid="{24D073CB-F1BD-4926-BCF9-13F1D65CA588}"/>
    <cellStyle name="20% - Accent3 22 3 4 2 2" xfId="6795" xr:uid="{82AAD7B2-0D17-442B-BE79-00138E2BF2B6}"/>
    <cellStyle name="20% - Accent3 22 3 4 2 2 2" xfId="14306" xr:uid="{ABA872C2-362B-49F6-B4E5-CF65621E2788}"/>
    <cellStyle name="20% - Accent3 22 3 4 2 2 2 2" xfId="30510" xr:uid="{EB4F6C08-4631-475F-961B-934A11626544}"/>
    <cellStyle name="20% - Accent3 22 3 4 2 2 3" xfId="22999" xr:uid="{F8728FEB-5812-40AE-9E7A-2D8B8F776472}"/>
    <cellStyle name="20% - Accent3 22 3 4 2 3" xfId="10706" xr:uid="{9332B0B8-420D-4A4A-8FC0-047921C7F625}"/>
    <cellStyle name="20% - Accent3 22 3 4 2 3 2" xfId="26910" xr:uid="{C06E1F75-65C1-4D36-A494-8B9C40336236}"/>
    <cellStyle name="20% - Accent3 22 3 4 2 4" xfId="19233" xr:uid="{B78033CD-FA16-4E80-ADC8-4F985CBE56B6}"/>
    <cellStyle name="20% - Accent3 22 3 4 3" xfId="5939" xr:uid="{501E8892-FB25-4E7B-8B2E-28007A541EF3}"/>
    <cellStyle name="20% - Accent3 22 3 4 3 2" xfId="13453" xr:uid="{587AFE8A-6CCF-402C-AAC1-D2EDB917BA89}"/>
    <cellStyle name="20% - Accent3 22 3 4 3 2 2" xfId="29657" xr:uid="{808BA46A-FD1E-4E4D-97EC-751A01B985C2}"/>
    <cellStyle name="20% - Accent3 22 3 4 3 3" xfId="22143" xr:uid="{00A3F2EA-04E0-4C77-A5A1-E2095440068E}"/>
    <cellStyle name="20% - Accent3 22 3 4 4" xfId="9862" xr:uid="{393376D7-216B-4381-8C69-CAD68E8A8721}"/>
    <cellStyle name="20% - Accent3 22 3 4 4 2" xfId="26066" xr:uid="{2052C8D1-D68D-40FB-BF68-699E585B89D8}"/>
    <cellStyle name="20% - Accent3 22 3 4 5" xfId="18387" xr:uid="{1300B7CB-57B1-4AA3-9FCC-26A0471FE60D}"/>
    <cellStyle name="20% - Accent3 22 3 5" xfId="2588" xr:uid="{C38BB0AA-9AB5-42EB-AEDE-5893500CD493}"/>
    <cellStyle name="20% - Accent3 22 3 5 2" xfId="6372" xr:uid="{78058365-F0BB-4CF3-95DF-389DB5FB1F86}"/>
    <cellStyle name="20% - Accent3 22 3 5 2 2" xfId="13884" xr:uid="{8AE0AB36-2A52-4568-A3BF-97B9956AD65A}"/>
    <cellStyle name="20% - Accent3 22 3 5 2 2 2" xfId="30088" xr:uid="{6FD6F5A5-701E-4511-993E-7FE3485C235F}"/>
    <cellStyle name="20% - Accent3 22 3 5 2 3" xfId="22576" xr:uid="{627BFD70-56A6-496A-AF47-04688A289409}"/>
    <cellStyle name="20% - Accent3 22 3 5 3" xfId="10284" xr:uid="{0DE53998-C2DE-4034-BE33-C0F78F3B4381}"/>
    <cellStyle name="20% - Accent3 22 3 5 3 2" xfId="26488" xr:uid="{EB2C007F-6D74-4616-87B0-863685432A95}"/>
    <cellStyle name="20% - Accent3 22 3 5 4" xfId="18810" xr:uid="{19DF5FFD-912D-4FAE-A484-F3F12B5F66A0}"/>
    <cellStyle name="20% - Accent3 22 3 6" xfId="3464" xr:uid="{146B7881-1862-456D-BE3E-AA43E0CF8E41}"/>
    <cellStyle name="20% - Accent3 22 3 6 2" xfId="7222" xr:uid="{07B40EFF-0B1C-403B-9C25-7E3C89BC9B52}"/>
    <cellStyle name="20% - Accent3 22 3 6 2 2" xfId="14732" xr:uid="{BF875F04-58B7-43B2-BA9A-CC2D4C85AB49}"/>
    <cellStyle name="20% - Accent3 22 3 6 2 2 2" xfId="30936" xr:uid="{82551A06-04FB-4904-B8AC-66364722FF8B}"/>
    <cellStyle name="20% - Accent3 22 3 6 2 3" xfId="23426" xr:uid="{4DA63F97-D785-425C-8D07-88192715ACCE}"/>
    <cellStyle name="20% - Accent3 22 3 6 3" xfId="11129" xr:uid="{47F7240E-CF97-4A7D-8D4F-ACEEA55B22CE}"/>
    <cellStyle name="20% - Accent3 22 3 6 3 2" xfId="27333" xr:uid="{AF862874-A576-42F1-A542-1608B89EACC7}"/>
    <cellStyle name="20% - Accent3 22 3 6 4" xfId="19680" xr:uid="{236A0742-3AF0-4E40-8077-8746E5BCC043}"/>
    <cellStyle name="20% - Accent3 22 3 7" xfId="3988" xr:uid="{CB852BC4-FB09-4954-AD83-1C82E3CDB263}"/>
    <cellStyle name="20% - Accent3 22 3 7 2" xfId="7658" xr:uid="{10C5FC99-B70A-448F-ACC1-77ECACA1A87C}"/>
    <cellStyle name="20% - Accent3 22 3 7 2 2" xfId="15165" xr:uid="{D6EEF87F-B226-4C77-98C9-AA96A44DC0E9}"/>
    <cellStyle name="20% - Accent3 22 3 7 2 2 2" xfId="31369" xr:uid="{3B6AB7CD-9CE5-4E0C-BA12-DBE6718E409A}"/>
    <cellStyle name="20% - Accent3 22 3 7 2 3" xfId="23862" xr:uid="{D5D51090-6DA1-489D-BE86-86B7A95A25EA}"/>
    <cellStyle name="20% - Accent3 22 3 7 3" xfId="11551" xr:uid="{BD149C14-3F80-43F1-9733-D9D1EEB195B5}"/>
    <cellStyle name="20% - Accent3 22 3 7 3 2" xfId="27755" xr:uid="{9B92F529-30EE-417A-9559-F06DB696D23B}"/>
    <cellStyle name="20% - Accent3 22 3 7 4" xfId="20192" xr:uid="{85631393-CAEF-4CE5-B53F-928E77A98964}"/>
    <cellStyle name="20% - Accent3 22 3 8" xfId="4413" xr:uid="{9F85CCCB-A7F8-4D31-981E-C4527D21E29D}"/>
    <cellStyle name="20% - Accent3 22 3 8 2" xfId="8083" xr:uid="{F24D5066-C015-43D2-9FBA-2C842A5A3555}"/>
    <cellStyle name="20% - Accent3 22 3 8 2 2" xfId="15590" xr:uid="{95BC4682-AD2F-42B0-B73B-10F45AC8A58C}"/>
    <cellStyle name="20% - Accent3 22 3 8 2 2 2" xfId="31794" xr:uid="{41D45C55-3EFF-469C-B455-0A830BB2EEA1}"/>
    <cellStyle name="20% - Accent3 22 3 8 2 3" xfId="24287" xr:uid="{9C95065A-73AB-45E6-96E1-C60E2BC0658A}"/>
    <cellStyle name="20% - Accent3 22 3 8 3" xfId="11976" xr:uid="{03E72A2B-26D0-41AB-8FEF-AB2CDC80C14A}"/>
    <cellStyle name="20% - Accent3 22 3 8 3 2" xfId="28180" xr:uid="{2EAB7083-6948-43C8-A410-9A0510D7E2F0}"/>
    <cellStyle name="20% - Accent3 22 3 8 4" xfId="20617" xr:uid="{2BB6AEB8-20FA-4D44-9F94-EDE8B0638AAE}"/>
    <cellStyle name="20% - Accent3 22 3 9" xfId="4837" xr:uid="{A64FFE56-6909-42AD-A76B-9EE2383EE429}"/>
    <cellStyle name="20% - Accent3 22 3 9 2" xfId="8506" xr:uid="{A26BF3F9-96CD-479E-8551-915CBE606962}"/>
    <cellStyle name="20% - Accent3 22 3 9 2 2" xfId="16013" xr:uid="{FF55FDC6-9852-428F-90DD-BCB4FBCDDF0C}"/>
    <cellStyle name="20% - Accent3 22 3 9 2 2 2" xfId="32217" xr:uid="{D378BEC2-D6C7-4532-BD65-C51A3E394326}"/>
    <cellStyle name="20% - Accent3 22 3 9 2 3" xfId="24710" xr:uid="{9BB0AA51-F867-43AE-B7EF-889E8A412904}"/>
    <cellStyle name="20% - Accent3 22 3 9 3" xfId="12398" xr:uid="{FFC6BA82-BC68-406E-BA87-DB65A082BCEB}"/>
    <cellStyle name="20% - Accent3 22 3 9 3 2" xfId="28602" xr:uid="{9CBF9115-1C36-43D5-8E84-2C7A1D060E62}"/>
    <cellStyle name="20% - Accent3 22 3 9 4" xfId="21041" xr:uid="{F55193B7-6798-4E91-96FB-55F08F97024F}"/>
    <cellStyle name="20% - Accent3 22 4" xfId="554" xr:uid="{4B85F862-B1C9-48C9-98A9-9966B78D9790}"/>
    <cellStyle name="20% - Accent3 22 4 10" xfId="9462" xr:uid="{952EEFF8-F667-4BBB-A5B7-5BD019B45D87}"/>
    <cellStyle name="20% - Accent3 22 4 10 2" xfId="25666" xr:uid="{36C26F60-1C74-492F-9976-75E430EEAC4B}"/>
    <cellStyle name="20% - Accent3 22 4 11" xfId="17978" xr:uid="{D553AFBC-D8F7-48E5-92CD-A7A7FE2619AB}"/>
    <cellStyle name="20% - Accent3 22 4 2" xfId="1838" xr:uid="{8873F2E3-1C09-427A-B599-9208A84F14B6}"/>
    <cellStyle name="20% - Accent3 22 4 2 10" xfId="18143" xr:uid="{37EB3AA0-6E73-490E-B64E-0CE827533301}"/>
    <cellStyle name="20% - Accent3 22 4 2 2" xfId="2347" xr:uid="{265DE3EE-A1EA-48D3-8BEB-36751814EABE}"/>
    <cellStyle name="20% - Accent3 22 4 2 2 2" xfId="3194" xr:uid="{ED5A5C11-DA44-4617-AA3B-A1EDE7D51F92}"/>
    <cellStyle name="20% - Accent3 22 4 2 2 2 2" xfId="6976" xr:uid="{042DF854-B67E-43F1-AE65-BF8A3510B482}"/>
    <cellStyle name="20% - Accent3 22 4 2 2 2 2 2" xfId="14487" xr:uid="{BBC1DA4D-6A53-4B25-960C-A3420D0DD92E}"/>
    <cellStyle name="20% - Accent3 22 4 2 2 2 2 2 2" xfId="30691" xr:uid="{63D7B28A-A97E-4681-A9EC-FCC2E692B105}"/>
    <cellStyle name="20% - Accent3 22 4 2 2 2 2 3" xfId="23180" xr:uid="{BDE7CA58-4054-4CEC-9FED-3EEDD85C0FEB}"/>
    <cellStyle name="20% - Accent3 22 4 2 2 2 3" xfId="10887" xr:uid="{23D99F21-1CDC-4113-B3F7-A28107260873}"/>
    <cellStyle name="20% - Accent3 22 4 2 2 2 3 2" xfId="27091" xr:uid="{AEF8CE8E-8249-4CBD-BB50-22FDCA49E5D4}"/>
    <cellStyle name="20% - Accent3 22 4 2 2 2 4" xfId="19414" xr:uid="{E66A57B6-4458-4A43-B166-E26C0139F65D}"/>
    <cellStyle name="20% - Accent3 22 4 2 2 3" xfId="6131" xr:uid="{F11FDBB0-99CE-40AC-9634-F71A2C5A7956}"/>
    <cellStyle name="20% - Accent3 22 4 2 2 3 2" xfId="13643" xr:uid="{C54B76C3-3DE5-4533-A7E2-F80086389C89}"/>
    <cellStyle name="20% - Accent3 22 4 2 2 3 2 2" xfId="29847" xr:uid="{84A97FDF-C832-4390-8C58-FDE4DB1B3437}"/>
    <cellStyle name="20% - Accent3 22 4 2 2 3 3" xfId="22335" xr:uid="{601473F6-BA43-4E86-8917-D0722EC87A86}"/>
    <cellStyle name="20% - Accent3 22 4 2 2 4" xfId="10043" xr:uid="{24CEEAA1-AFD8-40DF-A993-91050CCA1AD2}"/>
    <cellStyle name="20% - Accent3 22 4 2 2 4 2" xfId="26247" xr:uid="{F663907C-387F-41FB-82EB-88E7DE5916EF}"/>
    <cellStyle name="20% - Accent3 22 4 2 2 5" xfId="18569" xr:uid="{73CAC1D8-F5F1-4F0A-9E8B-11988AF641E2}"/>
    <cellStyle name="20% - Accent3 22 4 2 3" xfId="2769" xr:uid="{3AD92D39-3FAA-4EFB-B027-92C8F46EC738}"/>
    <cellStyle name="20% - Accent3 22 4 2 3 2" xfId="6553" xr:uid="{47733DC3-AD8C-467A-BA5D-288E56C32EAD}"/>
    <cellStyle name="20% - Accent3 22 4 2 3 2 2" xfId="14065" xr:uid="{97A4F8FA-7A38-4B8F-9F2F-2121E4E78FD6}"/>
    <cellStyle name="20% - Accent3 22 4 2 3 2 2 2" xfId="30269" xr:uid="{5B984E71-F47E-47FC-8FAB-9C4813551E27}"/>
    <cellStyle name="20% - Accent3 22 4 2 3 2 3" xfId="22757" xr:uid="{8F76A6DC-B0F4-48D9-B8F0-65C6ACCFE6DD}"/>
    <cellStyle name="20% - Accent3 22 4 2 3 3" xfId="10465" xr:uid="{DD8311B9-BC9C-48B0-8782-8256C238FDDE}"/>
    <cellStyle name="20% - Accent3 22 4 2 3 3 2" xfId="26669" xr:uid="{D6AAF5C0-DBAD-482A-9734-49A0B0821215}"/>
    <cellStyle name="20% - Accent3 22 4 2 3 4" xfId="18991" xr:uid="{2A473CCD-629E-4B9B-871F-848D731284BB}"/>
    <cellStyle name="20% - Accent3 22 4 2 4" xfId="3700" xr:uid="{BA288323-4FAA-43AC-9EB5-CB04571704BA}"/>
    <cellStyle name="20% - Accent3 22 4 2 4 2" xfId="7410" xr:uid="{189E9C3D-7FBB-4B31-BF25-901776D71608}"/>
    <cellStyle name="20% - Accent3 22 4 2 4 2 2" xfId="14919" xr:uid="{B12C99DF-D53E-457C-B676-CE15CE565760}"/>
    <cellStyle name="20% - Accent3 22 4 2 4 2 2 2" xfId="31123" xr:uid="{A432C8B0-C6A1-48EB-B979-ED00F740A538}"/>
    <cellStyle name="20% - Accent3 22 4 2 4 2 3" xfId="23614" xr:uid="{96BE0463-5128-4D7A-AA11-57596242E732}"/>
    <cellStyle name="20% - Accent3 22 4 2 4 3" xfId="11310" xr:uid="{93C71DCC-84EE-42D8-BBFA-E85B073C0221}"/>
    <cellStyle name="20% - Accent3 22 4 2 4 3 2" xfId="27514" xr:uid="{5025C150-E32E-4257-8D71-439A824B981F}"/>
    <cellStyle name="20% - Accent3 22 4 2 4 4" xfId="19909" xr:uid="{354BE4B9-5568-4CD0-99BC-003B44CC378F}"/>
    <cellStyle name="20% - Accent3 22 4 2 5" xfId="4169" xr:uid="{853BD0DF-A414-4EB7-88A3-AE7CBD5836FF}"/>
    <cellStyle name="20% - Accent3 22 4 2 5 2" xfId="7839" xr:uid="{801E12D2-0740-4A6B-9F1A-196193B4217A}"/>
    <cellStyle name="20% - Accent3 22 4 2 5 2 2" xfId="15346" xr:uid="{5AA08DBA-1DD7-4C39-99B3-5B20113D37AC}"/>
    <cellStyle name="20% - Accent3 22 4 2 5 2 2 2" xfId="31550" xr:uid="{134DD098-4806-46DF-A53E-5E8158518BE2}"/>
    <cellStyle name="20% - Accent3 22 4 2 5 2 3" xfId="24043" xr:uid="{3D241D88-A795-47B4-BFD6-284FFF0B1431}"/>
    <cellStyle name="20% - Accent3 22 4 2 5 3" xfId="11732" xr:uid="{82A1C67B-7998-423D-BF34-3D1AC0A621E8}"/>
    <cellStyle name="20% - Accent3 22 4 2 5 3 2" xfId="27936" xr:uid="{4976D49B-5EF8-44AD-A183-185EFCD63354}"/>
    <cellStyle name="20% - Accent3 22 4 2 5 4" xfId="20373" xr:uid="{57AE5FC9-A299-40C1-94FC-1CBBA8780342}"/>
    <cellStyle name="20% - Accent3 22 4 2 6" xfId="4594" xr:uid="{C7B64D16-2253-47EF-9F0B-63B24DC97397}"/>
    <cellStyle name="20% - Accent3 22 4 2 6 2" xfId="8264" xr:uid="{2F8CBF12-ED43-4E96-A316-3399E27C3305}"/>
    <cellStyle name="20% - Accent3 22 4 2 6 2 2" xfId="15771" xr:uid="{727F3B1D-F35F-41D9-BED3-DD563404C9D0}"/>
    <cellStyle name="20% - Accent3 22 4 2 6 2 2 2" xfId="31975" xr:uid="{348E8B35-9C43-4F86-9FC7-FA2A504A882B}"/>
    <cellStyle name="20% - Accent3 22 4 2 6 2 3" xfId="24468" xr:uid="{E1762BC0-C7B6-4040-AAAD-D45C48E54501}"/>
    <cellStyle name="20% - Accent3 22 4 2 6 3" xfId="12157" xr:uid="{4A740CAC-E9B2-4AD9-87EA-667ED327E9F0}"/>
    <cellStyle name="20% - Accent3 22 4 2 6 3 2" xfId="28361" xr:uid="{62F90509-8F10-4933-9B50-F2B8E5AA297C}"/>
    <cellStyle name="20% - Accent3 22 4 2 6 4" xfId="20798" xr:uid="{DF70F455-2684-4E4C-AB05-7D12FC19191E}"/>
    <cellStyle name="20% - Accent3 22 4 2 7" xfId="5021" xr:uid="{00D4472A-A011-48FE-A754-12D266AE54BC}"/>
    <cellStyle name="20% - Accent3 22 4 2 7 2" xfId="8687" xr:uid="{EA8B9DCE-0AEE-4DBE-9F4C-230ED060D670}"/>
    <cellStyle name="20% - Accent3 22 4 2 7 2 2" xfId="16194" xr:uid="{C8D30489-4688-48B0-99FA-BF7DFD5CDD47}"/>
    <cellStyle name="20% - Accent3 22 4 2 7 2 2 2" xfId="32398" xr:uid="{AF0CE963-43B6-4AF5-921A-12AA7C73CE36}"/>
    <cellStyle name="20% - Accent3 22 4 2 7 2 3" xfId="24891" xr:uid="{AA851C3B-978B-40CA-AB36-E451EFC25C92}"/>
    <cellStyle name="20% - Accent3 22 4 2 7 3" xfId="12579" xr:uid="{E6530082-9A55-44D5-A033-7E47B78570A2}"/>
    <cellStyle name="20% - Accent3 22 4 2 7 3 2" xfId="28783" xr:uid="{F42B529F-0D7A-4FF2-A6CD-A132D04BC9A9}"/>
    <cellStyle name="20% - Accent3 22 4 2 7 4" xfId="21225" xr:uid="{B4F2629A-9E58-49A1-8D9A-6EDF2576BEAC}"/>
    <cellStyle name="20% - Accent3 22 4 2 8" xfId="5693" xr:uid="{1A2A7511-48D2-4D3A-8B3C-E5B999ACD44C}"/>
    <cellStyle name="20% - Accent3 22 4 2 8 2" xfId="13208" xr:uid="{D7D2C653-B35B-4E9E-8986-0644EAAB0A8E}"/>
    <cellStyle name="20% - Accent3 22 4 2 8 2 2" xfId="29412" xr:uid="{D7930C48-356B-4E4B-AFCF-6A567F916A8F}"/>
    <cellStyle name="20% - Accent3 22 4 2 8 3" xfId="21897" xr:uid="{87528922-00B2-47B0-9895-F3845CA37AF2}"/>
    <cellStyle name="20% - Accent3 22 4 2 9" xfId="9620" xr:uid="{7C800695-656A-4FA5-9F4D-092B66AF53E9}"/>
    <cellStyle name="20% - Accent3 22 4 2 9 2" xfId="25824" xr:uid="{72A81172-4A25-4954-80D1-E86D1A8BF168}"/>
    <cellStyle name="20% - Accent3 22 4 3" xfId="2123" xr:uid="{71E34DA4-E3BC-4A6D-B3CB-8337CCA1AB7E}"/>
    <cellStyle name="20% - Accent3 22 4 3 2" xfId="3036" xr:uid="{96E481B8-E641-4EAF-8FF5-7E64F64691DC}"/>
    <cellStyle name="20% - Accent3 22 4 3 2 2" xfId="6818" xr:uid="{3DB90CED-A7A1-4CB8-852F-3DD1E17FA691}"/>
    <cellStyle name="20% - Accent3 22 4 3 2 2 2" xfId="14329" xr:uid="{524C5CE8-71BB-4F3C-84CE-1A0AFEE5C014}"/>
    <cellStyle name="20% - Accent3 22 4 3 2 2 2 2" xfId="30533" xr:uid="{73BBE1D1-0362-4EA8-B5EB-67FA346EF204}"/>
    <cellStyle name="20% - Accent3 22 4 3 2 2 3" xfId="23022" xr:uid="{BC9C276C-C98A-4F7B-891B-35D7AC32116E}"/>
    <cellStyle name="20% - Accent3 22 4 3 2 3" xfId="10729" xr:uid="{E6173857-B641-4183-A069-177B5FCD7AFE}"/>
    <cellStyle name="20% - Accent3 22 4 3 2 3 2" xfId="26933" xr:uid="{D2A11924-5828-4B3D-B177-2B6A3B0EB48E}"/>
    <cellStyle name="20% - Accent3 22 4 3 2 4" xfId="19256" xr:uid="{3F665EF5-82E9-446D-AF1E-D77AE2A3E658}"/>
    <cellStyle name="20% - Accent3 22 4 3 3" xfId="5962" xr:uid="{3474229C-4D3B-426A-9B94-3B94AE836EB4}"/>
    <cellStyle name="20% - Accent3 22 4 3 3 2" xfId="13476" xr:uid="{13186849-AAEC-48D6-991A-02FA7762D278}"/>
    <cellStyle name="20% - Accent3 22 4 3 3 2 2" xfId="29680" xr:uid="{58D4BCD3-9E3C-4B58-9276-5CEDDAF4A30D}"/>
    <cellStyle name="20% - Accent3 22 4 3 3 3" xfId="22166" xr:uid="{A800304B-50B6-4A7B-A427-DADC078DD5DD}"/>
    <cellStyle name="20% - Accent3 22 4 3 4" xfId="9885" xr:uid="{13D74193-64A5-41D7-BD4D-329AAAB60004}"/>
    <cellStyle name="20% - Accent3 22 4 3 4 2" xfId="26089" xr:uid="{1CFBF578-50ED-4815-83DF-6A5CAD776D41}"/>
    <cellStyle name="20% - Accent3 22 4 3 5" xfId="18410" xr:uid="{9F4BBF77-B41A-48E2-9977-10A9C52FFD7B}"/>
    <cellStyle name="20% - Accent3 22 4 4" xfId="2611" xr:uid="{360D7FE8-2E4B-473D-91A5-DF8122FB8818}"/>
    <cellStyle name="20% - Accent3 22 4 4 2" xfId="6395" xr:uid="{46DCAA97-54A4-420A-85C9-3796A1626CAF}"/>
    <cellStyle name="20% - Accent3 22 4 4 2 2" xfId="13907" xr:uid="{3F844275-F3EC-4E97-BBCB-7E775E349ECF}"/>
    <cellStyle name="20% - Accent3 22 4 4 2 2 2" xfId="30111" xr:uid="{65A64446-CE27-4323-AC64-BE9FD2D41DF7}"/>
    <cellStyle name="20% - Accent3 22 4 4 2 3" xfId="22599" xr:uid="{01C0624A-6351-403B-825E-D990B21E7AD2}"/>
    <cellStyle name="20% - Accent3 22 4 4 3" xfId="10307" xr:uid="{0DE26EC3-FCA1-4BC4-818B-29893FA9334C}"/>
    <cellStyle name="20% - Accent3 22 4 4 3 2" xfId="26511" xr:uid="{07AFB24B-814A-4915-B451-204BD08408E6}"/>
    <cellStyle name="20% - Accent3 22 4 4 4" xfId="18833" xr:uid="{68B34758-2983-4B66-8B5B-2647C8D8A328}"/>
    <cellStyle name="20% - Accent3 22 4 5" xfId="3487" xr:uid="{2037E907-BB46-4DCB-A1BB-185406A7CCCE}"/>
    <cellStyle name="20% - Accent3 22 4 5 2" xfId="7245" xr:uid="{E54C4330-16CE-47F7-ADDF-F39C012852A6}"/>
    <cellStyle name="20% - Accent3 22 4 5 2 2" xfId="14755" xr:uid="{B2BBADE8-EFC0-4665-9D1F-371D342D103F}"/>
    <cellStyle name="20% - Accent3 22 4 5 2 2 2" xfId="30959" xr:uid="{EBCC1483-7252-4E70-B728-6A45CC790CFC}"/>
    <cellStyle name="20% - Accent3 22 4 5 2 3" xfId="23449" xr:uid="{1548BD82-0409-4BBF-9615-8F403191FCED}"/>
    <cellStyle name="20% - Accent3 22 4 5 3" xfId="11152" xr:uid="{2076879B-3DDE-41B8-B1EF-55E25DA12B86}"/>
    <cellStyle name="20% - Accent3 22 4 5 3 2" xfId="27356" xr:uid="{306FC9F7-F500-498C-BB65-A6923EF227D4}"/>
    <cellStyle name="20% - Accent3 22 4 5 4" xfId="19703" xr:uid="{3F889CD5-5FBE-4505-8123-43458711D448}"/>
    <cellStyle name="20% - Accent3 22 4 6" xfId="4011" xr:uid="{CC8B372E-18B7-4E4C-B31C-70351CEA1E4E}"/>
    <cellStyle name="20% - Accent3 22 4 6 2" xfId="7681" xr:uid="{95ED53E5-0AD0-496B-84F4-52031EC93E4E}"/>
    <cellStyle name="20% - Accent3 22 4 6 2 2" xfId="15188" xr:uid="{94B54FBE-88FD-4228-82D1-4113D36B1EEC}"/>
    <cellStyle name="20% - Accent3 22 4 6 2 2 2" xfId="31392" xr:uid="{A09239D4-9E25-44DD-AA05-1E43B2A884FC}"/>
    <cellStyle name="20% - Accent3 22 4 6 2 3" xfId="23885" xr:uid="{47388FF8-15F8-4287-A488-8EB0E8DAAC7B}"/>
    <cellStyle name="20% - Accent3 22 4 6 3" xfId="11574" xr:uid="{42872F33-BEA9-422E-B707-DE0711411296}"/>
    <cellStyle name="20% - Accent3 22 4 6 3 2" xfId="27778" xr:uid="{C71EA801-304E-4756-8A53-8CDE9BF2279E}"/>
    <cellStyle name="20% - Accent3 22 4 6 4" xfId="20215" xr:uid="{E3FE6C54-595E-4047-AA61-6F0E70A4A36F}"/>
    <cellStyle name="20% - Accent3 22 4 7" xfId="4436" xr:uid="{1B7970AE-83D5-478E-BCDD-7E2B0F3BFCEC}"/>
    <cellStyle name="20% - Accent3 22 4 7 2" xfId="8106" xr:uid="{CCFF81EE-54B6-43C1-AA48-0A16CF2FDF18}"/>
    <cellStyle name="20% - Accent3 22 4 7 2 2" xfId="15613" xr:uid="{32F550D9-478A-4AEC-9272-6167AB36A86F}"/>
    <cellStyle name="20% - Accent3 22 4 7 2 2 2" xfId="31817" xr:uid="{46A69958-EB93-4C31-80B3-544DDDA539EA}"/>
    <cellStyle name="20% - Accent3 22 4 7 2 3" xfId="24310" xr:uid="{DCF895C9-109A-415B-A20A-B3C171ACF953}"/>
    <cellStyle name="20% - Accent3 22 4 7 3" xfId="11999" xr:uid="{F07F66C4-565E-4540-9C59-DC0BD4F62BC2}"/>
    <cellStyle name="20% - Accent3 22 4 7 3 2" xfId="28203" xr:uid="{ED03E3C3-710B-44B9-B7DF-592A143C18F8}"/>
    <cellStyle name="20% - Accent3 22 4 7 4" xfId="20640" xr:uid="{AFBEFFB2-EF9D-413D-A288-140D82C241E0}"/>
    <cellStyle name="20% - Accent3 22 4 8" xfId="4861" xr:uid="{1997DC38-6E3B-4B7D-9AF4-9A3CBC3127FE}"/>
    <cellStyle name="20% - Accent3 22 4 8 2" xfId="8529" xr:uid="{FD8A9F21-CAAC-48EA-ACA2-6E541908FB9D}"/>
    <cellStyle name="20% - Accent3 22 4 8 2 2" xfId="16036" xr:uid="{EA7C878B-F7A9-4026-BCFF-53B3CC98AA8D}"/>
    <cellStyle name="20% - Accent3 22 4 8 2 2 2" xfId="32240" xr:uid="{A6D2C8BF-D23D-42A5-BAC1-63560DD7AA4A}"/>
    <cellStyle name="20% - Accent3 22 4 8 2 3" xfId="24733" xr:uid="{CFFA6C2A-BB9D-4D14-A5BD-550D3DDEFDCF}"/>
    <cellStyle name="20% - Accent3 22 4 8 3" xfId="12421" xr:uid="{7F8BA231-7925-4F64-800C-CBD671C1E3BD}"/>
    <cellStyle name="20% - Accent3 22 4 8 3 2" xfId="28625" xr:uid="{64473675-01AD-4487-99AA-BC2C1AE8548F}"/>
    <cellStyle name="20% - Accent3 22 4 8 4" xfId="21065" xr:uid="{EDB6A4AC-0372-43B1-A71D-4CD396EEC2EA}"/>
    <cellStyle name="20% - Accent3 22 4 9" xfId="5347" xr:uid="{266C692B-33B6-4C5B-80BB-61ED5D2F925A}"/>
    <cellStyle name="20% - Accent3 22 4 9 2" xfId="12896" xr:uid="{8B1BAAAC-A983-413C-846F-C88D6B58543F}"/>
    <cellStyle name="20% - Accent3 22 4 9 2 2" xfId="29100" xr:uid="{556C050E-76BA-40B2-BD7F-B78FAA766A0C}"/>
    <cellStyle name="20% - Accent3 22 4 9 3" xfId="21551" xr:uid="{39B845A1-08D0-4FA6-A498-CC0B9CECC9E1}"/>
    <cellStyle name="20% - Accent3 22 5" xfId="1288" xr:uid="{D32991D9-C60E-4FE3-95C9-4A801A1C454C}"/>
    <cellStyle name="20% - Accent3 22 6" xfId="1839" xr:uid="{AA876B20-4F7F-4702-9D7F-50311FC43D0B}"/>
    <cellStyle name="20% - Accent3 22 6 10" xfId="18144" xr:uid="{CC737CC4-258C-434E-BF86-91483DF849C0}"/>
    <cellStyle name="20% - Accent3 22 6 2" xfId="2348" xr:uid="{4FE87519-D8AA-4256-BEC8-FD5AF0EF2CED}"/>
    <cellStyle name="20% - Accent3 22 6 2 2" xfId="3195" xr:uid="{5A1C940A-1609-4C65-B81B-305C96E0EC2A}"/>
    <cellStyle name="20% - Accent3 22 6 2 2 2" xfId="6977" xr:uid="{6B745324-BC66-43F4-BBDA-3A339540C1B7}"/>
    <cellStyle name="20% - Accent3 22 6 2 2 2 2" xfId="14488" xr:uid="{F338C2BC-7D04-4DC5-A5F8-D0AB8E34DA1A}"/>
    <cellStyle name="20% - Accent3 22 6 2 2 2 2 2" xfId="30692" xr:uid="{BECBE494-A9F7-4A9B-AA61-D924BB67B1DD}"/>
    <cellStyle name="20% - Accent3 22 6 2 2 2 3" xfId="23181" xr:uid="{C3C6EA55-2ED1-4E19-B1AF-ED4A2411E2BF}"/>
    <cellStyle name="20% - Accent3 22 6 2 2 3" xfId="10888" xr:uid="{4B95DFA7-3E7A-447B-99D8-2A18C1706A65}"/>
    <cellStyle name="20% - Accent3 22 6 2 2 3 2" xfId="27092" xr:uid="{73D7C8CC-9046-49CB-A2D2-35F97B51EA23}"/>
    <cellStyle name="20% - Accent3 22 6 2 2 4" xfId="19415" xr:uid="{91627BCF-80ED-4049-AD1F-3FDF97786439}"/>
    <cellStyle name="20% - Accent3 22 6 2 3" xfId="6132" xr:uid="{5F6B6861-14AA-477B-AC59-8A85538ADC8B}"/>
    <cellStyle name="20% - Accent3 22 6 2 3 2" xfId="13644" xr:uid="{A6852B03-925F-46A1-8696-EB83AD337738}"/>
    <cellStyle name="20% - Accent3 22 6 2 3 2 2" xfId="29848" xr:uid="{E64B25C6-BDE2-4DF8-B12B-BE91942B174F}"/>
    <cellStyle name="20% - Accent3 22 6 2 3 3" xfId="22336" xr:uid="{B0D96BD9-26D4-4A0C-BCB2-0AA96570C173}"/>
    <cellStyle name="20% - Accent3 22 6 2 4" xfId="10044" xr:uid="{6C2E085C-479A-448B-8BE3-C383B10F253C}"/>
    <cellStyle name="20% - Accent3 22 6 2 4 2" xfId="26248" xr:uid="{7B10059D-EFAF-4ECE-848D-3E62B26E472E}"/>
    <cellStyle name="20% - Accent3 22 6 2 5" xfId="18570" xr:uid="{55020A7E-C4A4-4A99-819E-992FBD6FD9FA}"/>
    <cellStyle name="20% - Accent3 22 6 3" xfId="2770" xr:uid="{CA1191D2-376F-4447-A00E-7D45C632DB35}"/>
    <cellStyle name="20% - Accent3 22 6 3 2" xfId="6554" xr:uid="{740D085E-770F-49AC-A60A-B5715A5EE9DC}"/>
    <cellStyle name="20% - Accent3 22 6 3 2 2" xfId="14066" xr:uid="{A890A8DA-36F1-4C17-BC90-2CDE79938403}"/>
    <cellStyle name="20% - Accent3 22 6 3 2 2 2" xfId="30270" xr:uid="{55FD9B8A-7454-4654-AA4D-0843A02921F9}"/>
    <cellStyle name="20% - Accent3 22 6 3 2 3" xfId="22758" xr:uid="{BD0E84D8-ACFD-4063-9AF4-E9635DC95F20}"/>
    <cellStyle name="20% - Accent3 22 6 3 3" xfId="10466" xr:uid="{08B9DD8E-1B5A-4072-844B-5E7179C67D11}"/>
    <cellStyle name="20% - Accent3 22 6 3 3 2" xfId="26670" xr:uid="{39F543DC-3FC8-4EBE-AEEA-9AC479E0B0BA}"/>
    <cellStyle name="20% - Accent3 22 6 3 4" xfId="18992" xr:uid="{8ACE07D7-EC43-4944-A29C-3B77040BC704}"/>
    <cellStyle name="20% - Accent3 22 6 4" xfId="3701" xr:uid="{59EFAC14-F5E8-40CC-B5C7-2B3C5A0EB04D}"/>
    <cellStyle name="20% - Accent3 22 6 4 2" xfId="7411" xr:uid="{A8D7092B-A595-4270-967D-16A85D357536}"/>
    <cellStyle name="20% - Accent3 22 6 4 2 2" xfId="14920" xr:uid="{57A99BA3-F1DD-433E-A7BF-3D6AE7F9DDDF}"/>
    <cellStyle name="20% - Accent3 22 6 4 2 2 2" xfId="31124" xr:uid="{5D79E9EE-C935-4DDA-9B89-A68FA8A2AA6E}"/>
    <cellStyle name="20% - Accent3 22 6 4 2 3" xfId="23615" xr:uid="{6CCC9FEB-9912-429F-8A11-741798171C00}"/>
    <cellStyle name="20% - Accent3 22 6 4 3" xfId="11311" xr:uid="{8BE60419-8640-4E08-BEA5-F0CE6645091F}"/>
    <cellStyle name="20% - Accent3 22 6 4 3 2" xfId="27515" xr:uid="{E6F30D5C-0AFE-4D5D-AD04-0E3F91FBFE05}"/>
    <cellStyle name="20% - Accent3 22 6 4 4" xfId="19910" xr:uid="{CD6F5BA6-EAD5-4298-A54F-32146E8CD10E}"/>
    <cellStyle name="20% - Accent3 22 6 5" xfId="4170" xr:uid="{D993C161-26DE-4534-BC76-C0684572BC09}"/>
    <cellStyle name="20% - Accent3 22 6 5 2" xfId="7840" xr:uid="{8376E5E8-6442-49B9-8298-8392E7BDBB33}"/>
    <cellStyle name="20% - Accent3 22 6 5 2 2" xfId="15347" xr:uid="{C8BC90BA-A92B-4232-816D-89A5781930DC}"/>
    <cellStyle name="20% - Accent3 22 6 5 2 2 2" xfId="31551" xr:uid="{0FBDEFAB-6776-4599-9E25-283D23361C32}"/>
    <cellStyle name="20% - Accent3 22 6 5 2 3" xfId="24044" xr:uid="{379729A2-1C28-4E29-AFBA-5F01D60263C4}"/>
    <cellStyle name="20% - Accent3 22 6 5 3" xfId="11733" xr:uid="{C8000666-494D-4271-A729-A3D9B4B0B39E}"/>
    <cellStyle name="20% - Accent3 22 6 5 3 2" xfId="27937" xr:uid="{3787EBA6-1886-4214-A9AE-73580261149C}"/>
    <cellStyle name="20% - Accent3 22 6 5 4" xfId="20374" xr:uid="{888F5457-0D78-4DAB-8FCC-286D7173C0FB}"/>
    <cellStyle name="20% - Accent3 22 6 6" xfId="4595" xr:uid="{C429E85E-70DE-4B90-AB7C-8C651F7381BA}"/>
    <cellStyle name="20% - Accent3 22 6 6 2" xfId="8265" xr:uid="{7E939840-4D88-447F-884B-3209AE1F07C1}"/>
    <cellStyle name="20% - Accent3 22 6 6 2 2" xfId="15772" xr:uid="{D7D9B7BC-E92E-47A7-A267-372F646A92FD}"/>
    <cellStyle name="20% - Accent3 22 6 6 2 2 2" xfId="31976" xr:uid="{5FB4FCD5-E56D-4004-BA0C-0BD35C1CEC2A}"/>
    <cellStyle name="20% - Accent3 22 6 6 2 3" xfId="24469" xr:uid="{328EF868-1B7E-4FE7-ACD8-8EC5856209E4}"/>
    <cellStyle name="20% - Accent3 22 6 6 3" xfId="12158" xr:uid="{8F4BFCA9-CB3D-416F-A439-7CB283252948}"/>
    <cellStyle name="20% - Accent3 22 6 6 3 2" xfId="28362" xr:uid="{0B3A7038-4B4A-45AB-A5D6-887E0007D7A9}"/>
    <cellStyle name="20% - Accent3 22 6 6 4" xfId="20799" xr:uid="{0313DEAB-2549-4564-848F-E59A7DC1F776}"/>
    <cellStyle name="20% - Accent3 22 6 7" xfId="5022" xr:uid="{A327A561-A0C7-443E-BE9A-8A36878BCA19}"/>
    <cellStyle name="20% - Accent3 22 6 7 2" xfId="8688" xr:uid="{496EB0BF-43B8-498D-811C-F855444E0B26}"/>
    <cellStyle name="20% - Accent3 22 6 7 2 2" xfId="16195" xr:uid="{4E6F8574-AAD7-4FAD-B163-0D2C2758D8E3}"/>
    <cellStyle name="20% - Accent3 22 6 7 2 2 2" xfId="32399" xr:uid="{214CC4CF-71C0-4AB8-9306-0E8719E56259}"/>
    <cellStyle name="20% - Accent3 22 6 7 2 3" xfId="24892" xr:uid="{187F3048-7E0A-4E24-AC10-50CB7042FAF8}"/>
    <cellStyle name="20% - Accent3 22 6 7 3" xfId="12580" xr:uid="{6DBCD65B-2483-4BC9-A766-5A00966B74F6}"/>
    <cellStyle name="20% - Accent3 22 6 7 3 2" xfId="28784" xr:uid="{C1EF3C6A-6A77-4D7D-BB1A-96CBC2B74146}"/>
    <cellStyle name="20% - Accent3 22 6 7 4" xfId="21226" xr:uid="{3522091A-EA9E-4AD7-A2D1-F5FD7E883913}"/>
    <cellStyle name="20% - Accent3 22 6 8" xfId="5694" xr:uid="{926E13B0-E1E0-4464-AA92-D7AFE2C081B5}"/>
    <cellStyle name="20% - Accent3 22 6 8 2" xfId="13209" xr:uid="{4EF14628-6C47-45CA-900F-237D1CC8DA95}"/>
    <cellStyle name="20% - Accent3 22 6 8 2 2" xfId="29413" xr:uid="{272DD1F6-33F5-4328-B79F-6C53A17EBE51}"/>
    <cellStyle name="20% - Accent3 22 6 8 3" xfId="21898" xr:uid="{BB8BD318-6D86-4B27-AEA1-3B38A10164FF}"/>
    <cellStyle name="20% - Accent3 22 6 9" xfId="9621" xr:uid="{9F8769B6-1E7A-4A9B-AE1D-ED8696FBF726}"/>
    <cellStyle name="20% - Accent3 22 6 9 2" xfId="25825" xr:uid="{8A161C88-FB3F-4803-8C7A-87B51D76588F}"/>
    <cellStyle name="20% - Accent3 22 7" xfId="2056" xr:uid="{28A6C6A5-A837-4363-8F6A-0124053C94DC}"/>
    <cellStyle name="20% - Accent3 22 7 2" xfId="2969" xr:uid="{F22FC33A-264C-49C3-8822-8E87AB8E2101}"/>
    <cellStyle name="20% - Accent3 22 7 2 2" xfId="6751" xr:uid="{3541F934-3BBD-4763-B711-C236AB70CAB9}"/>
    <cellStyle name="20% - Accent3 22 7 2 2 2" xfId="14262" xr:uid="{4222E835-CB59-4D61-B912-2942AF00CA59}"/>
    <cellStyle name="20% - Accent3 22 7 2 2 2 2" xfId="30466" xr:uid="{12384C5C-F566-47C2-A83E-94E62251B2A1}"/>
    <cellStyle name="20% - Accent3 22 7 2 2 3" xfId="22955" xr:uid="{375EE687-5EB9-44FC-862A-F2A02EEDDC8B}"/>
    <cellStyle name="20% - Accent3 22 7 2 3" xfId="10662" xr:uid="{8A4DD933-1B9B-4D08-865C-3D7EE7B3D5CD}"/>
    <cellStyle name="20% - Accent3 22 7 2 3 2" xfId="26866" xr:uid="{A569097F-ECC8-4391-8750-4648BF020D51}"/>
    <cellStyle name="20% - Accent3 22 7 2 4" xfId="19189" xr:uid="{6343EA05-24FD-4A8A-9439-874C2E089022}"/>
    <cellStyle name="20% - Accent3 22 7 3" xfId="5895" xr:uid="{D5896F64-B656-4205-BE6E-AA78B322719C}"/>
    <cellStyle name="20% - Accent3 22 7 3 2" xfId="13409" xr:uid="{4F6FDB91-D2DE-4413-BB54-86A7F0461D31}"/>
    <cellStyle name="20% - Accent3 22 7 3 2 2" xfId="29613" xr:uid="{73E8EECD-C610-44FC-A18D-7F2CF64E119A}"/>
    <cellStyle name="20% - Accent3 22 7 3 3" xfId="22099" xr:uid="{390E5434-B2D9-434E-89CF-25AA853BD35E}"/>
    <cellStyle name="20% - Accent3 22 7 4" xfId="9818" xr:uid="{31ED24FC-5BEC-4F86-A161-975340AB57AC}"/>
    <cellStyle name="20% - Accent3 22 7 4 2" xfId="26022" xr:uid="{C270D82D-363E-4A7B-B689-49224A9D1752}"/>
    <cellStyle name="20% - Accent3 22 7 5" xfId="18343" xr:uid="{F66F0100-81D9-46F4-BD90-023FC907662E}"/>
    <cellStyle name="20% - Accent3 22 8" xfId="2544" xr:uid="{4B4F5088-7923-4C08-AD82-43BF84D0D1EF}"/>
    <cellStyle name="20% - Accent3 22 8 2" xfId="6328" xr:uid="{581EF995-1A08-44C1-B8E3-3833F84FE5A7}"/>
    <cellStyle name="20% - Accent3 22 8 2 2" xfId="13840" xr:uid="{3EDFE879-D978-4CA3-864D-8BA71B5BF4CE}"/>
    <cellStyle name="20% - Accent3 22 8 2 2 2" xfId="30044" xr:uid="{0C5A9FE2-DDAF-439A-A4BB-A7BD00884C96}"/>
    <cellStyle name="20% - Accent3 22 8 2 3" xfId="22532" xr:uid="{0D9A7417-51ED-4742-B461-0585DC8A5DD4}"/>
    <cellStyle name="20% - Accent3 22 8 3" xfId="10240" xr:uid="{A821699F-59B3-4275-815C-33BB4C133254}"/>
    <cellStyle name="20% - Accent3 22 8 3 2" xfId="26444" xr:uid="{F05FAC46-C701-428D-9170-2E76C5724730}"/>
    <cellStyle name="20% - Accent3 22 8 4" xfId="18766" xr:uid="{7D21987F-3DD5-4E08-980F-4B5BC79397EB}"/>
    <cellStyle name="20% - Accent3 22 9" xfId="3420" xr:uid="{C86C6833-692F-4CF4-90B9-764792ED4692}"/>
    <cellStyle name="20% - Accent3 22 9 2" xfId="7178" xr:uid="{1C6DD36F-221B-4C78-9376-76A23A2BF86E}"/>
    <cellStyle name="20% - Accent3 22 9 2 2" xfId="14688" xr:uid="{93122A26-6924-4A3E-BB61-5BDB66798C1A}"/>
    <cellStyle name="20% - Accent3 22 9 2 2 2" xfId="30892" xr:uid="{621A8B82-0145-4F6D-BF0B-90D443E8A32E}"/>
    <cellStyle name="20% - Accent3 22 9 2 3" xfId="23382" xr:uid="{ED636240-EA45-4B99-97F8-920129413E39}"/>
    <cellStyle name="20% - Accent3 22 9 3" xfId="11085" xr:uid="{85B92E11-4374-427E-BE7F-72FE8EE54F97}"/>
    <cellStyle name="20% - Accent3 22 9 3 2" xfId="27289" xr:uid="{B52FE2F9-3DA6-4040-9353-9CB23BCB5CCF}"/>
    <cellStyle name="20% - Accent3 22 9 4" xfId="19636" xr:uid="{8FFA708B-E8B5-4FF7-946A-B8671ABB1D0F}"/>
    <cellStyle name="20% - Accent3 23" xfId="961" xr:uid="{D0CBCCEA-4607-4475-95F8-C7C1CEC6E7CB}"/>
    <cellStyle name="20% - Accent3 24" xfId="1812" xr:uid="{D42004E2-1352-4D81-ACAD-D3F150E9B878}"/>
    <cellStyle name="20% - Accent3 24 10" xfId="18117" xr:uid="{BF6B8C92-1BFF-4B51-8BDE-51CF5FA77EAD}"/>
    <cellStyle name="20% - Accent3 24 2" xfId="2321" xr:uid="{410D0205-D76E-43D5-B40C-E63557B386D7}"/>
    <cellStyle name="20% - Accent3 24 2 2" xfId="3168" xr:uid="{63AC36DD-949E-4133-AB8D-A249EB7E363C}"/>
    <cellStyle name="20% - Accent3 24 2 2 2" xfId="6950" xr:uid="{1A8FC5E7-C182-4994-AFB6-51D66C768804}"/>
    <cellStyle name="20% - Accent3 24 2 2 2 2" xfId="14461" xr:uid="{4ECD6F76-E05E-4AED-B114-C63794280E2B}"/>
    <cellStyle name="20% - Accent3 24 2 2 2 2 2" xfId="30665" xr:uid="{A9AD1438-DFC6-4F5F-ABE4-E93C450DC9AF}"/>
    <cellStyle name="20% - Accent3 24 2 2 2 3" xfId="23154" xr:uid="{00C1F816-3C0E-4BE1-A0BF-793C423D5751}"/>
    <cellStyle name="20% - Accent3 24 2 2 3" xfId="10861" xr:uid="{21A06340-84E0-4877-B764-BC41247190A8}"/>
    <cellStyle name="20% - Accent3 24 2 2 3 2" xfId="27065" xr:uid="{CA3AF619-8573-46B1-B4EF-751CA3CFF171}"/>
    <cellStyle name="20% - Accent3 24 2 2 4" xfId="19388" xr:uid="{8BEB118C-50CB-465F-8013-8F095EB2827E}"/>
    <cellStyle name="20% - Accent3 24 2 3" xfId="6105" xr:uid="{31AE1C3E-5691-4467-BA67-ADAC4648B249}"/>
    <cellStyle name="20% - Accent3 24 2 3 2" xfId="13617" xr:uid="{B6CED53C-D9E3-4D4B-86EC-788C909FC38D}"/>
    <cellStyle name="20% - Accent3 24 2 3 2 2" xfId="29821" xr:uid="{6494F761-8630-4677-AF14-09440979A5DC}"/>
    <cellStyle name="20% - Accent3 24 2 3 3" xfId="22309" xr:uid="{36558747-ED1D-42D0-B887-E1DF42E7A074}"/>
    <cellStyle name="20% - Accent3 24 2 4" xfId="10017" xr:uid="{82DF0E94-0F6A-4729-96A4-8F1BA3650E18}"/>
    <cellStyle name="20% - Accent3 24 2 4 2" xfId="26221" xr:uid="{40FC9731-3BD3-41A4-A68A-8175757884A0}"/>
    <cellStyle name="20% - Accent3 24 2 5" xfId="18543" xr:uid="{DADFB409-4167-483D-93CE-2F75C0B5C267}"/>
    <cellStyle name="20% - Accent3 24 3" xfId="2743" xr:uid="{7BC39038-FCB6-4577-A30E-7C97D81E5EE5}"/>
    <cellStyle name="20% - Accent3 24 3 2" xfId="6527" xr:uid="{58AD78BD-0E9E-40C1-B00E-E3100084433A}"/>
    <cellStyle name="20% - Accent3 24 3 2 2" xfId="14039" xr:uid="{C5D0A8B2-DAF6-4F1C-9255-1139B292584E}"/>
    <cellStyle name="20% - Accent3 24 3 2 2 2" xfId="30243" xr:uid="{EF804B4C-1E4D-4001-8A67-190042EE031F}"/>
    <cellStyle name="20% - Accent3 24 3 2 3" xfId="22731" xr:uid="{9818C106-D5F0-4C1C-A21F-F5E066CF80AC}"/>
    <cellStyle name="20% - Accent3 24 3 3" xfId="10439" xr:uid="{57BB496D-6F09-4E2D-A173-4A6F74D44696}"/>
    <cellStyle name="20% - Accent3 24 3 3 2" xfId="26643" xr:uid="{E3928125-8341-4872-93AC-3A3132DDF3A6}"/>
    <cellStyle name="20% - Accent3 24 3 4" xfId="18965" xr:uid="{7F3128AD-090A-4CB6-B63E-6C9B00012786}"/>
    <cellStyle name="20% - Accent3 24 4" xfId="3674" xr:uid="{BBC547F0-D137-4700-A0E9-71506AD02451}"/>
    <cellStyle name="20% - Accent3 24 4 2" xfId="7384" xr:uid="{488161E1-9EA7-47AC-B8ED-3C9314C7DB92}"/>
    <cellStyle name="20% - Accent3 24 4 2 2" xfId="14893" xr:uid="{853A7CBC-CA69-4C7B-A8F7-3C32B9A94613}"/>
    <cellStyle name="20% - Accent3 24 4 2 2 2" xfId="31097" xr:uid="{ECF265ED-CCE1-43BC-A36A-C1FD3267EF3E}"/>
    <cellStyle name="20% - Accent3 24 4 2 3" xfId="23588" xr:uid="{912D3F26-7435-49EB-8156-973CF0C7CFC5}"/>
    <cellStyle name="20% - Accent3 24 4 3" xfId="11284" xr:uid="{40F2A3F7-3B7D-4AE8-8E68-909B6891EC3C}"/>
    <cellStyle name="20% - Accent3 24 4 3 2" xfId="27488" xr:uid="{2FE68335-FE49-4F88-8CA8-26425EB1E700}"/>
    <cellStyle name="20% - Accent3 24 4 4" xfId="19883" xr:uid="{0AFF8901-4007-45CD-BD16-FCD6172E2DD6}"/>
    <cellStyle name="20% - Accent3 24 5" xfId="4143" xr:uid="{1E88EE3A-A920-4819-81C4-B7DEA78A2840}"/>
    <cellStyle name="20% - Accent3 24 5 2" xfId="7813" xr:uid="{FCBF0229-FC2F-4300-9AA6-AD9A9B87C084}"/>
    <cellStyle name="20% - Accent3 24 5 2 2" xfId="15320" xr:uid="{F711DBE0-32AC-4561-8DE1-295B1D0B83AC}"/>
    <cellStyle name="20% - Accent3 24 5 2 2 2" xfId="31524" xr:uid="{F5197C1C-D116-4F0D-947D-83F20E2D2250}"/>
    <cellStyle name="20% - Accent3 24 5 2 3" xfId="24017" xr:uid="{25E6280A-A107-41C9-AEAC-E8E1E21F50BF}"/>
    <cellStyle name="20% - Accent3 24 5 3" xfId="11706" xr:uid="{D9604EAE-0628-4FEB-B1BF-822D254F2314}"/>
    <cellStyle name="20% - Accent3 24 5 3 2" xfId="27910" xr:uid="{F5687115-7FE4-4010-A448-B4D4A93A3074}"/>
    <cellStyle name="20% - Accent3 24 5 4" xfId="20347" xr:uid="{59825179-0373-4DFD-A182-90C2241702D0}"/>
    <cellStyle name="20% - Accent3 24 6" xfId="4568" xr:uid="{088E69C4-9C53-4869-8115-7289CA9629D5}"/>
    <cellStyle name="20% - Accent3 24 6 2" xfId="8238" xr:uid="{BBC6C3FA-4352-4760-B99C-D744BA5EC58B}"/>
    <cellStyle name="20% - Accent3 24 6 2 2" xfId="15745" xr:uid="{BB8A6AAA-7EBE-4BB6-8C90-F1793BC54546}"/>
    <cellStyle name="20% - Accent3 24 6 2 2 2" xfId="31949" xr:uid="{E35D7F90-FEAA-4182-9CD7-F4641A465CC7}"/>
    <cellStyle name="20% - Accent3 24 6 2 3" xfId="24442" xr:uid="{830EF9F9-C950-4E15-9833-9CFCFFF3BBA2}"/>
    <cellStyle name="20% - Accent3 24 6 3" xfId="12131" xr:uid="{E8AEC09B-A669-48E3-A5F9-2585253305F3}"/>
    <cellStyle name="20% - Accent3 24 6 3 2" xfId="28335" xr:uid="{5D427293-F275-4D5D-BB4E-64840A866C02}"/>
    <cellStyle name="20% - Accent3 24 6 4" xfId="20772" xr:uid="{706F43A0-3CAA-4740-83FA-25ED0F10E45E}"/>
    <cellStyle name="20% - Accent3 24 7" xfId="4995" xr:uid="{CEC42285-7A79-4EC1-B13F-447AE94D686F}"/>
    <cellStyle name="20% - Accent3 24 7 2" xfId="8661" xr:uid="{B03715E2-C837-4988-B538-2ADE1A8B4B64}"/>
    <cellStyle name="20% - Accent3 24 7 2 2" xfId="16168" xr:uid="{2A59C9D0-493D-4715-9883-5FEA6D8F15B8}"/>
    <cellStyle name="20% - Accent3 24 7 2 2 2" xfId="32372" xr:uid="{FB8F5BA6-06A2-4E4A-87F0-EC18823B5583}"/>
    <cellStyle name="20% - Accent3 24 7 2 3" xfId="24865" xr:uid="{E1C7870C-0249-4102-8DA8-3A96F7B619BA}"/>
    <cellStyle name="20% - Accent3 24 7 3" xfId="12553" xr:uid="{D974AB7B-D29C-475E-B1AB-673FBA31CEEC}"/>
    <cellStyle name="20% - Accent3 24 7 3 2" xfId="28757" xr:uid="{8D3DCD20-80AE-40AD-A31D-6AB441D69EE2}"/>
    <cellStyle name="20% - Accent3 24 7 4" xfId="21199" xr:uid="{EF6493B0-37DE-43D9-97EE-0D6A5588F8D0}"/>
    <cellStyle name="20% - Accent3 24 8" xfId="5667" xr:uid="{780CFBA3-EC3F-4EC0-9532-E2F08AB69B99}"/>
    <cellStyle name="20% - Accent3 24 8 2" xfId="13182" xr:uid="{CAE62673-2981-457C-B02B-0F53960AEE95}"/>
    <cellStyle name="20% - Accent3 24 8 2 2" xfId="29386" xr:uid="{3CCBEC6D-3785-47C6-BD2F-65946611555C}"/>
    <cellStyle name="20% - Accent3 24 8 3" xfId="21871" xr:uid="{4BB3C019-ADD0-4563-8A27-9FFF48AFBDED}"/>
    <cellStyle name="20% - Accent3 24 9" xfId="9594" xr:uid="{739E2A31-4B3E-449D-B0A7-62FF22AF3C0B}"/>
    <cellStyle name="20% - Accent3 24 9 2" xfId="25798" xr:uid="{78E9DB23-795C-4985-863F-D2387E86FE4C}"/>
    <cellStyle name="20% - Accent3 25" xfId="56" xr:uid="{299F5005-8EA5-42ED-870F-2BD9445FBD24}"/>
    <cellStyle name="20% - Accent3 26" xfId="16851" xr:uid="{B75795E3-7889-42E8-82F2-94DB22BB39C5}"/>
    <cellStyle name="20% - Accent3 3" xfId="69" xr:uid="{5FB64539-45FB-427E-A692-3AAED2C07359}"/>
    <cellStyle name="20% - Accent3 3 2" xfId="1301" xr:uid="{19D2B11B-1E1E-4D52-B2AC-3677547EDB13}"/>
    <cellStyle name="20% - Accent3 3 3" xfId="948" xr:uid="{3E262558-96D2-483C-B8B4-09C743DE4CF9}"/>
    <cellStyle name="20% - Accent3 4" xfId="70" xr:uid="{BD06403C-E6BB-4E46-AFD1-7957946506BA}"/>
    <cellStyle name="20% - Accent3 4 2" xfId="1302" xr:uid="{F6FC6EB4-4AA9-4F65-9BBC-7FA4DBCC172A}"/>
    <cellStyle name="20% - Accent3 4 3" xfId="947" xr:uid="{3D2CAFB4-74C4-46F7-AE29-75D9C2314B71}"/>
    <cellStyle name="20% - Accent3 5" xfId="71" xr:uid="{AE89EEE9-C009-43B5-96D6-9215DBC7C85D}"/>
    <cellStyle name="20% - Accent3 5 2" xfId="1303" xr:uid="{2CEF4051-89AB-42E5-B768-E5DA6B840DAB}"/>
    <cellStyle name="20% - Accent3 5 3" xfId="946" xr:uid="{4D7B5188-3AC7-4F94-AEA2-5297B4A467F4}"/>
    <cellStyle name="20% - Accent3 6" xfId="72" xr:uid="{5DB83913-F262-4BF6-81BA-CE30F22B8D98}"/>
    <cellStyle name="20% - Accent3 6 2" xfId="1304" xr:uid="{6D2FD6E6-C02A-4231-A9D3-F032CE35DA4E}"/>
    <cellStyle name="20% - Accent3 6 3" xfId="945" xr:uid="{22245887-0B86-4B9F-A0B8-9BEC041DEE31}"/>
    <cellStyle name="20% - Accent3 7" xfId="73" xr:uid="{65D8FBF2-B170-407B-BE4C-0FDB85DD8501}"/>
    <cellStyle name="20% - Accent3 7 2" xfId="1305" xr:uid="{41BB0DC0-23D1-4BAC-BFB8-0A98B5437D2A}"/>
    <cellStyle name="20% - Accent3 7 3" xfId="943" xr:uid="{9B0B3A93-65F4-4C3C-8C9F-FE8BA7178B19}"/>
    <cellStyle name="20% - Accent3 8" xfId="74" xr:uid="{BDF168BD-13E4-4224-A425-0B28D0FFF508}"/>
    <cellStyle name="20% - Accent3 8 2" xfId="1306" xr:uid="{98086238-CB26-49DF-99A7-683625B307ED}"/>
    <cellStyle name="20% - Accent3 8 3" xfId="942" xr:uid="{8A074FC8-8329-4BB4-8DF1-6670B7D8E95C}"/>
    <cellStyle name="20% - Accent3 9" xfId="75" xr:uid="{CCAE892C-A5D8-4899-AD07-B56D09279619}"/>
    <cellStyle name="20% - Accent3 9 2" xfId="1307" xr:uid="{50FE52FD-C6E1-4920-BED7-8C47DAD5EB0D}"/>
    <cellStyle name="20% - Accent3 9 3" xfId="941" xr:uid="{4F1D130F-F397-4CFA-AA57-DF59EAE7E19E}"/>
    <cellStyle name="20% - Accent4 10" xfId="77" xr:uid="{82E8F47D-7620-4345-AEC8-47FE80AE5090}"/>
    <cellStyle name="20% - Accent4 10 2" xfId="1309" xr:uid="{697E24DB-662B-4965-95F4-496272896459}"/>
    <cellStyle name="20% - Accent4 10 3" xfId="939" xr:uid="{1C65CBC9-0DB8-42E8-BD20-BBCC1D709C35}"/>
    <cellStyle name="20% - Accent4 11" xfId="78" xr:uid="{163BCDF2-0EAC-454B-95BB-EC6B5AE2738B}"/>
    <cellStyle name="20% - Accent4 11 2" xfId="1310" xr:uid="{FF29FF7A-E6BF-4D66-85D6-ADD4A6F35B4B}"/>
    <cellStyle name="20% - Accent4 11 3" xfId="938" xr:uid="{545350EF-8DC5-439D-86F6-724F0C09CDD0}"/>
    <cellStyle name="20% - Accent4 12" xfId="79" xr:uid="{D5627844-0E12-4734-97F0-E87F32E690B3}"/>
    <cellStyle name="20% - Accent4 12 2" xfId="1311" xr:uid="{BF82E47C-39DE-466B-B2D4-A15724390D3A}"/>
    <cellStyle name="20% - Accent4 12 3" xfId="937" xr:uid="{2F33B71A-A6CD-4E0B-8FFF-D93F96B76447}"/>
    <cellStyle name="20% - Accent4 13" xfId="80" xr:uid="{BF045CA9-3297-414D-B202-11E7D12285BF}"/>
    <cellStyle name="20% - Accent4 13 2" xfId="1312" xr:uid="{1B35F466-B33F-4C34-91F0-FDD451BF00D1}"/>
    <cellStyle name="20% - Accent4 13 3" xfId="936" xr:uid="{8E7393F9-DFE5-463E-AF7E-F4D65A110805}"/>
    <cellStyle name="20% - Accent4 14" xfId="81" xr:uid="{88F0D6C3-CC3E-43F2-BCC1-BF7E06FE72B7}"/>
    <cellStyle name="20% - Accent4 14 2" xfId="1313" xr:uid="{F4BEF7DA-971C-4C8D-BA2F-552069C54ABB}"/>
    <cellStyle name="20% - Accent4 14 3" xfId="935" xr:uid="{937D2FC0-FB12-469C-AB6C-6154240B6E28}"/>
    <cellStyle name="20% - Accent4 15" xfId="82" xr:uid="{1AB5BF45-FBD9-4F13-9070-E92A6E6CC860}"/>
    <cellStyle name="20% - Accent4 15 2" xfId="1314" xr:uid="{D8977007-BF56-46D6-BF49-875AC3CC8376}"/>
    <cellStyle name="20% - Accent4 15 3" xfId="934" xr:uid="{502E27B6-97CF-44B0-901B-D9644C9B7EE9}"/>
    <cellStyle name="20% - Accent4 16" xfId="83" xr:uid="{2C6D87FD-DBC3-4A5B-B0CA-1175E525655D}"/>
    <cellStyle name="20% - Accent4 16 2" xfId="1315" xr:uid="{BB087BDE-B935-4CB9-BD27-5B86B661D75C}"/>
    <cellStyle name="20% - Accent4 16 3" xfId="674" xr:uid="{A932430C-EDE2-4B39-8361-A7DCC999923D}"/>
    <cellStyle name="20% - Accent4 17" xfId="84" xr:uid="{961CDF2B-6D84-42FA-BCE7-6BAAC5DED0B5}"/>
    <cellStyle name="20% - Accent4 17 2" xfId="1316" xr:uid="{5B834B8E-F810-421F-BCB0-ABDE5BABC73F}"/>
    <cellStyle name="20% - Accent4 17 3" xfId="933" xr:uid="{B3BF247A-E4EC-4FDF-903D-B3BC2997591C}"/>
    <cellStyle name="20% - Accent4 18" xfId="85" xr:uid="{C9B65140-94EE-4EC1-B525-9F7B42917CF7}"/>
    <cellStyle name="20% - Accent4 18 2" xfId="1317" xr:uid="{FD87A38F-52D2-4231-8D17-181DFCE0164C}"/>
    <cellStyle name="20% - Accent4 18 3" xfId="932" xr:uid="{A95247F8-FD0B-41FE-9707-493082B32DD6}"/>
    <cellStyle name="20% - Accent4 19" xfId="86" xr:uid="{77E972FA-EB1E-4E93-8E3C-19D183F9527C}"/>
    <cellStyle name="20% - Accent4 19 2" xfId="1318" xr:uid="{0F659197-A074-4F5E-B15A-1013AE045CA6}"/>
    <cellStyle name="20% - Accent4 19 3" xfId="931" xr:uid="{7A3DCA91-01E9-488E-93CF-E7B160A9B347}"/>
    <cellStyle name="20% - Accent4 2" xfId="87" xr:uid="{68882B71-F5DB-4F61-87A0-38F6DE3B0713}"/>
    <cellStyle name="20% - Accent4 2 2" xfId="1319" xr:uid="{55E18DB5-0265-4758-8FBF-8A9A978785E5}"/>
    <cellStyle name="20% - Accent4 2 3" xfId="1006" xr:uid="{12B85B40-288D-454F-8106-6FE7C267A107}"/>
    <cellStyle name="20% - Accent4 20" xfId="88" xr:uid="{4E79B75D-14E7-43F5-875C-1B93013AD617}"/>
    <cellStyle name="20% - Accent4 20 2" xfId="1320" xr:uid="{FD37A0AC-0377-464E-B30A-7B5D49FA7537}"/>
    <cellStyle name="20% - Accent4 20 3" xfId="930" xr:uid="{0F13C652-469C-4905-9B34-54EFB9C6CC25}"/>
    <cellStyle name="20% - Accent4 21" xfId="405" xr:uid="{959B66AC-11E3-475E-AD26-42A150AE413E}"/>
    <cellStyle name="20% - Accent4 21 2" xfId="682" xr:uid="{EC1AC101-EEAB-4396-90BD-C694454E9F3D}"/>
    <cellStyle name="20% - Accent4 22" xfId="478" xr:uid="{0A749E70-7CCB-4D0A-B124-4D52C4B7899B}"/>
    <cellStyle name="20% - Accent4 22 10" xfId="3946" xr:uid="{F8321624-8666-4673-AB3F-CF90D31C092D}"/>
    <cellStyle name="20% - Accent4 22 10 2" xfId="7616" xr:uid="{F221E4E4-04C1-45EE-AAB6-AFA9965A9EED}"/>
    <cellStyle name="20% - Accent4 22 10 2 2" xfId="15123" xr:uid="{B15C035B-F1EB-43C9-9799-9BE53C688731}"/>
    <cellStyle name="20% - Accent4 22 10 2 2 2" xfId="31327" xr:uid="{DC515E38-1CF6-4212-A82D-65EC4328E989}"/>
    <cellStyle name="20% - Accent4 22 10 2 3" xfId="23820" xr:uid="{ECA5D54C-2CB3-4E8E-B229-04861CE74044}"/>
    <cellStyle name="20% - Accent4 22 10 3" xfId="11509" xr:uid="{A8609AB8-05C1-4E5B-B614-4C8304934E91}"/>
    <cellStyle name="20% - Accent4 22 10 3 2" xfId="27713" xr:uid="{2BDD8B71-E340-44ED-870A-5E45D62590BB}"/>
    <cellStyle name="20% - Accent4 22 10 4" xfId="20150" xr:uid="{6C51E53D-18BE-429D-A777-72964A7105F4}"/>
    <cellStyle name="20% - Accent4 22 11" xfId="4371" xr:uid="{12057C21-B50C-4A59-9CBC-25A852573CD0}"/>
    <cellStyle name="20% - Accent4 22 11 2" xfId="8041" xr:uid="{F1380768-D2F5-4994-8E18-795C0AE7E179}"/>
    <cellStyle name="20% - Accent4 22 11 2 2" xfId="15548" xr:uid="{88C2B2C8-F908-477F-9678-63E894BF0C2F}"/>
    <cellStyle name="20% - Accent4 22 11 2 2 2" xfId="31752" xr:uid="{C125CA16-4ADE-4F26-8B1D-041A9C27AB9A}"/>
    <cellStyle name="20% - Accent4 22 11 2 3" xfId="24245" xr:uid="{FFE1510B-69AF-41E2-B47F-EB37EF9B6005}"/>
    <cellStyle name="20% - Accent4 22 11 3" xfId="11934" xr:uid="{7ABB91DC-9186-49D4-B6A9-C83A78C0545F}"/>
    <cellStyle name="20% - Accent4 22 11 3 2" xfId="28138" xr:uid="{801EA33C-B12F-47F1-B36C-C925911E11A8}"/>
    <cellStyle name="20% - Accent4 22 11 4" xfId="20575" xr:uid="{2D4B732A-9975-4743-8FEE-8A2F1FD7B82C}"/>
    <cellStyle name="20% - Accent4 22 12" xfId="4794" xr:uid="{50B42028-78D2-4996-AC49-3ECB45F175C5}"/>
    <cellStyle name="20% - Accent4 22 12 2" xfId="8463" xr:uid="{5A6B9B38-A2B7-4C95-9D80-A143683C1B74}"/>
    <cellStyle name="20% - Accent4 22 12 2 2" xfId="15970" xr:uid="{3793B558-C021-406A-ADDE-489385F6A062}"/>
    <cellStyle name="20% - Accent4 22 12 2 2 2" xfId="32174" xr:uid="{5E7E4B93-8B40-4DC6-9466-D587F70468DE}"/>
    <cellStyle name="20% - Accent4 22 12 2 3" xfId="24667" xr:uid="{F7BA623C-51D6-4347-9AC4-4776337B1E92}"/>
    <cellStyle name="20% - Accent4 22 12 3" xfId="12356" xr:uid="{82DA54C1-C34E-4B46-843C-555464C316B4}"/>
    <cellStyle name="20% - Accent4 22 12 3 2" xfId="28560" xr:uid="{8396D20C-7137-4048-AE36-02F4D039191C}"/>
    <cellStyle name="20% - Accent4 22 12 4" xfId="20998" xr:uid="{276A8C2E-88C0-4851-BE26-58BB300A6E86}"/>
    <cellStyle name="20% - Accent4 22 13" xfId="5281" xr:uid="{11EFEDDF-C99D-45EB-836B-97B2350D0762}"/>
    <cellStyle name="20% - Accent4 22 13 2" xfId="12830" xr:uid="{6A36E492-428D-4BBF-B4EE-006CD459836B}"/>
    <cellStyle name="20% - Accent4 22 13 2 2" xfId="29034" xr:uid="{923E1671-7534-4CD6-B5C6-F4F10536724B}"/>
    <cellStyle name="20% - Accent4 22 13 3" xfId="21485" xr:uid="{71716292-47CF-4F93-9D91-862F486484CD}"/>
    <cellStyle name="20% - Accent4 22 14" xfId="9397" xr:uid="{E2946143-1BCC-4DB7-B1B7-DDB611214922}"/>
    <cellStyle name="20% - Accent4 22 14 2" xfId="25601" xr:uid="{BC2D0C73-C979-4093-B50D-5B8BC39C469D}"/>
    <cellStyle name="20% - Accent4 22 15" xfId="17911" xr:uid="{A7962AB0-E44E-4E94-B6EE-F5D467E62918}"/>
    <cellStyle name="20% - Accent4 22 2" xfId="507" xr:uid="{C32AC9C4-1899-4AA0-A740-0D2B247D43C8}"/>
    <cellStyle name="20% - Accent4 22 2 10" xfId="5304" xr:uid="{0FD20FCC-3A13-4892-A87B-5C21A46C7618}"/>
    <cellStyle name="20% - Accent4 22 2 10 2" xfId="12853" xr:uid="{1BB9D2CE-0E9A-47DD-9C9D-263B24038341}"/>
    <cellStyle name="20% - Accent4 22 2 10 2 2" xfId="29057" xr:uid="{45F921BE-EBF6-4D91-9CFB-5575A2287C29}"/>
    <cellStyle name="20% - Accent4 22 2 10 3" xfId="21508" xr:uid="{0100F485-81D3-4284-A8CA-9116D23FF73D}"/>
    <cellStyle name="20% - Accent4 22 2 11" xfId="9419" xr:uid="{4CB869F0-FBEC-4475-81FE-870F7089404E}"/>
    <cellStyle name="20% - Accent4 22 2 11 2" xfId="25623" xr:uid="{3482A21D-919D-404B-95D5-4A4283E6549F}"/>
    <cellStyle name="20% - Accent4 22 2 12" xfId="17934" xr:uid="{D0DBB1A9-4945-4C29-B587-C94D70E256FA}"/>
    <cellStyle name="20% - Accent4 22 2 2" xfId="578" xr:uid="{CD68E440-C443-4E4D-A7ED-3D63E7AE3241}"/>
    <cellStyle name="20% - Accent4 22 2 2 10" xfId="9486" xr:uid="{EA7E8320-9AF0-41DA-AC1C-B24C3E432B5B}"/>
    <cellStyle name="20% - Accent4 22 2 2 10 2" xfId="25690" xr:uid="{089AFB98-3EDB-499F-A360-FA1D4426C011}"/>
    <cellStyle name="20% - Accent4 22 2 2 11" xfId="18002" xr:uid="{0F3FD206-C734-4CFA-A3EE-2742B1D00E4B}"/>
    <cellStyle name="20% - Accent4 22 2 2 2" xfId="1840" xr:uid="{4C8C84F6-F775-4F37-B162-4A4866A7F594}"/>
    <cellStyle name="20% - Accent4 22 2 2 2 10" xfId="18145" xr:uid="{CA9B2077-B234-48E1-9F0B-E3C4FA77605B}"/>
    <cellStyle name="20% - Accent4 22 2 2 2 2" xfId="2349" xr:uid="{02F326CB-9C75-42CB-A47D-2FD869744853}"/>
    <cellStyle name="20% - Accent4 22 2 2 2 2 2" xfId="3196" xr:uid="{2119B8F9-858B-4DA8-97E6-DB894A7B890B}"/>
    <cellStyle name="20% - Accent4 22 2 2 2 2 2 2" xfId="6978" xr:uid="{6866F6AD-2221-4A9E-B00D-A08E5CABFBF0}"/>
    <cellStyle name="20% - Accent4 22 2 2 2 2 2 2 2" xfId="14489" xr:uid="{A77F8951-554D-4FD0-A882-7B822CA1F154}"/>
    <cellStyle name="20% - Accent4 22 2 2 2 2 2 2 2 2" xfId="30693" xr:uid="{0D4016D3-2377-4288-9698-8A068D356EC9}"/>
    <cellStyle name="20% - Accent4 22 2 2 2 2 2 2 3" xfId="23182" xr:uid="{12E7892F-2990-4E09-84A9-0797160F4B41}"/>
    <cellStyle name="20% - Accent4 22 2 2 2 2 2 3" xfId="10889" xr:uid="{683B48F1-4072-43D2-B4FF-89DD26F3514A}"/>
    <cellStyle name="20% - Accent4 22 2 2 2 2 2 3 2" xfId="27093" xr:uid="{D66EB630-97B9-4746-A70B-6B90F53D3416}"/>
    <cellStyle name="20% - Accent4 22 2 2 2 2 2 4" xfId="19416" xr:uid="{0BBB45C4-D50E-49F3-BBD3-06321230B0F1}"/>
    <cellStyle name="20% - Accent4 22 2 2 2 2 3" xfId="6133" xr:uid="{D203E25E-6033-4E3B-95AF-C7B036D99F7D}"/>
    <cellStyle name="20% - Accent4 22 2 2 2 2 3 2" xfId="13645" xr:uid="{EAF7930C-3156-47C2-B69B-5EA81C01BF11}"/>
    <cellStyle name="20% - Accent4 22 2 2 2 2 3 2 2" xfId="29849" xr:uid="{C5BAD97E-44B4-4A17-8A4F-564F01F3B4D3}"/>
    <cellStyle name="20% - Accent4 22 2 2 2 2 3 3" xfId="22337" xr:uid="{D3E2A278-8862-4611-A5FD-ED0BFD87DD67}"/>
    <cellStyle name="20% - Accent4 22 2 2 2 2 4" xfId="10045" xr:uid="{CFAC94C2-CD1B-43E2-869A-7F70D725F762}"/>
    <cellStyle name="20% - Accent4 22 2 2 2 2 4 2" xfId="26249" xr:uid="{ED0ADBE5-ED04-4309-AA05-E864E5C55E43}"/>
    <cellStyle name="20% - Accent4 22 2 2 2 2 5" xfId="18571" xr:uid="{1A63A922-3A9B-42BB-B608-B554E35C2DD4}"/>
    <cellStyle name="20% - Accent4 22 2 2 2 3" xfId="2771" xr:uid="{53F5EABA-107E-40B4-BA74-01E091250D08}"/>
    <cellStyle name="20% - Accent4 22 2 2 2 3 2" xfId="6555" xr:uid="{DD2A791D-9D4D-4391-AC82-7372BD3BB3F1}"/>
    <cellStyle name="20% - Accent4 22 2 2 2 3 2 2" xfId="14067" xr:uid="{EE271C3F-543B-4F1E-8E25-37A8325DA29A}"/>
    <cellStyle name="20% - Accent4 22 2 2 2 3 2 2 2" xfId="30271" xr:uid="{7E5694BC-3879-4060-9A59-F3044E816445}"/>
    <cellStyle name="20% - Accent4 22 2 2 2 3 2 3" xfId="22759" xr:uid="{CCEF7DCA-46B5-43DB-9444-78A2267CF67D}"/>
    <cellStyle name="20% - Accent4 22 2 2 2 3 3" xfId="10467" xr:uid="{B6AECD77-5C47-424E-B089-91475D390498}"/>
    <cellStyle name="20% - Accent4 22 2 2 2 3 3 2" xfId="26671" xr:uid="{EF5868B7-6941-446C-974C-327DAA621828}"/>
    <cellStyle name="20% - Accent4 22 2 2 2 3 4" xfId="18993" xr:uid="{A804CD51-8012-420C-A0FE-92C5D0237F17}"/>
    <cellStyle name="20% - Accent4 22 2 2 2 4" xfId="3702" xr:uid="{A1553D6B-B2A6-4B73-B7A3-50D406B2168A}"/>
    <cellStyle name="20% - Accent4 22 2 2 2 4 2" xfId="7412" xr:uid="{3C38C980-FE62-4820-B5B5-51CC24E39080}"/>
    <cellStyle name="20% - Accent4 22 2 2 2 4 2 2" xfId="14921" xr:uid="{145FAEEC-244C-4FE5-B6F6-3241F8A329F0}"/>
    <cellStyle name="20% - Accent4 22 2 2 2 4 2 2 2" xfId="31125" xr:uid="{A40AF33A-3F3E-442E-B3A3-2A4EB72C1D1C}"/>
    <cellStyle name="20% - Accent4 22 2 2 2 4 2 3" xfId="23616" xr:uid="{251B754E-CC61-4D67-BA70-5BCDED982FF7}"/>
    <cellStyle name="20% - Accent4 22 2 2 2 4 3" xfId="11312" xr:uid="{910D4CF3-1871-42D9-93F5-DE18363512A5}"/>
    <cellStyle name="20% - Accent4 22 2 2 2 4 3 2" xfId="27516" xr:uid="{B3E6C3AD-43FB-451C-B46D-3AD83BE2778D}"/>
    <cellStyle name="20% - Accent4 22 2 2 2 4 4" xfId="19911" xr:uid="{5EE9019E-D4C1-4603-A5D2-DE9D765A031E}"/>
    <cellStyle name="20% - Accent4 22 2 2 2 5" xfId="4171" xr:uid="{D8FB64FC-C5AA-44A7-A8DD-652D40A2CA31}"/>
    <cellStyle name="20% - Accent4 22 2 2 2 5 2" xfId="7841" xr:uid="{98D1807A-C7F6-409E-80FC-FEE7497FCDF7}"/>
    <cellStyle name="20% - Accent4 22 2 2 2 5 2 2" xfId="15348" xr:uid="{AC2714E4-1353-4A73-8FBF-F25F5EF72E76}"/>
    <cellStyle name="20% - Accent4 22 2 2 2 5 2 2 2" xfId="31552" xr:uid="{9568164D-FA13-493F-A15C-EBE951626E1B}"/>
    <cellStyle name="20% - Accent4 22 2 2 2 5 2 3" xfId="24045" xr:uid="{220EC05D-58C4-466C-88DE-AEF8C5BBD9B4}"/>
    <cellStyle name="20% - Accent4 22 2 2 2 5 3" xfId="11734" xr:uid="{57DB9798-F177-4F65-8110-210000EB63F6}"/>
    <cellStyle name="20% - Accent4 22 2 2 2 5 3 2" xfId="27938" xr:uid="{8182BCF0-F7D9-4FCF-B55F-40C2DA4E904B}"/>
    <cellStyle name="20% - Accent4 22 2 2 2 5 4" xfId="20375" xr:uid="{E996BBC9-4778-4D1A-9052-F83F3DE9DC53}"/>
    <cellStyle name="20% - Accent4 22 2 2 2 6" xfId="4596" xr:uid="{81B84503-1D5E-45CC-B148-7E44DFDE50A8}"/>
    <cellStyle name="20% - Accent4 22 2 2 2 6 2" xfId="8266" xr:uid="{856E1281-A5D0-4EA5-AFB7-C089324F00F7}"/>
    <cellStyle name="20% - Accent4 22 2 2 2 6 2 2" xfId="15773" xr:uid="{D0BC8A7A-95BD-4DAE-9C8E-FBFF1C412B82}"/>
    <cellStyle name="20% - Accent4 22 2 2 2 6 2 2 2" xfId="31977" xr:uid="{7A7F5F76-3B44-43B7-8A5D-26E546E18D54}"/>
    <cellStyle name="20% - Accent4 22 2 2 2 6 2 3" xfId="24470" xr:uid="{61377394-7464-439C-A688-2E3A66C7E1A6}"/>
    <cellStyle name="20% - Accent4 22 2 2 2 6 3" xfId="12159" xr:uid="{44EE20C9-84BA-430D-8D80-691D865111FF}"/>
    <cellStyle name="20% - Accent4 22 2 2 2 6 3 2" xfId="28363" xr:uid="{57000F0D-3A09-42E9-9850-AACEA76A2025}"/>
    <cellStyle name="20% - Accent4 22 2 2 2 6 4" xfId="20800" xr:uid="{8200094E-291A-4AB8-9634-70F61F99E268}"/>
    <cellStyle name="20% - Accent4 22 2 2 2 7" xfId="5023" xr:uid="{A41B0B6F-0622-4093-95B3-FC739C68E3DB}"/>
    <cellStyle name="20% - Accent4 22 2 2 2 7 2" xfId="8689" xr:uid="{8061BC7D-7B47-4722-B887-D3E0C8C56E79}"/>
    <cellStyle name="20% - Accent4 22 2 2 2 7 2 2" xfId="16196" xr:uid="{F57C5CCC-6FEE-41EF-AE13-EFC638F2E3C1}"/>
    <cellStyle name="20% - Accent4 22 2 2 2 7 2 2 2" xfId="32400" xr:uid="{89FE9ED8-4DCC-42BF-B214-1F563ABDBA5D}"/>
    <cellStyle name="20% - Accent4 22 2 2 2 7 2 3" xfId="24893" xr:uid="{682382D2-947B-4833-A00A-CE3B2D88C4EC}"/>
    <cellStyle name="20% - Accent4 22 2 2 2 7 3" xfId="12581" xr:uid="{973796BC-4AAE-4AAC-8679-CD61B02E42CA}"/>
    <cellStyle name="20% - Accent4 22 2 2 2 7 3 2" xfId="28785" xr:uid="{B915FF27-75C0-4E1B-98F1-5F7111E5A257}"/>
    <cellStyle name="20% - Accent4 22 2 2 2 7 4" xfId="21227" xr:uid="{6165D88D-98CB-48E6-AA17-BA7A55052108}"/>
    <cellStyle name="20% - Accent4 22 2 2 2 8" xfId="5695" xr:uid="{216AE50A-8086-441F-8087-749FEAE8764D}"/>
    <cellStyle name="20% - Accent4 22 2 2 2 8 2" xfId="13210" xr:uid="{A9A6E995-5E53-405B-A4C4-61EB85BC894D}"/>
    <cellStyle name="20% - Accent4 22 2 2 2 8 2 2" xfId="29414" xr:uid="{9CDDEC43-1042-497D-B6F9-8418B6143524}"/>
    <cellStyle name="20% - Accent4 22 2 2 2 8 3" xfId="21899" xr:uid="{1FD1B356-2E58-4176-9945-7EC43DEF6782}"/>
    <cellStyle name="20% - Accent4 22 2 2 2 9" xfId="9622" xr:uid="{17332475-5DC9-4946-8D8B-6ABBA4A129A7}"/>
    <cellStyle name="20% - Accent4 22 2 2 2 9 2" xfId="25826" xr:uid="{4CEACB26-B163-4134-A26C-AEF5A8F36A91}"/>
    <cellStyle name="20% - Accent4 22 2 2 3" xfId="2147" xr:uid="{FE245BBB-3A8D-4A1C-9202-273B74742190}"/>
    <cellStyle name="20% - Accent4 22 2 2 3 2" xfId="3060" xr:uid="{1EFCDD19-B754-4B5E-833E-FE1D2612DE04}"/>
    <cellStyle name="20% - Accent4 22 2 2 3 2 2" xfId="6842" xr:uid="{22989307-D40B-4545-9E41-A1C724F57829}"/>
    <cellStyle name="20% - Accent4 22 2 2 3 2 2 2" xfId="14353" xr:uid="{569E7881-FA01-4E0D-A161-937A72C08ACB}"/>
    <cellStyle name="20% - Accent4 22 2 2 3 2 2 2 2" xfId="30557" xr:uid="{8FF6EBFA-2FC2-47F5-95D4-D847460D8FA2}"/>
    <cellStyle name="20% - Accent4 22 2 2 3 2 2 3" xfId="23046" xr:uid="{AEE3C474-9A7D-4EB9-AF8A-B6D68D118304}"/>
    <cellStyle name="20% - Accent4 22 2 2 3 2 3" xfId="10753" xr:uid="{C69135F6-9E1C-4D93-BE84-4F098BCBC2F6}"/>
    <cellStyle name="20% - Accent4 22 2 2 3 2 3 2" xfId="26957" xr:uid="{DCF38817-EA4F-491D-8920-17D03C650A1C}"/>
    <cellStyle name="20% - Accent4 22 2 2 3 2 4" xfId="19280" xr:uid="{A97D8CDF-3590-452E-8472-E9811B7DB047}"/>
    <cellStyle name="20% - Accent4 22 2 2 3 3" xfId="5986" xr:uid="{8CEB6334-7EE2-4BD9-9848-C2B9BD94A184}"/>
    <cellStyle name="20% - Accent4 22 2 2 3 3 2" xfId="13500" xr:uid="{5774562F-7BA2-4C49-83BA-7867D1A1CB9B}"/>
    <cellStyle name="20% - Accent4 22 2 2 3 3 2 2" xfId="29704" xr:uid="{0F046CD7-EB5B-48C9-B80A-7185C910FB24}"/>
    <cellStyle name="20% - Accent4 22 2 2 3 3 3" xfId="22190" xr:uid="{3E546B0F-A9A4-48FD-8002-632CDFE020E8}"/>
    <cellStyle name="20% - Accent4 22 2 2 3 4" xfId="9909" xr:uid="{B5008557-4DA1-41B0-A999-6CE18E8557D8}"/>
    <cellStyle name="20% - Accent4 22 2 2 3 4 2" xfId="26113" xr:uid="{387E5D4C-5D1A-40DB-B631-4E1CA5B215CD}"/>
    <cellStyle name="20% - Accent4 22 2 2 3 5" xfId="18434" xr:uid="{DFC04784-4177-4084-AA78-068029B6AA59}"/>
    <cellStyle name="20% - Accent4 22 2 2 4" xfId="2635" xr:uid="{85AF9A0B-B638-4C4B-BC62-794F3977C2D9}"/>
    <cellStyle name="20% - Accent4 22 2 2 4 2" xfId="6419" xr:uid="{0666216A-4D8F-46DA-A1A8-C1CC2132A2B4}"/>
    <cellStyle name="20% - Accent4 22 2 2 4 2 2" xfId="13931" xr:uid="{129052E0-329E-40F7-8045-A69C5A857188}"/>
    <cellStyle name="20% - Accent4 22 2 2 4 2 2 2" xfId="30135" xr:uid="{DA50E3DC-7547-474C-9EBF-5DA7F0122355}"/>
    <cellStyle name="20% - Accent4 22 2 2 4 2 3" xfId="22623" xr:uid="{EBF3D4C4-B0CA-4FF4-9139-A2099C87F87D}"/>
    <cellStyle name="20% - Accent4 22 2 2 4 3" xfId="10331" xr:uid="{D81E2505-7BDC-4F7F-A880-313A4FF7D334}"/>
    <cellStyle name="20% - Accent4 22 2 2 4 3 2" xfId="26535" xr:uid="{00BC9185-6709-4211-AC8E-1E1E1BE53EDB}"/>
    <cellStyle name="20% - Accent4 22 2 2 4 4" xfId="18857" xr:uid="{BC540838-F8C5-4311-941A-5FB19B91DCDD}"/>
    <cellStyle name="20% - Accent4 22 2 2 5" xfId="3511" xr:uid="{482CF1D8-A7A1-48E1-AE77-C043777957ED}"/>
    <cellStyle name="20% - Accent4 22 2 2 5 2" xfId="7269" xr:uid="{7939FF81-5A4E-4BF2-A2B1-BDAA34F3676E}"/>
    <cellStyle name="20% - Accent4 22 2 2 5 2 2" xfId="14779" xr:uid="{1F9D44C2-702D-4892-BDA3-AFB7D4931DEB}"/>
    <cellStyle name="20% - Accent4 22 2 2 5 2 2 2" xfId="30983" xr:uid="{F2377854-F468-4C74-B461-BA447D101008}"/>
    <cellStyle name="20% - Accent4 22 2 2 5 2 3" xfId="23473" xr:uid="{E89D0D45-7F57-4CA7-9859-34EB04BCDDBD}"/>
    <cellStyle name="20% - Accent4 22 2 2 5 3" xfId="11176" xr:uid="{0D38821D-22C6-419E-9C3C-4B0D8F57C82A}"/>
    <cellStyle name="20% - Accent4 22 2 2 5 3 2" xfId="27380" xr:uid="{03486720-39BA-4C99-A1A7-A998822E1C70}"/>
    <cellStyle name="20% - Accent4 22 2 2 5 4" xfId="19727" xr:uid="{EA8207BC-BE37-462E-A212-3388952170FA}"/>
    <cellStyle name="20% - Accent4 22 2 2 6" xfId="4035" xr:uid="{4F148A64-2C16-4B40-819C-3107972692AB}"/>
    <cellStyle name="20% - Accent4 22 2 2 6 2" xfId="7705" xr:uid="{C4A3D87C-74DC-4661-A16F-71F559B1DF55}"/>
    <cellStyle name="20% - Accent4 22 2 2 6 2 2" xfId="15212" xr:uid="{582DE3D3-4F60-435B-A91D-D8E1EA67DF0E}"/>
    <cellStyle name="20% - Accent4 22 2 2 6 2 2 2" xfId="31416" xr:uid="{A8027255-BCBC-43B4-8320-A3844AA126D8}"/>
    <cellStyle name="20% - Accent4 22 2 2 6 2 3" xfId="23909" xr:uid="{EFCBA296-8B46-404F-8C06-ED1A3A50E784}"/>
    <cellStyle name="20% - Accent4 22 2 2 6 3" xfId="11598" xr:uid="{5DB1674F-59A2-46B6-9AA8-8AD12870ACF9}"/>
    <cellStyle name="20% - Accent4 22 2 2 6 3 2" xfId="27802" xr:uid="{69C26538-2BE9-4E0A-B6A6-0040CF34A708}"/>
    <cellStyle name="20% - Accent4 22 2 2 6 4" xfId="20239" xr:uid="{01CF8D48-0411-4155-BA9A-72FD39568962}"/>
    <cellStyle name="20% - Accent4 22 2 2 7" xfId="4460" xr:uid="{7C112AD9-22E3-4072-96BB-B26AD42E5967}"/>
    <cellStyle name="20% - Accent4 22 2 2 7 2" xfId="8130" xr:uid="{856A676C-F5BC-4DCE-9C4A-8F983E96E03A}"/>
    <cellStyle name="20% - Accent4 22 2 2 7 2 2" xfId="15637" xr:uid="{9A6A62CD-9213-46FE-BBDE-B3A4AA3734EC}"/>
    <cellStyle name="20% - Accent4 22 2 2 7 2 2 2" xfId="31841" xr:uid="{7D8F236D-1F94-48FA-98B6-9D92F4EC0230}"/>
    <cellStyle name="20% - Accent4 22 2 2 7 2 3" xfId="24334" xr:uid="{C8F5A316-A70F-4E32-93A4-57D78B4BDF6D}"/>
    <cellStyle name="20% - Accent4 22 2 2 7 3" xfId="12023" xr:uid="{28B77943-0073-46DE-8890-449842BBFD87}"/>
    <cellStyle name="20% - Accent4 22 2 2 7 3 2" xfId="28227" xr:uid="{C5A4ECBF-E0DC-422B-B617-DCC7FCA21C65}"/>
    <cellStyle name="20% - Accent4 22 2 2 7 4" xfId="20664" xr:uid="{03C95474-3D9B-4A16-8EFF-8500C7A87F60}"/>
    <cellStyle name="20% - Accent4 22 2 2 8" xfId="4885" xr:uid="{DB644EFC-BBD9-4E95-A9EC-BAC7FCB40536}"/>
    <cellStyle name="20% - Accent4 22 2 2 8 2" xfId="8553" xr:uid="{786A978D-7AEF-40B7-B70C-76ADBB76C099}"/>
    <cellStyle name="20% - Accent4 22 2 2 8 2 2" xfId="16060" xr:uid="{1707AAB1-33D8-4DA3-BA48-6905DEBCFD49}"/>
    <cellStyle name="20% - Accent4 22 2 2 8 2 2 2" xfId="32264" xr:uid="{9C75CB28-105E-4F95-A407-0015C5546E50}"/>
    <cellStyle name="20% - Accent4 22 2 2 8 2 3" xfId="24757" xr:uid="{D15FCC98-66F0-4A1D-A1EE-0E6F911C1BCC}"/>
    <cellStyle name="20% - Accent4 22 2 2 8 3" xfId="12445" xr:uid="{B9861D4B-FDB9-4579-A1B0-D59AAC736D57}"/>
    <cellStyle name="20% - Accent4 22 2 2 8 3 2" xfId="28649" xr:uid="{FEE4A4BA-63C4-4327-AEDF-F5765AAE7BEB}"/>
    <cellStyle name="20% - Accent4 22 2 2 8 4" xfId="21089" xr:uid="{C06B8BAD-857F-4DD0-88AA-BFCE89E60AA6}"/>
    <cellStyle name="20% - Accent4 22 2 2 9" xfId="5371" xr:uid="{A3572255-22D2-404B-9EA1-F130E2E268D5}"/>
    <cellStyle name="20% - Accent4 22 2 2 9 2" xfId="12920" xr:uid="{98D67188-0531-4D1B-B0AF-D191E9DFEEEE}"/>
    <cellStyle name="20% - Accent4 22 2 2 9 2 2" xfId="29124" xr:uid="{A2BA3CCD-4971-4C11-8CA8-F43BE591C511}"/>
    <cellStyle name="20% - Accent4 22 2 2 9 3" xfId="21575" xr:uid="{0BEC9191-2A2C-49C1-96F3-D436E4301F0A}"/>
    <cellStyle name="20% - Accent4 22 2 3" xfId="1841" xr:uid="{C89C872A-6BE0-4552-8AEA-BD8021E99C29}"/>
    <cellStyle name="20% - Accent4 22 2 3 10" xfId="18146" xr:uid="{960A0325-C0C6-4ADD-8EC9-1892F6E6E3AC}"/>
    <cellStyle name="20% - Accent4 22 2 3 2" xfId="2350" xr:uid="{B3CA2C90-5C54-44EE-B46E-0D989C87F257}"/>
    <cellStyle name="20% - Accent4 22 2 3 2 2" xfId="3197" xr:uid="{C9905695-F4DF-4361-8877-C8EEFBCE6526}"/>
    <cellStyle name="20% - Accent4 22 2 3 2 2 2" xfId="6979" xr:uid="{FD2AB0BA-12D1-4165-AA8E-FEA4C70582D8}"/>
    <cellStyle name="20% - Accent4 22 2 3 2 2 2 2" xfId="14490" xr:uid="{2CB46690-763E-4631-83CF-541CC76EA7FA}"/>
    <cellStyle name="20% - Accent4 22 2 3 2 2 2 2 2" xfId="30694" xr:uid="{403848A2-077C-4295-BEE6-99579B5FA4C1}"/>
    <cellStyle name="20% - Accent4 22 2 3 2 2 2 3" xfId="23183" xr:uid="{3D9B4938-33A9-4CB5-962F-A809E2B04AE3}"/>
    <cellStyle name="20% - Accent4 22 2 3 2 2 3" xfId="10890" xr:uid="{13473DCF-5B0D-4F0F-83F8-0F4497DBAD94}"/>
    <cellStyle name="20% - Accent4 22 2 3 2 2 3 2" xfId="27094" xr:uid="{9A70C89A-0984-43AD-BE0A-4FF8C8A63C73}"/>
    <cellStyle name="20% - Accent4 22 2 3 2 2 4" xfId="19417" xr:uid="{ACD5298E-2C03-4E68-B790-A45C9C9444AB}"/>
    <cellStyle name="20% - Accent4 22 2 3 2 3" xfId="6134" xr:uid="{556966A8-019E-46A0-8ABE-56A22DA8A75C}"/>
    <cellStyle name="20% - Accent4 22 2 3 2 3 2" xfId="13646" xr:uid="{3A39440F-DF67-409D-ACCF-6ED7C4A829DF}"/>
    <cellStyle name="20% - Accent4 22 2 3 2 3 2 2" xfId="29850" xr:uid="{BB9D5B9C-0A03-49A9-B658-A90640662F78}"/>
    <cellStyle name="20% - Accent4 22 2 3 2 3 3" xfId="22338" xr:uid="{2D578DB3-2846-4560-AC59-7ACC14849B08}"/>
    <cellStyle name="20% - Accent4 22 2 3 2 4" xfId="10046" xr:uid="{1C33048B-0FCD-4361-A1D4-C9A8B467AE8D}"/>
    <cellStyle name="20% - Accent4 22 2 3 2 4 2" xfId="26250" xr:uid="{A1369397-09AC-4B20-84FC-A957243D95B7}"/>
    <cellStyle name="20% - Accent4 22 2 3 2 5" xfId="18572" xr:uid="{E7F8F573-0E77-4EB1-A858-B179069F57B1}"/>
    <cellStyle name="20% - Accent4 22 2 3 3" xfId="2772" xr:uid="{621A261A-F60A-46D8-96B8-C12B07E933A5}"/>
    <cellStyle name="20% - Accent4 22 2 3 3 2" xfId="6556" xr:uid="{BD243ACE-BFD7-464A-80CA-48C8195E5134}"/>
    <cellStyle name="20% - Accent4 22 2 3 3 2 2" xfId="14068" xr:uid="{D8AD1EDE-E66D-445E-BD02-0A4F4E82C36B}"/>
    <cellStyle name="20% - Accent4 22 2 3 3 2 2 2" xfId="30272" xr:uid="{1F4E51AD-68B6-426F-AFF3-2B7834614A83}"/>
    <cellStyle name="20% - Accent4 22 2 3 3 2 3" xfId="22760" xr:uid="{F5873824-2F00-4BF9-8142-53DB5FAE4364}"/>
    <cellStyle name="20% - Accent4 22 2 3 3 3" xfId="10468" xr:uid="{7A0BFF5C-FC18-4255-BBDA-6A789B076B56}"/>
    <cellStyle name="20% - Accent4 22 2 3 3 3 2" xfId="26672" xr:uid="{FEF5A755-E54A-4C96-BF5B-019EAA6DFC9F}"/>
    <cellStyle name="20% - Accent4 22 2 3 3 4" xfId="18994" xr:uid="{6B629E6C-43D0-4632-9C98-A69A9728EA8D}"/>
    <cellStyle name="20% - Accent4 22 2 3 4" xfId="3703" xr:uid="{2432D874-C0CB-4152-8F03-CE7BD9974632}"/>
    <cellStyle name="20% - Accent4 22 2 3 4 2" xfId="7413" xr:uid="{717F64CB-A34D-4171-8755-1FC1F672EDDE}"/>
    <cellStyle name="20% - Accent4 22 2 3 4 2 2" xfId="14922" xr:uid="{A07D970D-5104-4895-8C59-16DDD1C79649}"/>
    <cellStyle name="20% - Accent4 22 2 3 4 2 2 2" xfId="31126" xr:uid="{264E9BF9-5425-4A82-8C0D-B0515870500A}"/>
    <cellStyle name="20% - Accent4 22 2 3 4 2 3" xfId="23617" xr:uid="{001631CB-EE72-4823-9A80-A8E98CCDB974}"/>
    <cellStyle name="20% - Accent4 22 2 3 4 3" xfId="11313" xr:uid="{A850BCDD-44DB-45A2-B850-0C973CFD321D}"/>
    <cellStyle name="20% - Accent4 22 2 3 4 3 2" xfId="27517" xr:uid="{5C3339C2-2AA4-46BE-BF63-9B913C0C5B63}"/>
    <cellStyle name="20% - Accent4 22 2 3 4 4" xfId="19912" xr:uid="{5BFB9F7C-9DD6-4E6F-A0AA-1BDAE72217CB}"/>
    <cellStyle name="20% - Accent4 22 2 3 5" xfId="4172" xr:uid="{B2D9920A-34DB-436C-B51D-B1DF488AE429}"/>
    <cellStyle name="20% - Accent4 22 2 3 5 2" xfId="7842" xr:uid="{A220EF57-365C-4D91-958C-2B0B52C7DC7F}"/>
    <cellStyle name="20% - Accent4 22 2 3 5 2 2" xfId="15349" xr:uid="{CC625558-9AE8-4C69-9E24-27C5443ABA25}"/>
    <cellStyle name="20% - Accent4 22 2 3 5 2 2 2" xfId="31553" xr:uid="{FDF3D41A-DAF3-4A97-9CB1-28DC06FA2DA6}"/>
    <cellStyle name="20% - Accent4 22 2 3 5 2 3" xfId="24046" xr:uid="{DE49F160-312D-49BB-B252-0DEDA674FEC6}"/>
    <cellStyle name="20% - Accent4 22 2 3 5 3" xfId="11735" xr:uid="{EFCDC386-D0AA-49BE-845B-6FD35AB02570}"/>
    <cellStyle name="20% - Accent4 22 2 3 5 3 2" xfId="27939" xr:uid="{5D7BE5B5-DB49-4A58-8B8B-4F6FDB50ECBA}"/>
    <cellStyle name="20% - Accent4 22 2 3 5 4" xfId="20376" xr:uid="{B7A54508-43D7-4E5B-B832-35ED4B2D0FBC}"/>
    <cellStyle name="20% - Accent4 22 2 3 6" xfId="4597" xr:uid="{59F25BBD-9A71-49FC-8D76-1A95498C2A9A}"/>
    <cellStyle name="20% - Accent4 22 2 3 6 2" xfId="8267" xr:uid="{BB2E93BF-2E27-40EF-969B-D5D9BCD0EE4E}"/>
    <cellStyle name="20% - Accent4 22 2 3 6 2 2" xfId="15774" xr:uid="{69BA253E-FBA6-4D68-951C-5F0AC82A96FD}"/>
    <cellStyle name="20% - Accent4 22 2 3 6 2 2 2" xfId="31978" xr:uid="{9EE27D14-DC46-4957-B534-58F00F6A9498}"/>
    <cellStyle name="20% - Accent4 22 2 3 6 2 3" xfId="24471" xr:uid="{587205DA-BD6A-47B7-8E5A-38779D2A615B}"/>
    <cellStyle name="20% - Accent4 22 2 3 6 3" xfId="12160" xr:uid="{AF051CF2-3FB4-4607-89BA-D03F600D1DCF}"/>
    <cellStyle name="20% - Accent4 22 2 3 6 3 2" xfId="28364" xr:uid="{152C8FA8-2B2A-4D33-9942-F4E6584B2B9E}"/>
    <cellStyle name="20% - Accent4 22 2 3 6 4" xfId="20801" xr:uid="{9A04C2BE-592F-4A77-B90A-A210989B78AC}"/>
    <cellStyle name="20% - Accent4 22 2 3 7" xfId="5024" xr:uid="{762F274A-22E7-4AE6-AA2D-6C33B6AC8532}"/>
    <cellStyle name="20% - Accent4 22 2 3 7 2" xfId="8690" xr:uid="{26253EDD-A0D4-4174-85BD-891B4607A667}"/>
    <cellStyle name="20% - Accent4 22 2 3 7 2 2" xfId="16197" xr:uid="{D53A5E4B-B798-413C-9D72-B1CEED979476}"/>
    <cellStyle name="20% - Accent4 22 2 3 7 2 2 2" xfId="32401" xr:uid="{5FB34CF2-2511-484F-BE57-0F26919D2024}"/>
    <cellStyle name="20% - Accent4 22 2 3 7 2 3" xfId="24894" xr:uid="{6ECEB808-AEA4-4822-B973-2041513A90E7}"/>
    <cellStyle name="20% - Accent4 22 2 3 7 3" xfId="12582" xr:uid="{60C8F72B-72B6-4271-B842-EA55E846CA0F}"/>
    <cellStyle name="20% - Accent4 22 2 3 7 3 2" xfId="28786" xr:uid="{9F5ED271-8D2C-4E4D-B215-E9FC760B412E}"/>
    <cellStyle name="20% - Accent4 22 2 3 7 4" xfId="21228" xr:uid="{5E763D37-C489-4B4A-A128-B51AC75C20D5}"/>
    <cellStyle name="20% - Accent4 22 2 3 8" xfId="5696" xr:uid="{A8CE06CB-8DD8-4702-A339-241A90D8F2BB}"/>
    <cellStyle name="20% - Accent4 22 2 3 8 2" xfId="13211" xr:uid="{E952478F-EEE2-48F4-B0AB-D9B6291DA0D7}"/>
    <cellStyle name="20% - Accent4 22 2 3 8 2 2" xfId="29415" xr:uid="{D0BB1332-C1AC-457C-A93C-8366E198EEBD}"/>
    <cellStyle name="20% - Accent4 22 2 3 8 3" xfId="21900" xr:uid="{FDB39882-F2D7-44DF-881C-298355553BB3}"/>
    <cellStyle name="20% - Accent4 22 2 3 9" xfId="9623" xr:uid="{BDD077D2-0213-4D56-9EB4-2D8C38E6277A}"/>
    <cellStyle name="20% - Accent4 22 2 3 9 2" xfId="25827" xr:uid="{EF603A38-A6C4-455A-BC44-1B51C2E86507}"/>
    <cellStyle name="20% - Accent4 22 2 4" xfId="2080" xr:uid="{33DCB70E-0419-4E57-BDB3-A4C0601B8B71}"/>
    <cellStyle name="20% - Accent4 22 2 4 2" xfId="2993" xr:uid="{EEFEC6D8-AFC6-4CA8-BA06-07F432D9EFE3}"/>
    <cellStyle name="20% - Accent4 22 2 4 2 2" xfId="6775" xr:uid="{F108D22C-3405-448E-BA6A-B28308678EA8}"/>
    <cellStyle name="20% - Accent4 22 2 4 2 2 2" xfId="14286" xr:uid="{1B3FEDEC-A96A-458E-AE8B-C7D7E88B6F01}"/>
    <cellStyle name="20% - Accent4 22 2 4 2 2 2 2" xfId="30490" xr:uid="{A3BF8A34-2B80-47CB-AC7A-3D60BD7A6EA0}"/>
    <cellStyle name="20% - Accent4 22 2 4 2 2 3" xfId="22979" xr:uid="{68ABC10E-1A26-4DC7-A288-E59A4B94A627}"/>
    <cellStyle name="20% - Accent4 22 2 4 2 3" xfId="10686" xr:uid="{F5876E09-1EAB-4CC5-9072-BD72C4351F2D}"/>
    <cellStyle name="20% - Accent4 22 2 4 2 3 2" xfId="26890" xr:uid="{4C594F67-3BD6-4C6A-9A45-383B292F13E6}"/>
    <cellStyle name="20% - Accent4 22 2 4 2 4" xfId="19213" xr:uid="{3491E1DC-5430-4E3A-B04B-19E5058E97C2}"/>
    <cellStyle name="20% - Accent4 22 2 4 3" xfId="5919" xr:uid="{4B26F559-A7A9-4523-AA84-FC820F115EBF}"/>
    <cellStyle name="20% - Accent4 22 2 4 3 2" xfId="13433" xr:uid="{0302077B-9D4C-4688-94FE-8F4B2D0485F8}"/>
    <cellStyle name="20% - Accent4 22 2 4 3 2 2" xfId="29637" xr:uid="{987934D9-CEEA-4AC4-BC9B-5CF4A1080088}"/>
    <cellStyle name="20% - Accent4 22 2 4 3 3" xfId="22123" xr:uid="{BD09DC0D-5613-48F1-AC8F-D89FBF899CA6}"/>
    <cellStyle name="20% - Accent4 22 2 4 4" xfId="9842" xr:uid="{1B682D8C-2AF2-4EA2-AC0D-D016BEA81D75}"/>
    <cellStyle name="20% - Accent4 22 2 4 4 2" xfId="26046" xr:uid="{656E2463-2177-46E8-9933-AF3305FF8DA2}"/>
    <cellStyle name="20% - Accent4 22 2 4 5" xfId="18367" xr:uid="{2A75060F-9895-4BA9-A013-4B71EAA40D45}"/>
    <cellStyle name="20% - Accent4 22 2 5" xfId="2568" xr:uid="{17FFEEB8-0447-484A-AE88-9B0A9872DECD}"/>
    <cellStyle name="20% - Accent4 22 2 5 2" xfId="6352" xr:uid="{3D826EF2-2EE6-4EFC-83D4-75543146CECC}"/>
    <cellStyle name="20% - Accent4 22 2 5 2 2" xfId="13864" xr:uid="{76ECAB27-3F55-4CDB-9D00-A34F136F5226}"/>
    <cellStyle name="20% - Accent4 22 2 5 2 2 2" xfId="30068" xr:uid="{FC2852D9-D645-43F3-8B21-546900B87EFB}"/>
    <cellStyle name="20% - Accent4 22 2 5 2 3" xfId="22556" xr:uid="{9893482C-105E-4DC2-9618-86422888BE2B}"/>
    <cellStyle name="20% - Accent4 22 2 5 3" xfId="10264" xr:uid="{06DEFD8C-686A-4712-BC7A-93E4FC7127A6}"/>
    <cellStyle name="20% - Accent4 22 2 5 3 2" xfId="26468" xr:uid="{72B20773-9BC2-499F-9928-223F8700EFB5}"/>
    <cellStyle name="20% - Accent4 22 2 5 4" xfId="18790" xr:uid="{CC7D1546-9C3C-4F2C-874D-727E9951F54E}"/>
    <cellStyle name="20% - Accent4 22 2 6" xfId="3444" xr:uid="{33263B4F-924A-4A49-A268-FD7B7CA85F84}"/>
    <cellStyle name="20% - Accent4 22 2 6 2" xfId="7202" xr:uid="{2F3E6157-B518-47AA-87F8-742D3B594393}"/>
    <cellStyle name="20% - Accent4 22 2 6 2 2" xfId="14712" xr:uid="{6FC2FE89-19B7-4BAE-8650-8AC98D25411C}"/>
    <cellStyle name="20% - Accent4 22 2 6 2 2 2" xfId="30916" xr:uid="{C43C3A9D-A39D-4632-B1E2-6F788C1F3D8E}"/>
    <cellStyle name="20% - Accent4 22 2 6 2 3" xfId="23406" xr:uid="{65A2FF0A-254E-4BDE-B236-19FE002F6DF2}"/>
    <cellStyle name="20% - Accent4 22 2 6 3" xfId="11109" xr:uid="{8275D151-A24C-4D86-8E77-550103F400B2}"/>
    <cellStyle name="20% - Accent4 22 2 6 3 2" xfId="27313" xr:uid="{FA075D04-AD5D-4FB1-8269-4E311524C240}"/>
    <cellStyle name="20% - Accent4 22 2 6 4" xfId="19660" xr:uid="{E37E1EE6-1C70-416F-913C-D823E85AAFAA}"/>
    <cellStyle name="20% - Accent4 22 2 7" xfId="3968" xr:uid="{F30C383B-E9D9-4C9B-B3AD-6D42DE9A0F6B}"/>
    <cellStyle name="20% - Accent4 22 2 7 2" xfId="7638" xr:uid="{C2AFBBC5-1E58-4910-9ADD-B0458A99B179}"/>
    <cellStyle name="20% - Accent4 22 2 7 2 2" xfId="15145" xr:uid="{75AED17B-7387-4F3B-A152-7F3056E7DEFD}"/>
    <cellStyle name="20% - Accent4 22 2 7 2 2 2" xfId="31349" xr:uid="{167E4F02-7E92-4A18-B0FC-E212E861E1E5}"/>
    <cellStyle name="20% - Accent4 22 2 7 2 3" xfId="23842" xr:uid="{92B2EE14-8BB3-476B-A01A-595670DF6411}"/>
    <cellStyle name="20% - Accent4 22 2 7 3" xfId="11531" xr:uid="{414B1D56-0D9B-4F8B-8114-0C6B118C2FFE}"/>
    <cellStyle name="20% - Accent4 22 2 7 3 2" xfId="27735" xr:uid="{DD3A6FD2-0C02-4B65-A057-425C7D5BCB63}"/>
    <cellStyle name="20% - Accent4 22 2 7 4" xfId="20172" xr:uid="{A4B7B287-42DD-46A1-BFAD-C6D22D451F8A}"/>
    <cellStyle name="20% - Accent4 22 2 8" xfId="4393" xr:uid="{1EBE3A22-26F0-4167-9019-9960B26160A9}"/>
    <cellStyle name="20% - Accent4 22 2 8 2" xfId="8063" xr:uid="{31ECBC5B-D943-410B-9B70-FB295D9F0F28}"/>
    <cellStyle name="20% - Accent4 22 2 8 2 2" xfId="15570" xr:uid="{4CB1EDDE-7395-45A3-ABCE-A606C6A6BEE3}"/>
    <cellStyle name="20% - Accent4 22 2 8 2 2 2" xfId="31774" xr:uid="{065CA67E-FE54-40C3-9B62-0685A698ECBE}"/>
    <cellStyle name="20% - Accent4 22 2 8 2 3" xfId="24267" xr:uid="{C1A6AE2D-280C-48F7-8E1E-EDFBA3365E4F}"/>
    <cellStyle name="20% - Accent4 22 2 8 3" xfId="11956" xr:uid="{7DCDE5B9-BF4D-4DEB-B163-DB47C45AC08D}"/>
    <cellStyle name="20% - Accent4 22 2 8 3 2" xfId="28160" xr:uid="{58407D42-161C-4A80-9E6F-4C966EE888FF}"/>
    <cellStyle name="20% - Accent4 22 2 8 4" xfId="20597" xr:uid="{081B27B1-72AA-4EE4-9B88-1D837513D77D}"/>
    <cellStyle name="20% - Accent4 22 2 9" xfId="4817" xr:uid="{0EADBBB5-31DF-410F-AD90-DA3992345B6E}"/>
    <cellStyle name="20% - Accent4 22 2 9 2" xfId="8486" xr:uid="{839DF1E9-BC9B-48F2-BBD3-61F4BAA45EB9}"/>
    <cellStyle name="20% - Accent4 22 2 9 2 2" xfId="15993" xr:uid="{0AC8E514-A62A-4085-A8E8-869D47FBE2B1}"/>
    <cellStyle name="20% - Accent4 22 2 9 2 2 2" xfId="32197" xr:uid="{E5CA02C0-E6DB-45EB-9283-DCD74E9E415F}"/>
    <cellStyle name="20% - Accent4 22 2 9 2 3" xfId="24690" xr:uid="{D554D265-D9F3-400F-9357-81570C3232F8}"/>
    <cellStyle name="20% - Accent4 22 2 9 3" xfId="12378" xr:uid="{C5B8ECFC-4D7E-4D41-8938-E0E2DADE83C1}"/>
    <cellStyle name="20% - Accent4 22 2 9 3 2" xfId="28582" xr:uid="{D4ACFE9B-01FB-45F3-B45F-14240F5EF025}"/>
    <cellStyle name="20% - Accent4 22 2 9 4" xfId="21021" xr:uid="{A82B04BB-6AD0-4A2B-BEC4-FA6FB56D9457}"/>
    <cellStyle name="20% - Accent4 22 3" xfId="529" xr:uid="{B6C50910-4DAB-45B0-BCD5-50D12479D702}"/>
    <cellStyle name="20% - Accent4 22 3 10" xfId="5326" xr:uid="{E74F4C7F-972E-4844-A51D-10FD351C529B}"/>
    <cellStyle name="20% - Accent4 22 3 10 2" xfId="12875" xr:uid="{161D210C-A12F-4CB1-BAE6-274A7BEAD27E}"/>
    <cellStyle name="20% - Accent4 22 3 10 2 2" xfId="29079" xr:uid="{095DD6C1-E692-4DF0-A12A-2FF5D8FB91B1}"/>
    <cellStyle name="20% - Accent4 22 3 10 3" xfId="21530" xr:uid="{32AF96BC-BDC9-4F51-8403-8DCF4E32AF09}"/>
    <cellStyle name="20% - Accent4 22 3 11" xfId="9441" xr:uid="{1CDD4BD8-4969-4AF9-A1B0-53D9B3D6D5F7}"/>
    <cellStyle name="20% - Accent4 22 3 11 2" xfId="25645" xr:uid="{890FC169-00D1-4879-8746-E710F3992444}"/>
    <cellStyle name="20% - Accent4 22 3 12" xfId="17956" xr:uid="{16073D82-6B8D-4794-B43F-22CA7DFB5952}"/>
    <cellStyle name="20% - Accent4 22 3 2" xfId="600" xr:uid="{207E8D1B-FED7-42F1-94E6-8D492D3DE550}"/>
    <cellStyle name="20% - Accent4 22 3 2 10" xfId="9508" xr:uid="{89EF2AEE-2B65-4D46-A585-DF0F9B7088CE}"/>
    <cellStyle name="20% - Accent4 22 3 2 10 2" xfId="25712" xr:uid="{CBE50AAB-0803-4FA1-8ECD-C5626F0636F0}"/>
    <cellStyle name="20% - Accent4 22 3 2 11" xfId="18024" xr:uid="{BE6373CB-B939-4DCE-BE3C-2CB75BF89014}"/>
    <cellStyle name="20% - Accent4 22 3 2 2" xfId="1842" xr:uid="{63E6B6F0-C77C-4324-BC28-B1C1D69932E8}"/>
    <cellStyle name="20% - Accent4 22 3 2 2 10" xfId="18147" xr:uid="{FE72F4FB-72D0-480E-87A0-1E6AB78C3943}"/>
    <cellStyle name="20% - Accent4 22 3 2 2 2" xfId="2351" xr:uid="{3609E3D0-AA5C-43A5-8698-260E03283F18}"/>
    <cellStyle name="20% - Accent4 22 3 2 2 2 2" xfId="3198" xr:uid="{43D79F14-8CE5-4C01-A6D6-5AD525739C25}"/>
    <cellStyle name="20% - Accent4 22 3 2 2 2 2 2" xfId="6980" xr:uid="{F91B7A5D-C94F-4C72-AA24-706FDF25F636}"/>
    <cellStyle name="20% - Accent4 22 3 2 2 2 2 2 2" xfId="14491" xr:uid="{FE47EF7F-A897-45CD-BC78-0E30FCC7302C}"/>
    <cellStyle name="20% - Accent4 22 3 2 2 2 2 2 2 2" xfId="30695" xr:uid="{FAD17CBA-E8E9-4071-A5C8-EE10486E24B0}"/>
    <cellStyle name="20% - Accent4 22 3 2 2 2 2 2 3" xfId="23184" xr:uid="{5BD3A9DE-B19E-4680-801E-DF59E6588130}"/>
    <cellStyle name="20% - Accent4 22 3 2 2 2 2 3" xfId="10891" xr:uid="{419854BE-FEEC-4622-97A7-BF710E75A2EA}"/>
    <cellStyle name="20% - Accent4 22 3 2 2 2 2 3 2" xfId="27095" xr:uid="{A9C1216B-9A52-4541-89C6-01DF18C59CBA}"/>
    <cellStyle name="20% - Accent4 22 3 2 2 2 2 4" xfId="19418" xr:uid="{36952A91-7E36-4E05-9CC1-362CAB8D2D18}"/>
    <cellStyle name="20% - Accent4 22 3 2 2 2 3" xfId="6135" xr:uid="{862C5EA4-9820-42E4-BDB9-B60C940008D3}"/>
    <cellStyle name="20% - Accent4 22 3 2 2 2 3 2" xfId="13647" xr:uid="{5CBA07F2-22FF-466B-8E50-043A805A4F4D}"/>
    <cellStyle name="20% - Accent4 22 3 2 2 2 3 2 2" xfId="29851" xr:uid="{41639D31-25A2-44D7-A99C-AE7240D4FC82}"/>
    <cellStyle name="20% - Accent4 22 3 2 2 2 3 3" xfId="22339" xr:uid="{9D61191A-76C2-4763-A9C5-68C06DEB0F5A}"/>
    <cellStyle name="20% - Accent4 22 3 2 2 2 4" xfId="10047" xr:uid="{938FAC03-A0BE-4C91-89C5-12FBD28D03F0}"/>
    <cellStyle name="20% - Accent4 22 3 2 2 2 4 2" xfId="26251" xr:uid="{657FAE22-481C-4C04-8A26-D59FDA6BC6C5}"/>
    <cellStyle name="20% - Accent4 22 3 2 2 2 5" xfId="18573" xr:uid="{4D8ACBB6-0F7B-4045-8915-041A082E2FE2}"/>
    <cellStyle name="20% - Accent4 22 3 2 2 3" xfId="2773" xr:uid="{E6524D4F-6821-464B-AA0E-78859D015715}"/>
    <cellStyle name="20% - Accent4 22 3 2 2 3 2" xfId="6557" xr:uid="{9F925A03-7C5B-468C-9298-C95DC707A9ED}"/>
    <cellStyle name="20% - Accent4 22 3 2 2 3 2 2" xfId="14069" xr:uid="{6057689C-AB6A-46EE-9A59-A4E2680D25D2}"/>
    <cellStyle name="20% - Accent4 22 3 2 2 3 2 2 2" xfId="30273" xr:uid="{02D5654F-DE1F-4A77-8E64-EE453E046DF8}"/>
    <cellStyle name="20% - Accent4 22 3 2 2 3 2 3" xfId="22761" xr:uid="{F18F772F-B61B-43D7-A658-9679ACFFB837}"/>
    <cellStyle name="20% - Accent4 22 3 2 2 3 3" xfId="10469" xr:uid="{A47217BB-59BF-45D7-AE0A-38FDD085D05D}"/>
    <cellStyle name="20% - Accent4 22 3 2 2 3 3 2" xfId="26673" xr:uid="{08B84D9C-81A5-45D0-8E0F-1331327AF84F}"/>
    <cellStyle name="20% - Accent4 22 3 2 2 3 4" xfId="18995" xr:uid="{DABFFF7E-EC83-409E-AE1F-8D8F0E0EDCCB}"/>
    <cellStyle name="20% - Accent4 22 3 2 2 4" xfId="3704" xr:uid="{674356D5-A2BE-47AD-8DD9-467899681A70}"/>
    <cellStyle name="20% - Accent4 22 3 2 2 4 2" xfId="7414" xr:uid="{FA6A7C53-EEC0-47BB-9875-9A4019C1E4CA}"/>
    <cellStyle name="20% - Accent4 22 3 2 2 4 2 2" xfId="14923" xr:uid="{3B783857-6B3D-4706-9CE3-19A963C39965}"/>
    <cellStyle name="20% - Accent4 22 3 2 2 4 2 2 2" xfId="31127" xr:uid="{C7E5A770-6A46-4246-A81B-71736674A5C2}"/>
    <cellStyle name="20% - Accent4 22 3 2 2 4 2 3" xfId="23618" xr:uid="{77525EB2-F95F-4B8F-BF80-57DB52C843B7}"/>
    <cellStyle name="20% - Accent4 22 3 2 2 4 3" xfId="11314" xr:uid="{B11AF25C-A51F-4794-89D8-6FB6B14D891F}"/>
    <cellStyle name="20% - Accent4 22 3 2 2 4 3 2" xfId="27518" xr:uid="{9C80466D-9329-451F-AEAD-49E2C3A8E919}"/>
    <cellStyle name="20% - Accent4 22 3 2 2 4 4" xfId="19913" xr:uid="{35099899-29B5-4153-9859-14C82E72BADE}"/>
    <cellStyle name="20% - Accent4 22 3 2 2 5" xfId="4173" xr:uid="{6850D608-E807-4DAD-ADA2-5C1EC515879C}"/>
    <cellStyle name="20% - Accent4 22 3 2 2 5 2" xfId="7843" xr:uid="{E5EEA28B-AAAF-467D-8A53-6F3F1121AD28}"/>
    <cellStyle name="20% - Accent4 22 3 2 2 5 2 2" xfId="15350" xr:uid="{3EF51875-1E46-4F20-8FE4-7953E27B406C}"/>
    <cellStyle name="20% - Accent4 22 3 2 2 5 2 2 2" xfId="31554" xr:uid="{6F90334D-8CB5-4DF4-AFA0-6FEC081A8A78}"/>
    <cellStyle name="20% - Accent4 22 3 2 2 5 2 3" xfId="24047" xr:uid="{BC8F92C6-56B6-46A2-9D2A-CF0A1F98AD96}"/>
    <cellStyle name="20% - Accent4 22 3 2 2 5 3" xfId="11736" xr:uid="{A7ADD9E2-CC0F-4303-8B77-C74A1CE9DBB0}"/>
    <cellStyle name="20% - Accent4 22 3 2 2 5 3 2" xfId="27940" xr:uid="{2B9199E5-9102-4A45-9739-1C122B593F40}"/>
    <cellStyle name="20% - Accent4 22 3 2 2 5 4" xfId="20377" xr:uid="{908832A0-D3B0-4312-8018-E0876C2C8378}"/>
    <cellStyle name="20% - Accent4 22 3 2 2 6" xfId="4598" xr:uid="{C47C4E39-B40F-41CD-A175-0CC6FEB4C48E}"/>
    <cellStyle name="20% - Accent4 22 3 2 2 6 2" xfId="8268" xr:uid="{F7F28D5E-9C7D-406A-B667-04256E86A85A}"/>
    <cellStyle name="20% - Accent4 22 3 2 2 6 2 2" xfId="15775" xr:uid="{C4EA3C6F-8C23-4CBD-8347-ECD6B9C93A9B}"/>
    <cellStyle name="20% - Accent4 22 3 2 2 6 2 2 2" xfId="31979" xr:uid="{5792F708-B9F7-45F6-893A-2E9972DDD938}"/>
    <cellStyle name="20% - Accent4 22 3 2 2 6 2 3" xfId="24472" xr:uid="{CA0CB901-903B-400F-B3CF-62BAF243C44C}"/>
    <cellStyle name="20% - Accent4 22 3 2 2 6 3" xfId="12161" xr:uid="{E49C6913-AAA7-4484-8633-115990716ADD}"/>
    <cellStyle name="20% - Accent4 22 3 2 2 6 3 2" xfId="28365" xr:uid="{F5578945-DB99-4015-B56D-B666405D49C2}"/>
    <cellStyle name="20% - Accent4 22 3 2 2 6 4" xfId="20802" xr:uid="{F94CC862-6C83-468B-8E10-D45422CAC55C}"/>
    <cellStyle name="20% - Accent4 22 3 2 2 7" xfId="5025" xr:uid="{DC00FED8-BC58-41D9-BE15-80BEB60B165B}"/>
    <cellStyle name="20% - Accent4 22 3 2 2 7 2" xfId="8691" xr:uid="{A62A9A5B-CCD1-47DC-BBC5-14932B2FA091}"/>
    <cellStyle name="20% - Accent4 22 3 2 2 7 2 2" xfId="16198" xr:uid="{6D000B2F-5F53-42EF-8CE7-4A9E2C4CE6E2}"/>
    <cellStyle name="20% - Accent4 22 3 2 2 7 2 2 2" xfId="32402" xr:uid="{287FAE47-AA46-4D8A-B736-5E6AA6B32A48}"/>
    <cellStyle name="20% - Accent4 22 3 2 2 7 2 3" xfId="24895" xr:uid="{FEF5957F-C7A0-474A-BE6E-E2EC056DD54B}"/>
    <cellStyle name="20% - Accent4 22 3 2 2 7 3" xfId="12583" xr:uid="{97B3F45E-69FA-4AEF-8EA9-8677183C04C3}"/>
    <cellStyle name="20% - Accent4 22 3 2 2 7 3 2" xfId="28787" xr:uid="{0B8AF060-BE55-434C-8F1C-3632346A5860}"/>
    <cellStyle name="20% - Accent4 22 3 2 2 7 4" xfId="21229" xr:uid="{AA7A25C1-1396-41B7-94E1-9207572E7947}"/>
    <cellStyle name="20% - Accent4 22 3 2 2 8" xfId="5697" xr:uid="{663EB79E-CC1D-435F-B16F-0C1C65E15336}"/>
    <cellStyle name="20% - Accent4 22 3 2 2 8 2" xfId="13212" xr:uid="{6A9EAABE-4A19-464C-BDAE-3518ED66AE90}"/>
    <cellStyle name="20% - Accent4 22 3 2 2 8 2 2" xfId="29416" xr:uid="{558E2162-3EDD-4AAD-BC7D-CA3E6FDF3110}"/>
    <cellStyle name="20% - Accent4 22 3 2 2 8 3" xfId="21901" xr:uid="{AFFA4AD4-C20D-4DC3-9555-56D26C7511F2}"/>
    <cellStyle name="20% - Accent4 22 3 2 2 9" xfId="9624" xr:uid="{2CA046F3-7213-4FF0-87EF-47B6DD509F84}"/>
    <cellStyle name="20% - Accent4 22 3 2 2 9 2" xfId="25828" xr:uid="{80B0CDC9-9935-46DE-B4CC-6AC25C2F345B}"/>
    <cellStyle name="20% - Accent4 22 3 2 3" xfId="2169" xr:uid="{7C80C1E0-5E0D-4841-95DE-ACF2FE054CC8}"/>
    <cellStyle name="20% - Accent4 22 3 2 3 2" xfId="3082" xr:uid="{6364FD23-7475-4726-83CC-0667CC53513E}"/>
    <cellStyle name="20% - Accent4 22 3 2 3 2 2" xfId="6864" xr:uid="{0BCDE5C7-F4B7-4186-987C-116CDC9820F2}"/>
    <cellStyle name="20% - Accent4 22 3 2 3 2 2 2" xfId="14375" xr:uid="{745CAFDA-4D32-46BD-BD12-123DF5018018}"/>
    <cellStyle name="20% - Accent4 22 3 2 3 2 2 2 2" xfId="30579" xr:uid="{184C2AC6-8C1F-4F95-9872-39BF222957D6}"/>
    <cellStyle name="20% - Accent4 22 3 2 3 2 2 3" xfId="23068" xr:uid="{FE227E0F-E161-40D1-AC5D-9CADD44B2569}"/>
    <cellStyle name="20% - Accent4 22 3 2 3 2 3" xfId="10775" xr:uid="{66535E5D-E1D7-4D6A-9A86-A5A6CCFB6F38}"/>
    <cellStyle name="20% - Accent4 22 3 2 3 2 3 2" xfId="26979" xr:uid="{0383F003-1E79-492F-AFE5-54FF047D6241}"/>
    <cellStyle name="20% - Accent4 22 3 2 3 2 4" xfId="19302" xr:uid="{B05195D2-FF7D-4125-8F4E-7477C3FB3667}"/>
    <cellStyle name="20% - Accent4 22 3 2 3 3" xfId="6008" xr:uid="{2BB8BF20-5AEE-413D-978D-1B489E40C08E}"/>
    <cellStyle name="20% - Accent4 22 3 2 3 3 2" xfId="13522" xr:uid="{7525F4F6-447A-405A-A521-D6F481E3126D}"/>
    <cellStyle name="20% - Accent4 22 3 2 3 3 2 2" xfId="29726" xr:uid="{73FA4941-136D-4AA1-A1A1-C2FE5CE05543}"/>
    <cellStyle name="20% - Accent4 22 3 2 3 3 3" xfId="22212" xr:uid="{104AD644-5738-4794-96F5-DCED995478BC}"/>
    <cellStyle name="20% - Accent4 22 3 2 3 4" xfId="9931" xr:uid="{7E652E36-AF45-4A1E-99D2-1DC3B299B592}"/>
    <cellStyle name="20% - Accent4 22 3 2 3 4 2" xfId="26135" xr:uid="{4618EAD1-ED51-45C7-999D-4CF74131903A}"/>
    <cellStyle name="20% - Accent4 22 3 2 3 5" xfId="18456" xr:uid="{64AC91E4-2866-4974-83EE-64510A4D01D3}"/>
    <cellStyle name="20% - Accent4 22 3 2 4" xfId="2657" xr:uid="{8FA2AD18-6B3F-44A0-BFC6-C5813FE185EC}"/>
    <cellStyle name="20% - Accent4 22 3 2 4 2" xfId="6441" xr:uid="{404D57A9-E518-4D5C-8394-70C081CBC150}"/>
    <cellStyle name="20% - Accent4 22 3 2 4 2 2" xfId="13953" xr:uid="{220C2650-E711-4D62-BA48-E4F502B19A02}"/>
    <cellStyle name="20% - Accent4 22 3 2 4 2 2 2" xfId="30157" xr:uid="{2114AD1C-66DB-4DFE-89DF-42937CBE9E02}"/>
    <cellStyle name="20% - Accent4 22 3 2 4 2 3" xfId="22645" xr:uid="{67509CE4-8FA2-4DE3-BB33-26EC7B29210C}"/>
    <cellStyle name="20% - Accent4 22 3 2 4 3" xfId="10353" xr:uid="{AFF4680A-10EE-4545-8CA1-949A1B83DE52}"/>
    <cellStyle name="20% - Accent4 22 3 2 4 3 2" xfId="26557" xr:uid="{D5A611A3-76E8-4AFC-8350-569D0EFE2B58}"/>
    <cellStyle name="20% - Accent4 22 3 2 4 4" xfId="18879" xr:uid="{6A9487C1-5208-4B04-AFD9-6B1F3FEC1DBE}"/>
    <cellStyle name="20% - Accent4 22 3 2 5" xfId="3533" xr:uid="{9B1E8E69-6B14-4EA9-98C0-9D73B0455326}"/>
    <cellStyle name="20% - Accent4 22 3 2 5 2" xfId="7291" xr:uid="{84F863E6-BE40-4F79-8E5C-7178523BC83E}"/>
    <cellStyle name="20% - Accent4 22 3 2 5 2 2" xfId="14801" xr:uid="{24E56024-A2A9-4C1F-95BB-A2715FCCCB57}"/>
    <cellStyle name="20% - Accent4 22 3 2 5 2 2 2" xfId="31005" xr:uid="{FBA7D994-B4DE-4565-994F-637DCF4AC9B7}"/>
    <cellStyle name="20% - Accent4 22 3 2 5 2 3" xfId="23495" xr:uid="{6C50A422-DEB0-4DA2-A4D1-26FB6AB009E6}"/>
    <cellStyle name="20% - Accent4 22 3 2 5 3" xfId="11198" xr:uid="{99CD2639-42C7-4305-B8DD-2E3B2F176C0F}"/>
    <cellStyle name="20% - Accent4 22 3 2 5 3 2" xfId="27402" xr:uid="{2E695DD8-F752-4258-B21D-1AE88DD168AB}"/>
    <cellStyle name="20% - Accent4 22 3 2 5 4" xfId="19749" xr:uid="{CD851582-6639-45FA-92F3-77BA0A82308E}"/>
    <cellStyle name="20% - Accent4 22 3 2 6" xfId="4057" xr:uid="{AFD0A261-C18E-4AFF-835E-5EE7E32D1BD1}"/>
    <cellStyle name="20% - Accent4 22 3 2 6 2" xfId="7727" xr:uid="{34F3DFCC-0877-46D0-8E7D-02F561C5F721}"/>
    <cellStyle name="20% - Accent4 22 3 2 6 2 2" xfId="15234" xr:uid="{1D737980-0DCF-4A56-96C9-185B878ADD31}"/>
    <cellStyle name="20% - Accent4 22 3 2 6 2 2 2" xfId="31438" xr:uid="{8CD81EB0-FAEC-437F-937A-61E8F4B95C4F}"/>
    <cellStyle name="20% - Accent4 22 3 2 6 2 3" xfId="23931" xr:uid="{402D2B18-C8F9-4211-9AF1-CAC9D8458952}"/>
    <cellStyle name="20% - Accent4 22 3 2 6 3" xfId="11620" xr:uid="{FF4F60A3-0300-4410-9756-7626C2589C68}"/>
    <cellStyle name="20% - Accent4 22 3 2 6 3 2" xfId="27824" xr:uid="{7B280144-DB2B-4A3A-9618-EC51A97463B0}"/>
    <cellStyle name="20% - Accent4 22 3 2 6 4" xfId="20261" xr:uid="{B195D846-5E02-44B3-92DD-3A6149EA8BB4}"/>
    <cellStyle name="20% - Accent4 22 3 2 7" xfId="4482" xr:uid="{DBD89D42-35BB-4FDC-8AE8-894CD30E0674}"/>
    <cellStyle name="20% - Accent4 22 3 2 7 2" xfId="8152" xr:uid="{1D69D09F-113C-4040-8ACF-7CD1241292B8}"/>
    <cellStyle name="20% - Accent4 22 3 2 7 2 2" xfId="15659" xr:uid="{165BD085-FC15-4340-BD56-781C8272BF0C}"/>
    <cellStyle name="20% - Accent4 22 3 2 7 2 2 2" xfId="31863" xr:uid="{85F1E1A5-53E9-4F18-8C18-018479D05854}"/>
    <cellStyle name="20% - Accent4 22 3 2 7 2 3" xfId="24356" xr:uid="{8C905AC0-08B0-4132-B53D-62952B1840E9}"/>
    <cellStyle name="20% - Accent4 22 3 2 7 3" xfId="12045" xr:uid="{8FD55E36-04A5-4B5E-BC7E-B415F87389F4}"/>
    <cellStyle name="20% - Accent4 22 3 2 7 3 2" xfId="28249" xr:uid="{121F5DDD-ECAC-40BC-A061-7FCDA7404A7C}"/>
    <cellStyle name="20% - Accent4 22 3 2 7 4" xfId="20686" xr:uid="{C0ADB7F6-68CF-475F-A69D-16FAA49FC317}"/>
    <cellStyle name="20% - Accent4 22 3 2 8" xfId="4907" xr:uid="{CB10E0DC-EBCA-4D07-8543-5A7B80B2EC84}"/>
    <cellStyle name="20% - Accent4 22 3 2 8 2" xfId="8575" xr:uid="{15BD9D08-00B8-4925-B13F-74B75B19772E}"/>
    <cellStyle name="20% - Accent4 22 3 2 8 2 2" xfId="16082" xr:uid="{6A737B6C-B059-4979-9D2C-5BE3C851FB8C}"/>
    <cellStyle name="20% - Accent4 22 3 2 8 2 2 2" xfId="32286" xr:uid="{485DD005-4ABA-4DD5-BED9-8C85672BEB7F}"/>
    <cellStyle name="20% - Accent4 22 3 2 8 2 3" xfId="24779" xr:uid="{3900BAA0-0B9F-4B25-8A3B-2CBEDC383DDE}"/>
    <cellStyle name="20% - Accent4 22 3 2 8 3" xfId="12467" xr:uid="{EE0B50E9-1DD6-4654-8839-584866819D12}"/>
    <cellStyle name="20% - Accent4 22 3 2 8 3 2" xfId="28671" xr:uid="{8AC3F665-1B61-44EF-B19B-1C227FF5C3A4}"/>
    <cellStyle name="20% - Accent4 22 3 2 8 4" xfId="21111" xr:uid="{B3AE73A5-A059-4EE2-A7FE-1840CE4860C8}"/>
    <cellStyle name="20% - Accent4 22 3 2 9" xfId="5393" xr:uid="{AC634695-B7FB-4289-97CB-564222DF0461}"/>
    <cellStyle name="20% - Accent4 22 3 2 9 2" xfId="12942" xr:uid="{9A8A2B4D-1D15-4951-B4C2-865480F2E4F0}"/>
    <cellStyle name="20% - Accent4 22 3 2 9 2 2" xfId="29146" xr:uid="{0B9F3273-55A8-4D45-B1E0-BB06EDDCE928}"/>
    <cellStyle name="20% - Accent4 22 3 2 9 3" xfId="21597" xr:uid="{98050774-3414-4251-B049-1D8CC5F1E3C4}"/>
    <cellStyle name="20% - Accent4 22 3 3" xfId="1843" xr:uid="{1E38B6E0-1642-4126-8B96-7D99581574A7}"/>
    <cellStyle name="20% - Accent4 22 3 3 10" xfId="18148" xr:uid="{70B4F8F6-61C9-45D0-B841-47B2519C2937}"/>
    <cellStyle name="20% - Accent4 22 3 3 2" xfId="2352" xr:uid="{F4A0F043-DDE1-43A3-AAF5-D581844A4CA5}"/>
    <cellStyle name="20% - Accent4 22 3 3 2 2" xfId="3199" xr:uid="{9C6152D8-D612-40FE-99D7-6DB155FADC4B}"/>
    <cellStyle name="20% - Accent4 22 3 3 2 2 2" xfId="6981" xr:uid="{578CEE85-0542-47D1-B178-F3A4B51EC1B4}"/>
    <cellStyle name="20% - Accent4 22 3 3 2 2 2 2" xfId="14492" xr:uid="{C2DBEE84-37E4-40E0-8A4A-FDB5E7786128}"/>
    <cellStyle name="20% - Accent4 22 3 3 2 2 2 2 2" xfId="30696" xr:uid="{E62E57E7-BCBA-4455-822C-73CC703F859C}"/>
    <cellStyle name="20% - Accent4 22 3 3 2 2 2 3" xfId="23185" xr:uid="{1AE028FF-7C8E-44E0-9D6D-0BDD766CFE38}"/>
    <cellStyle name="20% - Accent4 22 3 3 2 2 3" xfId="10892" xr:uid="{7553666F-7779-468D-8BDE-BBF00E92E316}"/>
    <cellStyle name="20% - Accent4 22 3 3 2 2 3 2" xfId="27096" xr:uid="{444E5574-A8EB-4749-83D0-831B5BD144FC}"/>
    <cellStyle name="20% - Accent4 22 3 3 2 2 4" xfId="19419" xr:uid="{7CEA99F4-3E38-4168-A4A1-105CA88436B4}"/>
    <cellStyle name="20% - Accent4 22 3 3 2 3" xfId="6136" xr:uid="{7765A996-9B3B-4843-AF1F-8DBC9C55E84E}"/>
    <cellStyle name="20% - Accent4 22 3 3 2 3 2" xfId="13648" xr:uid="{FCDA4F77-8416-4567-ADF3-7BE82947B64D}"/>
    <cellStyle name="20% - Accent4 22 3 3 2 3 2 2" xfId="29852" xr:uid="{FD3419E0-CF7E-47D8-903E-90773D24AEAC}"/>
    <cellStyle name="20% - Accent4 22 3 3 2 3 3" xfId="22340" xr:uid="{DB113A7C-EFE9-4467-B766-C7A298D3055E}"/>
    <cellStyle name="20% - Accent4 22 3 3 2 4" xfId="10048" xr:uid="{70EEE3E8-EF53-450C-BC1B-3B46A326AABD}"/>
    <cellStyle name="20% - Accent4 22 3 3 2 4 2" xfId="26252" xr:uid="{1072EBD6-E61A-4CFB-A21C-09DE77F851E9}"/>
    <cellStyle name="20% - Accent4 22 3 3 2 5" xfId="18574" xr:uid="{C1DC6D91-9ED0-4019-A9A7-504E538FE097}"/>
    <cellStyle name="20% - Accent4 22 3 3 3" xfId="2774" xr:uid="{B86F7624-548D-44F6-A5E9-E7A54E1E142B}"/>
    <cellStyle name="20% - Accent4 22 3 3 3 2" xfId="6558" xr:uid="{A15C05A4-9153-4957-8168-2936957B0E23}"/>
    <cellStyle name="20% - Accent4 22 3 3 3 2 2" xfId="14070" xr:uid="{E2A26B76-AD1A-405E-8B3C-4E97AE867178}"/>
    <cellStyle name="20% - Accent4 22 3 3 3 2 2 2" xfId="30274" xr:uid="{9FDBDF9C-BAC4-41B7-AD76-1DAB957DF766}"/>
    <cellStyle name="20% - Accent4 22 3 3 3 2 3" xfId="22762" xr:uid="{0A154C11-1213-4105-86C2-1250DA097324}"/>
    <cellStyle name="20% - Accent4 22 3 3 3 3" xfId="10470" xr:uid="{71F8362F-3879-4F49-95D5-BCA66576212F}"/>
    <cellStyle name="20% - Accent4 22 3 3 3 3 2" xfId="26674" xr:uid="{382A5298-59C4-4266-940B-CAF0440C6FE4}"/>
    <cellStyle name="20% - Accent4 22 3 3 3 4" xfId="18996" xr:uid="{436DCF23-176C-4B96-96ED-C19FB6266616}"/>
    <cellStyle name="20% - Accent4 22 3 3 4" xfId="3705" xr:uid="{947B0AE7-832D-4553-AC6A-CA47C9D8B004}"/>
    <cellStyle name="20% - Accent4 22 3 3 4 2" xfId="7415" xr:uid="{CC15C8E3-B2BE-4FDC-AA7D-7B2B4A66CDFB}"/>
    <cellStyle name="20% - Accent4 22 3 3 4 2 2" xfId="14924" xr:uid="{CA2E6BAF-E937-4D53-B673-508D7868979C}"/>
    <cellStyle name="20% - Accent4 22 3 3 4 2 2 2" xfId="31128" xr:uid="{C71A6383-EDAD-451E-A5BE-BF8FCC9EA6A3}"/>
    <cellStyle name="20% - Accent4 22 3 3 4 2 3" xfId="23619" xr:uid="{5202D4B7-957F-4F15-A9AB-7B09182D79C0}"/>
    <cellStyle name="20% - Accent4 22 3 3 4 3" xfId="11315" xr:uid="{05127976-B1EF-43B4-86A8-77D306817D2F}"/>
    <cellStyle name="20% - Accent4 22 3 3 4 3 2" xfId="27519" xr:uid="{970FED19-DC55-4AA9-86A2-B38B0108C7C2}"/>
    <cellStyle name="20% - Accent4 22 3 3 4 4" xfId="19914" xr:uid="{65B8AE6E-5654-4BAA-A091-D82993239819}"/>
    <cellStyle name="20% - Accent4 22 3 3 5" xfId="4174" xr:uid="{0518EC22-8DA5-4276-A46E-39C8356198A8}"/>
    <cellStyle name="20% - Accent4 22 3 3 5 2" xfId="7844" xr:uid="{8AF0ED26-D23E-4045-B7D4-09B16A79A761}"/>
    <cellStyle name="20% - Accent4 22 3 3 5 2 2" xfId="15351" xr:uid="{6AC07F33-000D-4ADB-AF1D-20FE182E0CDD}"/>
    <cellStyle name="20% - Accent4 22 3 3 5 2 2 2" xfId="31555" xr:uid="{C0395292-1B13-425C-8958-57F33D0AEE35}"/>
    <cellStyle name="20% - Accent4 22 3 3 5 2 3" xfId="24048" xr:uid="{04927A0B-543A-4644-BA2D-E51A5E1B2F8B}"/>
    <cellStyle name="20% - Accent4 22 3 3 5 3" xfId="11737" xr:uid="{1B57E94A-0AF1-4CC6-AEA8-8EB0DE554D97}"/>
    <cellStyle name="20% - Accent4 22 3 3 5 3 2" xfId="27941" xr:uid="{1EAD2CCF-AE48-453B-94B8-D29F0943A7B2}"/>
    <cellStyle name="20% - Accent4 22 3 3 5 4" xfId="20378" xr:uid="{A26B131C-5EAE-4AA7-9F43-787FCE53A612}"/>
    <cellStyle name="20% - Accent4 22 3 3 6" xfId="4599" xr:uid="{1B25F180-6AE9-4BA1-8AC4-6A26B8181E9D}"/>
    <cellStyle name="20% - Accent4 22 3 3 6 2" xfId="8269" xr:uid="{E42E9370-1503-44C2-8C79-AD338D9C62A3}"/>
    <cellStyle name="20% - Accent4 22 3 3 6 2 2" xfId="15776" xr:uid="{2A19D8FF-A3FC-4D26-9F1C-E9600E51A3D5}"/>
    <cellStyle name="20% - Accent4 22 3 3 6 2 2 2" xfId="31980" xr:uid="{B091C8CF-3C48-4998-B1C0-23BC865592F3}"/>
    <cellStyle name="20% - Accent4 22 3 3 6 2 3" xfId="24473" xr:uid="{3F999471-E429-4021-B2E7-92C11FC3AFCE}"/>
    <cellStyle name="20% - Accent4 22 3 3 6 3" xfId="12162" xr:uid="{F384337F-E5E9-4908-9997-ABE35920A6F9}"/>
    <cellStyle name="20% - Accent4 22 3 3 6 3 2" xfId="28366" xr:uid="{B9A4B86A-B492-4F5E-8B22-80B100DC5074}"/>
    <cellStyle name="20% - Accent4 22 3 3 6 4" xfId="20803" xr:uid="{C318694F-E0BE-42F5-9CE1-A9D86744ECA2}"/>
    <cellStyle name="20% - Accent4 22 3 3 7" xfId="5026" xr:uid="{6CCA2FC6-BAAE-4F33-87B5-E75F3B6A864E}"/>
    <cellStyle name="20% - Accent4 22 3 3 7 2" xfId="8692" xr:uid="{14A48FBF-644A-425B-AA67-1EBC8CCE3D02}"/>
    <cellStyle name="20% - Accent4 22 3 3 7 2 2" xfId="16199" xr:uid="{B78ABC0C-C7DC-4B0B-BDE1-CE9F296F1469}"/>
    <cellStyle name="20% - Accent4 22 3 3 7 2 2 2" xfId="32403" xr:uid="{A9D80382-9B37-41D5-A684-79C567FD842A}"/>
    <cellStyle name="20% - Accent4 22 3 3 7 2 3" xfId="24896" xr:uid="{2781D3F4-A51D-40EB-B9B0-D984DFE77755}"/>
    <cellStyle name="20% - Accent4 22 3 3 7 3" xfId="12584" xr:uid="{7975CC9B-6657-4B16-A47D-6F5486EC7982}"/>
    <cellStyle name="20% - Accent4 22 3 3 7 3 2" xfId="28788" xr:uid="{334FBEB2-06C6-4D3F-91FA-F771CA20EB3A}"/>
    <cellStyle name="20% - Accent4 22 3 3 7 4" xfId="21230" xr:uid="{FABFF778-8788-45F4-B044-EA5520FA2782}"/>
    <cellStyle name="20% - Accent4 22 3 3 8" xfId="5698" xr:uid="{2557BC0C-D638-4CAB-AEB5-7BFF602712CC}"/>
    <cellStyle name="20% - Accent4 22 3 3 8 2" xfId="13213" xr:uid="{5190396D-A093-4BAF-8C32-0707C9916309}"/>
    <cellStyle name="20% - Accent4 22 3 3 8 2 2" xfId="29417" xr:uid="{C29042FE-BA8E-4217-8B58-03F59FEEBC81}"/>
    <cellStyle name="20% - Accent4 22 3 3 8 3" xfId="21902" xr:uid="{8AD5F269-C492-4021-8F0C-5ECE8DB01463}"/>
    <cellStyle name="20% - Accent4 22 3 3 9" xfId="9625" xr:uid="{1376B204-4086-4D73-AD92-B2E619DE53B8}"/>
    <cellStyle name="20% - Accent4 22 3 3 9 2" xfId="25829" xr:uid="{1BAB1E1C-C64D-47D0-BC33-5B49850FC583}"/>
    <cellStyle name="20% - Accent4 22 3 4" xfId="2102" xr:uid="{621DBE75-31BF-49B0-8F50-C50A0F753294}"/>
    <cellStyle name="20% - Accent4 22 3 4 2" xfId="3015" xr:uid="{AD5D8CC5-2EC1-4605-BE23-9042C8823FEB}"/>
    <cellStyle name="20% - Accent4 22 3 4 2 2" xfId="6797" xr:uid="{DFB7CB82-8C4C-4BF1-87C4-F992FAF0F890}"/>
    <cellStyle name="20% - Accent4 22 3 4 2 2 2" xfId="14308" xr:uid="{0514E68F-6E40-47C8-B8F0-A9679F18BE71}"/>
    <cellStyle name="20% - Accent4 22 3 4 2 2 2 2" xfId="30512" xr:uid="{4AB13B35-A1E6-4E10-8BD7-4493FBA3C717}"/>
    <cellStyle name="20% - Accent4 22 3 4 2 2 3" xfId="23001" xr:uid="{31B98B05-8E59-4830-BBFF-71921C817A99}"/>
    <cellStyle name="20% - Accent4 22 3 4 2 3" xfId="10708" xr:uid="{32C8E1C6-A1CA-4670-8CF8-9EA365812D61}"/>
    <cellStyle name="20% - Accent4 22 3 4 2 3 2" xfId="26912" xr:uid="{EB2AFE98-4893-478C-BCEA-58377500663A}"/>
    <cellStyle name="20% - Accent4 22 3 4 2 4" xfId="19235" xr:uid="{86902EFE-D9EA-442C-A4DC-4A5D8824AEEE}"/>
    <cellStyle name="20% - Accent4 22 3 4 3" xfId="5941" xr:uid="{39BE6013-0104-46D7-BF7A-297E94F6C99B}"/>
    <cellStyle name="20% - Accent4 22 3 4 3 2" xfId="13455" xr:uid="{D07089FD-B37F-443D-A615-200660588B5D}"/>
    <cellStyle name="20% - Accent4 22 3 4 3 2 2" xfId="29659" xr:uid="{0A98D10C-98C9-415B-A964-505D855C3977}"/>
    <cellStyle name="20% - Accent4 22 3 4 3 3" xfId="22145" xr:uid="{FF3DD383-0E0C-4CD3-BE1E-9B62B06669B4}"/>
    <cellStyle name="20% - Accent4 22 3 4 4" xfId="9864" xr:uid="{3CEC9226-72BB-4EA6-8A5F-74793DC7B0EC}"/>
    <cellStyle name="20% - Accent4 22 3 4 4 2" xfId="26068" xr:uid="{1D881A2E-6D83-4B9A-8525-486B73C7D4CA}"/>
    <cellStyle name="20% - Accent4 22 3 4 5" xfId="18389" xr:uid="{255F5ADF-F99A-4E84-ACD8-C1835BD2ED5D}"/>
    <cellStyle name="20% - Accent4 22 3 5" xfId="2590" xr:uid="{A2961B25-50F6-42ED-AD68-08EF98CD6D8C}"/>
    <cellStyle name="20% - Accent4 22 3 5 2" xfId="6374" xr:uid="{A6891635-0F47-4D2A-BADC-C1F8D30CDF11}"/>
    <cellStyle name="20% - Accent4 22 3 5 2 2" xfId="13886" xr:uid="{2EF50166-5AC5-4E4C-A1FB-EC42B0F44D53}"/>
    <cellStyle name="20% - Accent4 22 3 5 2 2 2" xfId="30090" xr:uid="{6F35CB69-603B-46CE-9CB6-7BBF5F68D721}"/>
    <cellStyle name="20% - Accent4 22 3 5 2 3" xfId="22578" xr:uid="{871D9535-F78B-423D-932A-53AD5E813B69}"/>
    <cellStyle name="20% - Accent4 22 3 5 3" xfId="10286" xr:uid="{E9C7C9B1-3B98-4BBA-84CF-2255A0EB5723}"/>
    <cellStyle name="20% - Accent4 22 3 5 3 2" xfId="26490" xr:uid="{BA809E8E-4023-4BA6-A97B-F301C36EE2C1}"/>
    <cellStyle name="20% - Accent4 22 3 5 4" xfId="18812" xr:uid="{B3363B4D-8AD3-4FCB-ADA2-B06AEBEB3C80}"/>
    <cellStyle name="20% - Accent4 22 3 6" xfId="3466" xr:uid="{0A60AE66-70AF-4712-8DF3-4D1169603F6A}"/>
    <cellStyle name="20% - Accent4 22 3 6 2" xfId="7224" xr:uid="{7890A2A1-7CCB-475A-AFAA-C3739FB76865}"/>
    <cellStyle name="20% - Accent4 22 3 6 2 2" xfId="14734" xr:uid="{CAED8852-E9F2-4A5C-8B27-1188019B61EB}"/>
    <cellStyle name="20% - Accent4 22 3 6 2 2 2" xfId="30938" xr:uid="{B9822582-78D6-46AA-82A5-9C3DAD448060}"/>
    <cellStyle name="20% - Accent4 22 3 6 2 3" xfId="23428" xr:uid="{69786DB8-3486-4C60-A715-43187FF9FCB7}"/>
    <cellStyle name="20% - Accent4 22 3 6 3" xfId="11131" xr:uid="{A5FD20F5-0999-4FE3-85C4-D8963497527F}"/>
    <cellStyle name="20% - Accent4 22 3 6 3 2" xfId="27335" xr:uid="{E547BEEF-AA5B-49E8-AD1B-CE35E297B5AC}"/>
    <cellStyle name="20% - Accent4 22 3 6 4" xfId="19682" xr:uid="{8BF7E162-2E99-406B-B1E5-80A68504BB2F}"/>
    <cellStyle name="20% - Accent4 22 3 7" xfId="3990" xr:uid="{F4676F01-0708-4A06-A6E5-A7779F39F029}"/>
    <cellStyle name="20% - Accent4 22 3 7 2" xfId="7660" xr:uid="{29E1A25F-7922-448C-A90A-5713BAD97DE0}"/>
    <cellStyle name="20% - Accent4 22 3 7 2 2" xfId="15167" xr:uid="{6DAB49FE-875F-480B-9349-5F04F6ADF0BF}"/>
    <cellStyle name="20% - Accent4 22 3 7 2 2 2" xfId="31371" xr:uid="{4D9770C2-DA12-4B5A-B658-6C5FFA331E92}"/>
    <cellStyle name="20% - Accent4 22 3 7 2 3" xfId="23864" xr:uid="{1CBD3B1E-9438-43EA-B161-E5AAAC4B42E9}"/>
    <cellStyle name="20% - Accent4 22 3 7 3" xfId="11553" xr:uid="{0AA1256A-B454-4363-8A20-1EA82D9503DF}"/>
    <cellStyle name="20% - Accent4 22 3 7 3 2" xfId="27757" xr:uid="{CEB32482-EEF5-4329-B2F3-A4FBAE36BB89}"/>
    <cellStyle name="20% - Accent4 22 3 7 4" xfId="20194" xr:uid="{57F9E83F-30A0-4372-AF67-85C4F01DB819}"/>
    <cellStyle name="20% - Accent4 22 3 8" xfId="4415" xr:uid="{3A44430B-1A4B-404C-B8B6-5B9D592C5964}"/>
    <cellStyle name="20% - Accent4 22 3 8 2" xfId="8085" xr:uid="{56FF7090-0C27-402E-A905-3CE253A4A7A0}"/>
    <cellStyle name="20% - Accent4 22 3 8 2 2" xfId="15592" xr:uid="{A68D4C9C-B485-44C0-9423-13B7E1281CCB}"/>
    <cellStyle name="20% - Accent4 22 3 8 2 2 2" xfId="31796" xr:uid="{835F8D8D-B1F4-445F-875A-F4D004A039C5}"/>
    <cellStyle name="20% - Accent4 22 3 8 2 3" xfId="24289" xr:uid="{E2A19D72-3A09-4BD1-981E-B0271987C3F7}"/>
    <cellStyle name="20% - Accent4 22 3 8 3" xfId="11978" xr:uid="{D6854AEF-6859-470C-9357-6F84F092C26C}"/>
    <cellStyle name="20% - Accent4 22 3 8 3 2" xfId="28182" xr:uid="{9D5F6B1A-D807-4AC2-AC06-8F171BCF29C2}"/>
    <cellStyle name="20% - Accent4 22 3 8 4" xfId="20619" xr:uid="{DF3E38A0-F9D7-4BD9-9F13-7A32123C834B}"/>
    <cellStyle name="20% - Accent4 22 3 9" xfId="4839" xr:uid="{6E908C98-3C0E-4985-AE31-67C5E98812EA}"/>
    <cellStyle name="20% - Accent4 22 3 9 2" xfId="8508" xr:uid="{F9315A3E-C097-4B49-8F3A-FC512EB3E525}"/>
    <cellStyle name="20% - Accent4 22 3 9 2 2" xfId="16015" xr:uid="{EFCA97F8-DA73-41AF-AC84-B0D4E6A355E1}"/>
    <cellStyle name="20% - Accent4 22 3 9 2 2 2" xfId="32219" xr:uid="{9BDA3EA5-69C2-4E30-A3B9-261A90A5E4C2}"/>
    <cellStyle name="20% - Accent4 22 3 9 2 3" xfId="24712" xr:uid="{8059C2A0-83BE-43C3-8E90-4B84DFD313C0}"/>
    <cellStyle name="20% - Accent4 22 3 9 3" xfId="12400" xr:uid="{ABE2FC65-F835-4911-A3E5-9728E350BF9B}"/>
    <cellStyle name="20% - Accent4 22 3 9 3 2" xfId="28604" xr:uid="{EE5CB597-D4F7-43F0-8264-804F849B716C}"/>
    <cellStyle name="20% - Accent4 22 3 9 4" xfId="21043" xr:uid="{D6D931C8-CCED-4E99-AA94-25605CE30253}"/>
    <cellStyle name="20% - Accent4 22 4" xfId="556" xr:uid="{B5A36C4E-FB9C-4B70-A6F4-08B0AC025B6E}"/>
    <cellStyle name="20% - Accent4 22 4 10" xfId="9464" xr:uid="{2DAD0883-26E4-429D-910C-C7B4D7C88006}"/>
    <cellStyle name="20% - Accent4 22 4 10 2" xfId="25668" xr:uid="{7DC32510-4700-4335-9686-475BFA49D448}"/>
    <cellStyle name="20% - Accent4 22 4 11" xfId="17980" xr:uid="{1C738F97-23B9-4DB8-A700-B3A7A54B3ED4}"/>
    <cellStyle name="20% - Accent4 22 4 2" xfId="1844" xr:uid="{CCF3A260-87B2-4A48-A624-B3F8B1348507}"/>
    <cellStyle name="20% - Accent4 22 4 2 10" xfId="18149" xr:uid="{C100CBDD-102D-4542-BC28-A5C4EDE2F038}"/>
    <cellStyle name="20% - Accent4 22 4 2 2" xfId="2353" xr:uid="{FE07B80A-5C68-40D8-AD80-4BF1E2618508}"/>
    <cellStyle name="20% - Accent4 22 4 2 2 2" xfId="3200" xr:uid="{C3B8F8FE-1CD9-4923-BDE6-C8A8E5AB440A}"/>
    <cellStyle name="20% - Accent4 22 4 2 2 2 2" xfId="6982" xr:uid="{C768554E-5AEF-454D-B18E-47CE5A1CE705}"/>
    <cellStyle name="20% - Accent4 22 4 2 2 2 2 2" xfId="14493" xr:uid="{CC699CE1-D51E-4911-8ED9-78B9C579D47C}"/>
    <cellStyle name="20% - Accent4 22 4 2 2 2 2 2 2" xfId="30697" xr:uid="{4D47F1E4-5277-4367-91E2-405EFDB81FD7}"/>
    <cellStyle name="20% - Accent4 22 4 2 2 2 2 3" xfId="23186" xr:uid="{C3183242-FCF9-45F9-84ED-41734C66CDCE}"/>
    <cellStyle name="20% - Accent4 22 4 2 2 2 3" xfId="10893" xr:uid="{8E21B4E9-1976-439F-A058-B295FEC42D00}"/>
    <cellStyle name="20% - Accent4 22 4 2 2 2 3 2" xfId="27097" xr:uid="{76E34B70-D5C9-4648-AC36-0ACDF4F91368}"/>
    <cellStyle name="20% - Accent4 22 4 2 2 2 4" xfId="19420" xr:uid="{44D2CFAD-9603-4E23-B531-C6AC4AC0A882}"/>
    <cellStyle name="20% - Accent4 22 4 2 2 3" xfId="6137" xr:uid="{C0322B12-221E-4CF9-929A-8A682F7ACFE3}"/>
    <cellStyle name="20% - Accent4 22 4 2 2 3 2" xfId="13649" xr:uid="{92086456-645E-40FD-B9F7-DB9C04F9AC70}"/>
    <cellStyle name="20% - Accent4 22 4 2 2 3 2 2" xfId="29853" xr:uid="{4353016D-6CA6-48B6-95AB-0C94B59F30EF}"/>
    <cellStyle name="20% - Accent4 22 4 2 2 3 3" xfId="22341" xr:uid="{0A676511-B3A9-4658-ACF9-0A8E205EE476}"/>
    <cellStyle name="20% - Accent4 22 4 2 2 4" xfId="10049" xr:uid="{C1F6D6B2-18C6-42FA-9BFD-DFC7A1990F58}"/>
    <cellStyle name="20% - Accent4 22 4 2 2 4 2" xfId="26253" xr:uid="{F2D131F0-F207-428A-9735-B0247C84BCC3}"/>
    <cellStyle name="20% - Accent4 22 4 2 2 5" xfId="18575" xr:uid="{C13F0106-2E78-44D2-8B4A-D8EDEB0DD3EF}"/>
    <cellStyle name="20% - Accent4 22 4 2 3" xfId="2775" xr:uid="{8FC8A2C8-B444-4087-9927-418B1ED8C05E}"/>
    <cellStyle name="20% - Accent4 22 4 2 3 2" xfId="6559" xr:uid="{CE0CBCD6-2369-491D-AE40-D29E5C150648}"/>
    <cellStyle name="20% - Accent4 22 4 2 3 2 2" xfId="14071" xr:uid="{694A70EB-F0CA-4028-B9C7-4911D98F12BB}"/>
    <cellStyle name="20% - Accent4 22 4 2 3 2 2 2" xfId="30275" xr:uid="{EF573F52-A0AA-49A3-BE47-82A44BCF44FC}"/>
    <cellStyle name="20% - Accent4 22 4 2 3 2 3" xfId="22763" xr:uid="{19378324-8F01-4042-8E70-290B55B0F528}"/>
    <cellStyle name="20% - Accent4 22 4 2 3 3" xfId="10471" xr:uid="{769CC318-AC79-4955-B51E-21E2F3534BD1}"/>
    <cellStyle name="20% - Accent4 22 4 2 3 3 2" xfId="26675" xr:uid="{182B4560-93FF-44E6-BC57-836ED0A150E3}"/>
    <cellStyle name="20% - Accent4 22 4 2 3 4" xfId="18997" xr:uid="{5E8AD3E2-D48E-406D-BEC8-080F41CE2C6B}"/>
    <cellStyle name="20% - Accent4 22 4 2 4" xfId="3706" xr:uid="{B1EB83B5-7341-4783-9EB1-E686FFE0C948}"/>
    <cellStyle name="20% - Accent4 22 4 2 4 2" xfId="7416" xr:uid="{E3270069-4FF2-4047-95DF-019151B30EDD}"/>
    <cellStyle name="20% - Accent4 22 4 2 4 2 2" xfId="14925" xr:uid="{5981A761-6548-418D-850B-4E728D6F8C17}"/>
    <cellStyle name="20% - Accent4 22 4 2 4 2 2 2" xfId="31129" xr:uid="{D1BF1C3B-889A-42EE-9F04-81FD91FEB82B}"/>
    <cellStyle name="20% - Accent4 22 4 2 4 2 3" xfId="23620" xr:uid="{927090F0-B57F-4C26-9381-514769CEC9EC}"/>
    <cellStyle name="20% - Accent4 22 4 2 4 3" xfId="11316" xr:uid="{AEE024F4-8622-4F63-9B13-18E8DE7D8298}"/>
    <cellStyle name="20% - Accent4 22 4 2 4 3 2" xfId="27520" xr:uid="{3C8A6D3B-7011-449F-98D5-C8EF20D4B2B1}"/>
    <cellStyle name="20% - Accent4 22 4 2 4 4" xfId="19915" xr:uid="{C32FD54C-9359-428A-A08E-86442D1A38D4}"/>
    <cellStyle name="20% - Accent4 22 4 2 5" xfId="4175" xr:uid="{9BCC5EB6-FDFD-42F7-A201-D4D73F474D6A}"/>
    <cellStyle name="20% - Accent4 22 4 2 5 2" xfId="7845" xr:uid="{0C3B70B2-558F-4E68-8B0B-79546F742136}"/>
    <cellStyle name="20% - Accent4 22 4 2 5 2 2" xfId="15352" xr:uid="{4B1CB2F9-09FE-4029-8F4B-2B241F85BBD9}"/>
    <cellStyle name="20% - Accent4 22 4 2 5 2 2 2" xfId="31556" xr:uid="{20137F79-F052-46D8-A621-BC721C3A79B4}"/>
    <cellStyle name="20% - Accent4 22 4 2 5 2 3" xfId="24049" xr:uid="{38B0B6D1-41BF-4E52-8908-14055739D6D3}"/>
    <cellStyle name="20% - Accent4 22 4 2 5 3" xfId="11738" xr:uid="{F53D3F6D-D0D3-43C9-8D75-D180C8BEE185}"/>
    <cellStyle name="20% - Accent4 22 4 2 5 3 2" xfId="27942" xr:uid="{F04AA2DC-65ED-45C6-8AEC-87FD9953E218}"/>
    <cellStyle name="20% - Accent4 22 4 2 5 4" xfId="20379" xr:uid="{FAF8E4F2-0525-4215-8271-3B0F94F63B05}"/>
    <cellStyle name="20% - Accent4 22 4 2 6" xfId="4600" xr:uid="{172D2362-A6BF-48C4-8158-DEEB424A5F7A}"/>
    <cellStyle name="20% - Accent4 22 4 2 6 2" xfId="8270" xr:uid="{27212DCF-22A7-4247-9694-942E3DA22F2B}"/>
    <cellStyle name="20% - Accent4 22 4 2 6 2 2" xfId="15777" xr:uid="{294CC525-F1BE-4E0E-A93A-37341624AD31}"/>
    <cellStyle name="20% - Accent4 22 4 2 6 2 2 2" xfId="31981" xr:uid="{31AA624A-FFDF-4E7B-BB16-8F15AB136006}"/>
    <cellStyle name="20% - Accent4 22 4 2 6 2 3" xfId="24474" xr:uid="{07D5A1DC-3C10-46FA-BBDA-5DED3634FA9F}"/>
    <cellStyle name="20% - Accent4 22 4 2 6 3" xfId="12163" xr:uid="{3B70D4DD-0C2E-490B-BA5F-B24745697AFD}"/>
    <cellStyle name="20% - Accent4 22 4 2 6 3 2" xfId="28367" xr:uid="{EB5222D3-46A5-44D2-86C1-8EFBB0AB2C7D}"/>
    <cellStyle name="20% - Accent4 22 4 2 6 4" xfId="20804" xr:uid="{3F4F412D-1A36-407A-B8D8-E3E4F7196D3A}"/>
    <cellStyle name="20% - Accent4 22 4 2 7" xfId="5027" xr:uid="{E1C48D05-4707-4D9A-9F9A-DCFACCD45D00}"/>
    <cellStyle name="20% - Accent4 22 4 2 7 2" xfId="8693" xr:uid="{9DE73500-42C5-4D30-B8CB-16BDF361F52D}"/>
    <cellStyle name="20% - Accent4 22 4 2 7 2 2" xfId="16200" xr:uid="{B5F1B82E-678F-4DDF-A03D-250167E307CD}"/>
    <cellStyle name="20% - Accent4 22 4 2 7 2 2 2" xfId="32404" xr:uid="{41A4DF15-C157-4E2D-BCF9-BE099C6BFDD9}"/>
    <cellStyle name="20% - Accent4 22 4 2 7 2 3" xfId="24897" xr:uid="{50E5B69A-337F-4D67-B343-C63D60D5A0F3}"/>
    <cellStyle name="20% - Accent4 22 4 2 7 3" xfId="12585" xr:uid="{32C88C94-BA99-4372-8F5F-7526CCAD6B2A}"/>
    <cellStyle name="20% - Accent4 22 4 2 7 3 2" xfId="28789" xr:uid="{8EEF9481-570C-4B6D-AAA3-F8697ADFBDB7}"/>
    <cellStyle name="20% - Accent4 22 4 2 7 4" xfId="21231" xr:uid="{5C0A3F47-35D6-459E-80EA-3B476FB38B72}"/>
    <cellStyle name="20% - Accent4 22 4 2 8" xfId="5699" xr:uid="{696AE2A2-64D2-46B8-8BAE-788243806BC8}"/>
    <cellStyle name="20% - Accent4 22 4 2 8 2" xfId="13214" xr:uid="{5F28B07C-F459-456F-A71B-1F7B03F0DA9A}"/>
    <cellStyle name="20% - Accent4 22 4 2 8 2 2" xfId="29418" xr:uid="{A119DDA1-1F52-42DE-A147-CDE7422F8364}"/>
    <cellStyle name="20% - Accent4 22 4 2 8 3" xfId="21903" xr:uid="{C31E52E1-7AFD-4EB5-B57F-3B97FBB6E7EC}"/>
    <cellStyle name="20% - Accent4 22 4 2 9" xfId="9626" xr:uid="{77697330-C9D5-4BEB-BC94-8DA7E729B1EA}"/>
    <cellStyle name="20% - Accent4 22 4 2 9 2" xfId="25830" xr:uid="{62EC96C9-66B5-49EF-937F-4A21033A83E9}"/>
    <cellStyle name="20% - Accent4 22 4 3" xfId="2125" xr:uid="{24A0933E-2DB3-4902-BB0D-67F564AC8ED5}"/>
    <cellStyle name="20% - Accent4 22 4 3 2" xfId="3038" xr:uid="{84296DE7-2E8E-4446-AB93-1E7A71BCE890}"/>
    <cellStyle name="20% - Accent4 22 4 3 2 2" xfId="6820" xr:uid="{BCAB4D18-CC95-4CC0-AEF8-AD853F64CE28}"/>
    <cellStyle name="20% - Accent4 22 4 3 2 2 2" xfId="14331" xr:uid="{3D01E97C-1683-4FB5-BB56-6C114BAAE655}"/>
    <cellStyle name="20% - Accent4 22 4 3 2 2 2 2" xfId="30535" xr:uid="{DB96DEB1-BB5E-4D16-BFDB-CAD145654BB7}"/>
    <cellStyle name="20% - Accent4 22 4 3 2 2 3" xfId="23024" xr:uid="{85B93B02-C681-4CCA-B1B1-8317794AC071}"/>
    <cellStyle name="20% - Accent4 22 4 3 2 3" xfId="10731" xr:uid="{B8CBE56F-EFE9-4FA3-95AE-6EB4FD8A958A}"/>
    <cellStyle name="20% - Accent4 22 4 3 2 3 2" xfId="26935" xr:uid="{F95D654C-34F8-4FE4-A007-6FADBC569CD7}"/>
    <cellStyle name="20% - Accent4 22 4 3 2 4" xfId="19258" xr:uid="{0A1A5CDB-0F8B-48BC-8A6A-D6B8042B0997}"/>
    <cellStyle name="20% - Accent4 22 4 3 3" xfId="5964" xr:uid="{4A1D1E62-6C5E-4B1D-9CCB-3D972202FFFF}"/>
    <cellStyle name="20% - Accent4 22 4 3 3 2" xfId="13478" xr:uid="{2E20EADD-7EDB-4C03-9517-17A22E729B61}"/>
    <cellStyle name="20% - Accent4 22 4 3 3 2 2" xfId="29682" xr:uid="{34F8B7CC-33ED-4439-B62F-38D40705D4DF}"/>
    <cellStyle name="20% - Accent4 22 4 3 3 3" xfId="22168" xr:uid="{8F3D71DF-42CF-47C0-9E46-16349DDB9261}"/>
    <cellStyle name="20% - Accent4 22 4 3 4" xfId="9887" xr:uid="{32951021-3045-4DD8-BED8-988A3A7B6A80}"/>
    <cellStyle name="20% - Accent4 22 4 3 4 2" xfId="26091" xr:uid="{C66CCEF0-6384-478D-BCC9-EF8FD8ED2E22}"/>
    <cellStyle name="20% - Accent4 22 4 3 5" xfId="18412" xr:uid="{0AEC277F-8C82-4130-98AD-B5814A0D5AE7}"/>
    <cellStyle name="20% - Accent4 22 4 4" xfId="2613" xr:uid="{8A32A1DF-18D2-4A47-A614-527C9EEBB08B}"/>
    <cellStyle name="20% - Accent4 22 4 4 2" xfId="6397" xr:uid="{6827F9D4-C417-4E0B-AC83-47A0A1126055}"/>
    <cellStyle name="20% - Accent4 22 4 4 2 2" xfId="13909" xr:uid="{8622909A-C3DF-4EAA-81BB-BF27175A169C}"/>
    <cellStyle name="20% - Accent4 22 4 4 2 2 2" xfId="30113" xr:uid="{240D2645-50A8-4A5A-A0C8-733EE2C9D49B}"/>
    <cellStyle name="20% - Accent4 22 4 4 2 3" xfId="22601" xr:uid="{71C9B939-17AA-4206-A008-ADC67A2303B7}"/>
    <cellStyle name="20% - Accent4 22 4 4 3" xfId="10309" xr:uid="{BC93F5A8-7096-463E-B275-D3371A5422E9}"/>
    <cellStyle name="20% - Accent4 22 4 4 3 2" xfId="26513" xr:uid="{5B07339E-83D7-43D2-9486-52374FA4D08B}"/>
    <cellStyle name="20% - Accent4 22 4 4 4" xfId="18835" xr:uid="{828F3A6F-E3A5-49C8-9BDB-ADAE7BFD65F9}"/>
    <cellStyle name="20% - Accent4 22 4 5" xfId="3489" xr:uid="{5CC3E805-EBF1-416E-BB8F-77CAEA1DF41E}"/>
    <cellStyle name="20% - Accent4 22 4 5 2" xfId="7247" xr:uid="{5704990A-B138-42DA-8C6F-C1B8D8133874}"/>
    <cellStyle name="20% - Accent4 22 4 5 2 2" xfId="14757" xr:uid="{0BA4CEA3-071F-43FE-A0D5-094CE1667CA3}"/>
    <cellStyle name="20% - Accent4 22 4 5 2 2 2" xfId="30961" xr:uid="{CC75FFA9-69F6-444C-BB8F-05D534CA4F76}"/>
    <cellStyle name="20% - Accent4 22 4 5 2 3" xfId="23451" xr:uid="{29DD959B-C173-4963-BB81-39E3586DD5BA}"/>
    <cellStyle name="20% - Accent4 22 4 5 3" xfId="11154" xr:uid="{9A8BDEEF-C1DD-422C-9E78-B12D0906AE93}"/>
    <cellStyle name="20% - Accent4 22 4 5 3 2" xfId="27358" xr:uid="{71FD07EE-44F6-4F22-9537-AF3C46D534D6}"/>
    <cellStyle name="20% - Accent4 22 4 5 4" xfId="19705" xr:uid="{099B7580-4B6E-49E4-BD02-D01F719CD40D}"/>
    <cellStyle name="20% - Accent4 22 4 6" xfId="4013" xr:uid="{7C3A014F-0D3B-43B7-9216-6F8D9F65BDFC}"/>
    <cellStyle name="20% - Accent4 22 4 6 2" xfId="7683" xr:uid="{C211FC5F-6B2E-4913-A480-4E309ED83BC9}"/>
    <cellStyle name="20% - Accent4 22 4 6 2 2" xfId="15190" xr:uid="{691C429E-8705-42F5-93DD-C8BD3E33E939}"/>
    <cellStyle name="20% - Accent4 22 4 6 2 2 2" xfId="31394" xr:uid="{A1D364C4-54B0-4AB3-9EC5-6BA89352B021}"/>
    <cellStyle name="20% - Accent4 22 4 6 2 3" xfId="23887" xr:uid="{4129AFF5-1DAD-475C-943E-21C2145D122A}"/>
    <cellStyle name="20% - Accent4 22 4 6 3" xfId="11576" xr:uid="{FB260D69-470C-44BD-ACE1-A37B32BBEF42}"/>
    <cellStyle name="20% - Accent4 22 4 6 3 2" xfId="27780" xr:uid="{201EA32D-30E2-4D39-8326-8D48E263744A}"/>
    <cellStyle name="20% - Accent4 22 4 6 4" xfId="20217" xr:uid="{47A0D5EC-17C3-4C96-991D-FEE955C1EC23}"/>
    <cellStyle name="20% - Accent4 22 4 7" xfId="4438" xr:uid="{93BE5C8F-24D7-47F5-BA3D-0B85E1F4C016}"/>
    <cellStyle name="20% - Accent4 22 4 7 2" xfId="8108" xr:uid="{8A48E13F-53AA-4ACD-B912-FE1EC65A89D9}"/>
    <cellStyle name="20% - Accent4 22 4 7 2 2" xfId="15615" xr:uid="{AF4831FF-3427-49EF-B9AD-349B2C5C48B4}"/>
    <cellStyle name="20% - Accent4 22 4 7 2 2 2" xfId="31819" xr:uid="{1C71343A-66A1-43D9-8578-C8D6AB1FB06E}"/>
    <cellStyle name="20% - Accent4 22 4 7 2 3" xfId="24312" xr:uid="{01179F27-525B-429A-B3CE-F64BC2C87095}"/>
    <cellStyle name="20% - Accent4 22 4 7 3" xfId="12001" xr:uid="{9FA86C07-EDC1-4949-B30F-783644B4F2FA}"/>
    <cellStyle name="20% - Accent4 22 4 7 3 2" xfId="28205" xr:uid="{83FAFCC6-411A-424A-9826-170A2CA1DDD9}"/>
    <cellStyle name="20% - Accent4 22 4 7 4" xfId="20642" xr:uid="{600C03C9-8720-4D52-9C02-197AF77FB42B}"/>
    <cellStyle name="20% - Accent4 22 4 8" xfId="4863" xr:uid="{6FDEACB7-B34C-4856-83C7-F0879447A39C}"/>
    <cellStyle name="20% - Accent4 22 4 8 2" xfId="8531" xr:uid="{00C16DF7-143F-4567-A17C-BA12845A0673}"/>
    <cellStyle name="20% - Accent4 22 4 8 2 2" xfId="16038" xr:uid="{CEDD689A-5FC6-4B23-B89F-23CB07D09708}"/>
    <cellStyle name="20% - Accent4 22 4 8 2 2 2" xfId="32242" xr:uid="{BCCE011B-4446-4DF1-9850-9793DBF2EED9}"/>
    <cellStyle name="20% - Accent4 22 4 8 2 3" xfId="24735" xr:uid="{D3A1336F-BFB8-4890-B83D-5F8F42640439}"/>
    <cellStyle name="20% - Accent4 22 4 8 3" xfId="12423" xr:uid="{A09BA11C-192B-4695-8212-FF5CBA2B10AA}"/>
    <cellStyle name="20% - Accent4 22 4 8 3 2" xfId="28627" xr:uid="{C5A39B58-9C99-4AFE-A20E-010BD28A8B0D}"/>
    <cellStyle name="20% - Accent4 22 4 8 4" xfId="21067" xr:uid="{65983E32-E690-426C-B6FB-9D5D3EB886F7}"/>
    <cellStyle name="20% - Accent4 22 4 9" xfId="5349" xr:uid="{81F25EBE-61FA-4147-A487-C1322E08B8B9}"/>
    <cellStyle name="20% - Accent4 22 4 9 2" xfId="12898" xr:uid="{EEED309E-3F39-4F9B-8F6C-EFEBFB96AFF6}"/>
    <cellStyle name="20% - Accent4 22 4 9 2 2" xfId="29102" xr:uid="{7E9B37A4-18B3-400C-B537-8548D1FC2FAF}"/>
    <cellStyle name="20% - Accent4 22 4 9 3" xfId="21553" xr:uid="{6674987B-6AB2-4B19-A42A-2024A3419CB3}"/>
    <cellStyle name="20% - Accent4 22 5" xfId="1308" xr:uid="{FFF7B2AA-47D2-4885-8B16-F266F5D56630}"/>
    <cellStyle name="20% - Accent4 22 6" xfId="1845" xr:uid="{E70535F1-55D6-46AF-82DF-4E6E0041F652}"/>
    <cellStyle name="20% - Accent4 22 6 10" xfId="18150" xr:uid="{42739039-D1A2-4704-8E95-DAC27AF807A4}"/>
    <cellStyle name="20% - Accent4 22 6 2" xfId="2354" xr:uid="{C6BA5703-ADBD-45A4-A035-84E9C0B4ABDE}"/>
    <cellStyle name="20% - Accent4 22 6 2 2" xfId="3201" xr:uid="{C5C213C8-F565-49EB-9BFB-2453D4438BAD}"/>
    <cellStyle name="20% - Accent4 22 6 2 2 2" xfId="6983" xr:uid="{AD1B339F-9D02-450F-937A-A8B2AB1C1E72}"/>
    <cellStyle name="20% - Accent4 22 6 2 2 2 2" xfId="14494" xr:uid="{41742FBB-D2A8-4D90-ADE5-FC53D447ECCF}"/>
    <cellStyle name="20% - Accent4 22 6 2 2 2 2 2" xfId="30698" xr:uid="{0B17570C-725B-4C12-8908-B70B2E1C73C4}"/>
    <cellStyle name="20% - Accent4 22 6 2 2 2 3" xfId="23187" xr:uid="{F739CDF9-29C9-4DDA-8D93-2B9945CFC0AF}"/>
    <cellStyle name="20% - Accent4 22 6 2 2 3" xfId="10894" xr:uid="{108909F6-153B-4012-823F-F4A4DDFF2CA7}"/>
    <cellStyle name="20% - Accent4 22 6 2 2 3 2" xfId="27098" xr:uid="{BE9BBC4F-11C7-4960-B0BB-BA04165B5DF7}"/>
    <cellStyle name="20% - Accent4 22 6 2 2 4" xfId="19421" xr:uid="{EA5DC5E2-F480-4BE4-B844-23B6A5566D47}"/>
    <cellStyle name="20% - Accent4 22 6 2 3" xfId="6138" xr:uid="{0FACA1C3-0789-4B10-87ED-2E83A68C0CF5}"/>
    <cellStyle name="20% - Accent4 22 6 2 3 2" xfId="13650" xr:uid="{33FAD956-E67E-439C-BF86-89071E7AB1D9}"/>
    <cellStyle name="20% - Accent4 22 6 2 3 2 2" xfId="29854" xr:uid="{97E66FF4-4EE6-4A9D-AE2A-36A96A7A3093}"/>
    <cellStyle name="20% - Accent4 22 6 2 3 3" xfId="22342" xr:uid="{8EF1501B-EAB2-4DAE-A03B-1C151C224EA8}"/>
    <cellStyle name="20% - Accent4 22 6 2 4" xfId="10050" xr:uid="{230AC966-F2ED-4507-9AF9-1A26215D596E}"/>
    <cellStyle name="20% - Accent4 22 6 2 4 2" xfId="26254" xr:uid="{F03680E4-E035-4A6E-899A-E0AF5C31BE9B}"/>
    <cellStyle name="20% - Accent4 22 6 2 5" xfId="18576" xr:uid="{C3702C9C-EBA2-4C29-A73E-ECA6109C4B4B}"/>
    <cellStyle name="20% - Accent4 22 6 3" xfId="2776" xr:uid="{19D8A1DD-5512-4172-9085-579473A46288}"/>
    <cellStyle name="20% - Accent4 22 6 3 2" xfId="6560" xr:uid="{F4351947-ACEA-4268-83BD-79A08C36DF34}"/>
    <cellStyle name="20% - Accent4 22 6 3 2 2" xfId="14072" xr:uid="{081C8CBE-576A-4A37-8331-FFB12C0DD163}"/>
    <cellStyle name="20% - Accent4 22 6 3 2 2 2" xfId="30276" xr:uid="{7F470B5F-3287-452A-8068-FFAA0E32E530}"/>
    <cellStyle name="20% - Accent4 22 6 3 2 3" xfId="22764" xr:uid="{A94709D6-A90B-4313-8A22-D247EC22B577}"/>
    <cellStyle name="20% - Accent4 22 6 3 3" xfId="10472" xr:uid="{901885D0-ED7D-47D5-84AB-6DFC2E780E03}"/>
    <cellStyle name="20% - Accent4 22 6 3 3 2" xfId="26676" xr:uid="{1174BE69-0F62-4466-BD4F-9C525945D44A}"/>
    <cellStyle name="20% - Accent4 22 6 3 4" xfId="18998" xr:uid="{A8E76C7F-31CF-4F79-94DB-6DE3D0859F47}"/>
    <cellStyle name="20% - Accent4 22 6 4" xfId="3707" xr:uid="{783D6C6E-8776-44E4-8209-F4C4B94C5765}"/>
    <cellStyle name="20% - Accent4 22 6 4 2" xfId="7417" xr:uid="{DB895D20-DD39-471D-976D-B4AF77D14CFE}"/>
    <cellStyle name="20% - Accent4 22 6 4 2 2" xfId="14926" xr:uid="{483C9DAA-8846-441F-BB02-5F76C1374984}"/>
    <cellStyle name="20% - Accent4 22 6 4 2 2 2" xfId="31130" xr:uid="{8D47B244-F933-4111-B219-8714DC7C6B99}"/>
    <cellStyle name="20% - Accent4 22 6 4 2 3" xfId="23621" xr:uid="{BE04DDF5-322A-4EC3-B0D1-68569489E365}"/>
    <cellStyle name="20% - Accent4 22 6 4 3" xfId="11317" xr:uid="{52253B4D-0B90-429F-8D79-44E864D54DC7}"/>
    <cellStyle name="20% - Accent4 22 6 4 3 2" xfId="27521" xr:uid="{598F49CF-A596-4645-807F-96F871645A39}"/>
    <cellStyle name="20% - Accent4 22 6 4 4" xfId="19916" xr:uid="{D3542681-00BE-4AEC-8720-093DAC73F6D8}"/>
    <cellStyle name="20% - Accent4 22 6 5" xfId="4176" xr:uid="{E23215EC-C837-4A42-83E9-38111F98E6C7}"/>
    <cellStyle name="20% - Accent4 22 6 5 2" xfId="7846" xr:uid="{4778EBDF-5672-4965-B091-7BA2C01492BE}"/>
    <cellStyle name="20% - Accent4 22 6 5 2 2" xfId="15353" xr:uid="{BB4022B4-1DBE-4014-8B28-F4541E324CF1}"/>
    <cellStyle name="20% - Accent4 22 6 5 2 2 2" xfId="31557" xr:uid="{9CE1B84F-A5A0-4611-9E29-95FF9E9E9173}"/>
    <cellStyle name="20% - Accent4 22 6 5 2 3" xfId="24050" xr:uid="{43B0897B-8BF4-4748-BEFB-49E1F4EF86C1}"/>
    <cellStyle name="20% - Accent4 22 6 5 3" xfId="11739" xr:uid="{2BB8DB88-9A1D-420B-87D8-06EE456070B1}"/>
    <cellStyle name="20% - Accent4 22 6 5 3 2" xfId="27943" xr:uid="{E471B368-4BF6-4EB3-920A-3731676DDCFE}"/>
    <cellStyle name="20% - Accent4 22 6 5 4" xfId="20380" xr:uid="{8940F3BF-3FFA-4C1D-82C7-90914550F7CE}"/>
    <cellStyle name="20% - Accent4 22 6 6" xfId="4601" xr:uid="{C6307BA8-04EF-4583-B543-3A0FA003600E}"/>
    <cellStyle name="20% - Accent4 22 6 6 2" xfId="8271" xr:uid="{00DD4C0F-06B6-415D-8ED2-7763DA555C1F}"/>
    <cellStyle name="20% - Accent4 22 6 6 2 2" xfId="15778" xr:uid="{46A04DA3-F9B2-4093-8513-53FC40E50101}"/>
    <cellStyle name="20% - Accent4 22 6 6 2 2 2" xfId="31982" xr:uid="{60FAFABB-B702-4B75-9B2F-335EBFDA0775}"/>
    <cellStyle name="20% - Accent4 22 6 6 2 3" xfId="24475" xr:uid="{D7B0E3B5-9995-4291-8FFE-450B2B290C2C}"/>
    <cellStyle name="20% - Accent4 22 6 6 3" xfId="12164" xr:uid="{13FA7686-7A68-491F-A7B5-1BC6D0BEF326}"/>
    <cellStyle name="20% - Accent4 22 6 6 3 2" xfId="28368" xr:uid="{5F546F52-69ED-43D4-B255-D9C622B68D02}"/>
    <cellStyle name="20% - Accent4 22 6 6 4" xfId="20805" xr:uid="{D31C0E9D-6E68-4606-A83F-C466D9F62A09}"/>
    <cellStyle name="20% - Accent4 22 6 7" xfId="5028" xr:uid="{492D6408-2352-47B9-9FBA-E142092DF10F}"/>
    <cellStyle name="20% - Accent4 22 6 7 2" xfId="8694" xr:uid="{4E51E3B3-2666-4861-9A45-2544FC12F496}"/>
    <cellStyle name="20% - Accent4 22 6 7 2 2" xfId="16201" xr:uid="{7F2CBC37-DD7D-4CCB-9B3E-43FAE408A93E}"/>
    <cellStyle name="20% - Accent4 22 6 7 2 2 2" xfId="32405" xr:uid="{777718B2-3DA9-48D8-BB1E-E36A2E5062A4}"/>
    <cellStyle name="20% - Accent4 22 6 7 2 3" xfId="24898" xr:uid="{261C7919-A09D-48A4-A97E-123862D20C79}"/>
    <cellStyle name="20% - Accent4 22 6 7 3" xfId="12586" xr:uid="{F96F0ECA-5FC0-4438-837E-46A312CFCD73}"/>
    <cellStyle name="20% - Accent4 22 6 7 3 2" xfId="28790" xr:uid="{B7FA583A-978B-4EC1-9594-8CE852FC76C7}"/>
    <cellStyle name="20% - Accent4 22 6 7 4" xfId="21232" xr:uid="{2BBB3441-9D89-4186-92EF-B1B29176E75E}"/>
    <cellStyle name="20% - Accent4 22 6 8" xfId="5700" xr:uid="{7970CD93-E8C9-47FA-8156-30BEEA9F4598}"/>
    <cellStyle name="20% - Accent4 22 6 8 2" xfId="13215" xr:uid="{EF33628C-1712-48E7-98EC-5F1D86E4373B}"/>
    <cellStyle name="20% - Accent4 22 6 8 2 2" xfId="29419" xr:uid="{307AACFB-5376-4B3D-AA7D-5D488CDD4BAA}"/>
    <cellStyle name="20% - Accent4 22 6 8 3" xfId="21904" xr:uid="{D2F4EBD5-AC71-47AA-8378-F6644242D367}"/>
    <cellStyle name="20% - Accent4 22 6 9" xfId="9627" xr:uid="{11C50ADD-8FF3-4879-90F4-EE1F7EC2E9EF}"/>
    <cellStyle name="20% - Accent4 22 6 9 2" xfId="25831" xr:uid="{8144BC37-7E39-4137-9E4F-678241A3B3BF}"/>
    <cellStyle name="20% - Accent4 22 7" xfId="2058" xr:uid="{92B286B2-C6C5-4111-A3F5-B399FA86C2DD}"/>
    <cellStyle name="20% - Accent4 22 7 2" xfId="2971" xr:uid="{1D317ECA-0608-4731-87C8-C00D25B368D7}"/>
    <cellStyle name="20% - Accent4 22 7 2 2" xfId="6753" xr:uid="{7D30822F-B959-49A2-9FEF-5A98A42F0526}"/>
    <cellStyle name="20% - Accent4 22 7 2 2 2" xfId="14264" xr:uid="{1F66461E-AEDB-4B4B-885D-F7036A9C0C99}"/>
    <cellStyle name="20% - Accent4 22 7 2 2 2 2" xfId="30468" xr:uid="{03219A0C-0940-4E08-BF66-C2A35C72472E}"/>
    <cellStyle name="20% - Accent4 22 7 2 2 3" xfId="22957" xr:uid="{5B1C1F1E-AA5A-4AA4-9A47-F4C6CBFB058E}"/>
    <cellStyle name="20% - Accent4 22 7 2 3" xfId="10664" xr:uid="{5B2A0285-BC24-4647-ADF3-ACC522D03CD1}"/>
    <cellStyle name="20% - Accent4 22 7 2 3 2" xfId="26868" xr:uid="{1D668DF8-4BC0-49C3-A08D-CB017D2B2A3F}"/>
    <cellStyle name="20% - Accent4 22 7 2 4" xfId="19191" xr:uid="{94FB1F20-2746-428D-A81F-E0078EA9E40C}"/>
    <cellStyle name="20% - Accent4 22 7 3" xfId="5897" xr:uid="{AEECB047-863B-4325-B411-45ECCAE9AAD0}"/>
    <cellStyle name="20% - Accent4 22 7 3 2" xfId="13411" xr:uid="{6CCA7C63-214D-4BB4-A612-4771C42F8611}"/>
    <cellStyle name="20% - Accent4 22 7 3 2 2" xfId="29615" xr:uid="{CF949113-C64C-493C-8A03-995A24C6731D}"/>
    <cellStyle name="20% - Accent4 22 7 3 3" xfId="22101" xr:uid="{DE5DA8CC-FAD6-4A8C-ACAA-B45BA44B4E9E}"/>
    <cellStyle name="20% - Accent4 22 7 4" xfId="9820" xr:uid="{5138BACC-2A54-4B2F-98E8-62917075E19C}"/>
    <cellStyle name="20% - Accent4 22 7 4 2" xfId="26024" xr:uid="{0CC940AA-0A61-4AF4-96E7-3583A4D545B1}"/>
    <cellStyle name="20% - Accent4 22 7 5" xfId="18345" xr:uid="{FCA7A7F0-59AB-4870-924D-B96E6C33888A}"/>
    <cellStyle name="20% - Accent4 22 8" xfId="2546" xr:uid="{008DD803-849D-42B3-9F59-7F9623CCF417}"/>
    <cellStyle name="20% - Accent4 22 8 2" xfId="6330" xr:uid="{4D5DB17D-A572-4219-86E1-5ABC0470FA29}"/>
    <cellStyle name="20% - Accent4 22 8 2 2" xfId="13842" xr:uid="{897E71C4-A792-4716-A4E3-3C7BD186F7FB}"/>
    <cellStyle name="20% - Accent4 22 8 2 2 2" xfId="30046" xr:uid="{077E4E8C-30D7-4C94-8983-BC3FAAAB1A72}"/>
    <cellStyle name="20% - Accent4 22 8 2 3" xfId="22534" xr:uid="{F3CAF7AB-ED5A-43E1-B29E-E91EDEC45559}"/>
    <cellStyle name="20% - Accent4 22 8 3" xfId="10242" xr:uid="{48E6C547-8B90-4DCA-AA95-B488B7D7400F}"/>
    <cellStyle name="20% - Accent4 22 8 3 2" xfId="26446" xr:uid="{30E0C48C-92EE-4D10-97DD-E4B022D28109}"/>
    <cellStyle name="20% - Accent4 22 8 4" xfId="18768" xr:uid="{32693548-4ECD-40AB-B8B9-162027F63CC1}"/>
    <cellStyle name="20% - Accent4 22 9" xfId="3422" xr:uid="{B02A31D0-6BE7-4A99-831C-13C550E58F3F}"/>
    <cellStyle name="20% - Accent4 22 9 2" xfId="7180" xr:uid="{80D018CB-364C-40D6-9684-FDA185AF7994}"/>
    <cellStyle name="20% - Accent4 22 9 2 2" xfId="14690" xr:uid="{39D37298-8DD6-4802-A22E-CFDE06F991DE}"/>
    <cellStyle name="20% - Accent4 22 9 2 2 2" xfId="30894" xr:uid="{F415BD67-8F32-4B59-8D53-701977F85ADA}"/>
    <cellStyle name="20% - Accent4 22 9 2 3" xfId="23384" xr:uid="{B3210ACD-E21F-4EDF-804B-EA7F9F3D2D80}"/>
    <cellStyle name="20% - Accent4 22 9 3" xfId="11087" xr:uid="{1B35E024-381D-4571-9626-9F9934B097EA}"/>
    <cellStyle name="20% - Accent4 22 9 3 2" xfId="27291" xr:uid="{6B454158-81CA-4E00-947D-E5000721D9A8}"/>
    <cellStyle name="20% - Accent4 22 9 4" xfId="19638" xr:uid="{CD5CF9BC-7E6D-4D1C-9140-D2D7CD2CAED4}"/>
    <cellStyle name="20% - Accent4 23" xfId="940" xr:uid="{9AFD3FE0-0AC9-4B3D-89B2-E7C27D29EFF8}"/>
    <cellStyle name="20% - Accent4 24" xfId="1814" xr:uid="{40CD27E1-B579-4413-8DC5-6AB38A7F95CB}"/>
    <cellStyle name="20% - Accent4 24 10" xfId="18119" xr:uid="{E0106E00-4CE1-46C3-BF00-76D3397D76A4}"/>
    <cellStyle name="20% - Accent4 24 2" xfId="2323" xr:uid="{5E5AB08C-B0BB-432A-B762-377F66BB83C5}"/>
    <cellStyle name="20% - Accent4 24 2 2" xfId="3170" xr:uid="{98AAA2E1-00E5-4B35-9E97-E118D73B6946}"/>
    <cellStyle name="20% - Accent4 24 2 2 2" xfId="6952" xr:uid="{98983A1C-3F0C-4A07-ABFA-DDEB25D7EEB2}"/>
    <cellStyle name="20% - Accent4 24 2 2 2 2" xfId="14463" xr:uid="{F72319A2-46E5-47EE-A2FB-B20CE0B067A6}"/>
    <cellStyle name="20% - Accent4 24 2 2 2 2 2" xfId="30667" xr:uid="{16AC33B7-BD13-423F-B149-51F95F89F60A}"/>
    <cellStyle name="20% - Accent4 24 2 2 2 3" xfId="23156" xr:uid="{E3E6B918-2483-4237-8EF5-59DECDD07426}"/>
    <cellStyle name="20% - Accent4 24 2 2 3" xfId="10863" xr:uid="{3A581371-21FB-46AD-A059-AD89BB342070}"/>
    <cellStyle name="20% - Accent4 24 2 2 3 2" xfId="27067" xr:uid="{32221353-0788-4E27-BE1F-145AA3302066}"/>
    <cellStyle name="20% - Accent4 24 2 2 4" xfId="19390" xr:uid="{AC461D85-9D19-48E7-87E5-330A3C5F1C76}"/>
    <cellStyle name="20% - Accent4 24 2 3" xfId="6107" xr:uid="{F8DB191F-CB6F-44C7-81C6-3814A8B3F8E3}"/>
    <cellStyle name="20% - Accent4 24 2 3 2" xfId="13619" xr:uid="{964F389C-8E1C-4804-945B-1479C3B9C6A2}"/>
    <cellStyle name="20% - Accent4 24 2 3 2 2" xfId="29823" xr:uid="{4E34195C-01C0-4AA7-990E-8D72E8146240}"/>
    <cellStyle name="20% - Accent4 24 2 3 3" xfId="22311" xr:uid="{B53D59AD-C9BB-4BC7-9CB9-2162B1154C25}"/>
    <cellStyle name="20% - Accent4 24 2 4" xfId="10019" xr:uid="{2FA92825-183B-4119-82FC-7BE8CA3D355A}"/>
    <cellStyle name="20% - Accent4 24 2 4 2" xfId="26223" xr:uid="{554BC50A-3E03-495A-9FF4-E3B581A4DB67}"/>
    <cellStyle name="20% - Accent4 24 2 5" xfId="18545" xr:uid="{605DFF5D-6F5E-4B89-A211-C0DF3A2B3AA7}"/>
    <cellStyle name="20% - Accent4 24 3" xfId="2745" xr:uid="{DFD059B6-149D-44ED-81B8-7C4EE41AFD8A}"/>
    <cellStyle name="20% - Accent4 24 3 2" xfId="6529" xr:uid="{8ECBD8F4-16CA-44BA-85F9-5022D302270E}"/>
    <cellStyle name="20% - Accent4 24 3 2 2" xfId="14041" xr:uid="{E9F58A08-A326-484E-9DE9-31B824ED6584}"/>
    <cellStyle name="20% - Accent4 24 3 2 2 2" xfId="30245" xr:uid="{1D1F5C30-5941-4A5E-A2C2-A84DE79ED9EB}"/>
    <cellStyle name="20% - Accent4 24 3 2 3" xfId="22733" xr:uid="{90BCCFB1-B3AF-4FD8-AC47-D87070E78854}"/>
    <cellStyle name="20% - Accent4 24 3 3" xfId="10441" xr:uid="{6AE8396E-EC49-4AE4-A91B-BAEAF6BE4246}"/>
    <cellStyle name="20% - Accent4 24 3 3 2" xfId="26645" xr:uid="{8481A1D5-8691-4458-BBBC-7EB000A8C11D}"/>
    <cellStyle name="20% - Accent4 24 3 4" xfId="18967" xr:uid="{964739D5-56DB-4F74-A667-C53343358FF2}"/>
    <cellStyle name="20% - Accent4 24 4" xfId="3676" xr:uid="{F46C3D72-203D-464A-87FB-F7FF7BE82C64}"/>
    <cellStyle name="20% - Accent4 24 4 2" xfId="7386" xr:uid="{535025C7-BE39-4679-B2FC-A591E8B1B3CC}"/>
    <cellStyle name="20% - Accent4 24 4 2 2" xfId="14895" xr:uid="{EF4AD449-7B40-4AEA-B787-F6EEC26672B8}"/>
    <cellStyle name="20% - Accent4 24 4 2 2 2" xfId="31099" xr:uid="{B3ABD2EB-C09A-41CB-9996-DF812AFB2B58}"/>
    <cellStyle name="20% - Accent4 24 4 2 3" xfId="23590" xr:uid="{C7BE89F0-85BD-40E6-9880-845F3B3C0253}"/>
    <cellStyle name="20% - Accent4 24 4 3" xfId="11286" xr:uid="{5B9A8D24-8E00-4C86-B135-7B6014CF40DE}"/>
    <cellStyle name="20% - Accent4 24 4 3 2" xfId="27490" xr:uid="{DDFE7480-E0E0-485A-BE57-6EE43C82006A}"/>
    <cellStyle name="20% - Accent4 24 4 4" xfId="19885" xr:uid="{298DCB27-4BA5-4497-A4AC-469A89E41FF3}"/>
    <cellStyle name="20% - Accent4 24 5" xfId="4145" xr:uid="{F6A07AD3-52C2-4886-8395-5B298FCC3942}"/>
    <cellStyle name="20% - Accent4 24 5 2" xfId="7815" xr:uid="{3EDE8078-071B-4E24-966A-3AA9E6FAC435}"/>
    <cellStyle name="20% - Accent4 24 5 2 2" xfId="15322" xr:uid="{3708BE54-796F-42A2-9649-4F52DAE4E085}"/>
    <cellStyle name="20% - Accent4 24 5 2 2 2" xfId="31526" xr:uid="{D13A2CF7-41AD-49AB-BF39-22A721FC1351}"/>
    <cellStyle name="20% - Accent4 24 5 2 3" xfId="24019" xr:uid="{EED5EA57-EF96-4425-B4AA-049B8860A37F}"/>
    <cellStyle name="20% - Accent4 24 5 3" xfId="11708" xr:uid="{0C277562-A6A8-49E5-8B46-8AD9FF67BA51}"/>
    <cellStyle name="20% - Accent4 24 5 3 2" xfId="27912" xr:uid="{008D997A-79A8-49F4-852C-E65C30FEC2A3}"/>
    <cellStyle name="20% - Accent4 24 5 4" xfId="20349" xr:uid="{31646C74-DAF7-4B2B-926C-AA8AA6DC7D9C}"/>
    <cellStyle name="20% - Accent4 24 6" xfId="4570" xr:uid="{8FF742FC-5BA9-480F-9F5F-DE7F36E7AF30}"/>
    <cellStyle name="20% - Accent4 24 6 2" xfId="8240" xr:uid="{A95A5348-74AE-4051-9CDE-A5A3DF543BF0}"/>
    <cellStyle name="20% - Accent4 24 6 2 2" xfId="15747" xr:uid="{B017877A-BD54-4E0F-9784-5D25FEC92B25}"/>
    <cellStyle name="20% - Accent4 24 6 2 2 2" xfId="31951" xr:uid="{57400525-A88D-4C0F-BA8A-EB3DD196A3A1}"/>
    <cellStyle name="20% - Accent4 24 6 2 3" xfId="24444" xr:uid="{5044E2EC-E7D9-47B6-914E-CCF8FC7C5B4C}"/>
    <cellStyle name="20% - Accent4 24 6 3" xfId="12133" xr:uid="{369BCC94-639B-4840-B4BD-0233231F07CE}"/>
    <cellStyle name="20% - Accent4 24 6 3 2" xfId="28337" xr:uid="{7B54EA28-27E7-41E0-A3EB-43047688CD1D}"/>
    <cellStyle name="20% - Accent4 24 6 4" xfId="20774" xr:uid="{1F5E2F82-2C31-4D42-A0FC-FFC8B0719850}"/>
    <cellStyle name="20% - Accent4 24 7" xfId="4997" xr:uid="{7595F456-3B8E-4A58-8827-06C913105DE2}"/>
    <cellStyle name="20% - Accent4 24 7 2" xfId="8663" xr:uid="{91A8A62B-C67C-4FE3-825C-976EE3B30C13}"/>
    <cellStyle name="20% - Accent4 24 7 2 2" xfId="16170" xr:uid="{CDB7D012-1289-4998-B316-AEFC6AA3C485}"/>
    <cellStyle name="20% - Accent4 24 7 2 2 2" xfId="32374" xr:uid="{16447CB1-2F18-4CCE-9B6C-7DDC938558C7}"/>
    <cellStyle name="20% - Accent4 24 7 2 3" xfId="24867" xr:uid="{60F112A9-FEFD-4A96-9780-B6666D15CCFC}"/>
    <cellStyle name="20% - Accent4 24 7 3" xfId="12555" xr:uid="{8A4317F8-BD98-4AB0-98A6-9F8ECF489BD2}"/>
    <cellStyle name="20% - Accent4 24 7 3 2" xfId="28759" xr:uid="{C637C5BD-2F56-4E84-ADD5-7FF2DCCACFB6}"/>
    <cellStyle name="20% - Accent4 24 7 4" xfId="21201" xr:uid="{8DF55B53-3880-42CC-B356-554C4361E8F0}"/>
    <cellStyle name="20% - Accent4 24 8" xfId="5669" xr:uid="{896D0A91-D41C-4F16-86A4-6672C3D94077}"/>
    <cellStyle name="20% - Accent4 24 8 2" xfId="13184" xr:uid="{2310C0AA-15CC-44E7-9E8A-7EFD726AB900}"/>
    <cellStyle name="20% - Accent4 24 8 2 2" xfId="29388" xr:uid="{41A2AE12-5CD3-4F35-A65C-FDFBE9910344}"/>
    <cellStyle name="20% - Accent4 24 8 3" xfId="21873" xr:uid="{74479C43-1AF4-4F3B-A9A6-03A59436B78C}"/>
    <cellStyle name="20% - Accent4 24 9" xfId="9596" xr:uid="{125A25E0-9A88-4CFC-AE20-9386483D83D9}"/>
    <cellStyle name="20% - Accent4 24 9 2" xfId="25800" xr:uid="{0BE11218-1D05-4EBB-976F-1E070934C47E}"/>
    <cellStyle name="20% - Accent4 25" xfId="76" xr:uid="{3EC1254B-D1CC-44C4-A87A-2903976B8441}"/>
    <cellStyle name="20% - Accent4 26" xfId="16855" xr:uid="{FE2A8533-80E5-4FEA-8E01-1627D7E0495D}"/>
    <cellStyle name="20% - Accent4 3" xfId="89" xr:uid="{38587A15-B7A0-45A1-A5F4-A658315C2D25}"/>
    <cellStyle name="20% - Accent4 3 2" xfId="1321" xr:uid="{CB0A966A-7DF6-4155-B2B1-77A2E8AEEB42}"/>
    <cellStyle name="20% - Accent4 3 3" xfId="929" xr:uid="{763D753C-3A86-44F0-8652-3985B2D7C579}"/>
    <cellStyle name="20% - Accent4 4" xfId="90" xr:uid="{CEBA7B17-6D2F-427B-9681-D341823160FB}"/>
    <cellStyle name="20% - Accent4 4 2" xfId="1322" xr:uid="{0AA8D58D-CF8A-4EA6-A62D-40B88CE9C5A6}"/>
    <cellStyle name="20% - Accent4 4 3" xfId="928" xr:uid="{A196AB45-0205-4191-95F1-E8D7F06F7878}"/>
    <cellStyle name="20% - Accent4 5" xfId="91" xr:uid="{F9B99F89-A8A6-4A7A-AB89-8F9E693202E9}"/>
    <cellStyle name="20% - Accent4 5 2" xfId="1323" xr:uid="{F0B374DA-C38A-45C9-82A3-9E08AEA06276}"/>
    <cellStyle name="20% - Accent4 5 3" xfId="927" xr:uid="{485B4333-6717-466E-BDD5-4153F99ECCF6}"/>
    <cellStyle name="20% - Accent4 6" xfId="92" xr:uid="{78884E0C-87C2-4C3F-A353-DAA6B94AF42C}"/>
    <cellStyle name="20% - Accent4 6 2" xfId="1324" xr:uid="{5B96B6A3-60CB-43FE-8081-4CEB14627E3E}"/>
    <cellStyle name="20% - Accent4 6 3" xfId="926" xr:uid="{3482A39C-1C06-4D76-B95F-059D7A5B87CE}"/>
    <cellStyle name="20% - Accent4 7" xfId="93" xr:uid="{3DD37C18-B1D2-4836-AF0B-8839CDC8415B}"/>
    <cellStyle name="20% - Accent4 7 2" xfId="1325" xr:uid="{A7E9F90D-7C0C-42C8-8C4F-BAFDDE1BC91D}"/>
    <cellStyle name="20% - Accent4 7 3" xfId="925" xr:uid="{26E4121A-8551-427D-8530-30D5EDDAEAFF}"/>
    <cellStyle name="20% - Accent4 8" xfId="94" xr:uid="{47CC4EA8-695A-44D9-BA90-2857E23C28DC}"/>
    <cellStyle name="20% - Accent4 8 2" xfId="1326" xr:uid="{2BCBF1F2-48A3-4442-98B5-5D4E8AF7D06B}"/>
    <cellStyle name="20% - Accent4 8 3" xfId="924" xr:uid="{709D7920-EC29-4BF1-830D-9878DB54D7B1}"/>
    <cellStyle name="20% - Accent4 9" xfId="95" xr:uid="{B635B1B3-E021-4FD8-8B30-2B2961A2C429}"/>
    <cellStyle name="20% - Accent4 9 2" xfId="1327" xr:uid="{90834C18-85C1-4260-9097-3D31205DF934}"/>
    <cellStyle name="20% - Accent4 9 3" xfId="923" xr:uid="{DEC9B5E4-A426-4343-B991-A63BF0D2786C}"/>
    <cellStyle name="20% - Accent5 10" xfId="97" xr:uid="{9FC224D6-9450-4C60-84CA-4F06CDF16BE4}"/>
    <cellStyle name="20% - Accent5 10 2" xfId="1329" xr:uid="{29E2F1BF-A353-4A55-993B-DD9DB48E289D}"/>
    <cellStyle name="20% - Accent5 10 3" xfId="921" xr:uid="{17BE22E6-7DCD-4A2C-8876-8DC13ABF2411}"/>
    <cellStyle name="20% - Accent5 11" xfId="98" xr:uid="{647F5104-BE7D-40EB-B7D5-3C68513B3847}"/>
    <cellStyle name="20% - Accent5 11 2" xfId="1330" xr:uid="{A6336962-83CE-49ED-9154-033B806398FB}"/>
    <cellStyle name="20% - Accent5 11 3" xfId="920" xr:uid="{D324BC8F-7075-49D5-AE4D-E65251065A0A}"/>
    <cellStyle name="20% - Accent5 12" xfId="99" xr:uid="{B877B640-5D3B-4596-92D7-D8C215E87579}"/>
    <cellStyle name="20% - Accent5 12 2" xfId="1331" xr:uid="{84D022BC-2983-4230-AA32-C8CB9DE747FF}"/>
    <cellStyle name="20% - Accent5 12 3" xfId="919" xr:uid="{B4A0AD41-7D28-4BD6-BCA7-5EAFA323BBE2}"/>
    <cellStyle name="20% - Accent5 13" xfId="100" xr:uid="{4337AB32-763A-4DB8-B4E3-C9443A3C52C8}"/>
    <cellStyle name="20% - Accent5 13 2" xfId="1332" xr:uid="{68F6EC4B-DC0D-4922-9CF6-3D4B6F3108D5}"/>
    <cellStyle name="20% - Accent5 13 3" xfId="918" xr:uid="{D3BD8678-08E0-4A11-A505-F65E443A3A6A}"/>
    <cellStyle name="20% - Accent5 14" xfId="101" xr:uid="{0060244A-F306-4DFA-8A65-183730F7204E}"/>
    <cellStyle name="20% - Accent5 14 2" xfId="1333" xr:uid="{6FB464DF-7058-4EAA-933A-37701187964F}"/>
    <cellStyle name="20% - Accent5 14 3" xfId="917" xr:uid="{D8E5A4ED-E051-446E-AD36-00899BF839EC}"/>
    <cellStyle name="20% - Accent5 15" xfId="102" xr:uid="{056BE117-1E0B-4FCD-B01C-D141E009994F}"/>
    <cellStyle name="20% - Accent5 15 2" xfId="1334" xr:uid="{33A8F004-3C47-4935-A386-76A8C2A27BF2}"/>
    <cellStyle name="20% - Accent5 15 3" xfId="916" xr:uid="{DE735E7B-8058-408A-8183-2A3A9533C44E}"/>
    <cellStyle name="20% - Accent5 16" xfId="103" xr:uid="{255B7F92-22EC-4B21-9F1C-BBA6962922DA}"/>
    <cellStyle name="20% - Accent5 16 2" xfId="1335" xr:uid="{CD4C30D7-F154-4EB2-AA00-C8EB3F00E003}"/>
    <cellStyle name="20% - Accent5 16 3" xfId="915" xr:uid="{7D071A68-D0E5-4A98-8806-08F39E735336}"/>
    <cellStyle name="20% - Accent5 17" xfId="104" xr:uid="{247004EA-2DDC-4233-A1AC-884709CC9EA8}"/>
    <cellStyle name="20% - Accent5 17 2" xfId="1336" xr:uid="{D1A35473-D9A2-4CA8-A345-F05C82E46FAC}"/>
    <cellStyle name="20% - Accent5 17 3" xfId="914" xr:uid="{92FBDB61-D183-4D04-AB55-9FBAF334134B}"/>
    <cellStyle name="20% - Accent5 18" xfId="105" xr:uid="{A12D22B0-31F7-48D0-898B-913F09E029A8}"/>
    <cellStyle name="20% - Accent5 18 2" xfId="1337" xr:uid="{8B4F04AA-02AC-4A9D-98FA-C50DC6B8EBC8}"/>
    <cellStyle name="20% - Accent5 18 3" xfId="913" xr:uid="{AF9EE53A-848A-41CB-A92D-24D3E6A188F8}"/>
    <cellStyle name="20% - Accent5 19" xfId="106" xr:uid="{AF5FAD30-03B7-4F4E-B48F-35EA70126B1E}"/>
    <cellStyle name="20% - Accent5 19 2" xfId="1338" xr:uid="{3DDF40BC-79EA-4444-9364-1483951FCA78}"/>
    <cellStyle name="20% - Accent5 19 3" xfId="912" xr:uid="{C369D1C8-AB53-4E74-98EF-F94D6F88B489}"/>
    <cellStyle name="20% - Accent5 2" xfId="107" xr:uid="{DDB17D05-5415-4565-B477-E7D2B164F951}"/>
    <cellStyle name="20% - Accent5 2 2" xfId="1339" xr:uid="{3A86718F-E148-4311-B025-AA7584F2E144}"/>
    <cellStyle name="20% - Accent5 2 3" xfId="911" xr:uid="{B22590FA-E454-4943-9C30-545327C98592}"/>
    <cellStyle name="20% - Accent5 20" xfId="108" xr:uid="{3235E257-386B-4847-8ADD-94E8E266254B}"/>
    <cellStyle name="20% - Accent5 20 2" xfId="1340" xr:uid="{E18D34AA-305C-40FE-AE6A-A5E246190A0F}"/>
    <cellStyle name="20% - Accent5 20 3" xfId="1005" xr:uid="{2F699B3E-8ED4-4678-8E2F-8DA9714C3164}"/>
    <cellStyle name="20% - Accent5 21" xfId="406" xr:uid="{FE086700-D16D-4C09-A89E-22A2991772A9}"/>
    <cellStyle name="20% - Accent5 21 2" xfId="681" xr:uid="{1E2E7FB4-596A-4AB1-830A-5D03EAFD4332}"/>
    <cellStyle name="20% - Accent5 22" xfId="482" xr:uid="{AD6744D0-B725-4CE8-89FA-04221CADF9F2}"/>
    <cellStyle name="20% - Accent5 22 10" xfId="3948" xr:uid="{B1F58D89-1468-4F30-A556-4AE04381E181}"/>
    <cellStyle name="20% - Accent5 22 10 2" xfId="7618" xr:uid="{83555234-7779-4003-B53D-AA13A34DD743}"/>
    <cellStyle name="20% - Accent5 22 10 2 2" xfId="15125" xr:uid="{8AA82537-486C-4747-BC00-4FD5EC6FAAAA}"/>
    <cellStyle name="20% - Accent5 22 10 2 2 2" xfId="31329" xr:uid="{353F0857-6656-4A7E-B4D0-8C6526B542ED}"/>
    <cellStyle name="20% - Accent5 22 10 2 3" xfId="23822" xr:uid="{A1267BC7-954C-4EA3-8E4E-E24FEDBEFFE3}"/>
    <cellStyle name="20% - Accent5 22 10 3" xfId="11511" xr:uid="{25BD0189-A563-49BF-9BED-AC89142CF9AE}"/>
    <cellStyle name="20% - Accent5 22 10 3 2" xfId="27715" xr:uid="{53672F2C-F4C6-4030-89DF-F63111CE6D36}"/>
    <cellStyle name="20% - Accent5 22 10 4" xfId="20152" xr:uid="{EEA1104F-219A-4B36-85BF-B211AE4FD066}"/>
    <cellStyle name="20% - Accent5 22 11" xfId="4373" xr:uid="{3E377D79-0CBA-41AB-A3C1-1EE12372DDBA}"/>
    <cellStyle name="20% - Accent5 22 11 2" xfId="8043" xr:uid="{02BFA8E8-3068-430A-AC2C-C8A1DDA79EE6}"/>
    <cellStyle name="20% - Accent5 22 11 2 2" xfId="15550" xr:uid="{67937101-9CD0-4FD8-BAAD-61B65B435BC6}"/>
    <cellStyle name="20% - Accent5 22 11 2 2 2" xfId="31754" xr:uid="{63DCF5C5-D788-4EF5-B955-8C4889C618CE}"/>
    <cellStyle name="20% - Accent5 22 11 2 3" xfId="24247" xr:uid="{26496EFE-E24B-4D37-AA37-94B9829933FE}"/>
    <cellStyle name="20% - Accent5 22 11 3" xfId="11936" xr:uid="{221FF4C9-D9AA-4944-90F4-2A227FBF26C0}"/>
    <cellStyle name="20% - Accent5 22 11 3 2" xfId="28140" xr:uid="{812A18F2-D781-47ED-ADC8-2C593DC43D84}"/>
    <cellStyle name="20% - Accent5 22 11 4" xfId="20577" xr:uid="{1EC7BC56-E066-4FD1-8DE5-C0F73E498394}"/>
    <cellStyle name="20% - Accent5 22 12" xfId="4796" xr:uid="{5A34B800-805D-4E48-8C7A-EFB664FB880D}"/>
    <cellStyle name="20% - Accent5 22 12 2" xfId="8465" xr:uid="{EDD992E0-B423-4416-BD53-681B1EDF643C}"/>
    <cellStyle name="20% - Accent5 22 12 2 2" xfId="15972" xr:uid="{30CAC644-1F11-40D2-8C9B-0D17FBD61690}"/>
    <cellStyle name="20% - Accent5 22 12 2 2 2" xfId="32176" xr:uid="{0CC43D29-BD07-4EEB-A339-65DBC38C4D4E}"/>
    <cellStyle name="20% - Accent5 22 12 2 3" xfId="24669" xr:uid="{02FA3AC8-2D93-4126-BC6B-371A20B37BB1}"/>
    <cellStyle name="20% - Accent5 22 12 3" xfId="12358" xr:uid="{1DE9CE20-3F13-4F49-B12C-0240DBD0C612}"/>
    <cellStyle name="20% - Accent5 22 12 3 2" xfId="28562" xr:uid="{99839274-0376-4F48-80D0-C63D3740EEEB}"/>
    <cellStyle name="20% - Accent5 22 12 4" xfId="21000" xr:uid="{4E8851E8-CBA6-4162-A095-60365F941081}"/>
    <cellStyle name="20% - Accent5 22 13" xfId="5284" xr:uid="{FF12ADE6-3D66-4CCB-814C-7C016B2E9F57}"/>
    <cellStyle name="20% - Accent5 22 13 2" xfId="12833" xr:uid="{1C513F7A-AD3B-4FDC-A9B2-0FE27B996EB9}"/>
    <cellStyle name="20% - Accent5 22 13 2 2" xfId="29037" xr:uid="{429BC371-9F1A-45E0-9F31-4AC7E6F70401}"/>
    <cellStyle name="20% - Accent5 22 13 3" xfId="21488" xr:uid="{C76531CA-6F72-4906-AFD7-CEF5413E66FD}"/>
    <cellStyle name="20% - Accent5 22 14" xfId="9399" xr:uid="{3C0AF275-0C62-4237-929A-831989059329}"/>
    <cellStyle name="20% - Accent5 22 14 2" xfId="25603" xr:uid="{449442F6-41A0-45A9-ACC3-74D8DE1ADA96}"/>
    <cellStyle name="20% - Accent5 22 15" xfId="17913" xr:uid="{9B2D1802-4541-426C-A681-2B7A1D2B2801}"/>
    <cellStyle name="20% - Accent5 22 2" xfId="509" xr:uid="{E3B1A32F-9B55-4F25-819E-DC1615D394EF}"/>
    <cellStyle name="20% - Accent5 22 2 10" xfId="5306" xr:uid="{1788954C-1807-4F6A-9B55-0AD636F31024}"/>
    <cellStyle name="20% - Accent5 22 2 10 2" xfId="12855" xr:uid="{B55AB979-9B23-4658-9D05-7DB4CB8C819D}"/>
    <cellStyle name="20% - Accent5 22 2 10 2 2" xfId="29059" xr:uid="{2B10BBBC-B22D-45DF-A769-ED2B4C2AA588}"/>
    <cellStyle name="20% - Accent5 22 2 10 3" xfId="21510" xr:uid="{D7C7FD67-85E5-4EBF-9DA0-10DB46110C60}"/>
    <cellStyle name="20% - Accent5 22 2 11" xfId="9421" xr:uid="{5FF6ADBB-891D-482F-BA60-71EE317B4E16}"/>
    <cellStyle name="20% - Accent5 22 2 11 2" xfId="25625" xr:uid="{DB77333E-EC3D-428B-9ED0-BD16BEBADBED}"/>
    <cellStyle name="20% - Accent5 22 2 12" xfId="17936" xr:uid="{00A3766F-59B1-4A8E-9591-643E6F06900D}"/>
    <cellStyle name="20% - Accent5 22 2 2" xfId="580" xr:uid="{1D81FB51-7DE7-409C-ACA9-1AE45FDD211C}"/>
    <cellStyle name="20% - Accent5 22 2 2 10" xfId="9488" xr:uid="{CC27CBE5-0B49-4002-924B-21CD06DC0BB0}"/>
    <cellStyle name="20% - Accent5 22 2 2 10 2" xfId="25692" xr:uid="{2F032080-F2DF-4EA6-9008-6309745471F8}"/>
    <cellStyle name="20% - Accent5 22 2 2 11" xfId="18004" xr:uid="{91104C5A-2C99-440E-A6B4-6B80B31C7B93}"/>
    <cellStyle name="20% - Accent5 22 2 2 2" xfId="1846" xr:uid="{625F1F54-E82D-43AC-BFFC-886D0306F1A7}"/>
    <cellStyle name="20% - Accent5 22 2 2 2 10" xfId="18151" xr:uid="{50A2EE4E-C084-496A-818E-AD06BB6B393A}"/>
    <cellStyle name="20% - Accent5 22 2 2 2 2" xfId="2355" xr:uid="{E23359CA-61F8-441F-9898-801996E3A9BC}"/>
    <cellStyle name="20% - Accent5 22 2 2 2 2 2" xfId="3202" xr:uid="{D2AA577B-1718-4FAD-9AE6-D8D57E230622}"/>
    <cellStyle name="20% - Accent5 22 2 2 2 2 2 2" xfId="6984" xr:uid="{6AD2778B-AD90-4FBE-B37D-B4488B20D662}"/>
    <cellStyle name="20% - Accent5 22 2 2 2 2 2 2 2" xfId="14495" xr:uid="{534B780B-3184-4CD2-A258-25CC9ACC7227}"/>
    <cellStyle name="20% - Accent5 22 2 2 2 2 2 2 2 2" xfId="30699" xr:uid="{CD4849A5-0E22-43FB-B3CE-C692C77E2F39}"/>
    <cellStyle name="20% - Accent5 22 2 2 2 2 2 2 3" xfId="23188" xr:uid="{F681C45D-16AD-4A3C-AF94-CCE3FA67C1C0}"/>
    <cellStyle name="20% - Accent5 22 2 2 2 2 2 3" xfId="10895" xr:uid="{DE835735-2BB5-4268-A660-AD94D2D82C7E}"/>
    <cellStyle name="20% - Accent5 22 2 2 2 2 2 3 2" xfId="27099" xr:uid="{AEC8B619-D47F-4E20-B303-D43BC0ADD3B8}"/>
    <cellStyle name="20% - Accent5 22 2 2 2 2 2 4" xfId="19422" xr:uid="{3BC0C59A-4ED5-4830-9E9A-F8A1F816B264}"/>
    <cellStyle name="20% - Accent5 22 2 2 2 2 3" xfId="6139" xr:uid="{B48AADA5-CE2A-49CF-A7F9-001E66381BC5}"/>
    <cellStyle name="20% - Accent5 22 2 2 2 2 3 2" xfId="13651" xr:uid="{90F40522-FD8B-4459-8BE7-5194D335BAFA}"/>
    <cellStyle name="20% - Accent5 22 2 2 2 2 3 2 2" xfId="29855" xr:uid="{13DFFD11-3730-4831-A136-D8BD210AEFF9}"/>
    <cellStyle name="20% - Accent5 22 2 2 2 2 3 3" xfId="22343" xr:uid="{25D671AB-EDB3-4382-8946-44B6D347C749}"/>
    <cellStyle name="20% - Accent5 22 2 2 2 2 4" xfId="10051" xr:uid="{63F4D294-30A9-4A68-B4F5-D73C82F93174}"/>
    <cellStyle name="20% - Accent5 22 2 2 2 2 4 2" xfId="26255" xr:uid="{81EB6791-8FFF-41F8-8BB3-BE42DAB89E01}"/>
    <cellStyle name="20% - Accent5 22 2 2 2 2 5" xfId="18577" xr:uid="{17BEFD17-B791-40F0-B249-98967326F275}"/>
    <cellStyle name="20% - Accent5 22 2 2 2 3" xfId="2777" xr:uid="{BCD8FAF3-AE5E-418B-8BF1-7E21449B991B}"/>
    <cellStyle name="20% - Accent5 22 2 2 2 3 2" xfId="6561" xr:uid="{5DE32DD2-2DE8-41F5-BEAA-31D64DAED828}"/>
    <cellStyle name="20% - Accent5 22 2 2 2 3 2 2" xfId="14073" xr:uid="{87C9462D-12F5-458F-B9E0-85F77028F7A0}"/>
    <cellStyle name="20% - Accent5 22 2 2 2 3 2 2 2" xfId="30277" xr:uid="{CC6A413F-D738-4BD5-8CC0-D15822DCD30E}"/>
    <cellStyle name="20% - Accent5 22 2 2 2 3 2 3" xfId="22765" xr:uid="{42493F50-3DC5-477C-B075-B88DD26C70F0}"/>
    <cellStyle name="20% - Accent5 22 2 2 2 3 3" xfId="10473" xr:uid="{547F17FA-7622-4676-A4DD-E012F1657B59}"/>
    <cellStyle name="20% - Accent5 22 2 2 2 3 3 2" xfId="26677" xr:uid="{B2C5F4DC-CA09-4D42-A8BF-BA2C0DEFF041}"/>
    <cellStyle name="20% - Accent5 22 2 2 2 3 4" xfId="18999" xr:uid="{D0D2E5CD-075F-4B1A-8CA7-DFD67FDDDE1D}"/>
    <cellStyle name="20% - Accent5 22 2 2 2 4" xfId="3708" xr:uid="{DCCADA26-DEA3-46A8-8A93-9F36CE4478F2}"/>
    <cellStyle name="20% - Accent5 22 2 2 2 4 2" xfId="7418" xr:uid="{CD71185A-459D-4401-95D6-8A18DBD8FF29}"/>
    <cellStyle name="20% - Accent5 22 2 2 2 4 2 2" xfId="14927" xr:uid="{B61CA24B-AC2B-4B83-A851-67F90BCA3053}"/>
    <cellStyle name="20% - Accent5 22 2 2 2 4 2 2 2" xfId="31131" xr:uid="{C11A13C1-6389-4B6D-AED2-236E59958C06}"/>
    <cellStyle name="20% - Accent5 22 2 2 2 4 2 3" xfId="23622" xr:uid="{FD05CCA6-0286-4DFC-9B92-2E4303DA1333}"/>
    <cellStyle name="20% - Accent5 22 2 2 2 4 3" xfId="11318" xr:uid="{1444DD6D-9FD7-4F05-BA10-BC3A339B655B}"/>
    <cellStyle name="20% - Accent5 22 2 2 2 4 3 2" xfId="27522" xr:uid="{A8A5A7BB-F0DC-43B2-8A14-AA4B64CC16A1}"/>
    <cellStyle name="20% - Accent5 22 2 2 2 4 4" xfId="19917" xr:uid="{03F81438-6665-4E14-AB77-81B77709FEF8}"/>
    <cellStyle name="20% - Accent5 22 2 2 2 5" xfId="4177" xr:uid="{BF87826D-537C-40A5-9865-59BBB44283B5}"/>
    <cellStyle name="20% - Accent5 22 2 2 2 5 2" xfId="7847" xr:uid="{CB23F804-DB5A-4953-8613-1020329E8C68}"/>
    <cellStyle name="20% - Accent5 22 2 2 2 5 2 2" xfId="15354" xr:uid="{E6EC14B2-7F08-4FCD-8773-5B1F2ECCDB21}"/>
    <cellStyle name="20% - Accent5 22 2 2 2 5 2 2 2" xfId="31558" xr:uid="{FB6EDD07-0541-4879-A5D4-4C99349AA368}"/>
    <cellStyle name="20% - Accent5 22 2 2 2 5 2 3" xfId="24051" xr:uid="{996AFAA8-F343-4D30-A0EB-8E167F830615}"/>
    <cellStyle name="20% - Accent5 22 2 2 2 5 3" xfId="11740" xr:uid="{241C447A-106F-4534-9AEE-9E7E9DC05674}"/>
    <cellStyle name="20% - Accent5 22 2 2 2 5 3 2" xfId="27944" xr:uid="{F0763DEA-AF48-461F-A085-2AE3F8B250E7}"/>
    <cellStyle name="20% - Accent5 22 2 2 2 5 4" xfId="20381" xr:uid="{10D69960-1C5D-4A2D-A01C-8748A598D5D2}"/>
    <cellStyle name="20% - Accent5 22 2 2 2 6" xfId="4602" xr:uid="{705447BD-B0E4-4C59-BFD2-D314FE8BEB2F}"/>
    <cellStyle name="20% - Accent5 22 2 2 2 6 2" xfId="8272" xr:uid="{8DF60773-B7DF-4CE4-B0FF-7DA625D5CCE7}"/>
    <cellStyle name="20% - Accent5 22 2 2 2 6 2 2" xfId="15779" xr:uid="{82505E90-E1E3-4D04-90FD-A3705EA18AD5}"/>
    <cellStyle name="20% - Accent5 22 2 2 2 6 2 2 2" xfId="31983" xr:uid="{9A07C9DC-01F5-44C2-8841-BC7BDB94566A}"/>
    <cellStyle name="20% - Accent5 22 2 2 2 6 2 3" xfId="24476" xr:uid="{07302603-954D-4901-BF69-FBD300932758}"/>
    <cellStyle name="20% - Accent5 22 2 2 2 6 3" xfId="12165" xr:uid="{A87D0880-9BCE-43FB-A4E7-60B7AEA6994C}"/>
    <cellStyle name="20% - Accent5 22 2 2 2 6 3 2" xfId="28369" xr:uid="{DA405C7A-EAFE-46D9-9888-B6A8A3563C6E}"/>
    <cellStyle name="20% - Accent5 22 2 2 2 6 4" xfId="20806" xr:uid="{4D9EA25F-17E1-46CC-B501-64D39A4543A9}"/>
    <cellStyle name="20% - Accent5 22 2 2 2 7" xfId="5029" xr:uid="{CA8436C2-7F76-44EC-A6C9-4F507127C8F2}"/>
    <cellStyle name="20% - Accent5 22 2 2 2 7 2" xfId="8695" xr:uid="{622E8114-F8DD-40BC-80E7-177F25B4E390}"/>
    <cellStyle name="20% - Accent5 22 2 2 2 7 2 2" xfId="16202" xr:uid="{4922955D-44DC-483A-B1B0-8077477E4ACC}"/>
    <cellStyle name="20% - Accent5 22 2 2 2 7 2 2 2" xfId="32406" xr:uid="{42EC6275-0817-43D9-AE88-BC6E49F54048}"/>
    <cellStyle name="20% - Accent5 22 2 2 2 7 2 3" xfId="24899" xr:uid="{44138AF3-D487-4BA3-A693-1619E8D4B761}"/>
    <cellStyle name="20% - Accent5 22 2 2 2 7 3" xfId="12587" xr:uid="{142BB5AF-7032-4C54-8B8C-69DD2DEFE639}"/>
    <cellStyle name="20% - Accent5 22 2 2 2 7 3 2" xfId="28791" xr:uid="{65ECFA9A-F492-4B72-80E8-4D8385628740}"/>
    <cellStyle name="20% - Accent5 22 2 2 2 7 4" xfId="21233" xr:uid="{1D57C284-43A7-49CF-BA47-8142E351BD54}"/>
    <cellStyle name="20% - Accent5 22 2 2 2 8" xfId="5701" xr:uid="{0EDE01C1-5592-49A8-B5C2-060291260912}"/>
    <cellStyle name="20% - Accent5 22 2 2 2 8 2" xfId="13216" xr:uid="{7E401BED-98DB-4FD1-891B-7C8A6BAA57C6}"/>
    <cellStyle name="20% - Accent5 22 2 2 2 8 2 2" xfId="29420" xr:uid="{77024F64-FDF8-4AD4-BFF9-28CEE962D088}"/>
    <cellStyle name="20% - Accent5 22 2 2 2 8 3" xfId="21905" xr:uid="{6EC2ABB6-FD86-4EF0-87C5-844155FA0C9F}"/>
    <cellStyle name="20% - Accent5 22 2 2 2 9" xfId="9628" xr:uid="{62448F79-E169-4545-A5E6-1FD7E13E0742}"/>
    <cellStyle name="20% - Accent5 22 2 2 2 9 2" xfId="25832" xr:uid="{E04759E0-37A5-4396-A311-FE664CF23E46}"/>
    <cellStyle name="20% - Accent5 22 2 2 3" xfId="2149" xr:uid="{6E024635-6872-4371-B36F-A785D04D5236}"/>
    <cellStyle name="20% - Accent5 22 2 2 3 2" xfId="3062" xr:uid="{0C4A97B2-1B0B-4AAC-8F9F-F50CB4DE0172}"/>
    <cellStyle name="20% - Accent5 22 2 2 3 2 2" xfId="6844" xr:uid="{750D307C-A153-4F4C-B878-64448C46C550}"/>
    <cellStyle name="20% - Accent5 22 2 2 3 2 2 2" xfId="14355" xr:uid="{6500B373-8630-4CCA-926C-B15AE871A963}"/>
    <cellStyle name="20% - Accent5 22 2 2 3 2 2 2 2" xfId="30559" xr:uid="{1AA23B4B-A8FF-4DE2-9FA1-2465F8B03D41}"/>
    <cellStyle name="20% - Accent5 22 2 2 3 2 2 3" xfId="23048" xr:uid="{56657CBC-5123-4249-B73C-88437F49E2C5}"/>
    <cellStyle name="20% - Accent5 22 2 2 3 2 3" xfId="10755" xr:uid="{8716A072-CD49-4571-AF34-2B9D4D6BFE40}"/>
    <cellStyle name="20% - Accent5 22 2 2 3 2 3 2" xfId="26959" xr:uid="{AA954892-3AE0-4B2A-AC03-6F5AA93AC319}"/>
    <cellStyle name="20% - Accent5 22 2 2 3 2 4" xfId="19282" xr:uid="{CFD016CF-6E92-48B9-9A21-1C74C50AD5CB}"/>
    <cellStyle name="20% - Accent5 22 2 2 3 3" xfId="5988" xr:uid="{B5964D6F-DF52-4D0B-BB87-AD504D725D35}"/>
    <cellStyle name="20% - Accent5 22 2 2 3 3 2" xfId="13502" xr:uid="{2A0388C3-A96F-4873-968A-979DB1F010D0}"/>
    <cellStyle name="20% - Accent5 22 2 2 3 3 2 2" xfId="29706" xr:uid="{D0CC85E8-7FBF-4642-8AE3-2B9854DC3216}"/>
    <cellStyle name="20% - Accent5 22 2 2 3 3 3" xfId="22192" xr:uid="{6FC2C66C-F683-4790-9D23-38FB71A2948A}"/>
    <cellStyle name="20% - Accent5 22 2 2 3 4" xfId="9911" xr:uid="{06AD0371-A477-41A2-B2FD-4F476F71763A}"/>
    <cellStyle name="20% - Accent5 22 2 2 3 4 2" xfId="26115" xr:uid="{F0AD32BA-3D51-4FBC-ADBB-260E55B115DE}"/>
    <cellStyle name="20% - Accent5 22 2 2 3 5" xfId="18436" xr:uid="{3CD96028-5506-43C4-AFBD-CBD41F171EBB}"/>
    <cellStyle name="20% - Accent5 22 2 2 4" xfId="2637" xr:uid="{826AC5B2-09D5-45BE-9738-441F9314E616}"/>
    <cellStyle name="20% - Accent5 22 2 2 4 2" xfId="6421" xr:uid="{D7CF536D-A3D4-49E0-A6D2-2ADF8C90D8C7}"/>
    <cellStyle name="20% - Accent5 22 2 2 4 2 2" xfId="13933" xr:uid="{EF76EDDF-BEED-4B9A-8FD0-C05606C63B70}"/>
    <cellStyle name="20% - Accent5 22 2 2 4 2 2 2" xfId="30137" xr:uid="{4D3A9737-9263-409D-8F75-5699A5F6EAA7}"/>
    <cellStyle name="20% - Accent5 22 2 2 4 2 3" xfId="22625" xr:uid="{647C2ED0-CB7D-43F4-B08A-BAA43F1DB959}"/>
    <cellStyle name="20% - Accent5 22 2 2 4 3" xfId="10333" xr:uid="{116715B2-32BE-4B11-B8F5-FFEA5C1C6F4C}"/>
    <cellStyle name="20% - Accent5 22 2 2 4 3 2" xfId="26537" xr:uid="{68642FA6-ECAE-4B72-9195-1E9714B8CCBA}"/>
    <cellStyle name="20% - Accent5 22 2 2 4 4" xfId="18859" xr:uid="{7F121199-A6F3-4D70-A703-875592432422}"/>
    <cellStyle name="20% - Accent5 22 2 2 5" xfId="3513" xr:uid="{94C94F41-FF6B-480F-90F9-9192935FE44F}"/>
    <cellStyle name="20% - Accent5 22 2 2 5 2" xfId="7271" xr:uid="{193E3FA7-E166-4831-A613-5481C0721C28}"/>
    <cellStyle name="20% - Accent5 22 2 2 5 2 2" xfId="14781" xr:uid="{22905383-425D-40D1-82CB-D1366FF6A5A4}"/>
    <cellStyle name="20% - Accent5 22 2 2 5 2 2 2" xfId="30985" xr:uid="{126BC84F-F143-424F-96AB-F29A52B7DB5B}"/>
    <cellStyle name="20% - Accent5 22 2 2 5 2 3" xfId="23475" xr:uid="{0B464181-8732-4D31-9994-048D7109499C}"/>
    <cellStyle name="20% - Accent5 22 2 2 5 3" xfId="11178" xr:uid="{3DE166A0-6594-41AE-A36E-B2ABF815EB78}"/>
    <cellStyle name="20% - Accent5 22 2 2 5 3 2" xfId="27382" xr:uid="{83965CD1-C618-48AE-A494-CE11C5EC7F9B}"/>
    <cellStyle name="20% - Accent5 22 2 2 5 4" xfId="19729" xr:uid="{C6456873-31C3-450C-B65E-101AC63261EF}"/>
    <cellStyle name="20% - Accent5 22 2 2 6" xfId="4037" xr:uid="{822670E6-7927-48F8-B5EB-3EC59968AD32}"/>
    <cellStyle name="20% - Accent5 22 2 2 6 2" xfId="7707" xr:uid="{FA39586B-A1A1-4781-B4E5-30676F4F1285}"/>
    <cellStyle name="20% - Accent5 22 2 2 6 2 2" xfId="15214" xr:uid="{22266255-F692-4D43-9DC0-FC311393FF1F}"/>
    <cellStyle name="20% - Accent5 22 2 2 6 2 2 2" xfId="31418" xr:uid="{F9E39FC9-45EC-4666-93C4-89E81222A702}"/>
    <cellStyle name="20% - Accent5 22 2 2 6 2 3" xfId="23911" xr:uid="{DBA25527-FA18-4C7C-9DCF-DE47B66D7D0B}"/>
    <cellStyle name="20% - Accent5 22 2 2 6 3" xfId="11600" xr:uid="{57B42769-8D06-47A1-A70B-B4E4FA987172}"/>
    <cellStyle name="20% - Accent5 22 2 2 6 3 2" xfId="27804" xr:uid="{361C5D34-012C-4645-8371-DF7A338D3FC4}"/>
    <cellStyle name="20% - Accent5 22 2 2 6 4" xfId="20241" xr:uid="{A870D1BE-CDCD-43EB-A287-8554BDC27CE0}"/>
    <cellStyle name="20% - Accent5 22 2 2 7" xfId="4462" xr:uid="{11C536D2-500B-4045-828E-235198648B8E}"/>
    <cellStyle name="20% - Accent5 22 2 2 7 2" xfId="8132" xr:uid="{A93EF627-CE55-4938-8172-FED06146F1A4}"/>
    <cellStyle name="20% - Accent5 22 2 2 7 2 2" xfId="15639" xr:uid="{BF5AC3ED-147A-4899-8326-50C5CE40E5F7}"/>
    <cellStyle name="20% - Accent5 22 2 2 7 2 2 2" xfId="31843" xr:uid="{2A34AB70-278F-4DDB-8177-7911D40C3720}"/>
    <cellStyle name="20% - Accent5 22 2 2 7 2 3" xfId="24336" xr:uid="{EEA7D0C6-2487-49D6-93BF-E17011584847}"/>
    <cellStyle name="20% - Accent5 22 2 2 7 3" xfId="12025" xr:uid="{4D420A37-3966-41F6-A310-11DFACD8252C}"/>
    <cellStyle name="20% - Accent5 22 2 2 7 3 2" xfId="28229" xr:uid="{FE46EC44-A1A5-49B7-B340-1F0DD096549A}"/>
    <cellStyle name="20% - Accent5 22 2 2 7 4" xfId="20666" xr:uid="{F404D6B4-2FF3-4B51-80FD-36EFC9B2264F}"/>
    <cellStyle name="20% - Accent5 22 2 2 8" xfId="4887" xr:uid="{744DBBE2-A603-4C9D-B96A-AE5CA651FEFA}"/>
    <cellStyle name="20% - Accent5 22 2 2 8 2" xfId="8555" xr:uid="{5719D866-5BB0-458F-8A22-4CA1E462CF98}"/>
    <cellStyle name="20% - Accent5 22 2 2 8 2 2" xfId="16062" xr:uid="{C7077DC1-D44A-4D80-B1FD-51B1E4742993}"/>
    <cellStyle name="20% - Accent5 22 2 2 8 2 2 2" xfId="32266" xr:uid="{CF2E0808-39C9-47D5-BD74-85C62AC9BBB8}"/>
    <cellStyle name="20% - Accent5 22 2 2 8 2 3" xfId="24759" xr:uid="{77214117-BD8D-44BC-A4C5-158509E91BBD}"/>
    <cellStyle name="20% - Accent5 22 2 2 8 3" xfId="12447" xr:uid="{F2CD3D33-FDAC-4B19-870C-66D483572F61}"/>
    <cellStyle name="20% - Accent5 22 2 2 8 3 2" xfId="28651" xr:uid="{AEF39D4C-D853-42BB-9463-B5FA90209839}"/>
    <cellStyle name="20% - Accent5 22 2 2 8 4" xfId="21091" xr:uid="{612B7E95-F813-414B-B448-8A12312D7C36}"/>
    <cellStyle name="20% - Accent5 22 2 2 9" xfId="5373" xr:uid="{6718B486-03CC-4F2B-8482-2FCE986FF693}"/>
    <cellStyle name="20% - Accent5 22 2 2 9 2" xfId="12922" xr:uid="{49E7DC8E-7A33-4DF3-8A70-FD20AAC4ACBA}"/>
    <cellStyle name="20% - Accent5 22 2 2 9 2 2" xfId="29126" xr:uid="{D7FB1673-1235-4C7C-82A6-B156FFB9F641}"/>
    <cellStyle name="20% - Accent5 22 2 2 9 3" xfId="21577" xr:uid="{4CEFF87D-60B6-4AC4-8F41-E8F01E2FAB24}"/>
    <cellStyle name="20% - Accent5 22 2 3" xfId="1847" xr:uid="{7D135BEC-372F-4D9C-8BE6-308153B93A4A}"/>
    <cellStyle name="20% - Accent5 22 2 3 10" xfId="18152" xr:uid="{0FE3B097-051F-44D6-8C40-297963B1B28D}"/>
    <cellStyle name="20% - Accent5 22 2 3 2" xfId="2356" xr:uid="{E900AA7F-76B8-4734-AD7D-90A36CA58510}"/>
    <cellStyle name="20% - Accent5 22 2 3 2 2" xfId="3203" xr:uid="{9B16F1A8-7AAB-4054-B00E-2CF63A31E059}"/>
    <cellStyle name="20% - Accent5 22 2 3 2 2 2" xfId="6985" xr:uid="{17C221AF-CB02-40F5-895F-5A15F4F045FE}"/>
    <cellStyle name="20% - Accent5 22 2 3 2 2 2 2" xfId="14496" xr:uid="{8D6DF2A8-CEA8-4752-8383-9485ECDEC938}"/>
    <cellStyle name="20% - Accent5 22 2 3 2 2 2 2 2" xfId="30700" xr:uid="{F7AD41B1-A1CD-411E-A4A0-95372225CF26}"/>
    <cellStyle name="20% - Accent5 22 2 3 2 2 2 3" xfId="23189" xr:uid="{AD0E064E-9818-4124-BADA-840CF5695BF3}"/>
    <cellStyle name="20% - Accent5 22 2 3 2 2 3" xfId="10896" xr:uid="{AFCC77AC-175E-466A-A072-3770764645BD}"/>
    <cellStyle name="20% - Accent5 22 2 3 2 2 3 2" xfId="27100" xr:uid="{8DC7523F-6585-42E9-98E6-15FFBC6CC9AF}"/>
    <cellStyle name="20% - Accent5 22 2 3 2 2 4" xfId="19423" xr:uid="{6A2F5B95-AFFB-4BF7-B85D-DE77B4DF791E}"/>
    <cellStyle name="20% - Accent5 22 2 3 2 3" xfId="6140" xr:uid="{F976EEB1-B5DB-4548-AB21-DE1CE8B3BC4F}"/>
    <cellStyle name="20% - Accent5 22 2 3 2 3 2" xfId="13652" xr:uid="{951A60CD-A710-4E69-9B76-C4D589A00851}"/>
    <cellStyle name="20% - Accent5 22 2 3 2 3 2 2" xfId="29856" xr:uid="{D57C1BEA-643B-4842-ACDF-BDF16685776E}"/>
    <cellStyle name="20% - Accent5 22 2 3 2 3 3" xfId="22344" xr:uid="{BC9FDD7C-6740-486A-BA81-D8DA97740275}"/>
    <cellStyle name="20% - Accent5 22 2 3 2 4" xfId="10052" xr:uid="{FE42A076-ADDC-46B9-A571-2222ABC15F7B}"/>
    <cellStyle name="20% - Accent5 22 2 3 2 4 2" xfId="26256" xr:uid="{80465543-9AA9-4575-9B7C-FAFE9D52CA39}"/>
    <cellStyle name="20% - Accent5 22 2 3 2 5" xfId="18578" xr:uid="{795207F5-EA3D-4A95-B919-731921E52433}"/>
    <cellStyle name="20% - Accent5 22 2 3 3" xfId="2778" xr:uid="{DB6C79A5-D00F-4CED-8752-04D709BB3AA7}"/>
    <cellStyle name="20% - Accent5 22 2 3 3 2" xfId="6562" xr:uid="{240D0AEA-DF63-4EA1-A9A8-E26CF6EBAADB}"/>
    <cellStyle name="20% - Accent5 22 2 3 3 2 2" xfId="14074" xr:uid="{2328D04E-FC66-4A4A-8108-1DD2F1CD39B1}"/>
    <cellStyle name="20% - Accent5 22 2 3 3 2 2 2" xfId="30278" xr:uid="{20753A28-88A0-45B9-AF13-CAC5B042CAE8}"/>
    <cellStyle name="20% - Accent5 22 2 3 3 2 3" xfId="22766" xr:uid="{C42C4134-06FD-4C3C-9695-570A503312B1}"/>
    <cellStyle name="20% - Accent5 22 2 3 3 3" xfId="10474" xr:uid="{AAE7E369-569B-4B6E-85B4-53E0D1F09F5D}"/>
    <cellStyle name="20% - Accent5 22 2 3 3 3 2" xfId="26678" xr:uid="{8F68D3A6-5226-463F-ABEC-542EFEBDF03D}"/>
    <cellStyle name="20% - Accent5 22 2 3 3 4" xfId="19000" xr:uid="{2F0A0C0C-ADDA-4BCB-BC9E-80B4660E83B6}"/>
    <cellStyle name="20% - Accent5 22 2 3 4" xfId="3709" xr:uid="{80B19458-75BF-416D-B38C-834018F60FC7}"/>
    <cellStyle name="20% - Accent5 22 2 3 4 2" xfId="7419" xr:uid="{2CA2D80C-EB7C-4C23-A8AC-DB8D8DC5B453}"/>
    <cellStyle name="20% - Accent5 22 2 3 4 2 2" xfId="14928" xr:uid="{5050747A-733E-444D-8E5A-E0D6B96EB98F}"/>
    <cellStyle name="20% - Accent5 22 2 3 4 2 2 2" xfId="31132" xr:uid="{98A18E1C-D1FD-408B-865C-96E6E879B6C7}"/>
    <cellStyle name="20% - Accent5 22 2 3 4 2 3" xfId="23623" xr:uid="{3C3C8D05-04A7-4AC6-90DC-F6213EDDDAD0}"/>
    <cellStyle name="20% - Accent5 22 2 3 4 3" xfId="11319" xr:uid="{EB8D054F-9BAA-4F96-82D9-D28C42733502}"/>
    <cellStyle name="20% - Accent5 22 2 3 4 3 2" xfId="27523" xr:uid="{13DDC638-45D7-4C89-9447-8EAF28F62C50}"/>
    <cellStyle name="20% - Accent5 22 2 3 4 4" xfId="19918" xr:uid="{42DA414F-A9BE-4FA0-91A0-F93E014A0B7A}"/>
    <cellStyle name="20% - Accent5 22 2 3 5" xfId="4178" xr:uid="{927FBF33-DB0B-41A3-B4E6-D1C56DC3A58C}"/>
    <cellStyle name="20% - Accent5 22 2 3 5 2" xfId="7848" xr:uid="{41D7591C-0F77-4757-90C1-6D51891F4BFE}"/>
    <cellStyle name="20% - Accent5 22 2 3 5 2 2" xfId="15355" xr:uid="{DCB04F0D-7B29-4888-B5CA-18A2041551E6}"/>
    <cellStyle name="20% - Accent5 22 2 3 5 2 2 2" xfId="31559" xr:uid="{C91B4D31-B695-4826-ADC4-7AD81E6EFAEB}"/>
    <cellStyle name="20% - Accent5 22 2 3 5 2 3" xfId="24052" xr:uid="{04D91A36-03EC-4240-A9E7-0DAA4F273703}"/>
    <cellStyle name="20% - Accent5 22 2 3 5 3" xfId="11741" xr:uid="{0F913CD6-C1A0-48CF-BF73-6F06AF32EB83}"/>
    <cellStyle name="20% - Accent5 22 2 3 5 3 2" xfId="27945" xr:uid="{F82E1240-362D-4637-8E8F-359549EA946C}"/>
    <cellStyle name="20% - Accent5 22 2 3 5 4" xfId="20382" xr:uid="{96CE14D5-0ACC-489B-81BF-9911543BF0C0}"/>
    <cellStyle name="20% - Accent5 22 2 3 6" xfId="4603" xr:uid="{6ADAE83E-913D-4B11-9F91-2DA0D7CD6C99}"/>
    <cellStyle name="20% - Accent5 22 2 3 6 2" xfId="8273" xr:uid="{5689D1E5-4A55-4739-A5EB-CAB8B0667CFB}"/>
    <cellStyle name="20% - Accent5 22 2 3 6 2 2" xfId="15780" xr:uid="{DABC8151-5234-4678-8907-07ED561BB3B4}"/>
    <cellStyle name="20% - Accent5 22 2 3 6 2 2 2" xfId="31984" xr:uid="{DF457C3A-2D6E-41C0-9591-DF38932CAA40}"/>
    <cellStyle name="20% - Accent5 22 2 3 6 2 3" xfId="24477" xr:uid="{F3E074B3-B0DC-43ED-829D-FDC69CDD5724}"/>
    <cellStyle name="20% - Accent5 22 2 3 6 3" xfId="12166" xr:uid="{4FAD6195-D33C-4300-A383-48E9593D45C0}"/>
    <cellStyle name="20% - Accent5 22 2 3 6 3 2" xfId="28370" xr:uid="{C2E47217-7C7F-4804-B7D7-278BBE791D3B}"/>
    <cellStyle name="20% - Accent5 22 2 3 6 4" xfId="20807" xr:uid="{36C86174-90B0-4481-A1A3-F0ED4C41F0CA}"/>
    <cellStyle name="20% - Accent5 22 2 3 7" xfId="5030" xr:uid="{AA17FFC0-0643-47BC-AB9A-7AC3CDADFD3A}"/>
    <cellStyle name="20% - Accent5 22 2 3 7 2" xfId="8696" xr:uid="{354F3C80-9CF9-4A38-A01D-EDD1D6195E02}"/>
    <cellStyle name="20% - Accent5 22 2 3 7 2 2" xfId="16203" xr:uid="{2A1DAA45-6584-4B07-926C-19F7573D86E6}"/>
    <cellStyle name="20% - Accent5 22 2 3 7 2 2 2" xfId="32407" xr:uid="{FD6F2729-E5B3-47E5-A8CF-09727699FB61}"/>
    <cellStyle name="20% - Accent5 22 2 3 7 2 3" xfId="24900" xr:uid="{80D581FD-6C78-4A7F-9CAF-77C4128B8E62}"/>
    <cellStyle name="20% - Accent5 22 2 3 7 3" xfId="12588" xr:uid="{1F6AED6F-BED3-4B4D-95B7-C608717B0EA2}"/>
    <cellStyle name="20% - Accent5 22 2 3 7 3 2" xfId="28792" xr:uid="{F619E69E-77BD-408A-9EFF-86AA729A6EF3}"/>
    <cellStyle name="20% - Accent5 22 2 3 7 4" xfId="21234" xr:uid="{D4FBF161-7012-48CB-BAB5-EF459CD64FCE}"/>
    <cellStyle name="20% - Accent5 22 2 3 8" xfId="5702" xr:uid="{565F6812-42D4-4F7B-8FCC-7FA1A77DDCB1}"/>
    <cellStyle name="20% - Accent5 22 2 3 8 2" xfId="13217" xr:uid="{E0EC567E-B43A-4122-8853-208A7C329252}"/>
    <cellStyle name="20% - Accent5 22 2 3 8 2 2" xfId="29421" xr:uid="{10997FC8-0150-4C51-ADC8-D01D4C64417B}"/>
    <cellStyle name="20% - Accent5 22 2 3 8 3" xfId="21906" xr:uid="{464EE8EB-0312-4486-B5AA-2F6E3F7F3948}"/>
    <cellStyle name="20% - Accent5 22 2 3 9" xfId="9629" xr:uid="{4CF473FC-3EA9-4E39-B693-2C97E2D47E24}"/>
    <cellStyle name="20% - Accent5 22 2 3 9 2" xfId="25833" xr:uid="{B29F16C3-5C05-4257-89F6-20A621F37274}"/>
    <cellStyle name="20% - Accent5 22 2 4" xfId="2082" xr:uid="{9B74D106-ED9B-41C1-8D08-FAA9F8FB7349}"/>
    <cellStyle name="20% - Accent5 22 2 4 2" xfId="2995" xr:uid="{4DF5A62C-4BA6-4445-967C-3ABD7F3C48BA}"/>
    <cellStyle name="20% - Accent5 22 2 4 2 2" xfId="6777" xr:uid="{FC5D9B14-1EC4-4A81-A0F7-4E30B757D6E3}"/>
    <cellStyle name="20% - Accent5 22 2 4 2 2 2" xfId="14288" xr:uid="{BC4A76B7-4E9E-45FC-A218-98577D21C4D3}"/>
    <cellStyle name="20% - Accent5 22 2 4 2 2 2 2" xfId="30492" xr:uid="{8AC08CB7-8105-4A58-9C82-0FFC86819A23}"/>
    <cellStyle name="20% - Accent5 22 2 4 2 2 3" xfId="22981" xr:uid="{00D9DC13-881C-4358-8155-5647191AF324}"/>
    <cellStyle name="20% - Accent5 22 2 4 2 3" xfId="10688" xr:uid="{3176BAC2-E98B-4FE2-98CD-AEE2303F9796}"/>
    <cellStyle name="20% - Accent5 22 2 4 2 3 2" xfId="26892" xr:uid="{416DBD45-B92E-4F90-AD3B-A20B059559E4}"/>
    <cellStyle name="20% - Accent5 22 2 4 2 4" xfId="19215" xr:uid="{A9B1F221-965F-4EA0-8F5B-8E3B7CE5C869}"/>
    <cellStyle name="20% - Accent5 22 2 4 3" xfId="5921" xr:uid="{FF3EAF22-880C-4F01-8E31-8C56E020F1F5}"/>
    <cellStyle name="20% - Accent5 22 2 4 3 2" xfId="13435" xr:uid="{137BA249-BA03-4E04-8622-4E0FEE953FF0}"/>
    <cellStyle name="20% - Accent5 22 2 4 3 2 2" xfId="29639" xr:uid="{3CA4918E-3C4E-48F6-B3D4-8D30FC8366CA}"/>
    <cellStyle name="20% - Accent5 22 2 4 3 3" xfId="22125" xr:uid="{469323CD-D446-4BA9-878A-FFBE0EA3DE80}"/>
    <cellStyle name="20% - Accent5 22 2 4 4" xfId="9844" xr:uid="{B6B112DF-C9C2-4228-BFBE-2B9C57AC27C7}"/>
    <cellStyle name="20% - Accent5 22 2 4 4 2" xfId="26048" xr:uid="{8ED5A2FE-CEC4-4FB2-A3D1-89E68E2E4A38}"/>
    <cellStyle name="20% - Accent5 22 2 4 5" xfId="18369" xr:uid="{DEBD0332-BBF4-479C-8CB2-52EA21480C53}"/>
    <cellStyle name="20% - Accent5 22 2 5" xfId="2570" xr:uid="{65083F27-EFB9-4C5E-BEB5-A75B46C0CDF8}"/>
    <cellStyle name="20% - Accent5 22 2 5 2" xfId="6354" xr:uid="{600C9D72-A7D8-46C0-9BCC-28B715ABD7D7}"/>
    <cellStyle name="20% - Accent5 22 2 5 2 2" xfId="13866" xr:uid="{C2888608-93BA-44E5-BA0E-FE5CA3A98A1C}"/>
    <cellStyle name="20% - Accent5 22 2 5 2 2 2" xfId="30070" xr:uid="{D28C3F71-00FA-41BB-AC13-9CB099DADD22}"/>
    <cellStyle name="20% - Accent5 22 2 5 2 3" xfId="22558" xr:uid="{2E534F1E-8A6B-436D-B2A4-E7B110D550F8}"/>
    <cellStyle name="20% - Accent5 22 2 5 3" xfId="10266" xr:uid="{C13802CA-1AFC-4797-9FAB-2059D08669CE}"/>
    <cellStyle name="20% - Accent5 22 2 5 3 2" xfId="26470" xr:uid="{0A4B9A6A-31BC-4592-8A87-4A42C0A39A3D}"/>
    <cellStyle name="20% - Accent5 22 2 5 4" xfId="18792" xr:uid="{94E162B5-CC61-477C-9393-B87D50D25904}"/>
    <cellStyle name="20% - Accent5 22 2 6" xfId="3446" xr:uid="{7BE798D2-4D11-4A90-8138-417F32FE13A0}"/>
    <cellStyle name="20% - Accent5 22 2 6 2" xfId="7204" xr:uid="{F15AF306-9413-4CC4-89D5-96B616C76F35}"/>
    <cellStyle name="20% - Accent5 22 2 6 2 2" xfId="14714" xr:uid="{3E14396B-32FE-45EE-A54A-3718A4AAC9F4}"/>
    <cellStyle name="20% - Accent5 22 2 6 2 2 2" xfId="30918" xr:uid="{78710493-70BD-4F8A-A5FA-EFD6585308EC}"/>
    <cellStyle name="20% - Accent5 22 2 6 2 3" xfId="23408" xr:uid="{E86FC05F-AFDB-4A66-9689-384C5D83F700}"/>
    <cellStyle name="20% - Accent5 22 2 6 3" xfId="11111" xr:uid="{E82E5751-2E0D-44A5-8E77-9BEDED1E77A7}"/>
    <cellStyle name="20% - Accent5 22 2 6 3 2" xfId="27315" xr:uid="{BFC335D4-A409-4E6E-B245-6C7D6749AFEE}"/>
    <cellStyle name="20% - Accent5 22 2 6 4" xfId="19662" xr:uid="{5E167787-3600-4CA8-9FB8-049EC9508C70}"/>
    <cellStyle name="20% - Accent5 22 2 7" xfId="3970" xr:uid="{0B10880B-B798-4537-BF83-870CF6F533A0}"/>
    <cellStyle name="20% - Accent5 22 2 7 2" xfId="7640" xr:uid="{B47789E8-22AB-4938-89DA-8608F0050CF3}"/>
    <cellStyle name="20% - Accent5 22 2 7 2 2" xfId="15147" xr:uid="{E46ACE0F-FD41-4F78-9825-E6473279B20E}"/>
    <cellStyle name="20% - Accent5 22 2 7 2 2 2" xfId="31351" xr:uid="{9C385E7B-2ABD-4B52-BB32-6A7EB52F9684}"/>
    <cellStyle name="20% - Accent5 22 2 7 2 3" xfId="23844" xr:uid="{2D8D11EC-455F-46F1-AF80-65B49678A308}"/>
    <cellStyle name="20% - Accent5 22 2 7 3" xfId="11533" xr:uid="{5D780BA3-EE53-4D86-BE55-736A30F54EB4}"/>
    <cellStyle name="20% - Accent5 22 2 7 3 2" xfId="27737" xr:uid="{E52C7877-DFFC-451C-ABD9-C8B7CD228788}"/>
    <cellStyle name="20% - Accent5 22 2 7 4" xfId="20174" xr:uid="{833AE75C-C4EE-4F51-8927-A23FFD50F1CC}"/>
    <cellStyle name="20% - Accent5 22 2 8" xfId="4395" xr:uid="{93F919F8-87AC-43A7-93C1-ACC31DD302CD}"/>
    <cellStyle name="20% - Accent5 22 2 8 2" xfId="8065" xr:uid="{83117CB1-BFBA-4BD2-B1C4-5C3288D03DEF}"/>
    <cellStyle name="20% - Accent5 22 2 8 2 2" xfId="15572" xr:uid="{D68F90F7-A84E-416D-8B11-1D88BDEB51AD}"/>
    <cellStyle name="20% - Accent5 22 2 8 2 2 2" xfId="31776" xr:uid="{4753079B-EDAE-478E-AFA4-3FF774289080}"/>
    <cellStyle name="20% - Accent5 22 2 8 2 3" xfId="24269" xr:uid="{DA41C3ED-3F1B-4286-9BC8-3449A60DB999}"/>
    <cellStyle name="20% - Accent5 22 2 8 3" xfId="11958" xr:uid="{78F32741-386E-4C96-8090-ECEF9699EEB1}"/>
    <cellStyle name="20% - Accent5 22 2 8 3 2" xfId="28162" xr:uid="{9FAAD43B-46FB-4C04-84E1-CCBE48D4053B}"/>
    <cellStyle name="20% - Accent5 22 2 8 4" xfId="20599" xr:uid="{97B9DF23-B46F-4C83-8A27-ECA2F47DC902}"/>
    <cellStyle name="20% - Accent5 22 2 9" xfId="4819" xr:uid="{1C61A29C-1E08-4FAD-B922-74D7309FC631}"/>
    <cellStyle name="20% - Accent5 22 2 9 2" xfId="8488" xr:uid="{010A8A99-2589-4836-8A30-AEC04F709B80}"/>
    <cellStyle name="20% - Accent5 22 2 9 2 2" xfId="15995" xr:uid="{17369793-F221-4A18-B939-316B970EFB01}"/>
    <cellStyle name="20% - Accent5 22 2 9 2 2 2" xfId="32199" xr:uid="{25B25530-25C3-4861-8B12-E94B6ED7CC24}"/>
    <cellStyle name="20% - Accent5 22 2 9 2 3" xfId="24692" xr:uid="{E1EF8049-3AB2-4553-95E3-C77A5F9E7F53}"/>
    <cellStyle name="20% - Accent5 22 2 9 3" xfId="12380" xr:uid="{205E3B49-601F-4DDF-A58C-BA20616769D9}"/>
    <cellStyle name="20% - Accent5 22 2 9 3 2" xfId="28584" xr:uid="{E959F090-292B-4BD2-820A-58B67A4E7CC7}"/>
    <cellStyle name="20% - Accent5 22 2 9 4" xfId="21023" xr:uid="{08C7EE1B-F52A-4E65-A98D-1127489FC36E}"/>
    <cellStyle name="20% - Accent5 22 3" xfId="531" xr:uid="{698634B9-EE75-4159-A1C5-2AADB3C96E66}"/>
    <cellStyle name="20% - Accent5 22 3 10" xfId="5328" xr:uid="{7239D28D-C490-42A9-894D-A3CE2C9DC17B}"/>
    <cellStyle name="20% - Accent5 22 3 10 2" xfId="12877" xr:uid="{4214C56E-877E-44B9-B463-36CD0333A712}"/>
    <cellStyle name="20% - Accent5 22 3 10 2 2" xfId="29081" xr:uid="{45A1D739-9612-4ABA-960A-EC5FD216A9DF}"/>
    <cellStyle name="20% - Accent5 22 3 10 3" xfId="21532" xr:uid="{66CFC922-D89B-4A88-998B-9FD18027A0B9}"/>
    <cellStyle name="20% - Accent5 22 3 11" xfId="9443" xr:uid="{DF985B55-24EA-4432-B0A9-CF984509E2FF}"/>
    <cellStyle name="20% - Accent5 22 3 11 2" xfId="25647" xr:uid="{536123B5-A35E-41FA-9DA8-89EC92B88BE6}"/>
    <cellStyle name="20% - Accent5 22 3 12" xfId="17958" xr:uid="{1BB9CE1B-042D-4645-80F5-3D59FD76BDCE}"/>
    <cellStyle name="20% - Accent5 22 3 2" xfId="602" xr:uid="{E8FA47F0-78BF-4BCE-BD2B-54A54325CBF6}"/>
    <cellStyle name="20% - Accent5 22 3 2 10" xfId="9510" xr:uid="{70EF019E-E707-4F93-B203-16F9393B6DA4}"/>
    <cellStyle name="20% - Accent5 22 3 2 10 2" xfId="25714" xr:uid="{B08E47C5-2CAA-49F6-BD7E-13328E9283E9}"/>
    <cellStyle name="20% - Accent5 22 3 2 11" xfId="18026" xr:uid="{AA9FEF70-3BD1-4C64-AFF3-6C85BF95D897}"/>
    <cellStyle name="20% - Accent5 22 3 2 2" xfId="1848" xr:uid="{2EBF053C-A846-4BCF-B580-18A2865A1164}"/>
    <cellStyle name="20% - Accent5 22 3 2 2 10" xfId="18153" xr:uid="{FE55D846-BF4A-4932-8D91-56C49F7B907E}"/>
    <cellStyle name="20% - Accent5 22 3 2 2 2" xfId="2357" xr:uid="{000AD567-816F-4F17-A8D5-8263015FF804}"/>
    <cellStyle name="20% - Accent5 22 3 2 2 2 2" xfId="3204" xr:uid="{042E87B9-9ED9-4D12-83E7-524BB5B75E62}"/>
    <cellStyle name="20% - Accent5 22 3 2 2 2 2 2" xfId="6986" xr:uid="{3614DCD9-E55D-4BF3-B7CF-587A24EB8077}"/>
    <cellStyle name="20% - Accent5 22 3 2 2 2 2 2 2" xfId="14497" xr:uid="{1A32B4B2-06FC-450C-94A7-276C2C0F127C}"/>
    <cellStyle name="20% - Accent5 22 3 2 2 2 2 2 2 2" xfId="30701" xr:uid="{1FA3B516-595E-420F-8D98-597321ED3A89}"/>
    <cellStyle name="20% - Accent5 22 3 2 2 2 2 2 3" xfId="23190" xr:uid="{4B23E72E-38B8-4C8F-8B1D-C09E83CB6A28}"/>
    <cellStyle name="20% - Accent5 22 3 2 2 2 2 3" xfId="10897" xr:uid="{426E1EBB-5407-4402-9227-38769267D9C0}"/>
    <cellStyle name="20% - Accent5 22 3 2 2 2 2 3 2" xfId="27101" xr:uid="{67E96947-0CBD-49EE-8BA5-9F4AD9BDD4B9}"/>
    <cellStyle name="20% - Accent5 22 3 2 2 2 2 4" xfId="19424" xr:uid="{E321EC1E-4C74-4403-B17D-676332B5DA10}"/>
    <cellStyle name="20% - Accent5 22 3 2 2 2 3" xfId="6141" xr:uid="{D449057E-AAE2-48BF-B283-AA82AAA8EE72}"/>
    <cellStyle name="20% - Accent5 22 3 2 2 2 3 2" xfId="13653" xr:uid="{2E9B89E7-77A6-456D-87E4-CC2673E5ABF2}"/>
    <cellStyle name="20% - Accent5 22 3 2 2 2 3 2 2" xfId="29857" xr:uid="{9356DB1F-E745-4EC2-B5DD-FD21230223BD}"/>
    <cellStyle name="20% - Accent5 22 3 2 2 2 3 3" xfId="22345" xr:uid="{32DA79A1-0B4B-4FE6-9BC3-DCC534CF24A4}"/>
    <cellStyle name="20% - Accent5 22 3 2 2 2 4" xfId="10053" xr:uid="{9CDA4AE2-0C1E-4720-BDA1-533EBF31EABA}"/>
    <cellStyle name="20% - Accent5 22 3 2 2 2 4 2" xfId="26257" xr:uid="{3603BB22-7374-48B3-A600-28451DAC5377}"/>
    <cellStyle name="20% - Accent5 22 3 2 2 2 5" xfId="18579" xr:uid="{34A4F74C-FD1F-4AEA-8524-BCF696D9177B}"/>
    <cellStyle name="20% - Accent5 22 3 2 2 3" xfId="2779" xr:uid="{5666CC51-F370-4D54-BB4E-97307A32BBDF}"/>
    <cellStyle name="20% - Accent5 22 3 2 2 3 2" xfId="6563" xr:uid="{A92F6EA3-F751-4644-87F8-B87B5FC09281}"/>
    <cellStyle name="20% - Accent5 22 3 2 2 3 2 2" xfId="14075" xr:uid="{5102A155-B395-4122-BB20-49F7589AE07F}"/>
    <cellStyle name="20% - Accent5 22 3 2 2 3 2 2 2" xfId="30279" xr:uid="{10750EF1-2A3F-4E45-8ABF-8B1EB6EA7319}"/>
    <cellStyle name="20% - Accent5 22 3 2 2 3 2 3" xfId="22767" xr:uid="{3A5927D9-6460-49B6-B34D-2AE21F607EAF}"/>
    <cellStyle name="20% - Accent5 22 3 2 2 3 3" xfId="10475" xr:uid="{3FED48CD-6B1F-40FA-93A1-D83AE2B4F5E4}"/>
    <cellStyle name="20% - Accent5 22 3 2 2 3 3 2" xfId="26679" xr:uid="{4AAB1A36-1C76-47F4-9813-ADBDF39C1304}"/>
    <cellStyle name="20% - Accent5 22 3 2 2 3 4" xfId="19001" xr:uid="{8278AD0F-C21D-4F90-A1F8-BC8130B09712}"/>
    <cellStyle name="20% - Accent5 22 3 2 2 4" xfId="3710" xr:uid="{CA7A7996-7062-46B6-B828-12C04EB1493C}"/>
    <cellStyle name="20% - Accent5 22 3 2 2 4 2" xfId="7420" xr:uid="{C41911FF-7CBF-4334-A7A3-03441D90CD02}"/>
    <cellStyle name="20% - Accent5 22 3 2 2 4 2 2" xfId="14929" xr:uid="{6041D584-12C0-4B76-88F8-64BADCFAAE97}"/>
    <cellStyle name="20% - Accent5 22 3 2 2 4 2 2 2" xfId="31133" xr:uid="{708AB911-32AC-4987-A088-9751FB712580}"/>
    <cellStyle name="20% - Accent5 22 3 2 2 4 2 3" xfId="23624" xr:uid="{6652F349-E6A1-427B-9E37-37CAE37E1F70}"/>
    <cellStyle name="20% - Accent5 22 3 2 2 4 3" xfId="11320" xr:uid="{818F8A83-D0A3-44DD-936D-CEB2EE0BC96E}"/>
    <cellStyle name="20% - Accent5 22 3 2 2 4 3 2" xfId="27524" xr:uid="{E7D3E0E5-482D-4D6A-95FD-37E8B91469D0}"/>
    <cellStyle name="20% - Accent5 22 3 2 2 4 4" xfId="19919" xr:uid="{30536565-744A-47D1-A950-1DE2FECD3A4A}"/>
    <cellStyle name="20% - Accent5 22 3 2 2 5" xfId="4179" xr:uid="{38D3CED0-260C-4475-91DE-17BD36A31FD9}"/>
    <cellStyle name="20% - Accent5 22 3 2 2 5 2" xfId="7849" xr:uid="{9A31C2FB-2D28-4A7D-83F5-22065D1FAC21}"/>
    <cellStyle name="20% - Accent5 22 3 2 2 5 2 2" xfId="15356" xr:uid="{8081BD6C-A427-4515-822D-014441189135}"/>
    <cellStyle name="20% - Accent5 22 3 2 2 5 2 2 2" xfId="31560" xr:uid="{ACE4982C-237D-4CFD-8412-63B1490ED3BE}"/>
    <cellStyle name="20% - Accent5 22 3 2 2 5 2 3" xfId="24053" xr:uid="{8DA950F4-8457-4FE3-9EF5-1875605037CB}"/>
    <cellStyle name="20% - Accent5 22 3 2 2 5 3" xfId="11742" xr:uid="{FA62D36F-854F-4DC0-B680-46E79062ADC4}"/>
    <cellStyle name="20% - Accent5 22 3 2 2 5 3 2" xfId="27946" xr:uid="{D6B1EF6E-35D7-46B0-B3AA-1B5A92E16842}"/>
    <cellStyle name="20% - Accent5 22 3 2 2 5 4" xfId="20383" xr:uid="{7BEFE7AD-7F1E-4D2C-949F-8C14A9B7C918}"/>
    <cellStyle name="20% - Accent5 22 3 2 2 6" xfId="4604" xr:uid="{D3AA880A-157B-42B6-A8F9-C83AA0473AEF}"/>
    <cellStyle name="20% - Accent5 22 3 2 2 6 2" xfId="8274" xr:uid="{486BFD70-7606-4D2C-8052-559F7899A122}"/>
    <cellStyle name="20% - Accent5 22 3 2 2 6 2 2" xfId="15781" xr:uid="{BF3C6EC9-8BDF-4BE0-B77D-E20B73F9DDB3}"/>
    <cellStyle name="20% - Accent5 22 3 2 2 6 2 2 2" xfId="31985" xr:uid="{99AE3657-1D9E-4152-BBC1-6D927975AABA}"/>
    <cellStyle name="20% - Accent5 22 3 2 2 6 2 3" xfId="24478" xr:uid="{ECD9FCD1-DB70-4922-91A0-EFCE21D5ECBC}"/>
    <cellStyle name="20% - Accent5 22 3 2 2 6 3" xfId="12167" xr:uid="{3631D620-D76C-4F9F-AF6A-15801AFCF268}"/>
    <cellStyle name="20% - Accent5 22 3 2 2 6 3 2" xfId="28371" xr:uid="{9EAB2EE4-B057-4880-8EF0-CD26131E5269}"/>
    <cellStyle name="20% - Accent5 22 3 2 2 6 4" xfId="20808" xr:uid="{B206388A-8209-4929-B6B6-A256CF6B15C2}"/>
    <cellStyle name="20% - Accent5 22 3 2 2 7" xfId="5031" xr:uid="{311CDE6B-3760-4F41-B55E-CC34189FC03B}"/>
    <cellStyle name="20% - Accent5 22 3 2 2 7 2" xfId="8697" xr:uid="{CA73FE8E-4179-4502-A9FE-AFC2FCEDD91A}"/>
    <cellStyle name="20% - Accent5 22 3 2 2 7 2 2" xfId="16204" xr:uid="{A6EE50DC-5E87-4017-A372-FCA59ED4E2E3}"/>
    <cellStyle name="20% - Accent5 22 3 2 2 7 2 2 2" xfId="32408" xr:uid="{E5BC1887-9722-49A4-A409-B9D14D839276}"/>
    <cellStyle name="20% - Accent5 22 3 2 2 7 2 3" xfId="24901" xr:uid="{0A6CC65E-FB93-4E0F-B1A4-F68DEE967E33}"/>
    <cellStyle name="20% - Accent5 22 3 2 2 7 3" xfId="12589" xr:uid="{1901C237-CE16-4BED-87C4-87782CE5EA8C}"/>
    <cellStyle name="20% - Accent5 22 3 2 2 7 3 2" xfId="28793" xr:uid="{7DA38ACE-01AE-4BEB-B6C6-92F500472CBD}"/>
    <cellStyle name="20% - Accent5 22 3 2 2 7 4" xfId="21235" xr:uid="{C4449B81-B41F-495F-8523-8E92D8096610}"/>
    <cellStyle name="20% - Accent5 22 3 2 2 8" xfId="5703" xr:uid="{8F7F6DA0-D89D-46CB-B422-62B974C2B714}"/>
    <cellStyle name="20% - Accent5 22 3 2 2 8 2" xfId="13218" xr:uid="{3839EEA9-AABE-49B9-B430-EE37B3570F05}"/>
    <cellStyle name="20% - Accent5 22 3 2 2 8 2 2" xfId="29422" xr:uid="{4FF3256F-0D25-4D91-837A-59CAC43FDF4A}"/>
    <cellStyle name="20% - Accent5 22 3 2 2 8 3" xfId="21907" xr:uid="{D4A1CFAA-5061-4CA0-A105-1899AD47995F}"/>
    <cellStyle name="20% - Accent5 22 3 2 2 9" xfId="9630" xr:uid="{CBA687E6-310B-47EC-B60D-3127E786C15B}"/>
    <cellStyle name="20% - Accent5 22 3 2 2 9 2" xfId="25834" xr:uid="{508DF66F-9859-4EA1-9D44-C6B82713B32A}"/>
    <cellStyle name="20% - Accent5 22 3 2 3" xfId="2171" xr:uid="{4F66CC56-1D7E-4DA2-8029-F3056A25C556}"/>
    <cellStyle name="20% - Accent5 22 3 2 3 2" xfId="3084" xr:uid="{C53B02EB-1913-4529-B3D4-29EE2E2AD728}"/>
    <cellStyle name="20% - Accent5 22 3 2 3 2 2" xfId="6866" xr:uid="{D208B0B7-4917-4CF8-91DA-B3D954566BA1}"/>
    <cellStyle name="20% - Accent5 22 3 2 3 2 2 2" xfId="14377" xr:uid="{B04F43BC-C58A-49C7-9D69-5177542C4E4B}"/>
    <cellStyle name="20% - Accent5 22 3 2 3 2 2 2 2" xfId="30581" xr:uid="{DF008D5C-FC9D-4610-8C75-689DF5DC5092}"/>
    <cellStyle name="20% - Accent5 22 3 2 3 2 2 3" xfId="23070" xr:uid="{0A0A57C0-9D55-4462-B78A-7C478E9B8974}"/>
    <cellStyle name="20% - Accent5 22 3 2 3 2 3" xfId="10777" xr:uid="{3C6E451B-C0BA-4261-8B16-319FE4D52607}"/>
    <cellStyle name="20% - Accent5 22 3 2 3 2 3 2" xfId="26981" xr:uid="{E7BFFA5E-BE7B-4C2A-A540-31DA3D51E835}"/>
    <cellStyle name="20% - Accent5 22 3 2 3 2 4" xfId="19304" xr:uid="{EE71769F-49B0-4EE6-9F46-BF8C82E41893}"/>
    <cellStyle name="20% - Accent5 22 3 2 3 3" xfId="6010" xr:uid="{40B93771-F52A-4636-8CC9-0724F8508FD8}"/>
    <cellStyle name="20% - Accent5 22 3 2 3 3 2" xfId="13524" xr:uid="{5A4AE243-3302-4DF3-B1D0-AC5DDB58B9FE}"/>
    <cellStyle name="20% - Accent5 22 3 2 3 3 2 2" xfId="29728" xr:uid="{6A8F579B-E63D-4E7F-AFDD-FF9133717DFD}"/>
    <cellStyle name="20% - Accent5 22 3 2 3 3 3" xfId="22214" xr:uid="{431D50D0-A07F-435D-8D48-7FF64506566B}"/>
    <cellStyle name="20% - Accent5 22 3 2 3 4" xfId="9933" xr:uid="{C074EFF2-0135-423E-AB82-2655F255547E}"/>
    <cellStyle name="20% - Accent5 22 3 2 3 4 2" xfId="26137" xr:uid="{ED65D7F2-622E-4D20-972A-F0DE2BFBDE10}"/>
    <cellStyle name="20% - Accent5 22 3 2 3 5" xfId="18458" xr:uid="{6FE0020F-3F3B-4778-86F7-DF70C57A79D7}"/>
    <cellStyle name="20% - Accent5 22 3 2 4" xfId="2659" xr:uid="{CB212A1B-4AC4-4CCD-B345-9106381C3A20}"/>
    <cellStyle name="20% - Accent5 22 3 2 4 2" xfId="6443" xr:uid="{C0191B8E-D953-4B5E-9153-3DC7B7E3D1FD}"/>
    <cellStyle name="20% - Accent5 22 3 2 4 2 2" xfId="13955" xr:uid="{4E6DDA52-C726-4107-9787-F02DE8F885EA}"/>
    <cellStyle name="20% - Accent5 22 3 2 4 2 2 2" xfId="30159" xr:uid="{558C2212-3CE9-49B6-93FC-B5B6F4E6CEB7}"/>
    <cellStyle name="20% - Accent5 22 3 2 4 2 3" xfId="22647" xr:uid="{525BC823-F2ED-444F-B32B-B5085EC19D3B}"/>
    <cellStyle name="20% - Accent5 22 3 2 4 3" xfId="10355" xr:uid="{C6816461-4F44-4FED-B274-5EFD804E5F49}"/>
    <cellStyle name="20% - Accent5 22 3 2 4 3 2" xfId="26559" xr:uid="{9FDF3C1F-C85B-4A02-9175-F9E10BC4E634}"/>
    <cellStyle name="20% - Accent5 22 3 2 4 4" xfId="18881" xr:uid="{61BEE73C-2EFB-461A-96C5-C7FE48942339}"/>
    <cellStyle name="20% - Accent5 22 3 2 5" xfId="3535" xr:uid="{E1CFE74E-465D-4EC0-91B9-05FCDBF74B4E}"/>
    <cellStyle name="20% - Accent5 22 3 2 5 2" xfId="7293" xr:uid="{B908295E-A579-4D2E-81F6-67D8D34C3D6E}"/>
    <cellStyle name="20% - Accent5 22 3 2 5 2 2" xfId="14803" xr:uid="{72883A6F-4112-45D5-9AB3-C7E235EF7CBD}"/>
    <cellStyle name="20% - Accent5 22 3 2 5 2 2 2" xfId="31007" xr:uid="{5A9E1C3D-018F-4FE3-B3D2-6A1C5CCDD89C}"/>
    <cellStyle name="20% - Accent5 22 3 2 5 2 3" xfId="23497" xr:uid="{5F7BC044-7A0F-4F54-B927-33DCE8D178F6}"/>
    <cellStyle name="20% - Accent5 22 3 2 5 3" xfId="11200" xr:uid="{1569EF33-5165-4ABA-AB49-638BC0F59CA6}"/>
    <cellStyle name="20% - Accent5 22 3 2 5 3 2" xfId="27404" xr:uid="{0E59FDEE-AC12-4E01-9376-FB5F1476524C}"/>
    <cellStyle name="20% - Accent5 22 3 2 5 4" xfId="19751" xr:uid="{BCA9B567-5E75-4448-85B7-6C1F2B3A312C}"/>
    <cellStyle name="20% - Accent5 22 3 2 6" xfId="4059" xr:uid="{7F96123E-BD46-4B49-A4BA-2A01963F913A}"/>
    <cellStyle name="20% - Accent5 22 3 2 6 2" xfId="7729" xr:uid="{346C4EE7-5142-418E-820B-C04BD612389B}"/>
    <cellStyle name="20% - Accent5 22 3 2 6 2 2" xfId="15236" xr:uid="{D9FBECBB-FE45-4F73-A16F-AC564CDCBA7D}"/>
    <cellStyle name="20% - Accent5 22 3 2 6 2 2 2" xfId="31440" xr:uid="{D498ACA0-9238-44B2-96DA-50DE493C8838}"/>
    <cellStyle name="20% - Accent5 22 3 2 6 2 3" xfId="23933" xr:uid="{E0B593BD-094D-48CF-BA4F-6D15987AD261}"/>
    <cellStyle name="20% - Accent5 22 3 2 6 3" xfId="11622" xr:uid="{7D05915C-ABEF-4546-8BFB-70A84FB19EB3}"/>
    <cellStyle name="20% - Accent5 22 3 2 6 3 2" xfId="27826" xr:uid="{1925A00D-79A1-4815-8A44-B648E1CC8A47}"/>
    <cellStyle name="20% - Accent5 22 3 2 6 4" xfId="20263" xr:uid="{F8BE2FC9-2C1D-44A1-98D6-7A42E7EE381B}"/>
    <cellStyle name="20% - Accent5 22 3 2 7" xfId="4484" xr:uid="{0D6FB3C7-20EC-4CB1-AA72-E28AE52509DF}"/>
    <cellStyle name="20% - Accent5 22 3 2 7 2" xfId="8154" xr:uid="{FD95BEFF-D4A7-4250-80DA-C8FC17F8680C}"/>
    <cellStyle name="20% - Accent5 22 3 2 7 2 2" xfId="15661" xr:uid="{FDC41155-88F2-4CE7-A188-474732DAB180}"/>
    <cellStyle name="20% - Accent5 22 3 2 7 2 2 2" xfId="31865" xr:uid="{9F720118-0D8F-47DF-95F0-C0229C295FBD}"/>
    <cellStyle name="20% - Accent5 22 3 2 7 2 3" xfId="24358" xr:uid="{888724FF-3F2C-41B7-81E2-5085A443A774}"/>
    <cellStyle name="20% - Accent5 22 3 2 7 3" xfId="12047" xr:uid="{74A9BB53-F1C2-44DB-B958-AD0CC20D5B0B}"/>
    <cellStyle name="20% - Accent5 22 3 2 7 3 2" xfId="28251" xr:uid="{3C292151-5AFE-4F52-8A44-BAC325C03107}"/>
    <cellStyle name="20% - Accent5 22 3 2 7 4" xfId="20688" xr:uid="{BF7D27C7-2E67-45FE-AFC6-D76BBAC80DF2}"/>
    <cellStyle name="20% - Accent5 22 3 2 8" xfId="4909" xr:uid="{9C2711E8-AF9A-4346-8B65-F4457C1705A5}"/>
    <cellStyle name="20% - Accent5 22 3 2 8 2" xfId="8577" xr:uid="{40A0E0C2-72F2-40D9-B44B-FCA11BE5A426}"/>
    <cellStyle name="20% - Accent5 22 3 2 8 2 2" xfId="16084" xr:uid="{3BF41FF6-CA7F-4154-A9A0-77747C79CBAC}"/>
    <cellStyle name="20% - Accent5 22 3 2 8 2 2 2" xfId="32288" xr:uid="{5CC63C77-9360-48E1-BAD1-B16AFC962C87}"/>
    <cellStyle name="20% - Accent5 22 3 2 8 2 3" xfId="24781" xr:uid="{44424335-DC32-4030-8C36-D07CB15F11F4}"/>
    <cellStyle name="20% - Accent5 22 3 2 8 3" xfId="12469" xr:uid="{0BFA8E1F-2FA1-491A-8AC3-5ECA3FADF09C}"/>
    <cellStyle name="20% - Accent5 22 3 2 8 3 2" xfId="28673" xr:uid="{083321F9-4AC3-4238-B1B6-630F4CB807D5}"/>
    <cellStyle name="20% - Accent5 22 3 2 8 4" xfId="21113" xr:uid="{20CEF990-7370-4478-A056-39E2125620F1}"/>
    <cellStyle name="20% - Accent5 22 3 2 9" xfId="5395" xr:uid="{C17A638C-F4AF-4602-8DC6-3EA3EB1A7954}"/>
    <cellStyle name="20% - Accent5 22 3 2 9 2" xfId="12944" xr:uid="{D7E29F50-5BEB-4317-9D4B-FE32E97A2E2E}"/>
    <cellStyle name="20% - Accent5 22 3 2 9 2 2" xfId="29148" xr:uid="{C02EECD4-816D-4B59-ACC6-BACA49A23359}"/>
    <cellStyle name="20% - Accent5 22 3 2 9 3" xfId="21599" xr:uid="{4C982E51-0706-4497-B94C-4D72D3432DE8}"/>
    <cellStyle name="20% - Accent5 22 3 3" xfId="1849" xr:uid="{0AE1264C-8F47-455A-96D1-9F0FB127CB8F}"/>
    <cellStyle name="20% - Accent5 22 3 3 10" xfId="18154" xr:uid="{697F3E0E-634D-4508-98E6-9A0537C5FCC0}"/>
    <cellStyle name="20% - Accent5 22 3 3 2" xfId="2358" xr:uid="{119052D4-9722-48A2-8602-91DB1BF65B14}"/>
    <cellStyle name="20% - Accent5 22 3 3 2 2" xfId="3205" xr:uid="{4C731D7C-1C66-4D72-8CAB-898355A36C70}"/>
    <cellStyle name="20% - Accent5 22 3 3 2 2 2" xfId="6987" xr:uid="{AB13C529-69F3-45B6-9884-C378652DBAC1}"/>
    <cellStyle name="20% - Accent5 22 3 3 2 2 2 2" xfId="14498" xr:uid="{35BC2915-6782-4101-8275-2DEE44406694}"/>
    <cellStyle name="20% - Accent5 22 3 3 2 2 2 2 2" xfId="30702" xr:uid="{A7C78702-3BB0-4E05-A783-015D16CCAC63}"/>
    <cellStyle name="20% - Accent5 22 3 3 2 2 2 3" xfId="23191" xr:uid="{16B14A75-2035-49ED-8B10-3514D9373ED2}"/>
    <cellStyle name="20% - Accent5 22 3 3 2 2 3" xfId="10898" xr:uid="{9071E2D4-A8C8-4DBA-9029-935CB89B16EF}"/>
    <cellStyle name="20% - Accent5 22 3 3 2 2 3 2" xfId="27102" xr:uid="{41E5F21E-FB88-4FE9-901C-1971A72B5D01}"/>
    <cellStyle name="20% - Accent5 22 3 3 2 2 4" xfId="19425" xr:uid="{A4AE4A61-92B7-46A2-9DC5-89C4BF19192B}"/>
    <cellStyle name="20% - Accent5 22 3 3 2 3" xfId="6142" xr:uid="{AD5797C9-8407-4FB9-9672-585DEBA23BDF}"/>
    <cellStyle name="20% - Accent5 22 3 3 2 3 2" xfId="13654" xr:uid="{4F85E900-4561-4F01-B7BC-9F098D813007}"/>
    <cellStyle name="20% - Accent5 22 3 3 2 3 2 2" xfId="29858" xr:uid="{A34130C2-F8AD-444C-BD0B-201F90ACCFF2}"/>
    <cellStyle name="20% - Accent5 22 3 3 2 3 3" xfId="22346" xr:uid="{F044C560-C6C3-4D7F-98AE-1BCC232A0AE2}"/>
    <cellStyle name="20% - Accent5 22 3 3 2 4" xfId="10054" xr:uid="{CF3FAFAA-38E9-4CE0-8F2C-E54D363CD0BD}"/>
    <cellStyle name="20% - Accent5 22 3 3 2 4 2" xfId="26258" xr:uid="{E6969047-6F3B-4ACE-AF8A-AF5F1AB849B7}"/>
    <cellStyle name="20% - Accent5 22 3 3 2 5" xfId="18580" xr:uid="{1B6C97D1-1497-42BA-B6B3-1152DC55FF36}"/>
    <cellStyle name="20% - Accent5 22 3 3 3" xfId="2780" xr:uid="{E0A5C378-0646-45D2-8AED-B9B17E5A3C1F}"/>
    <cellStyle name="20% - Accent5 22 3 3 3 2" xfId="6564" xr:uid="{C0552CE3-C4CA-4149-BEA7-FD6F408361E4}"/>
    <cellStyle name="20% - Accent5 22 3 3 3 2 2" xfId="14076" xr:uid="{59CF0BC3-A43B-45DA-9CC7-7CB750A73158}"/>
    <cellStyle name="20% - Accent5 22 3 3 3 2 2 2" xfId="30280" xr:uid="{3011F3D6-A368-4E10-B0B7-63D449FAAEB9}"/>
    <cellStyle name="20% - Accent5 22 3 3 3 2 3" xfId="22768" xr:uid="{2DBF581A-D5E8-4F2D-B3CF-6D5E52AB0B49}"/>
    <cellStyle name="20% - Accent5 22 3 3 3 3" xfId="10476" xr:uid="{D9F02EE6-7E38-4352-B608-0E825EA9628A}"/>
    <cellStyle name="20% - Accent5 22 3 3 3 3 2" xfId="26680" xr:uid="{792490DE-5883-4C3B-9A5D-2D26617EC654}"/>
    <cellStyle name="20% - Accent5 22 3 3 3 4" xfId="19002" xr:uid="{05BEAAB1-4512-4705-8E20-00D57AF259D5}"/>
    <cellStyle name="20% - Accent5 22 3 3 4" xfId="3711" xr:uid="{799F9089-5F50-43E9-8581-B47793C60C8B}"/>
    <cellStyle name="20% - Accent5 22 3 3 4 2" xfId="7421" xr:uid="{7751F60D-760F-4B64-8B62-063378A8A361}"/>
    <cellStyle name="20% - Accent5 22 3 3 4 2 2" xfId="14930" xr:uid="{EFA548AA-9330-4FD9-A171-AE0937A517E5}"/>
    <cellStyle name="20% - Accent5 22 3 3 4 2 2 2" xfId="31134" xr:uid="{465F6C4D-F413-4CD6-A48F-E36B1683D639}"/>
    <cellStyle name="20% - Accent5 22 3 3 4 2 3" xfId="23625" xr:uid="{693D79FE-980B-469F-9AC4-DEBEB6BAD914}"/>
    <cellStyle name="20% - Accent5 22 3 3 4 3" xfId="11321" xr:uid="{CC944390-9270-4B0B-A255-E73827845422}"/>
    <cellStyle name="20% - Accent5 22 3 3 4 3 2" xfId="27525" xr:uid="{EA2FD959-A929-4D57-826D-5A93573B3854}"/>
    <cellStyle name="20% - Accent5 22 3 3 4 4" xfId="19920" xr:uid="{761D4442-3DF0-472D-82C8-9EBBADEAC9B8}"/>
    <cellStyle name="20% - Accent5 22 3 3 5" xfId="4180" xr:uid="{21F54D37-5950-4102-B60A-6E658A61D2E9}"/>
    <cellStyle name="20% - Accent5 22 3 3 5 2" xfId="7850" xr:uid="{33F80E44-88F4-4B29-83CD-C51850672A94}"/>
    <cellStyle name="20% - Accent5 22 3 3 5 2 2" xfId="15357" xr:uid="{18DCE89A-BF18-42C7-838B-808F2D8AA748}"/>
    <cellStyle name="20% - Accent5 22 3 3 5 2 2 2" xfId="31561" xr:uid="{210C6C62-3AC0-4130-9F97-A8483C8A369D}"/>
    <cellStyle name="20% - Accent5 22 3 3 5 2 3" xfId="24054" xr:uid="{9881064A-7FA0-4652-A08C-D23811E0CEE4}"/>
    <cellStyle name="20% - Accent5 22 3 3 5 3" xfId="11743" xr:uid="{1F4A3CC2-8B26-4327-ADFF-BBE18E806D13}"/>
    <cellStyle name="20% - Accent5 22 3 3 5 3 2" xfId="27947" xr:uid="{0ED8B4C8-15BF-4319-AD51-63A189501268}"/>
    <cellStyle name="20% - Accent5 22 3 3 5 4" xfId="20384" xr:uid="{52883E3D-8F2F-4557-B21C-92DFE07A0611}"/>
    <cellStyle name="20% - Accent5 22 3 3 6" xfId="4605" xr:uid="{BD4D9FB0-2033-4E93-8350-12AF49FF8092}"/>
    <cellStyle name="20% - Accent5 22 3 3 6 2" xfId="8275" xr:uid="{8F82586D-DF1B-4A71-8504-68590D474213}"/>
    <cellStyle name="20% - Accent5 22 3 3 6 2 2" xfId="15782" xr:uid="{AB82C865-D5F5-4DF3-9FCC-7B46F7B2EE39}"/>
    <cellStyle name="20% - Accent5 22 3 3 6 2 2 2" xfId="31986" xr:uid="{77BECC0F-BD3C-4CC6-9ABB-C38FFB9AC7F8}"/>
    <cellStyle name="20% - Accent5 22 3 3 6 2 3" xfId="24479" xr:uid="{0CCE3047-BA3A-4F18-89CB-9C564502A5B5}"/>
    <cellStyle name="20% - Accent5 22 3 3 6 3" xfId="12168" xr:uid="{B24BA23B-9BB3-496B-8912-3CEBDEF1DF6F}"/>
    <cellStyle name="20% - Accent5 22 3 3 6 3 2" xfId="28372" xr:uid="{F0A3A0ED-FE28-4AFA-AB04-C74E73C20642}"/>
    <cellStyle name="20% - Accent5 22 3 3 6 4" xfId="20809" xr:uid="{A9935ED6-ECB3-4108-A86E-82EA26043D68}"/>
    <cellStyle name="20% - Accent5 22 3 3 7" xfId="5032" xr:uid="{805D867D-0C0A-4B35-8184-E899EAC90D48}"/>
    <cellStyle name="20% - Accent5 22 3 3 7 2" xfId="8698" xr:uid="{54C66144-C379-472C-A593-39381623F366}"/>
    <cellStyle name="20% - Accent5 22 3 3 7 2 2" xfId="16205" xr:uid="{47528621-3E80-4BE7-AD10-67CE64511C5E}"/>
    <cellStyle name="20% - Accent5 22 3 3 7 2 2 2" xfId="32409" xr:uid="{42AAC999-C1B4-4B43-9196-98925A577E49}"/>
    <cellStyle name="20% - Accent5 22 3 3 7 2 3" xfId="24902" xr:uid="{32C57504-EC1C-4699-A3D1-B4BD75F1D823}"/>
    <cellStyle name="20% - Accent5 22 3 3 7 3" xfId="12590" xr:uid="{5962435E-6285-4BA9-99F7-9D37ACDB98D7}"/>
    <cellStyle name="20% - Accent5 22 3 3 7 3 2" xfId="28794" xr:uid="{22AD34C0-09F9-457F-9D28-E742FFBCAD97}"/>
    <cellStyle name="20% - Accent5 22 3 3 7 4" xfId="21236" xr:uid="{9CC50CD0-6B53-462A-B831-69A62E9943B4}"/>
    <cellStyle name="20% - Accent5 22 3 3 8" xfId="5704" xr:uid="{DBD9667F-EBA4-470A-8AA7-4E19FBBD8756}"/>
    <cellStyle name="20% - Accent5 22 3 3 8 2" xfId="13219" xr:uid="{60B36D5D-CB3B-4828-B78C-2745D4E99E3F}"/>
    <cellStyle name="20% - Accent5 22 3 3 8 2 2" xfId="29423" xr:uid="{3C1D478D-8A53-459A-B42D-83A631DFD964}"/>
    <cellStyle name="20% - Accent5 22 3 3 8 3" xfId="21908" xr:uid="{CE9A86B2-E313-4C13-A987-071086B5E825}"/>
    <cellStyle name="20% - Accent5 22 3 3 9" xfId="9631" xr:uid="{1204806B-AFB6-445B-9BB6-37317DF3B22F}"/>
    <cellStyle name="20% - Accent5 22 3 3 9 2" xfId="25835" xr:uid="{81FAF925-59FD-4A4B-A9AE-78D8C8B22F6B}"/>
    <cellStyle name="20% - Accent5 22 3 4" xfId="2104" xr:uid="{FF9C12EA-038D-48DB-A51B-A331F6359501}"/>
    <cellStyle name="20% - Accent5 22 3 4 2" xfId="3017" xr:uid="{9173710D-45D8-4171-AA7E-DC6E2FA6698B}"/>
    <cellStyle name="20% - Accent5 22 3 4 2 2" xfId="6799" xr:uid="{3319D091-B438-4721-AA2D-FE902B35593B}"/>
    <cellStyle name="20% - Accent5 22 3 4 2 2 2" xfId="14310" xr:uid="{52F558B5-0403-4EFB-92BD-06791D58A825}"/>
    <cellStyle name="20% - Accent5 22 3 4 2 2 2 2" xfId="30514" xr:uid="{A4796B0A-C918-4AE4-9E3F-5403399C6950}"/>
    <cellStyle name="20% - Accent5 22 3 4 2 2 3" xfId="23003" xr:uid="{6E1BA7A5-9438-457C-BCAD-F6712824D99F}"/>
    <cellStyle name="20% - Accent5 22 3 4 2 3" xfId="10710" xr:uid="{7EA3B10A-1637-42E0-AADF-AEAD401F3570}"/>
    <cellStyle name="20% - Accent5 22 3 4 2 3 2" xfId="26914" xr:uid="{B7D7D590-22CE-4998-8392-2A9842634745}"/>
    <cellStyle name="20% - Accent5 22 3 4 2 4" xfId="19237" xr:uid="{B92206D0-229A-4DA7-B9AA-200A82278E75}"/>
    <cellStyle name="20% - Accent5 22 3 4 3" xfId="5943" xr:uid="{E474E040-FD5B-430E-8CE8-B06391805FAA}"/>
    <cellStyle name="20% - Accent5 22 3 4 3 2" xfId="13457" xr:uid="{BE03EE16-9B61-4233-AB9F-AD18D014D6E2}"/>
    <cellStyle name="20% - Accent5 22 3 4 3 2 2" xfId="29661" xr:uid="{7BAE8041-5AE3-43C5-9874-CCCF44AA38C7}"/>
    <cellStyle name="20% - Accent5 22 3 4 3 3" xfId="22147" xr:uid="{A76F5E25-A898-443D-B398-66B9A0E2B7E1}"/>
    <cellStyle name="20% - Accent5 22 3 4 4" xfId="9866" xr:uid="{CDC7364A-6487-4C5C-8A1E-F18FB6C53451}"/>
    <cellStyle name="20% - Accent5 22 3 4 4 2" xfId="26070" xr:uid="{966143A0-3B76-4FFA-BC68-05CEA180B63C}"/>
    <cellStyle name="20% - Accent5 22 3 4 5" xfId="18391" xr:uid="{EFB48C04-1B20-46BA-B03E-44AC9DB297E1}"/>
    <cellStyle name="20% - Accent5 22 3 5" xfId="2592" xr:uid="{F5A8F498-767B-47A0-AB67-313CDA89A6C8}"/>
    <cellStyle name="20% - Accent5 22 3 5 2" xfId="6376" xr:uid="{0717F82A-848C-48F1-ADE1-3433FB6AA508}"/>
    <cellStyle name="20% - Accent5 22 3 5 2 2" xfId="13888" xr:uid="{4F7D86EB-4DF5-4A8C-8009-3C2B25DA4255}"/>
    <cellStyle name="20% - Accent5 22 3 5 2 2 2" xfId="30092" xr:uid="{ACE63D28-8DE7-4321-A0D9-F1D619F6FAAD}"/>
    <cellStyle name="20% - Accent5 22 3 5 2 3" xfId="22580" xr:uid="{CEA2346A-593A-4277-B858-B229DF213A90}"/>
    <cellStyle name="20% - Accent5 22 3 5 3" xfId="10288" xr:uid="{BC34AC1A-37B8-4952-9A12-6C1BD791A6B2}"/>
    <cellStyle name="20% - Accent5 22 3 5 3 2" xfId="26492" xr:uid="{45BF8F38-4F66-46B2-8E2B-89648A1E872A}"/>
    <cellStyle name="20% - Accent5 22 3 5 4" xfId="18814" xr:uid="{4115272F-B966-4B93-BF31-CFEA9DDB1661}"/>
    <cellStyle name="20% - Accent5 22 3 6" xfId="3468" xr:uid="{D29DAB54-CEA0-4512-9BCC-6D7BD742F63A}"/>
    <cellStyle name="20% - Accent5 22 3 6 2" xfId="7226" xr:uid="{9AF7214B-3461-46E4-93FD-F06563379947}"/>
    <cellStyle name="20% - Accent5 22 3 6 2 2" xfId="14736" xr:uid="{5B7DCB89-8E84-44EA-A12F-EFE30E2AD5C0}"/>
    <cellStyle name="20% - Accent5 22 3 6 2 2 2" xfId="30940" xr:uid="{CA7EE6AB-712D-486E-96EA-6C5E5D6BC821}"/>
    <cellStyle name="20% - Accent5 22 3 6 2 3" xfId="23430" xr:uid="{79E463F2-7458-4AA9-A9D6-0CE1D700B0B5}"/>
    <cellStyle name="20% - Accent5 22 3 6 3" xfId="11133" xr:uid="{A56DA45F-D5FC-4037-999F-635E85970DBD}"/>
    <cellStyle name="20% - Accent5 22 3 6 3 2" xfId="27337" xr:uid="{A1395EA7-5537-4894-9BA1-0158DA5A17DB}"/>
    <cellStyle name="20% - Accent5 22 3 6 4" xfId="19684" xr:uid="{EA44DF80-790C-4DF9-A202-E6D6C0A3BE1F}"/>
    <cellStyle name="20% - Accent5 22 3 7" xfId="3992" xr:uid="{8455775A-6A8F-442E-8675-CE1DB4153ED6}"/>
    <cellStyle name="20% - Accent5 22 3 7 2" xfId="7662" xr:uid="{2C28BCD2-6E49-498C-869B-91BE0B2D4969}"/>
    <cellStyle name="20% - Accent5 22 3 7 2 2" xfId="15169" xr:uid="{66E30E82-16B6-4339-AC2B-5009B9C242BA}"/>
    <cellStyle name="20% - Accent5 22 3 7 2 2 2" xfId="31373" xr:uid="{D41D9C0D-BD1B-412A-B38D-B353AEA8551F}"/>
    <cellStyle name="20% - Accent5 22 3 7 2 3" xfId="23866" xr:uid="{D0E240BE-878D-494C-A469-8FEB667134A7}"/>
    <cellStyle name="20% - Accent5 22 3 7 3" xfId="11555" xr:uid="{3314FFAF-B553-4F55-A610-930069E8015B}"/>
    <cellStyle name="20% - Accent5 22 3 7 3 2" xfId="27759" xr:uid="{9431EF27-00CE-44F8-87FE-1FB871445651}"/>
    <cellStyle name="20% - Accent5 22 3 7 4" xfId="20196" xr:uid="{0E519C83-33BB-4232-8434-043ECDFC0DCE}"/>
    <cellStyle name="20% - Accent5 22 3 8" xfId="4417" xr:uid="{E6C7598A-EBEE-4EEF-9587-2287FD5799CA}"/>
    <cellStyle name="20% - Accent5 22 3 8 2" xfId="8087" xr:uid="{D599DD02-B72F-42E0-87CF-67BC7BE42D47}"/>
    <cellStyle name="20% - Accent5 22 3 8 2 2" xfId="15594" xr:uid="{1E020BCA-992F-417E-8C88-9403E91958B7}"/>
    <cellStyle name="20% - Accent5 22 3 8 2 2 2" xfId="31798" xr:uid="{BAE457BC-F978-4774-95D9-109CD3F5A1A4}"/>
    <cellStyle name="20% - Accent5 22 3 8 2 3" xfId="24291" xr:uid="{0F08754E-45D0-4F84-A670-7B0E7EE3DEE2}"/>
    <cellStyle name="20% - Accent5 22 3 8 3" xfId="11980" xr:uid="{857857C7-E0F1-477D-9760-9321219B5A3B}"/>
    <cellStyle name="20% - Accent5 22 3 8 3 2" xfId="28184" xr:uid="{7746E968-46E0-4690-A187-2450785EBD4C}"/>
    <cellStyle name="20% - Accent5 22 3 8 4" xfId="20621" xr:uid="{75C5A6B9-0F8C-42FD-9ABC-BA6A938A8953}"/>
    <cellStyle name="20% - Accent5 22 3 9" xfId="4841" xr:uid="{5965F643-B7C1-431E-A0C3-C31E7A8191C4}"/>
    <cellStyle name="20% - Accent5 22 3 9 2" xfId="8510" xr:uid="{5557AD9C-3D24-402A-9FB2-66EE3F66A52F}"/>
    <cellStyle name="20% - Accent5 22 3 9 2 2" xfId="16017" xr:uid="{43C70F6C-555A-48AA-87AA-ACA6522CB153}"/>
    <cellStyle name="20% - Accent5 22 3 9 2 2 2" xfId="32221" xr:uid="{9F4B55EF-417C-422A-B4F3-83CDA06D5383}"/>
    <cellStyle name="20% - Accent5 22 3 9 2 3" xfId="24714" xr:uid="{4426C4E5-C86F-493F-A83F-50838C3A84E6}"/>
    <cellStyle name="20% - Accent5 22 3 9 3" xfId="12402" xr:uid="{1F6C70AC-D8BA-4864-B34A-E4226AF022C8}"/>
    <cellStyle name="20% - Accent5 22 3 9 3 2" xfId="28606" xr:uid="{F405825C-8E72-4AC7-BFD1-1430DEFA62D7}"/>
    <cellStyle name="20% - Accent5 22 3 9 4" xfId="21045" xr:uid="{EF53D983-2DD6-4929-A8DF-DADCE74F45FB}"/>
    <cellStyle name="20% - Accent5 22 4" xfId="558" xr:uid="{A3363CDD-34B6-4E90-BA34-57D5B97AC3EC}"/>
    <cellStyle name="20% - Accent5 22 4 10" xfId="9466" xr:uid="{9D425A1C-8406-44A3-AA9E-99AB86E6FD15}"/>
    <cellStyle name="20% - Accent5 22 4 10 2" xfId="25670" xr:uid="{A0AD000B-207C-41CB-B4D3-B1A42E1A075A}"/>
    <cellStyle name="20% - Accent5 22 4 11" xfId="17982" xr:uid="{D6C0C472-4180-446E-ACC6-22019C90FD85}"/>
    <cellStyle name="20% - Accent5 22 4 2" xfId="1850" xr:uid="{C4D8CD5A-AEC7-4BC8-B652-E2F943B2EAB3}"/>
    <cellStyle name="20% - Accent5 22 4 2 10" xfId="18155" xr:uid="{9C1FBB2D-5DBF-40EF-AFC5-9E9CF5BAA837}"/>
    <cellStyle name="20% - Accent5 22 4 2 2" xfId="2359" xr:uid="{24A8A469-5B55-4682-A440-C3304EA002C3}"/>
    <cellStyle name="20% - Accent5 22 4 2 2 2" xfId="3206" xr:uid="{3FF8AA9C-673B-4F7A-8BCC-4F45C78EAFB7}"/>
    <cellStyle name="20% - Accent5 22 4 2 2 2 2" xfId="6988" xr:uid="{CC588B29-963C-499E-A829-4DC8CF31BF34}"/>
    <cellStyle name="20% - Accent5 22 4 2 2 2 2 2" xfId="14499" xr:uid="{0F782B45-D827-4DBC-9E83-EAE201E2C91B}"/>
    <cellStyle name="20% - Accent5 22 4 2 2 2 2 2 2" xfId="30703" xr:uid="{44A6766E-6318-4E36-9BA5-4483C871EBEB}"/>
    <cellStyle name="20% - Accent5 22 4 2 2 2 2 3" xfId="23192" xr:uid="{E21F1751-4DE0-43A4-BF8C-F90830E1BE2C}"/>
    <cellStyle name="20% - Accent5 22 4 2 2 2 3" xfId="10899" xr:uid="{94476F84-2BA2-463A-9F6B-BD9CF0A27724}"/>
    <cellStyle name="20% - Accent5 22 4 2 2 2 3 2" xfId="27103" xr:uid="{9F32BC09-8F38-4F4E-A5FE-1EE2B6BF4A81}"/>
    <cellStyle name="20% - Accent5 22 4 2 2 2 4" xfId="19426" xr:uid="{09681194-145C-4F9D-95B4-E386D881B704}"/>
    <cellStyle name="20% - Accent5 22 4 2 2 3" xfId="6143" xr:uid="{8823770A-81B5-4F02-A8FB-2F2536560B06}"/>
    <cellStyle name="20% - Accent5 22 4 2 2 3 2" xfId="13655" xr:uid="{6EF53D06-85EE-483E-A03B-E39B32E18ABC}"/>
    <cellStyle name="20% - Accent5 22 4 2 2 3 2 2" xfId="29859" xr:uid="{4BBC91B7-86FA-420A-8802-89E8BE2A241F}"/>
    <cellStyle name="20% - Accent5 22 4 2 2 3 3" xfId="22347" xr:uid="{E6BB35A7-EC01-42FA-A2FA-4CB2DE91FC0B}"/>
    <cellStyle name="20% - Accent5 22 4 2 2 4" xfId="10055" xr:uid="{05282ADA-B5BC-4CDC-94A4-61925388A334}"/>
    <cellStyle name="20% - Accent5 22 4 2 2 4 2" xfId="26259" xr:uid="{D9AF87F8-8FDF-4AD7-8C6A-BBEE2E55EBE6}"/>
    <cellStyle name="20% - Accent5 22 4 2 2 5" xfId="18581" xr:uid="{A3344270-F133-464D-B1AA-5F3E7B154AEE}"/>
    <cellStyle name="20% - Accent5 22 4 2 3" xfId="2781" xr:uid="{33A5BBCF-FE45-4DDD-99C7-24917E105447}"/>
    <cellStyle name="20% - Accent5 22 4 2 3 2" xfId="6565" xr:uid="{A4C5D70F-FB68-4730-8F45-B408B9EE0EB0}"/>
    <cellStyle name="20% - Accent5 22 4 2 3 2 2" xfId="14077" xr:uid="{15F7CC04-0298-4998-B1ED-44E6B61509E2}"/>
    <cellStyle name="20% - Accent5 22 4 2 3 2 2 2" xfId="30281" xr:uid="{A93824CB-4E6A-4892-B4D0-A56A422292C0}"/>
    <cellStyle name="20% - Accent5 22 4 2 3 2 3" xfId="22769" xr:uid="{42A24ABA-C8FB-402F-BF7B-1F7C0EE6D575}"/>
    <cellStyle name="20% - Accent5 22 4 2 3 3" xfId="10477" xr:uid="{287A5A13-8210-4781-BF68-6062DEF3638E}"/>
    <cellStyle name="20% - Accent5 22 4 2 3 3 2" xfId="26681" xr:uid="{5D07CE98-90C3-4177-A76E-FC5590097210}"/>
    <cellStyle name="20% - Accent5 22 4 2 3 4" xfId="19003" xr:uid="{B6A951D3-8008-43DE-9899-73CF4A2EA4C8}"/>
    <cellStyle name="20% - Accent5 22 4 2 4" xfId="3712" xr:uid="{F9154E0F-678B-4ECB-B00F-8287E3DE3864}"/>
    <cellStyle name="20% - Accent5 22 4 2 4 2" xfId="7422" xr:uid="{13D002E2-E90E-447D-B9AC-FBD681578C5D}"/>
    <cellStyle name="20% - Accent5 22 4 2 4 2 2" xfId="14931" xr:uid="{2CA25728-4E95-4E82-8629-ACD2031A8F32}"/>
    <cellStyle name="20% - Accent5 22 4 2 4 2 2 2" xfId="31135" xr:uid="{F377BDFF-97F4-4181-8C97-4E399AC53289}"/>
    <cellStyle name="20% - Accent5 22 4 2 4 2 3" xfId="23626" xr:uid="{0C996E5C-C419-4563-8B13-E0A79BA70575}"/>
    <cellStyle name="20% - Accent5 22 4 2 4 3" xfId="11322" xr:uid="{2E6067A4-89F4-4A29-9B4C-CB18262E9D8B}"/>
    <cellStyle name="20% - Accent5 22 4 2 4 3 2" xfId="27526" xr:uid="{78047CA7-2D7C-4A42-992D-90230C0B1F88}"/>
    <cellStyle name="20% - Accent5 22 4 2 4 4" xfId="19921" xr:uid="{205F73A0-5447-43AE-A403-3BF9FAD6C044}"/>
    <cellStyle name="20% - Accent5 22 4 2 5" xfId="4181" xr:uid="{8F65D893-842B-4BA1-B5AC-D7E463719678}"/>
    <cellStyle name="20% - Accent5 22 4 2 5 2" xfId="7851" xr:uid="{D8C8AABE-91E9-4E2C-AC11-D061EB372A62}"/>
    <cellStyle name="20% - Accent5 22 4 2 5 2 2" xfId="15358" xr:uid="{60579589-37CC-4560-BA74-7FDB83C0BAD1}"/>
    <cellStyle name="20% - Accent5 22 4 2 5 2 2 2" xfId="31562" xr:uid="{8A15AE50-2AEB-4D93-9BFB-E451B7B76487}"/>
    <cellStyle name="20% - Accent5 22 4 2 5 2 3" xfId="24055" xr:uid="{1359008B-1806-4267-80C8-499BEF40801E}"/>
    <cellStyle name="20% - Accent5 22 4 2 5 3" xfId="11744" xr:uid="{4AE3710F-73FB-45CE-9B1A-4F81A67CABC6}"/>
    <cellStyle name="20% - Accent5 22 4 2 5 3 2" xfId="27948" xr:uid="{CDC23548-9223-473C-BEC1-EA42D967CFCF}"/>
    <cellStyle name="20% - Accent5 22 4 2 5 4" xfId="20385" xr:uid="{219E3A4E-4FA6-4D3D-9B8B-7B12471D2B7F}"/>
    <cellStyle name="20% - Accent5 22 4 2 6" xfId="4606" xr:uid="{22EFDC80-FB6F-4677-916E-814FC3A25584}"/>
    <cellStyle name="20% - Accent5 22 4 2 6 2" xfId="8276" xr:uid="{8FAA526C-1C92-484C-A99C-8AE451DFAE21}"/>
    <cellStyle name="20% - Accent5 22 4 2 6 2 2" xfId="15783" xr:uid="{1B90E71A-54E3-4FB3-BE36-9EF377140BE0}"/>
    <cellStyle name="20% - Accent5 22 4 2 6 2 2 2" xfId="31987" xr:uid="{82A1A441-1F05-4D7C-B4E0-9A9CBE3DEE88}"/>
    <cellStyle name="20% - Accent5 22 4 2 6 2 3" xfId="24480" xr:uid="{08A41316-F033-493E-B0EF-CF00A3582842}"/>
    <cellStyle name="20% - Accent5 22 4 2 6 3" xfId="12169" xr:uid="{2C9E946C-37B7-432F-9AD0-452B768E8459}"/>
    <cellStyle name="20% - Accent5 22 4 2 6 3 2" xfId="28373" xr:uid="{AE8732CB-17FA-43D3-8C45-ED7FFA35122E}"/>
    <cellStyle name="20% - Accent5 22 4 2 6 4" xfId="20810" xr:uid="{2418EEC1-B987-4FF4-8DD2-6BC210AD3B20}"/>
    <cellStyle name="20% - Accent5 22 4 2 7" xfId="5033" xr:uid="{ADDC7323-5019-4CD4-9976-E0C283BABDE7}"/>
    <cellStyle name="20% - Accent5 22 4 2 7 2" xfId="8699" xr:uid="{AED40B8B-2A42-48AE-8FEE-624C8FEAC97E}"/>
    <cellStyle name="20% - Accent5 22 4 2 7 2 2" xfId="16206" xr:uid="{109A840B-3DC2-41ED-931C-CB4A89AE91D2}"/>
    <cellStyle name="20% - Accent5 22 4 2 7 2 2 2" xfId="32410" xr:uid="{2A4517B6-0B04-4CC0-BDFD-891DF6BCC8AD}"/>
    <cellStyle name="20% - Accent5 22 4 2 7 2 3" xfId="24903" xr:uid="{94FB7215-17CC-4742-BFB3-7EB762D6578A}"/>
    <cellStyle name="20% - Accent5 22 4 2 7 3" xfId="12591" xr:uid="{B9D8FA1D-DCC9-415E-9214-625E59F0C086}"/>
    <cellStyle name="20% - Accent5 22 4 2 7 3 2" xfId="28795" xr:uid="{A20F6010-C644-42ED-BD06-48E3E3E4F86E}"/>
    <cellStyle name="20% - Accent5 22 4 2 7 4" xfId="21237" xr:uid="{BF1419FD-16E6-4393-AFE0-3EC9D3C71E46}"/>
    <cellStyle name="20% - Accent5 22 4 2 8" xfId="5705" xr:uid="{4B2233E2-5EE0-46EA-9ABF-74DAF5671F55}"/>
    <cellStyle name="20% - Accent5 22 4 2 8 2" xfId="13220" xr:uid="{A58782CF-5DE1-451C-85AA-B3EADD591A86}"/>
    <cellStyle name="20% - Accent5 22 4 2 8 2 2" xfId="29424" xr:uid="{2AFB7C9C-85F2-4B9C-81F0-5BD5AF94BD82}"/>
    <cellStyle name="20% - Accent5 22 4 2 8 3" xfId="21909" xr:uid="{4F3BA91A-51AC-4D58-B72E-83904312C78D}"/>
    <cellStyle name="20% - Accent5 22 4 2 9" xfId="9632" xr:uid="{F95216D5-7158-499B-AA83-AD8FC52959AC}"/>
    <cellStyle name="20% - Accent5 22 4 2 9 2" xfId="25836" xr:uid="{8D2A17CD-61D4-400C-84EC-4B42A81F48B5}"/>
    <cellStyle name="20% - Accent5 22 4 3" xfId="2127" xr:uid="{5764B3E7-9D29-4411-BFD4-567111F36D0C}"/>
    <cellStyle name="20% - Accent5 22 4 3 2" xfId="3040" xr:uid="{34261EAC-31B2-46C1-A717-5D42C29FA878}"/>
    <cellStyle name="20% - Accent5 22 4 3 2 2" xfId="6822" xr:uid="{ABA787B7-9D37-4CEA-8E89-E6DAE383CD2B}"/>
    <cellStyle name="20% - Accent5 22 4 3 2 2 2" xfId="14333" xr:uid="{B40A802B-BD45-4C19-901A-389D126D0F78}"/>
    <cellStyle name="20% - Accent5 22 4 3 2 2 2 2" xfId="30537" xr:uid="{67244781-1C78-4F6B-99E3-A67F37A80202}"/>
    <cellStyle name="20% - Accent5 22 4 3 2 2 3" xfId="23026" xr:uid="{BDB6996C-E1AC-4050-A6FE-7879450B528F}"/>
    <cellStyle name="20% - Accent5 22 4 3 2 3" xfId="10733" xr:uid="{D97D3D67-4C24-4520-B517-15EAA120E93F}"/>
    <cellStyle name="20% - Accent5 22 4 3 2 3 2" xfId="26937" xr:uid="{DB5718A3-72AC-46CC-A8E2-9E66C8D8D437}"/>
    <cellStyle name="20% - Accent5 22 4 3 2 4" xfId="19260" xr:uid="{28351275-FA9A-4D7E-8237-2258B1F58A34}"/>
    <cellStyle name="20% - Accent5 22 4 3 3" xfId="5966" xr:uid="{BA97CDBD-FC73-4CA7-A820-71728AEECA8A}"/>
    <cellStyle name="20% - Accent5 22 4 3 3 2" xfId="13480" xr:uid="{F3954DAA-8F0E-4B0C-A5D2-13EDCC91995F}"/>
    <cellStyle name="20% - Accent5 22 4 3 3 2 2" xfId="29684" xr:uid="{20C403EA-95CD-4D57-BD50-C562358E53AC}"/>
    <cellStyle name="20% - Accent5 22 4 3 3 3" xfId="22170" xr:uid="{1913A0AB-8CC3-44E9-BCD7-B9114CC02B69}"/>
    <cellStyle name="20% - Accent5 22 4 3 4" xfId="9889" xr:uid="{54A635AC-A529-40EC-A005-FED47A21A9D9}"/>
    <cellStyle name="20% - Accent5 22 4 3 4 2" xfId="26093" xr:uid="{DE3DCC82-551F-4FD5-ABFF-4236C662898F}"/>
    <cellStyle name="20% - Accent5 22 4 3 5" xfId="18414" xr:uid="{E01EB8D2-178E-4932-83DE-7EAFCEDA309E}"/>
    <cellStyle name="20% - Accent5 22 4 4" xfId="2615" xr:uid="{50CD4159-3138-40D6-A29C-037C817322F5}"/>
    <cellStyle name="20% - Accent5 22 4 4 2" xfId="6399" xr:uid="{C9146E67-0B17-493B-9AEF-60E8DB3A9298}"/>
    <cellStyle name="20% - Accent5 22 4 4 2 2" xfId="13911" xr:uid="{AA0B5EC6-30DD-492D-9BF9-629A6F6F4D94}"/>
    <cellStyle name="20% - Accent5 22 4 4 2 2 2" xfId="30115" xr:uid="{9BA9CC3E-633A-4F39-BC81-142A2175E1ED}"/>
    <cellStyle name="20% - Accent5 22 4 4 2 3" xfId="22603" xr:uid="{1570DF9E-0CBA-4E25-8FE6-D1AFBEA702BB}"/>
    <cellStyle name="20% - Accent5 22 4 4 3" xfId="10311" xr:uid="{3DCADDF8-9B27-440D-89BD-9A3CC5DB99BE}"/>
    <cellStyle name="20% - Accent5 22 4 4 3 2" xfId="26515" xr:uid="{0FB91CBF-AFDB-4631-877B-9257604FE463}"/>
    <cellStyle name="20% - Accent5 22 4 4 4" xfId="18837" xr:uid="{CEE08BBA-762B-4B84-B127-7132203BA758}"/>
    <cellStyle name="20% - Accent5 22 4 5" xfId="3491" xr:uid="{4CE29A39-023A-49B2-AA4B-6207CA3C227D}"/>
    <cellStyle name="20% - Accent5 22 4 5 2" xfId="7249" xr:uid="{8C7D2707-159A-432F-83D9-D6CCBF9B265D}"/>
    <cellStyle name="20% - Accent5 22 4 5 2 2" xfId="14759" xr:uid="{22D5C554-C76E-4A3B-9F3C-23B805C2A73E}"/>
    <cellStyle name="20% - Accent5 22 4 5 2 2 2" xfId="30963" xr:uid="{76F4E49F-08BA-4C04-AA2B-388C9ADDB47E}"/>
    <cellStyle name="20% - Accent5 22 4 5 2 3" xfId="23453" xr:uid="{1594FBF4-AA1B-44AB-B2FD-B45BB2A0D923}"/>
    <cellStyle name="20% - Accent5 22 4 5 3" xfId="11156" xr:uid="{F83A3837-E35F-409A-8F1D-43E05DB7027A}"/>
    <cellStyle name="20% - Accent5 22 4 5 3 2" xfId="27360" xr:uid="{B8FDC020-85AB-49B0-BB16-7E3662992420}"/>
    <cellStyle name="20% - Accent5 22 4 5 4" xfId="19707" xr:uid="{1B1C9B84-BE1D-4664-A189-1453E055B4D2}"/>
    <cellStyle name="20% - Accent5 22 4 6" xfId="4015" xr:uid="{5B6469E1-E6AD-47FB-8472-70AF6DCE7C25}"/>
    <cellStyle name="20% - Accent5 22 4 6 2" xfId="7685" xr:uid="{1F9EE323-47CA-48C0-A3A2-A32E337E6F2B}"/>
    <cellStyle name="20% - Accent5 22 4 6 2 2" xfId="15192" xr:uid="{A5EB7A65-7EAD-4A88-B492-7397878F5CDA}"/>
    <cellStyle name="20% - Accent5 22 4 6 2 2 2" xfId="31396" xr:uid="{FAAE3611-B133-43C1-8673-2407A260E1F0}"/>
    <cellStyle name="20% - Accent5 22 4 6 2 3" xfId="23889" xr:uid="{D6778462-BA8F-4162-97E4-FF1FE421797C}"/>
    <cellStyle name="20% - Accent5 22 4 6 3" xfId="11578" xr:uid="{CA2FC7FB-0288-41D4-93BF-CADDA5198641}"/>
    <cellStyle name="20% - Accent5 22 4 6 3 2" xfId="27782" xr:uid="{783570C6-0132-4521-89B9-D047D76A1077}"/>
    <cellStyle name="20% - Accent5 22 4 6 4" xfId="20219" xr:uid="{2F2F4FD1-D24F-41AB-AB0B-EA39DEE0A0E8}"/>
    <cellStyle name="20% - Accent5 22 4 7" xfId="4440" xr:uid="{F589A42D-618D-48F0-8578-050CA857757E}"/>
    <cellStyle name="20% - Accent5 22 4 7 2" xfId="8110" xr:uid="{FDE502FD-70DC-410A-A8E6-B753BFD13CFF}"/>
    <cellStyle name="20% - Accent5 22 4 7 2 2" xfId="15617" xr:uid="{9996422A-0772-413E-9E99-A2986EDB4891}"/>
    <cellStyle name="20% - Accent5 22 4 7 2 2 2" xfId="31821" xr:uid="{A6B44E22-1345-46DA-ADF7-D47513CFF709}"/>
    <cellStyle name="20% - Accent5 22 4 7 2 3" xfId="24314" xr:uid="{055ADD10-985C-40AC-9328-79AAC27EFA3C}"/>
    <cellStyle name="20% - Accent5 22 4 7 3" xfId="12003" xr:uid="{73B888E8-5F98-4467-82F9-8BC128F3F14E}"/>
    <cellStyle name="20% - Accent5 22 4 7 3 2" xfId="28207" xr:uid="{E6104C6A-3F0E-456E-A317-5757F100C7A1}"/>
    <cellStyle name="20% - Accent5 22 4 7 4" xfId="20644" xr:uid="{B8C23F36-8F10-4538-8E85-2437FBAAF124}"/>
    <cellStyle name="20% - Accent5 22 4 8" xfId="4865" xr:uid="{BAEB2AE6-FBD0-4BD5-860B-BAFA780A1031}"/>
    <cellStyle name="20% - Accent5 22 4 8 2" xfId="8533" xr:uid="{48600A30-D44D-4DFE-9551-495344CD170C}"/>
    <cellStyle name="20% - Accent5 22 4 8 2 2" xfId="16040" xr:uid="{61F44917-FDA2-4DD1-98BF-1E8222BDAAC6}"/>
    <cellStyle name="20% - Accent5 22 4 8 2 2 2" xfId="32244" xr:uid="{FFC65F92-022B-47CD-8371-5383A4861271}"/>
    <cellStyle name="20% - Accent5 22 4 8 2 3" xfId="24737" xr:uid="{CF6C5AE6-CB15-4519-8B3B-6EDD0B152F2C}"/>
    <cellStyle name="20% - Accent5 22 4 8 3" xfId="12425" xr:uid="{9436892A-0FDC-4110-818F-AC26785AE9CD}"/>
    <cellStyle name="20% - Accent5 22 4 8 3 2" xfId="28629" xr:uid="{D4ABC17D-4A09-4F3B-BD5C-EEF36310F7B4}"/>
    <cellStyle name="20% - Accent5 22 4 8 4" xfId="21069" xr:uid="{0DF1E4C0-9910-4252-A91E-F78EEE0FE447}"/>
    <cellStyle name="20% - Accent5 22 4 9" xfId="5351" xr:uid="{B1893E17-5D54-400E-9136-50D12CDE5129}"/>
    <cellStyle name="20% - Accent5 22 4 9 2" xfId="12900" xr:uid="{C0A97E1D-9392-42E8-A467-3F8E7A9BED4E}"/>
    <cellStyle name="20% - Accent5 22 4 9 2 2" xfId="29104" xr:uid="{A4BB076F-7DD7-4A28-82E6-FE1E6E5D1679}"/>
    <cellStyle name="20% - Accent5 22 4 9 3" xfId="21555" xr:uid="{A5577B1F-D135-4770-9465-DB19CB833D49}"/>
    <cellStyle name="20% - Accent5 22 5" xfId="1328" xr:uid="{5D308FCD-46CA-4340-BA9E-55B2FF0A212E}"/>
    <cellStyle name="20% - Accent5 22 6" xfId="1851" xr:uid="{C75A3B97-4E8C-4F11-B055-00807DE53CC6}"/>
    <cellStyle name="20% - Accent5 22 6 10" xfId="18156" xr:uid="{5DC25643-E9D0-4813-B1F6-44B5B9C71DD6}"/>
    <cellStyle name="20% - Accent5 22 6 2" xfId="2360" xr:uid="{B357722A-D317-4860-8604-71A710CCFFE4}"/>
    <cellStyle name="20% - Accent5 22 6 2 2" xfId="3207" xr:uid="{C01ABD89-9D69-42BC-855C-9E75907392AB}"/>
    <cellStyle name="20% - Accent5 22 6 2 2 2" xfId="6989" xr:uid="{36CB2D41-4D6A-450D-947D-29BDB953914E}"/>
    <cellStyle name="20% - Accent5 22 6 2 2 2 2" xfId="14500" xr:uid="{BDC942D6-EF02-48F0-9211-2C044C222523}"/>
    <cellStyle name="20% - Accent5 22 6 2 2 2 2 2" xfId="30704" xr:uid="{50A23D43-AFC2-4653-841B-BBC73B705A92}"/>
    <cellStyle name="20% - Accent5 22 6 2 2 2 3" xfId="23193" xr:uid="{7BE7C636-259F-4A98-BCF2-DDE5CC49E991}"/>
    <cellStyle name="20% - Accent5 22 6 2 2 3" xfId="10900" xr:uid="{8716D87B-C26C-44D2-BB77-A7DBE187F94A}"/>
    <cellStyle name="20% - Accent5 22 6 2 2 3 2" xfId="27104" xr:uid="{429050D4-7FE1-499E-A218-B240710E1B02}"/>
    <cellStyle name="20% - Accent5 22 6 2 2 4" xfId="19427" xr:uid="{3D4CB766-0764-4F8D-94BE-0B903233C53B}"/>
    <cellStyle name="20% - Accent5 22 6 2 3" xfId="6144" xr:uid="{A662CF65-DA42-4EA8-809C-1C23E2A7E8A7}"/>
    <cellStyle name="20% - Accent5 22 6 2 3 2" xfId="13656" xr:uid="{CEB0BDA7-0AD6-48CC-883E-AB387B58E218}"/>
    <cellStyle name="20% - Accent5 22 6 2 3 2 2" xfId="29860" xr:uid="{A37E16BF-1EDB-4FAF-8958-E061F6A9CFF0}"/>
    <cellStyle name="20% - Accent5 22 6 2 3 3" xfId="22348" xr:uid="{5E9F26D7-9C57-409C-BEB0-BCE00E402201}"/>
    <cellStyle name="20% - Accent5 22 6 2 4" xfId="10056" xr:uid="{E4A0F7D8-B0C2-40DA-B034-39916FECAE04}"/>
    <cellStyle name="20% - Accent5 22 6 2 4 2" xfId="26260" xr:uid="{E03B8C81-ECF5-4FEF-8930-AC80641E1914}"/>
    <cellStyle name="20% - Accent5 22 6 2 5" xfId="18582" xr:uid="{04C4E9C6-BA6C-4259-A773-7B41EE67D920}"/>
    <cellStyle name="20% - Accent5 22 6 3" xfId="2782" xr:uid="{3364C6A8-7B0C-44B0-8C0C-C4F03E39A641}"/>
    <cellStyle name="20% - Accent5 22 6 3 2" xfId="6566" xr:uid="{4856FE72-F2BF-4C1E-B438-9BF4EA07DB85}"/>
    <cellStyle name="20% - Accent5 22 6 3 2 2" xfId="14078" xr:uid="{FD919540-8CE3-45EB-BEB3-C384833B644F}"/>
    <cellStyle name="20% - Accent5 22 6 3 2 2 2" xfId="30282" xr:uid="{D350C3B1-91DB-4442-B028-7EB511DBB272}"/>
    <cellStyle name="20% - Accent5 22 6 3 2 3" xfId="22770" xr:uid="{2A8BBDFB-C943-49E4-BF61-012FAF5D72A9}"/>
    <cellStyle name="20% - Accent5 22 6 3 3" xfId="10478" xr:uid="{CAFA040E-8012-4E60-8EF9-5A5D868C3F91}"/>
    <cellStyle name="20% - Accent5 22 6 3 3 2" xfId="26682" xr:uid="{F3EFB579-DD91-4057-B5D6-99923BE5095B}"/>
    <cellStyle name="20% - Accent5 22 6 3 4" xfId="19004" xr:uid="{D1A1E979-1E5D-419F-99AA-DCB641DB4697}"/>
    <cellStyle name="20% - Accent5 22 6 4" xfId="3713" xr:uid="{08EC0F8F-A1B8-45F7-9095-1A4C4D6BCAEA}"/>
    <cellStyle name="20% - Accent5 22 6 4 2" xfId="7423" xr:uid="{6AAB6195-74B5-4679-ABFB-FB3F6E9CC145}"/>
    <cellStyle name="20% - Accent5 22 6 4 2 2" xfId="14932" xr:uid="{FC5D7D9C-23C5-427F-89F8-780BBB8E1ED0}"/>
    <cellStyle name="20% - Accent5 22 6 4 2 2 2" xfId="31136" xr:uid="{ECF53722-4655-4C19-AF2D-80C889D92991}"/>
    <cellStyle name="20% - Accent5 22 6 4 2 3" xfId="23627" xr:uid="{ACDE62A8-8EA2-4C87-8B7C-6AC2D506B588}"/>
    <cellStyle name="20% - Accent5 22 6 4 3" xfId="11323" xr:uid="{7BCECD72-A80B-4342-AE23-2E6AA94F8AEF}"/>
    <cellStyle name="20% - Accent5 22 6 4 3 2" xfId="27527" xr:uid="{F33C98C2-CB93-4B84-B067-265897741EDD}"/>
    <cellStyle name="20% - Accent5 22 6 4 4" xfId="19922" xr:uid="{BD1975ED-51BE-4550-8FFA-C6393A9CC33B}"/>
    <cellStyle name="20% - Accent5 22 6 5" xfId="4182" xr:uid="{0A819CE2-92B5-4C9B-A85D-5E27680F4153}"/>
    <cellStyle name="20% - Accent5 22 6 5 2" xfId="7852" xr:uid="{33D412A8-A890-4FED-8C2D-9785BD7313D5}"/>
    <cellStyle name="20% - Accent5 22 6 5 2 2" xfId="15359" xr:uid="{09F73945-1726-4DB4-82BB-F0FA1B53D05D}"/>
    <cellStyle name="20% - Accent5 22 6 5 2 2 2" xfId="31563" xr:uid="{F838C209-D8D0-46E8-A3C1-3B117471A466}"/>
    <cellStyle name="20% - Accent5 22 6 5 2 3" xfId="24056" xr:uid="{85373549-FB36-480A-8A68-3EB578934627}"/>
    <cellStyle name="20% - Accent5 22 6 5 3" xfId="11745" xr:uid="{9043D693-E47C-4E7D-B0C4-40CE28EB81E3}"/>
    <cellStyle name="20% - Accent5 22 6 5 3 2" xfId="27949" xr:uid="{8A274517-FD44-4ED8-97CB-B6628E636DF4}"/>
    <cellStyle name="20% - Accent5 22 6 5 4" xfId="20386" xr:uid="{ABCE8488-C29B-42BE-9FC2-B5F75DDF9EE7}"/>
    <cellStyle name="20% - Accent5 22 6 6" xfId="4607" xr:uid="{416677FB-22F5-4928-B95A-B812AAEF4D3B}"/>
    <cellStyle name="20% - Accent5 22 6 6 2" xfId="8277" xr:uid="{3410773F-5768-433F-9A78-F4ACF986A018}"/>
    <cellStyle name="20% - Accent5 22 6 6 2 2" xfId="15784" xr:uid="{066633C2-C1CE-4677-A89B-33D995A7B1D9}"/>
    <cellStyle name="20% - Accent5 22 6 6 2 2 2" xfId="31988" xr:uid="{34DFFC40-FBA2-443F-BDB3-D8F5C2D772B3}"/>
    <cellStyle name="20% - Accent5 22 6 6 2 3" xfId="24481" xr:uid="{E8182A10-F6D0-4818-91F8-5DBD4B8C1831}"/>
    <cellStyle name="20% - Accent5 22 6 6 3" xfId="12170" xr:uid="{112DE60F-EE77-4C03-8333-11184E38FBB3}"/>
    <cellStyle name="20% - Accent5 22 6 6 3 2" xfId="28374" xr:uid="{1FFD1AFD-1DD8-4EC0-890F-22B51B9346E5}"/>
    <cellStyle name="20% - Accent5 22 6 6 4" xfId="20811" xr:uid="{930E5EC9-DF40-4FD9-B6FF-5DD5BD59AE62}"/>
    <cellStyle name="20% - Accent5 22 6 7" xfId="5034" xr:uid="{A373BC12-3B5E-4BBB-A89A-819AFD24FEB7}"/>
    <cellStyle name="20% - Accent5 22 6 7 2" xfId="8700" xr:uid="{5AEEA352-6454-4D2B-AC8B-FF7A4C99E99A}"/>
    <cellStyle name="20% - Accent5 22 6 7 2 2" xfId="16207" xr:uid="{C5581E12-314A-4786-8AFF-F6529DEC3E81}"/>
    <cellStyle name="20% - Accent5 22 6 7 2 2 2" xfId="32411" xr:uid="{82752457-4F13-483B-AAEB-32568D35A0E2}"/>
    <cellStyle name="20% - Accent5 22 6 7 2 3" xfId="24904" xr:uid="{94428DCA-8BCE-437F-8593-C142521A7C98}"/>
    <cellStyle name="20% - Accent5 22 6 7 3" xfId="12592" xr:uid="{6B52A63B-0BD8-4E86-BD49-0F3509F2C772}"/>
    <cellStyle name="20% - Accent5 22 6 7 3 2" xfId="28796" xr:uid="{8DC6ADE1-0A5E-4633-98E3-D7D9443CDD63}"/>
    <cellStyle name="20% - Accent5 22 6 7 4" xfId="21238" xr:uid="{D979EBA3-0A69-4B96-BA0B-7E9A6E8F7D5F}"/>
    <cellStyle name="20% - Accent5 22 6 8" xfId="5706" xr:uid="{9BDC50F9-1E7B-447C-8D9A-8910F733B408}"/>
    <cellStyle name="20% - Accent5 22 6 8 2" xfId="13221" xr:uid="{405764BF-097D-42AA-BC82-87D2429C052F}"/>
    <cellStyle name="20% - Accent5 22 6 8 2 2" xfId="29425" xr:uid="{8F420DAE-5197-4F80-B3F8-8468992A4BA7}"/>
    <cellStyle name="20% - Accent5 22 6 8 3" xfId="21910" xr:uid="{584DFF22-185B-4486-90F7-E473B818857D}"/>
    <cellStyle name="20% - Accent5 22 6 9" xfId="9633" xr:uid="{8D9B7127-ED2D-454B-9CB9-E7B5AFB38571}"/>
    <cellStyle name="20% - Accent5 22 6 9 2" xfId="25837" xr:uid="{B1BA856C-2E78-4B38-9A3A-F5080841F0B4}"/>
    <cellStyle name="20% - Accent5 22 7" xfId="2060" xr:uid="{61B63D65-CC54-4F83-8283-7A04A8CBB76A}"/>
    <cellStyle name="20% - Accent5 22 7 2" xfId="2973" xr:uid="{07287797-D044-4862-8230-819223C389A8}"/>
    <cellStyle name="20% - Accent5 22 7 2 2" xfId="6755" xr:uid="{68DBF0FD-02CB-4342-8257-647667F099CF}"/>
    <cellStyle name="20% - Accent5 22 7 2 2 2" xfId="14266" xr:uid="{70BB9D31-524F-48DF-BB13-41066CE1F089}"/>
    <cellStyle name="20% - Accent5 22 7 2 2 2 2" xfId="30470" xr:uid="{58AD9237-F33D-4270-9350-31965BB5E778}"/>
    <cellStyle name="20% - Accent5 22 7 2 2 3" xfId="22959" xr:uid="{9C31F9C1-B54C-4C92-9469-DC05B8053A58}"/>
    <cellStyle name="20% - Accent5 22 7 2 3" xfId="10666" xr:uid="{75557577-C566-4AA1-BCA2-E3AA8E80B241}"/>
    <cellStyle name="20% - Accent5 22 7 2 3 2" xfId="26870" xr:uid="{9DB85FAA-D337-4EDE-A9E0-A4135BDB41FC}"/>
    <cellStyle name="20% - Accent5 22 7 2 4" xfId="19193" xr:uid="{1A8CCA00-AA80-459D-88DA-0921A86AC025}"/>
    <cellStyle name="20% - Accent5 22 7 3" xfId="5899" xr:uid="{240C91A6-CACD-412D-9902-C6C3E8E3CF01}"/>
    <cellStyle name="20% - Accent5 22 7 3 2" xfId="13413" xr:uid="{27D3F353-2E2C-4A0A-9B8F-37468A498508}"/>
    <cellStyle name="20% - Accent5 22 7 3 2 2" xfId="29617" xr:uid="{C66050F9-53D5-4834-BDA8-228D425D0067}"/>
    <cellStyle name="20% - Accent5 22 7 3 3" xfId="22103" xr:uid="{99C24493-3EFA-47D0-9F61-D500FD78A3F3}"/>
    <cellStyle name="20% - Accent5 22 7 4" xfId="9822" xr:uid="{E600B80C-FE20-495F-8BF6-D15D776D5F0B}"/>
    <cellStyle name="20% - Accent5 22 7 4 2" xfId="26026" xr:uid="{98930B20-0307-4E31-A969-AF51C6A62C1F}"/>
    <cellStyle name="20% - Accent5 22 7 5" xfId="18347" xr:uid="{16152A97-2E51-4F0E-9BCC-BA56BE160249}"/>
    <cellStyle name="20% - Accent5 22 8" xfId="2548" xr:uid="{D871696C-17C7-4F8C-BFCB-340F687EBA3A}"/>
    <cellStyle name="20% - Accent5 22 8 2" xfId="6332" xr:uid="{2FCFB818-BBBA-4736-97C8-B220E27C24F5}"/>
    <cellStyle name="20% - Accent5 22 8 2 2" xfId="13844" xr:uid="{D9CDA6B1-79C5-4CB3-BC4A-14DA6936D9C1}"/>
    <cellStyle name="20% - Accent5 22 8 2 2 2" xfId="30048" xr:uid="{C7E8EFAE-9CA5-4AC0-9245-99B9E537C115}"/>
    <cellStyle name="20% - Accent5 22 8 2 3" xfId="22536" xr:uid="{94E58256-3DC8-423E-BF67-2636D59A5757}"/>
    <cellStyle name="20% - Accent5 22 8 3" xfId="10244" xr:uid="{C5D1D299-4A59-4D65-9EFF-B1FAF3526549}"/>
    <cellStyle name="20% - Accent5 22 8 3 2" xfId="26448" xr:uid="{35029FB9-B1F3-4600-B212-02BC9CD34771}"/>
    <cellStyle name="20% - Accent5 22 8 4" xfId="18770" xr:uid="{89206671-D3B4-499B-831B-5F63EB3FD046}"/>
    <cellStyle name="20% - Accent5 22 9" xfId="3424" xr:uid="{6162E6D3-0988-4824-8106-3B57FBA2E101}"/>
    <cellStyle name="20% - Accent5 22 9 2" xfId="7182" xr:uid="{ED0B22CA-6021-4446-BF29-E5D465DB6EBC}"/>
    <cellStyle name="20% - Accent5 22 9 2 2" xfId="14692" xr:uid="{1DEDEE95-E412-4026-8D27-B4649276A4AA}"/>
    <cellStyle name="20% - Accent5 22 9 2 2 2" xfId="30896" xr:uid="{C38467E4-2206-41ED-8922-E0D765CDECEE}"/>
    <cellStyle name="20% - Accent5 22 9 2 3" xfId="23386" xr:uid="{6C292E8C-27A3-4284-8999-E7486CC1523F}"/>
    <cellStyle name="20% - Accent5 22 9 3" xfId="11089" xr:uid="{3689B3D5-D47D-4169-9D8E-5B0975E05665}"/>
    <cellStyle name="20% - Accent5 22 9 3 2" xfId="27293" xr:uid="{C97D6DCB-85F7-44F0-8B86-EE5643D488EB}"/>
    <cellStyle name="20% - Accent5 22 9 4" xfId="19640" xr:uid="{574C96EC-1A2E-4CFC-808F-8E8545556BC1}"/>
    <cellStyle name="20% - Accent5 23" xfId="922" xr:uid="{D7E8561A-2D09-4F20-927E-256AB1DF2698}"/>
    <cellStyle name="20% - Accent5 24" xfId="1816" xr:uid="{842B8F6A-8C05-47A6-BA7D-0F2BB784D068}"/>
    <cellStyle name="20% - Accent5 24 10" xfId="18121" xr:uid="{9E35DA2E-D1AF-43A6-A6A9-CA0C6E381E48}"/>
    <cellStyle name="20% - Accent5 24 2" xfId="2325" xr:uid="{B0C20694-05DA-4CCB-A556-9DA9D391A5EA}"/>
    <cellStyle name="20% - Accent5 24 2 2" xfId="3172" xr:uid="{00EA4C75-5C0E-4696-BC7E-5539A702048F}"/>
    <cellStyle name="20% - Accent5 24 2 2 2" xfId="6954" xr:uid="{063CAD8C-6CB4-4141-80CC-8D5949654D43}"/>
    <cellStyle name="20% - Accent5 24 2 2 2 2" xfId="14465" xr:uid="{824BD53E-7B97-4FE8-AA6D-1E748BDE1CF2}"/>
    <cellStyle name="20% - Accent5 24 2 2 2 2 2" xfId="30669" xr:uid="{ACE440AA-0C19-4E22-A696-5A548CBF1437}"/>
    <cellStyle name="20% - Accent5 24 2 2 2 3" xfId="23158" xr:uid="{F2EFAE86-A2F1-4855-B831-F929A857A659}"/>
    <cellStyle name="20% - Accent5 24 2 2 3" xfId="10865" xr:uid="{2DC4EDDC-E4AB-42A1-9B94-092E7EABEE6E}"/>
    <cellStyle name="20% - Accent5 24 2 2 3 2" xfId="27069" xr:uid="{ED3FD244-D457-4D65-AF0D-643B6A0AE83C}"/>
    <cellStyle name="20% - Accent5 24 2 2 4" xfId="19392" xr:uid="{B3350653-A461-4BA2-974E-62BFE3277977}"/>
    <cellStyle name="20% - Accent5 24 2 3" xfId="6109" xr:uid="{33540E5F-1F28-4222-A2B5-F9653438CFD1}"/>
    <cellStyle name="20% - Accent5 24 2 3 2" xfId="13621" xr:uid="{3D8A3C43-900D-483B-82CA-7F2A662860DD}"/>
    <cellStyle name="20% - Accent5 24 2 3 2 2" xfId="29825" xr:uid="{C5B4D925-E634-480A-9625-0ECDCD8CBD0A}"/>
    <cellStyle name="20% - Accent5 24 2 3 3" xfId="22313" xr:uid="{3883DEC9-F82A-4B9A-B302-80E7B33C1EED}"/>
    <cellStyle name="20% - Accent5 24 2 4" xfId="10021" xr:uid="{C5B506D9-A17C-4E17-9704-82A2545492B5}"/>
    <cellStyle name="20% - Accent5 24 2 4 2" xfId="26225" xr:uid="{47E8BCFF-67B6-43F8-AA83-7BBF88D1BBA9}"/>
    <cellStyle name="20% - Accent5 24 2 5" xfId="18547" xr:uid="{0AEADC3D-9121-4311-AC63-2A381ADFB3CB}"/>
    <cellStyle name="20% - Accent5 24 3" xfId="2747" xr:uid="{D22B97C7-BBB9-45BE-80DD-04C95F8887CB}"/>
    <cellStyle name="20% - Accent5 24 3 2" xfId="6531" xr:uid="{6D2395C7-5DF1-49ED-BB74-CB34BD8D0506}"/>
    <cellStyle name="20% - Accent5 24 3 2 2" xfId="14043" xr:uid="{01C98183-C246-495C-B627-9DADD7B04A77}"/>
    <cellStyle name="20% - Accent5 24 3 2 2 2" xfId="30247" xr:uid="{759D621D-DEBA-4180-9E3D-C184A9FAE5B0}"/>
    <cellStyle name="20% - Accent5 24 3 2 3" xfId="22735" xr:uid="{A7B77FF5-3CEF-409A-B78A-95AFEC6C165E}"/>
    <cellStyle name="20% - Accent5 24 3 3" xfId="10443" xr:uid="{52DA923D-3974-43D4-B011-649B0F77BEC6}"/>
    <cellStyle name="20% - Accent5 24 3 3 2" xfId="26647" xr:uid="{6BC65E20-69DF-4162-8EF8-34E3B446795E}"/>
    <cellStyle name="20% - Accent5 24 3 4" xfId="18969" xr:uid="{F8426534-5A62-41A4-A24F-6734C77E4E1B}"/>
    <cellStyle name="20% - Accent5 24 4" xfId="3678" xr:uid="{8E8702FF-D11E-49C9-8FBD-CDC2457185FC}"/>
    <cellStyle name="20% - Accent5 24 4 2" xfId="7388" xr:uid="{FCE9C229-BFA8-4258-B2E9-B0517C7E0545}"/>
    <cellStyle name="20% - Accent5 24 4 2 2" xfId="14897" xr:uid="{B437DE30-FEC1-47AE-A7AD-B8D4DE4B3157}"/>
    <cellStyle name="20% - Accent5 24 4 2 2 2" xfId="31101" xr:uid="{803944A1-148D-4E79-B098-F982AC3FF6F3}"/>
    <cellStyle name="20% - Accent5 24 4 2 3" xfId="23592" xr:uid="{829E9796-732A-4F15-85BC-BE48543D8619}"/>
    <cellStyle name="20% - Accent5 24 4 3" xfId="11288" xr:uid="{2AFFE860-4165-43E9-A733-EA08AFF922D7}"/>
    <cellStyle name="20% - Accent5 24 4 3 2" xfId="27492" xr:uid="{6561C907-5B9D-4A58-B213-47FB423E8B82}"/>
    <cellStyle name="20% - Accent5 24 4 4" xfId="19887" xr:uid="{A716B09B-86F6-4B0E-B871-C7B500B3DF61}"/>
    <cellStyle name="20% - Accent5 24 5" xfId="4147" xr:uid="{3A99F03B-6CC0-483F-A610-A81117117154}"/>
    <cellStyle name="20% - Accent5 24 5 2" xfId="7817" xr:uid="{1A8D86EA-62DC-4555-BB5E-8D5278E49B56}"/>
    <cellStyle name="20% - Accent5 24 5 2 2" xfId="15324" xr:uid="{2885E1C7-81E0-41A3-9F46-224F03157B4E}"/>
    <cellStyle name="20% - Accent5 24 5 2 2 2" xfId="31528" xr:uid="{488C7043-C7A5-46AB-A969-048B1ADF041B}"/>
    <cellStyle name="20% - Accent5 24 5 2 3" xfId="24021" xr:uid="{6CC15911-0FD4-49D2-A743-471CB4B68C66}"/>
    <cellStyle name="20% - Accent5 24 5 3" xfId="11710" xr:uid="{C3050B7D-9F57-4814-A7BE-A0330CDB19AC}"/>
    <cellStyle name="20% - Accent5 24 5 3 2" xfId="27914" xr:uid="{A2D25E72-F57A-4837-ADB5-170AF2E04F44}"/>
    <cellStyle name="20% - Accent5 24 5 4" xfId="20351" xr:uid="{A53553E6-FBE6-4E03-8D1C-FE55E4AEF38B}"/>
    <cellStyle name="20% - Accent5 24 6" xfId="4572" xr:uid="{602F042D-DB38-4E19-9703-6C8317CE8345}"/>
    <cellStyle name="20% - Accent5 24 6 2" xfId="8242" xr:uid="{4A1BD46B-0722-43B9-B6D0-79F1E1B5C8B8}"/>
    <cellStyle name="20% - Accent5 24 6 2 2" xfId="15749" xr:uid="{F30F4195-35C0-45B2-9BAE-3BD0426ECF04}"/>
    <cellStyle name="20% - Accent5 24 6 2 2 2" xfId="31953" xr:uid="{10DF1642-4841-4144-BD91-822D2F9DE862}"/>
    <cellStyle name="20% - Accent5 24 6 2 3" xfId="24446" xr:uid="{5411D409-BC14-4147-A8A1-AE1BAD906B7D}"/>
    <cellStyle name="20% - Accent5 24 6 3" xfId="12135" xr:uid="{82C7FB3E-834D-4877-B088-E71C4E5DD394}"/>
    <cellStyle name="20% - Accent5 24 6 3 2" xfId="28339" xr:uid="{B2D188F0-7496-41B2-9B66-BFF4304B11B4}"/>
    <cellStyle name="20% - Accent5 24 6 4" xfId="20776" xr:uid="{1F961549-B8F6-496D-9D77-C8EA3685AC56}"/>
    <cellStyle name="20% - Accent5 24 7" xfId="4999" xr:uid="{B700AD7A-9865-4E01-8CAF-1EBB860211E6}"/>
    <cellStyle name="20% - Accent5 24 7 2" xfId="8665" xr:uid="{7550F66E-1A40-4D20-9EA0-03F9F78B9092}"/>
    <cellStyle name="20% - Accent5 24 7 2 2" xfId="16172" xr:uid="{1C88969D-BF7B-4775-98BE-3E17824AADDC}"/>
    <cellStyle name="20% - Accent5 24 7 2 2 2" xfId="32376" xr:uid="{009F66CC-3BC9-40C9-BA4A-653AF8691705}"/>
    <cellStyle name="20% - Accent5 24 7 2 3" xfId="24869" xr:uid="{7892576F-092D-4219-9756-B733D36B7A14}"/>
    <cellStyle name="20% - Accent5 24 7 3" xfId="12557" xr:uid="{D76C4F4B-538D-4841-966E-30CF8E349C9E}"/>
    <cellStyle name="20% - Accent5 24 7 3 2" xfId="28761" xr:uid="{77F9D1BF-8A49-4BA2-898B-BBBF593FB12F}"/>
    <cellStyle name="20% - Accent5 24 7 4" xfId="21203" xr:uid="{C18E6789-37E9-4E79-A90E-EAC8B5368DD7}"/>
    <cellStyle name="20% - Accent5 24 8" xfId="5671" xr:uid="{5EEDFCE4-A545-4F2D-AD9C-7F65F1595165}"/>
    <cellStyle name="20% - Accent5 24 8 2" xfId="13186" xr:uid="{12B39CC3-33AC-4092-953E-9B68AAA162BF}"/>
    <cellStyle name="20% - Accent5 24 8 2 2" xfId="29390" xr:uid="{FDDD7BB7-BBD5-453E-B44A-F3984C00F68D}"/>
    <cellStyle name="20% - Accent5 24 8 3" xfId="21875" xr:uid="{2E6FD521-03CA-4D45-8A86-9F75E2C68E84}"/>
    <cellStyle name="20% - Accent5 24 9" xfId="9598" xr:uid="{31D1EE1D-8807-45C3-AA42-14535590CD65}"/>
    <cellStyle name="20% - Accent5 24 9 2" xfId="25802" xr:uid="{DE095A19-EABF-4B95-8692-C31B95D002C5}"/>
    <cellStyle name="20% - Accent5 25" xfId="96" xr:uid="{06F6FC03-5627-4270-8E34-56F2B525BA11}"/>
    <cellStyle name="20% - Accent5 26" xfId="16859" xr:uid="{93D8AE6A-2ED3-4D76-9D0E-76EB677870F5}"/>
    <cellStyle name="20% - Accent5 3" xfId="109" xr:uid="{BF552A1F-0852-48DD-AA63-B8BFCDC71059}"/>
    <cellStyle name="20% - Accent5 3 2" xfId="1341" xr:uid="{54D21DB2-C2F0-406C-8557-DAE4EA09250A}"/>
    <cellStyle name="20% - Accent5 3 3" xfId="910" xr:uid="{EC0CA138-DD74-4F92-B8EA-136A76ABF70C}"/>
    <cellStyle name="20% - Accent5 4" xfId="110" xr:uid="{57F93B78-3B72-44A3-B15C-260B36DA542F}"/>
    <cellStyle name="20% - Accent5 4 2" xfId="1342" xr:uid="{D1C1C1A4-5332-44DE-AF53-23027072D509}"/>
    <cellStyle name="20% - Accent5 4 3" xfId="909" xr:uid="{33E9CAF0-E1A3-4CAB-BE3A-99DED85CACF1}"/>
    <cellStyle name="20% - Accent5 5" xfId="111" xr:uid="{24DE402E-90C9-49D4-BA54-9100FED85021}"/>
    <cellStyle name="20% - Accent5 5 2" xfId="1343" xr:uid="{86B5CF00-51B0-4C05-A5A9-3437A1CBF895}"/>
    <cellStyle name="20% - Accent5 5 3" xfId="1003" xr:uid="{9EAB0A7F-3DF5-41E3-872C-B44FD5CB082A}"/>
    <cellStyle name="20% - Accent5 6" xfId="112" xr:uid="{F754F9C0-518A-4A77-8027-8F2C4E39BDAF}"/>
    <cellStyle name="20% - Accent5 6 2" xfId="1344" xr:uid="{D66CC7DD-D4FA-4952-A7A6-D9114CF02EFA}"/>
    <cellStyle name="20% - Accent5 6 3" xfId="908" xr:uid="{8E51D583-E2B3-4E9D-9DF5-1B3AA90F393D}"/>
    <cellStyle name="20% - Accent5 7" xfId="113" xr:uid="{D1FE26B3-C477-4B17-91E0-C27CAF51EE0C}"/>
    <cellStyle name="20% - Accent5 7 2" xfId="1345" xr:uid="{E16DD64D-0958-4A59-A005-689054098D5C}"/>
    <cellStyle name="20% - Accent5 7 3" xfId="907" xr:uid="{206928BC-DA3D-4147-972D-311BAEAF1DED}"/>
    <cellStyle name="20% - Accent5 8" xfId="114" xr:uid="{EF8C72E4-92C2-46E1-B17C-CFA2DB19678F}"/>
    <cellStyle name="20% - Accent5 8 2" xfId="1346" xr:uid="{F4CAF6EF-1D66-4583-B19B-F7385ED2E695}"/>
    <cellStyle name="20% - Accent5 8 3" xfId="906" xr:uid="{0526561F-6586-41C4-B4F4-E188954E6629}"/>
    <cellStyle name="20% - Accent5 9" xfId="115" xr:uid="{281B8A64-77A0-4CC0-B56B-E7EB9E392A09}"/>
    <cellStyle name="20% - Accent5 9 2" xfId="1347" xr:uid="{EC3E4C3C-2032-461D-8D2E-378D6479A84A}"/>
    <cellStyle name="20% - Accent5 9 3" xfId="905" xr:uid="{E72BB449-4EEB-4723-B29A-13B959F88EBB}"/>
    <cellStyle name="20% - Accent6 10" xfId="117" xr:uid="{04377914-7709-4B9A-98F6-B38E8E186CB4}"/>
    <cellStyle name="20% - Accent6 10 2" xfId="1349" xr:uid="{4B78B0AA-92B1-4BDD-861B-0D7751222D75}"/>
    <cellStyle name="20% - Accent6 10 3" xfId="903" xr:uid="{E3AB10A0-BD3F-40FC-A0CC-064A0F47648A}"/>
    <cellStyle name="20% - Accent6 11" xfId="118" xr:uid="{61EF5CAB-B5D4-43AE-87AF-0777F77F6FD6}"/>
    <cellStyle name="20% - Accent6 11 2" xfId="1350" xr:uid="{A35E18FA-B73C-4810-BEC0-8C907F09EC42}"/>
    <cellStyle name="20% - Accent6 11 3" xfId="902" xr:uid="{226D8A3C-D55A-4708-A700-226A713A0261}"/>
    <cellStyle name="20% - Accent6 12" xfId="119" xr:uid="{C8BA4A58-AB4E-498A-87B6-44F57B0357A8}"/>
    <cellStyle name="20% - Accent6 12 2" xfId="1351" xr:uid="{6C390D58-EE25-47B5-A3BF-6B09929660FF}"/>
    <cellStyle name="20% - Accent6 12 3" xfId="901" xr:uid="{E65DDB40-5054-4B9A-AD1F-F354E0B69FE9}"/>
    <cellStyle name="20% - Accent6 13" xfId="120" xr:uid="{BDB32AA6-5EEB-48FB-BC3A-AD5EABF2EC16}"/>
    <cellStyle name="20% - Accent6 13 2" xfId="1352" xr:uid="{28FBC9D5-74CE-4460-8E29-D7F7E91F6178}"/>
    <cellStyle name="20% - Accent6 13 3" xfId="900" xr:uid="{57E42FD2-D187-4788-939D-4C03E62FCD3B}"/>
    <cellStyle name="20% - Accent6 14" xfId="121" xr:uid="{905BBBF3-3593-453A-9223-AA483DEB7323}"/>
    <cellStyle name="20% - Accent6 14 2" xfId="1353" xr:uid="{A9E6C70A-D523-49B9-BC5F-A54ABF1BF0DE}"/>
    <cellStyle name="20% - Accent6 14 3" xfId="899" xr:uid="{45B29F46-F618-4FDD-8F70-4E329E11426F}"/>
    <cellStyle name="20% - Accent6 15" xfId="122" xr:uid="{D0A96ED8-1595-4E6A-B994-D623B80187C5}"/>
    <cellStyle name="20% - Accent6 15 2" xfId="1354" xr:uid="{1BF97EAE-6E1F-4D65-8906-4ED89507702E}"/>
    <cellStyle name="20% - Accent6 15 3" xfId="898" xr:uid="{C47EC733-BF3A-4A60-8C2E-3729F8B1AF16}"/>
    <cellStyle name="20% - Accent6 16" xfId="123" xr:uid="{0F19839F-27B5-4496-BFAA-A8F2515AF605}"/>
    <cellStyle name="20% - Accent6 16 2" xfId="1355" xr:uid="{F71FB0A1-8024-4442-A2B2-6E3CAB866C6B}"/>
    <cellStyle name="20% - Accent6 16 3" xfId="897" xr:uid="{327DEBDB-7517-4339-B3E9-6D9F424547C3}"/>
    <cellStyle name="20% - Accent6 17" xfId="124" xr:uid="{8761315B-BE3D-4436-A879-87ABE3507E0E}"/>
    <cellStyle name="20% - Accent6 17 2" xfId="1356" xr:uid="{DBBF81C0-C071-4235-AD0D-CB66419D2964}"/>
    <cellStyle name="20% - Accent6 17 3" xfId="896" xr:uid="{88AABD91-A89A-4941-8596-CE956FEFF5E6}"/>
    <cellStyle name="20% - Accent6 18" xfId="125" xr:uid="{D7B03DE9-2921-451B-A9E9-F42537863371}"/>
    <cellStyle name="20% - Accent6 18 2" xfId="1357" xr:uid="{0BB37A7E-77D6-45AA-BDCC-D161F3FDEBCB}"/>
    <cellStyle name="20% - Accent6 18 3" xfId="895" xr:uid="{04C903B2-3EF6-4AC7-BB6B-445309DA20CF}"/>
    <cellStyle name="20% - Accent6 19" xfId="126" xr:uid="{7E9F7F79-CE18-47DE-BB9A-B684F1A13BAB}"/>
    <cellStyle name="20% - Accent6 19 2" xfId="1358" xr:uid="{49BA5A2D-10F2-46F0-A066-D1E10FD65994}"/>
    <cellStyle name="20% - Accent6 19 3" xfId="894" xr:uid="{79128E93-C3F9-4716-AD0F-256D8561D983}"/>
    <cellStyle name="20% - Accent6 2" xfId="127" xr:uid="{38C99276-5CD5-47FC-B2CC-09672B9DFE5B}"/>
    <cellStyle name="20% - Accent6 2 2" xfId="1359" xr:uid="{D9239927-C687-4907-BEA7-BFBB4F194582}"/>
    <cellStyle name="20% - Accent6 2 3" xfId="893" xr:uid="{49AFDE4B-C3DE-41CA-B969-317B71E474E6}"/>
    <cellStyle name="20% - Accent6 20" xfId="128" xr:uid="{879D8157-FBBA-4C61-B7BF-536C62BC5B86}"/>
    <cellStyle name="20% - Accent6 20 2" xfId="1360" xr:uid="{78DFCAEB-C5C0-4095-9908-766FB5A71D18}"/>
    <cellStyle name="20% - Accent6 20 3" xfId="892" xr:uid="{617FC946-8C5C-4A8B-A961-B3D32496FA1D}"/>
    <cellStyle name="20% - Accent6 21" xfId="407" xr:uid="{49CC5877-CF9F-4482-AB5C-5D091C9B19E6}"/>
    <cellStyle name="20% - Accent6 21 2" xfId="680" xr:uid="{57576E1B-5A8E-4967-BDA5-569AF905448F}"/>
    <cellStyle name="20% - Accent6 22" xfId="486" xr:uid="{30D5B0B6-81D9-44C6-990F-46166B7CBBEC}"/>
    <cellStyle name="20% - Accent6 22 10" xfId="3950" xr:uid="{09FA8A42-D1CB-42B7-9181-0BD420F7BD33}"/>
    <cellStyle name="20% - Accent6 22 10 2" xfId="7620" xr:uid="{2665D11B-07AE-4D70-B016-2B9380A67353}"/>
    <cellStyle name="20% - Accent6 22 10 2 2" xfId="15127" xr:uid="{B86E7610-F86C-4218-807E-DC502D69723A}"/>
    <cellStyle name="20% - Accent6 22 10 2 2 2" xfId="31331" xr:uid="{2F66A7B0-2C35-4F1C-AE68-EE7A9EC02A6C}"/>
    <cellStyle name="20% - Accent6 22 10 2 3" xfId="23824" xr:uid="{F3C69C56-F178-48C4-9B3B-2264A8F7D0B3}"/>
    <cellStyle name="20% - Accent6 22 10 3" xfId="11513" xr:uid="{B6DEBCF7-393B-4BE8-9B29-2DB220F73BFE}"/>
    <cellStyle name="20% - Accent6 22 10 3 2" xfId="27717" xr:uid="{A8D8402F-3850-4275-B5B5-3B0F4ED0A425}"/>
    <cellStyle name="20% - Accent6 22 10 4" xfId="20154" xr:uid="{1740E684-42B7-447F-85E2-AA3AE09810B1}"/>
    <cellStyle name="20% - Accent6 22 11" xfId="4375" xr:uid="{3661DE5A-9204-4C0E-9928-1354CC12930B}"/>
    <cellStyle name="20% - Accent6 22 11 2" xfId="8045" xr:uid="{9392B693-8F20-46F5-A0ED-2BA3CFAF8EBE}"/>
    <cellStyle name="20% - Accent6 22 11 2 2" xfId="15552" xr:uid="{9AD4E04D-21CB-4D17-8BE7-1C13980CA05B}"/>
    <cellStyle name="20% - Accent6 22 11 2 2 2" xfId="31756" xr:uid="{EDE2D355-B739-453C-8340-3362663B8174}"/>
    <cellStyle name="20% - Accent6 22 11 2 3" xfId="24249" xr:uid="{236ABD4D-CD64-40BB-9874-06DF43159331}"/>
    <cellStyle name="20% - Accent6 22 11 3" xfId="11938" xr:uid="{09228228-7E5E-477B-BD45-4D8A0E61345B}"/>
    <cellStyle name="20% - Accent6 22 11 3 2" xfId="28142" xr:uid="{A575F736-151E-45E1-9941-26419411DD4C}"/>
    <cellStyle name="20% - Accent6 22 11 4" xfId="20579" xr:uid="{C53E9C48-5A01-403B-95DC-3C93C3F61D91}"/>
    <cellStyle name="20% - Accent6 22 12" xfId="4798" xr:uid="{576F0681-9E74-48EC-AE27-F40436B9E315}"/>
    <cellStyle name="20% - Accent6 22 12 2" xfId="8467" xr:uid="{C0EF98FE-59B6-493B-AAD0-0855949B3B7D}"/>
    <cellStyle name="20% - Accent6 22 12 2 2" xfId="15974" xr:uid="{0FB663AD-A166-41DF-9570-B3171CD257CD}"/>
    <cellStyle name="20% - Accent6 22 12 2 2 2" xfId="32178" xr:uid="{EAFC19E1-48AA-438F-9B48-C2D6B6F271AC}"/>
    <cellStyle name="20% - Accent6 22 12 2 3" xfId="24671" xr:uid="{B95CE723-A0C5-4B5C-885B-1E2219607C07}"/>
    <cellStyle name="20% - Accent6 22 12 3" xfId="12360" xr:uid="{780CF645-D727-4668-B9DE-C8C4CB026A8A}"/>
    <cellStyle name="20% - Accent6 22 12 3 2" xfId="28564" xr:uid="{8846E8E5-758F-4156-AC17-0BE9AFDA8113}"/>
    <cellStyle name="20% - Accent6 22 12 4" xfId="21002" xr:uid="{3F88B4C6-DE57-49DF-970E-6F75E41755F8}"/>
    <cellStyle name="20% - Accent6 22 13" xfId="5286" xr:uid="{20C452DF-97EA-4AE0-BFB6-76FC43D73D9F}"/>
    <cellStyle name="20% - Accent6 22 13 2" xfId="12835" xr:uid="{6B96C495-10BA-450F-9B20-1F087EDAF05D}"/>
    <cellStyle name="20% - Accent6 22 13 2 2" xfId="29039" xr:uid="{FED134DE-92CB-4AF4-8F84-415EC8DD47AF}"/>
    <cellStyle name="20% - Accent6 22 13 3" xfId="21490" xr:uid="{A1B9F513-87C7-486B-93F5-01A6E1F18B60}"/>
    <cellStyle name="20% - Accent6 22 14" xfId="9401" xr:uid="{2EC47C87-8063-4D1A-A2FB-6695D28547F9}"/>
    <cellStyle name="20% - Accent6 22 14 2" xfId="25605" xr:uid="{06832FF0-6961-4C55-A82A-80C6DC16D08D}"/>
    <cellStyle name="20% - Accent6 22 15" xfId="17915" xr:uid="{1B2C5691-1CC3-43D5-9CBD-EEAFDC1BCDC0}"/>
    <cellStyle name="20% - Accent6 22 2" xfId="511" xr:uid="{20CC24ED-089A-4865-B570-491FA6DC65EC}"/>
    <cellStyle name="20% - Accent6 22 2 10" xfId="5308" xr:uid="{775450AB-D3FC-4261-8CE7-2F4A224D2AA8}"/>
    <cellStyle name="20% - Accent6 22 2 10 2" xfId="12857" xr:uid="{6FFD67A1-A66F-4830-A4C2-2701CCC397B0}"/>
    <cellStyle name="20% - Accent6 22 2 10 2 2" xfId="29061" xr:uid="{38503298-2952-4792-8A27-75B1FCEA1925}"/>
    <cellStyle name="20% - Accent6 22 2 10 3" xfId="21512" xr:uid="{9BBA9609-A98B-45F0-A867-405BE778DB53}"/>
    <cellStyle name="20% - Accent6 22 2 11" xfId="9423" xr:uid="{73D7B713-00C3-44B6-831F-36CDF1BB2AE0}"/>
    <cellStyle name="20% - Accent6 22 2 11 2" xfId="25627" xr:uid="{44A2A0A3-3C8B-4188-A028-6FCE0CEDB0BC}"/>
    <cellStyle name="20% - Accent6 22 2 12" xfId="17938" xr:uid="{6D676F23-0DD2-4EC3-856B-B0ACFAE363A5}"/>
    <cellStyle name="20% - Accent6 22 2 2" xfId="582" xr:uid="{3917A989-A6C2-4D20-803C-63896951D21D}"/>
    <cellStyle name="20% - Accent6 22 2 2 10" xfId="9490" xr:uid="{B0F57C80-B8E9-473F-BF07-916ADB8A7755}"/>
    <cellStyle name="20% - Accent6 22 2 2 10 2" xfId="25694" xr:uid="{CE319227-175F-4875-A9E7-2A9C285BE768}"/>
    <cellStyle name="20% - Accent6 22 2 2 11" xfId="18006" xr:uid="{BFD80C7D-AE8C-42CC-9599-37E37909D545}"/>
    <cellStyle name="20% - Accent6 22 2 2 2" xfId="1852" xr:uid="{D3130903-478A-464E-8BCD-8105E64BE733}"/>
    <cellStyle name="20% - Accent6 22 2 2 2 10" xfId="18157" xr:uid="{A51F64BC-8545-483F-8926-A5EE6CE8DC5B}"/>
    <cellStyle name="20% - Accent6 22 2 2 2 2" xfId="2361" xr:uid="{51B8F847-AE45-402E-BD74-7E0FFE775A04}"/>
    <cellStyle name="20% - Accent6 22 2 2 2 2 2" xfId="3208" xr:uid="{B8B2ED51-55F2-417F-86BC-13BDA2900214}"/>
    <cellStyle name="20% - Accent6 22 2 2 2 2 2 2" xfId="6990" xr:uid="{30E342A5-17BC-4602-AFEE-CB426085E99C}"/>
    <cellStyle name="20% - Accent6 22 2 2 2 2 2 2 2" xfId="14501" xr:uid="{79312835-1236-450F-8F91-AE2AFBFCD675}"/>
    <cellStyle name="20% - Accent6 22 2 2 2 2 2 2 2 2" xfId="30705" xr:uid="{A22A65BC-F5CB-4D97-BD43-DCABB7D040A0}"/>
    <cellStyle name="20% - Accent6 22 2 2 2 2 2 2 3" xfId="23194" xr:uid="{40B2DDD1-FF81-4AE9-A716-6D75ED355556}"/>
    <cellStyle name="20% - Accent6 22 2 2 2 2 2 3" xfId="10901" xr:uid="{4ED65401-E23B-4A14-9632-A9A5F0C04842}"/>
    <cellStyle name="20% - Accent6 22 2 2 2 2 2 3 2" xfId="27105" xr:uid="{85DF2BE4-7EDE-46C8-8AFF-EC2ABCB14725}"/>
    <cellStyle name="20% - Accent6 22 2 2 2 2 2 4" xfId="19428" xr:uid="{F16832A5-0446-4E6A-975A-E53EEB71FCB9}"/>
    <cellStyle name="20% - Accent6 22 2 2 2 2 3" xfId="6145" xr:uid="{0C42A3F7-5581-4336-9E3F-9A7DAF359FFB}"/>
    <cellStyle name="20% - Accent6 22 2 2 2 2 3 2" xfId="13657" xr:uid="{AB40542C-62D1-40FF-872D-246D7ABF4FCC}"/>
    <cellStyle name="20% - Accent6 22 2 2 2 2 3 2 2" xfId="29861" xr:uid="{6F4E4D9D-299D-47E1-80DE-3303E020A993}"/>
    <cellStyle name="20% - Accent6 22 2 2 2 2 3 3" xfId="22349" xr:uid="{D7545CDC-4C08-4968-B950-8031D2475CA3}"/>
    <cellStyle name="20% - Accent6 22 2 2 2 2 4" xfId="10057" xr:uid="{A03644CA-2477-4A11-8282-DE4BCD2F0A57}"/>
    <cellStyle name="20% - Accent6 22 2 2 2 2 4 2" xfId="26261" xr:uid="{861A6AB0-6A03-4931-9F21-6345909AD445}"/>
    <cellStyle name="20% - Accent6 22 2 2 2 2 5" xfId="18583" xr:uid="{FB4FAA07-2E82-4ED8-A87C-7E3CEDBED540}"/>
    <cellStyle name="20% - Accent6 22 2 2 2 3" xfId="2783" xr:uid="{0DA5F667-E928-40CF-B388-4F0B9795555D}"/>
    <cellStyle name="20% - Accent6 22 2 2 2 3 2" xfId="6567" xr:uid="{D3044EEE-CA40-46C8-8CB2-80CA0AD43260}"/>
    <cellStyle name="20% - Accent6 22 2 2 2 3 2 2" xfId="14079" xr:uid="{43BAC42D-3030-4D67-8A8B-25A0934AB9D3}"/>
    <cellStyle name="20% - Accent6 22 2 2 2 3 2 2 2" xfId="30283" xr:uid="{660A74FE-7466-4A06-AE95-FDE412F916B4}"/>
    <cellStyle name="20% - Accent6 22 2 2 2 3 2 3" xfId="22771" xr:uid="{B5319964-515C-4750-BAFA-6436F2F4EBC8}"/>
    <cellStyle name="20% - Accent6 22 2 2 2 3 3" xfId="10479" xr:uid="{5D1249DD-E71F-48BE-910B-A1692C5C6ECE}"/>
    <cellStyle name="20% - Accent6 22 2 2 2 3 3 2" xfId="26683" xr:uid="{941EFE7C-2794-4D5F-8C67-C794F4E1C47B}"/>
    <cellStyle name="20% - Accent6 22 2 2 2 3 4" xfId="19005" xr:uid="{EE688623-277C-4552-9CF3-A1548DA3E533}"/>
    <cellStyle name="20% - Accent6 22 2 2 2 4" xfId="3714" xr:uid="{24115B8E-2B4D-484A-A12C-53D1F3EF4C2F}"/>
    <cellStyle name="20% - Accent6 22 2 2 2 4 2" xfId="7424" xr:uid="{8800D1C8-04CB-4EFF-B8C1-22D1065D197A}"/>
    <cellStyle name="20% - Accent6 22 2 2 2 4 2 2" xfId="14933" xr:uid="{95FBCEC1-C49C-40AB-9BC8-D35327269855}"/>
    <cellStyle name="20% - Accent6 22 2 2 2 4 2 2 2" xfId="31137" xr:uid="{E950AFE1-3431-4D12-9FF7-7AD5A6B0F9D3}"/>
    <cellStyle name="20% - Accent6 22 2 2 2 4 2 3" xfId="23628" xr:uid="{9A233925-C94E-4D26-94B5-FF1C64BEA750}"/>
    <cellStyle name="20% - Accent6 22 2 2 2 4 3" xfId="11324" xr:uid="{A3A66C71-CF05-4D75-BDCC-F4CCE6F0BC40}"/>
    <cellStyle name="20% - Accent6 22 2 2 2 4 3 2" xfId="27528" xr:uid="{A638E3F8-B50C-4E63-8B7F-3FB05C04FE24}"/>
    <cellStyle name="20% - Accent6 22 2 2 2 4 4" xfId="19923" xr:uid="{A0202778-1C3D-40FB-9E42-FB9786F88377}"/>
    <cellStyle name="20% - Accent6 22 2 2 2 5" xfId="4183" xr:uid="{8A618618-CA83-4A4F-AF33-C574B421D953}"/>
    <cellStyle name="20% - Accent6 22 2 2 2 5 2" xfId="7853" xr:uid="{B4DCEBB9-8674-4CE9-B8B1-51BF7217EC14}"/>
    <cellStyle name="20% - Accent6 22 2 2 2 5 2 2" xfId="15360" xr:uid="{23255EB2-AB8D-4C72-B5DF-92101FBDB709}"/>
    <cellStyle name="20% - Accent6 22 2 2 2 5 2 2 2" xfId="31564" xr:uid="{20F69721-5005-4507-8C5C-6E04599A15FC}"/>
    <cellStyle name="20% - Accent6 22 2 2 2 5 2 3" xfId="24057" xr:uid="{99C10E92-A209-44C6-BE28-57E6F3EB4A83}"/>
    <cellStyle name="20% - Accent6 22 2 2 2 5 3" xfId="11746" xr:uid="{9A92D6A6-787E-4716-A108-7780B752A8C7}"/>
    <cellStyle name="20% - Accent6 22 2 2 2 5 3 2" xfId="27950" xr:uid="{145450B0-1CBE-4FAD-8CF3-EEC49ED64F22}"/>
    <cellStyle name="20% - Accent6 22 2 2 2 5 4" xfId="20387" xr:uid="{123B3BB3-79DF-44C8-848E-1D780D9F03D3}"/>
    <cellStyle name="20% - Accent6 22 2 2 2 6" xfId="4608" xr:uid="{1E616DD7-095A-449E-9239-D6167A09991E}"/>
    <cellStyle name="20% - Accent6 22 2 2 2 6 2" xfId="8278" xr:uid="{3B34D60C-A1BF-4266-BC53-FDDA12CF0737}"/>
    <cellStyle name="20% - Accent6 22 2 2 2 6 2 2" xfId="15785" xr:uid="{8E5B57F3-FD09-4CCF-8AB6-D307373F9A32}"/>
    <cellStyle name="20% - Accent6 22 2 2 2 6 2 2 2" xfId="31989" xr:uid="{689A3ED7-B13B-4659-A86F-240D2A88DD53}"/>
    <cellStyle name="20% - Accent6 22 2 2 2 6 2 3" xfId="24482" xr:uid="{FE8D142D-2489-45BD-BC0B-1FCDB78F6C19}"/>
    <cellStyle name="20% - Accent6 22 2 2 2 6 3" xfId="12171" xr:uid="{151C92F9-0900-400B-823E-8A58B80D992B}"/>
    <cellStyle name="20% - Accent6 22 2 2 2 6 3 2" xfId="28375" xr:uid="{8F0247DB-16CA-4930-B79F-3D1A3A8B72F2}"/>
    <cellStyle name="20% - Accent6 22 2 2 2 6 4" xfId="20812" xr:uid="{19E88DA6-BA7A-43A8-8CAA-43FA1B6EAE47}"/>
    <cellStyle name="20% - Accent6 22 2 2 2 7" xfId="5035" xr:uid="{93E8E533-5384-4955-9D99-D1C503D605BD}"/>
    <cellStyle name="20% - Accent6 22 2 2 2 7 2" xfId="8701" xr:uid="{9A7A2CA3-5AF8-47AD-A030-571E540E9836}"/>
    <cellStyle name="20% - Accent6 22 2 2 2 7 2 2" xfId="16208" xr:uid="{C4F22A3B-958D-44BA-8F6B-70E5B19D23B3}"/>
    <cellStyle name="20% - Accent6 22 2 2 2 7 2 2 2" xfId="32412" xr:uid="{34E21B35-418F-4782-90AD-B0C6E0DBFEFB}"/>
    <cellStyle name="20% - Accent6 22 2 2 2 7 2 3" xfId="24905" xr:uid="{2DB1B573-A2C3-4E6D-B9F9-7C5F25EE0D3B}"/>
    <cellStyle name="20% - Accent6 22 2 2 2 7 3" xfId="12593" xr:uid="{FBDA6487-4A1F-4AEB-828D-B5E95D920DC0}"/>
    <cellStyle name="20% - Accent6 22 2 2 2 7 3 2" xfId="28797" xr:uid="{6E7B49C8-11EB-402E-B8F5-E753A22DFACA}"/>
    <cellStyle name="20% - Accent6 22 2 2 2 7 4" xfId="21239" xr:uid="{1328799B-C157-497F-BCA4-BF26CB3F436F}"/>
    <cellStyle name="20% - Accent6 22 2 2 2 8" xfId="5707" xr:uid="{9EE3F025-D2DF-4A3C-AE87-DB35D56A0289}"/>
    <cellStyle name="20% - Accent6 22 2 2 2 8 2" xfId="13222" xr:uid="{48C89D20-43FD-490E-B6AC-E112C3C0DADC}"/>
    <cellStyle name="20% - Accent6 22 2 2 2 8 2 2" xfId="29426" xr:uid="{39904DEA-5154-4209-9F34-98EEF819D514}"/>
    <cellStyle name="20% - Accent6 22 2 2 2 8 3" xfId="21911" xr:uid="{2E50BD0F-F441-4CAD-AAA2-C9D8437F67DA}"/>
    <cellStyle name="20% - Accent6 22 2 2 2 9" xfId="9634" xr:uid="{D0297DA6-1960-467A-AC08-E384C461851B}"/>
    <cellStyle name="20% - Accent6 22 2 2 2 9 2" xfId="25838" xr:uid="{D0490E2D-33F5-4A92-9F21-5D8E0E34A233}"/>
    <cellStyle name="20% - Accent6 22 2 2 3" xfId="2151" xr:uid="{54D2257F-6502-4A43-B7DF-CC8B328A667F}"/>
    <cellStyle name="20% - Accent6 22 2 2 3 2" xfId="3064" xr:uid="{C43739E9-14FF-4023-8C93-0DBAC7AF7149}"/>
    <cellStyle name="20% - Accent6 22 2 2 3 2 2" xfId="6846" xr:uid="{17D6198C-B864-4247-8097-807151AB1B57}"/>
    <cellStyle name="20% - Accent6 22 2 2 3 2 2 2" xfId="14357" xr:uid="{1615CD16-B651-4304-94E4-2A417DEFC352}"/>
    <cellStyle name="20% - Accent6 22 2 2 3 2 2 2 2" xfId="30561" xr:uid="{2DF9467A-215A-4ACD-80BF-CFFB5656E929}"/>
    <cellStyle name="20% - Accent6 22 2 2 3 2 2 3" xfId="23050" xr:uid="{927FD99B-72AE-4C83-A9EB-CD511D4D8120}"/>
    <cellStyle name="20% - Accent6 22 2 2 3 2 3" xfId="10757" xr:uid="{6B7EDEC7-24F0-4DD2-B8B4-DB32AC90BA20}"/>
    <cellStyle name="20% - Accent6 22 2 2 3 2 3 2" xfId="26961" xr:uid="{7EF2AB78-8844-473F-9BFC-B82B16CFA201}"/>
    <cellStyle name="20% - Accent6 22 2 2 3 2 4" xfId="19284" xr:uid="{0259E0C1-0A3D-49E8-AEE8-02FB161E5101}"/>
    <cellStyle name="20% - Accent6 22 2 2 3 3" xfId="5990" xr:uid="{178E6D16-372A-49AC-878F-5C1542B0E875}"/>
    <cellStyle name="20% - Accent6 22 2 2 3 3 2" xfId="13504" xr:uid="{8AE0CD88-F338-474A-93BE-81676C1C52B9}"/>
    <cellStyle name="20% - Accent6 22 2 2 3 3 2 2" xfId="29708" xr:uid="{DE481125-320F-432B-9085-BB1A294B7BDA}"/>
    <cellStyle name="20% - Accent6 22 2 2 3 3 3" xfId="22194" xr:uid="{536A4785-E4A9-49F3-B12C-0A19DAA09F8D}"/>
    <cellStyle name="20% - Accent6 22 2 2 3 4" xfId="9913" xr:uid="{06434ACB-1331-4561-998B-0E6356E44E22}"/>
    <cellStyle name="20% - Accent6 22 2 2 3 4 2" xfId="26117" xr:uid="{69A7BBE9-C788-42C7-A63A-C95D1E1E1A7A}"/>
    <cellStyle name="20% - Accent6 22 2 2 3 5" xfId="18438" xr:uid="{BD225B8D-65CC-4148-AF64-16122680C8D9}"/>
    <cellStyle name="20% - Accent6 22 2 2 4" xfId="2639" xr:uid="{243D2253-2F87-4110-8300-D005A357D7F8}"/>
    <cellStyle name="20% - Accent6 22 2 2 4 2" xfId="6423" xr:uid="{52AC597D-C215-4E15-B130-EC1DA43E7CDD}"/>
    <cellStyle name="20% - Accent6 22 2 2 4 2 2" xfId="13935" xr:uid="{0611588C-4E8E-4AA2-9331-9C0DD67C4310}"/>
    <cellStyle name="20% - Accent6 22 2 2 4 2 2 2" xfId="30139" xr:uid="{7391D646-EE10-4F41-89A7-B9A80576E691}"/>
    <cellStyle name="20% - Accent6 22 2 2 4 2 3" xfId="22627" xr:uid="{D1608738-7681-470E-9E21-EBEEDA9A9659}"/>
    <cellStyle name="20% - Accent6 22 2 2 4 3" xfId="10335" xr:uid="{12BA5A01-F77D-4200-8407-9B02BC0430AD}"/>
    <cellStyle name="20% - Accent6 22 2 2 4 3 2" xfId="26539" xr:uid="{06EF4AE9-D10C-40F4-BBEC-537551F30A06}"/>
    <cellStyle name="20% - Accent6 22 2 2 4 4" xfId="18861" xr:uid="{3EF01A4A-1217-4FDC-9D28-2F59C9BB9A19}"/>
    <cellStyle name="20% - Accent6 22 2 2 5" xfId="3515" xr:uid="{D14DAC16-2266-40FA-82B2-38A8AA260754}"/>
    <cellStyle name="20% - Accent6 22 2 2 5 2" xfId="7273" xr:uid="{55E63F37-42B6-4E2F-8E4A-46DBA57B6640}"/>
    <cellStyle name="20% - Accent6 22 2 2 5 2 2" xfId="14783" xr:uid="{4B1AF5C0-A56F-4331-915F-5EBBE7ACB546}"/>
    <cellStyle name="20% - Accent6 22 2 2 5 2 2 2" xfId="30987" xr:uid="{3D746AD8-8F53-4984-A38A-BE56A05DCD75}"/>
    <cellStyle name="20% - Accent6 22 2 2 5 2 3" xfId="23477" xr:uid="{1816DAC4-5A88-4BC8-9EAC-BD8DF9D60DB6}"/>
    <cellStyle name="20% - Accent6 22 2 2 5 3" xfId="11180" xr:uid="{047F68AE-61DE-4FF2-A44E-287F356D9097}"/>
    <cellStyle name="20% - Accent6 22 2 2 5 3 2" xfId="27384" xr:uid="{618FF377-540B-40AE-9531-31F86AA57FB9}"/>
    <cellStyle name="20% - Accent6 22 2 2 5 4" xfId="19731" xr:uid="{513395C3-2A38-42F7-B65F-99EA7652B946}"/>
    <cellStyle name="20% - Accent6 22 2 2 6" xfId="4039" xr:uid="{24291B68-2503-45E5-9984-46E8E43592A1}"/>
    <cellStyle name="20% - Accent6 22 2 2 6 2" xfId="7709" xr:uid="{A810FAA5-3A48-45F7-B7C6-10893709AA6F}"/>
    <cellStyle name="20% - Accent6 22 2 2 6 2 2" xfId="15216" xr:uid="{280B5A20-831B-46AD-B6E3-BA4E06AD66A9}"/>
    <cellStyle name="20% - Accent6 22 2 2 6 2 2 2" xfId="31420" xr:uid="{67F7EF9C-350C-4B62-84C8-B0E87AF316D0}"/>
    <cellStyle name="20% - Accent6 22 2 2 6 2 3" xfId="23913" xr:uid="{11E3F890-2B88-440E-9B8E-10F167899B17}"/>
    <cellStyle name="20% - Accent6 22 2 2 6 3" xfId="11602" xr:uid="{3C0A5A92-4AE6-400D-9A6B-9EC113492CA9}"/>
    <cellStyle name="20% - Accent6 22 2 2 6 3 2" xfId="27806" xr:uid="{D909F4E1-426A-4ACB-9746-2CFE8DD29726}"/>
    <cellStyle name="20% - Accent6 22 2 2 6 4" xfId="20243" xr:uid="{79B0813E-C91C-4B31-BB9E-3B30D60B686E}"/>
    <cellStyle name="20% - Accent6 22 2 2 7" xfId="4464" xr:uid="{5DF9669A-A1B5-437E-B247-F249608C4858}"/>
    <cellStyle name="20% - Accent6 22 2 2 7 2" xfId="8134" xr:uid="{55FA03AE-42F2-4BE0-A153-F27FDBB674A6}"/>
    <cellStyle name="20% - Accent6 22 2 2 7 2 2" xfId="15641" xr:uid="{B33DE694-7D6E-44CE-9AD4-EE7AD83DF336}"/>
    <cellStyle name="20% - Accent6 22 2 2 7 2 2 2" xfId="31845" xr:uid="{BE02DAEF-6BC2-46EA-AFD0-82C51238891E}"/>
    <cellStyle name="20% - Accent6 22 2 2 7 2 3" xfId="24338" xr:uid="{42FB5F68-E68C-4EE8-97B6-0984A482ED5C}"/>
    <cellStyle name="20% - Accent6 22 2 2 7 3" xfId="12027" xr:uid="{A1995E0F-4360-4DF5-8E3A-8C0E4C9A0A3A}"/>
    <cellStyle name="20% - Accent6 22 2 2 7 3 2" xfId="28231" xr:uid="{16BE746C-C7EB-4D6B-9A17-3F6E9D98202B}"/>
    <cellStyle name="20% - Accent6 22 2 2 7 4" xfId="20668" xr:uid="{04D65DF1-1A54-4018-A7AB-F25A250D0DC7}"/>
    <cellStyle name="20% - Accent6 22 2 2 8" xfId="4889" xr:uid="{90CF4457-6B63-43F0-A633-F1D3BD765197}"/>
    <cellStyle name="20% - Accent6 22 2 2 8 2" xfId="8557" xr:uid="{1A14A7E2-9A36-4989-8613-AFDBC1AF478D}"/>
    <cellStyle name="20% - Accent6 22 2 2 8 2 2" xfId="16064" xr:uid="{EE91D960-C65D-441E-94B9-015D62D826E2}"/>
    <cellStyle name="20% - Accent6 22 2 2 8 2 2 2" xfId="32268" xr:uid="{3E93FE6A-C22A-4BDA-AF2A-C213AE6543B6}"/>
    <cellStyle name="20% - Accent6 22 2 2 8 2 3" xfId="24761" xr:uid="{D9C481B6-2964-4602-ABE7-20066EF655C7}"/>
    <cellStyle name="20% - Accent6 22 2 2 8 3" xfId="12449" xr:uid="{47B70AE0-7AAB-4B27-941A-09854935D80C}"/>
    <cellStyle name="20% - Accent6 22 2 2 8 3 2" xfId="28653" xr:uid="{B12395AC-17ED-4D8C-A43A-856539E8CCB1}"/>
    <cellStyle name="20% - Accent6 22 2 2 8 4" xfId="21093" xr:uid="{28C53B15-4941-4721-AAF7-67D9C21A8AAE}"/>
    <cellStyle name="20% - Accent6 22 2 2 9" xfId="5375" xr:uid="{F59BB3B4-6F06-4CCC-ACB3-14D3945C8F41}"/>
    <cellStyle name="20% - Accent6 22 2 2 9 2" xfId="12924" xr:uid="{0A1C800B-86FC-4EBA-ADE2-47C180792D6E}"/>
    <cellStyle name="20% - Accent6 22 2 2 9 2 2" xfId="29128" xr:uid="{77F3E5CB-2094-4FC1-9480-73A6C8FEB344}"/>
    <cellStyle name="20% - Accent6 22 2 2 9 3" xfId="21579" xr:uid="{0EE8E7B9-6342-4EAA-90D2-9BEEE580F91B}"/>
    <cellStyle name="20% - Accent6 22 2 3" xfId="1853" xr:uid="{FA0BC14C-35BA-4FA5-B1E8-2DD08DB32269}"/>
    <cellStyle name="20% - Accent6 22 2 3 10" xfId="18158" xr:uid="{8D258AD2-13A2-4CC5-9CAB-F5DFD6F19683}"/>
    <cellStyle name="20% - Accent6 22 2 3 2" xfId="2362" xr:uid="{32463C86-BCE5-4D48-82A1-CEE14C45F733}"/>
    <cellStyle name="20% - Accent6 22 2 3 2 2" xfId="3209" xr:uid="{19CC6215-6BC1-4FBB-A940-3E5176B8439D}"/>
    <cellStyle name="20% - Accent6 22 2 3 2 2 2" xfId="6991" xr:uid="{5FE7566E-1F4F-426D-BF22-A9AAFDE88A7F}"/>
    <cellStyle name="20% - Accent6 22 2 3 2 2 2 2" xfId="14502" xr:uid="{E6921E57-31F8-4CE4-A35A-D540E29C8CBB}"/>
    <cellStyle name="20% - Accent6 22 2 3 2 2 2 2 2" xfId="30706" xr:uid="{92336643-D074-42D2-AE15-BC4995E24A1F}"/>
    <cellStyle name="20% - Accent6 22 2 3 2 2 2 3" xfId="23195" xr:uid="{48402288-F593-48F7-98FA-79878C74784E}"/>
    <cellStyle name="20% - Accent6 22 2 3 2 2 3" xfId="10902" xr:uid="{8D384A3C-3908-49BA-9551-DE99EF1E6514}"/>
    <cellStyle name="20% - Accent6 22 2 3 2 2 3 2" xfId="27106" xr:uid="{7ADE935A-C1C9-4EEA-80EF-875BA5206200}"/>
    <cellStyle name="20% - Accent6 22 2 3 2 2 4" xfId="19429" xr:uid="{34DBD398-AA3B-4019-8CBA-37AC599ED3F1}"/>
    <cellStyle name="20% - Accent6 22 2 3 2 3" xfId="6146" xr:uid="{FDD78C8A-20C5-4DDC-B39C-A9AB2E87CE29}"/>
    <cellStyle name="20% - Accent6 22 2 3 2 3 2" xfId="13658" xr:uid="{8B1AA7C8-FC64-45D2-A8A0-EE930A4FB887}"/>
    <cellStyle name="20% - Accent6 22 2 3 2 3 2 2" xfId="29862" xr:uid="{0551EF4C-DBF6-477D-BB82-549C28578BB4}"/>
    <cellStyle name="20% - Accent6 22 2 3 2 3 3" xfId="22350" xr:uid="{C4C78839-CEF8-40DF-8879-931AD22B1C5D}"/>
    <cellStyle name="20% - Accent6 22 2 3 2 4" xfId="10058" xr:uid="{B2CEF89C-5FE0-407E-A807-188DDE12B751}"/>
    <cellStyle name="20% - Accent6 22 2 3 2 4 2" xfId="26262" xr:uid="{71512993-5E38-4946-ABB2-54FBE72629FC}"/>
    <cellStyle name="20% - Accent6 22 2 3 2 5" xfId="18584" xr:uid="{5D400BA2-A9F9-4B14-8676-1BA68C6B64F8}"/>
    <cellStyle name="20% - Accent6 22 2 3 3" xfId="2784" xr:uid="{9D990F0D-D65F-4289-9C55-898955B5146A}"/>
    <cellStyle name="20% - Accent6 22 2 3 3 2" xfId="6568" xr:uid="{3E2A6874-E1B1-43D9-A4F5-AE6A0EBFCF7D}"/>
    <cellStyle name="20% - Accent6 22 2 3 3 2 2" xfId="14080" xr:uid="{5ECEA51A-2146-4907-8F7C-360D635B9907}"/>
    <cellStyle name="20% - Accent6 22 2 3 3 2 2 2" xfId="30284" xr:uid="{086764F1-025B-4830-ACE1-A6D607827AAE}"/>
    <cellStyle name="20% - Accent6 22 2 3 3 2 3" xfId="22772" xr:uid="{A92154BE-3FE3-427A-8238-114473794CB0}"/>
    <cellStyle name="20% - Accent6 22 2 3 3 3" xfId="10480" xr:uid="{72F65FE7-6065-475B-9493-5C2F29780911}"/>
    <cellStyle name="20% - Accent6 22 2 3 3 3 2" xfId="26684" xr:uid="{4B4DCB1B-F48A-4A5B-B67F-EA6FC3A89A7C}"/>
    <cellStyle name="20% - Accent6 22 2 3 3 4" xfId="19006" xr:uid="{4519084B-C778-439C-80F8-6614858B9BAC}"/>
    <cellStyle name="20% - Accent6 22 2 3 4" xfId="3715" xr:uid="{778A4DAE-E86E-4951-990A-50621103323A}"/>
    <cellStyle name="20% - Accent6 22 2 3 4 2" xfId="7425" xr:uid="{69996037-BA23-476F-860D-662385ED4BEA}"/>
    <cellStyle name="20% - Accent6 22 2 3 4 2 2" xfId="14934" xr:uid="{4C955754-5A1E-44E2-866F-AB5B02DCFDF8}"/>
    <cellStyle name="20% - Accent6 22 2 3 4 2 2 2" xfId="31138" xr:uid="{CFD9325A-B9AC-4F54-9A49-F25A05AC0B9D}"/>
    <cellStyle name="20% - Accent6 22 2 3 4 2 3" xfId="23629" xr:uid="{F7D4BC7C-F351-4FE1-8AC0-08E0F9D9BE09}"/>
    <cellStyle name="20% - Accent6 22 2 3 4 3" xfId="11325" xr:uid="{63977AFE-274F-4BE0-86A3-F49BD925BDB9}"/>
    <cellStyle name="20% - Accent6 22 2 3 4 3 2" xfId="27529" xr:uid="{4390EAC4-F362-4FEF-8E4B-F290C399F577}"/>
    <cellStyle name="20% - Accent6 22 2 3 4 4" xfId="19924" xr:uid="{EB6ED0F1-60F4-4C58-B233-0B38E4EABD33}"/>
    <cellStyle name="20% - Accent6 22 2 3 5" xfId="4184" xr:uid="{916D8FC1-33A7-40FF-86B4-BBD61B13E48C}"/>
    <cellStyle name="20% - Accent6 22 2 3 5 2" xfId="7854" xr:uid="{24504187-2B22-496F-9E3D-84E9701381A1}"/>
    <cellStyle name="20% - Accent6 22 2 3 5 2 2" xfId="15361" xr:uid="{87984B3D-8712-435B-BA1E-E1DAC3A23517}"/>
    <cellStyle name="20% - Accent6 22 2 3 5 2 2 2" xfId="31565" xr:uid="{127DDF65-9052-41D2-B462-351414620EAB}"/>
    <cellStyle name="20% - Accent6 22 2 3 5 2 3" xfId="24058" xr:uid="{E5C55401-016E-44FD-AF1B-F4818ABB5949}"/>
    <cellStyle name="20% - Accent6 22 2 3 5 3" xfId="11747" xr:uid="{EB8F002F-1724-4526-963F-6BDD4B52766E}"/>
    <cellStyle name="20% - Accent6 22 2 3 5 3 2" xfId="27951" xr:uid="{70A5F1AC-848B-4079-92B1-706995F8AAAE}"/>
    <cellStyle name="20% - Accent6 22 2 3 5 4" xfId="20388" xr:uid="{54AB049B-CBAC-4E85-A5F6-0E7CF00AF4F7}"/>
    <cellStyle name="20% - Accent6 22 2 3 6" xfId="4609" xr:uid="{ABA60F99-8D9B-49E9-BE4C-3A0789E92B43}"/>
    <cellStyle name="20% - Accent6 22 2 3 6 2" xfId="8279" xr:uid="{EBEE41A9-481F-475A-8490-495E1FFDE6A7}"/>
    <cellStyle name="20% - Accent6 22 2 3 6 2 2" xfId="15786" xr:uid="{FAC9B9DA-68E9-4FA0-830C-3F2DF0EEF873}"/>
    <cellStyle name="20% - Accent6 22 2 3 6 2 2 2" xfId="31990" xr:uid="{E0EA2B7F-3A94-493C-914B-717FD1F13099}"/>
    <cellStyle name="20% - Accent6 22 2 3 6 2 3" xfId="24483" xr:uid="{C239D311-6266-4FA4-8A40-0BCDD0B157EA}"/>
    <cellStyle name="20% - Accent6 22 2 3 6 3" xfId="12172" xr:uid="{B3DEE829-D7C6-4823-9C31-38723B2278E6}"/>
    <cellStyle name="20% - Accent6 22 2 3 6 3 2" xfId="28376" xr:uid="{482339EA-147A-4781-9B77-7560DA1D191A}"/>
    <cellStyle name="20% - Accent6 22 2 3 6 4" xfId="20813" xr:uid="{EB47605D-5C83-4BA1-9BA9-CEFAF49BC2F8}"/>
    <cellStyle name="20% - Accent6 22 2 3 7" xfId="5036" xr:uid="{0B25249E-B7B3-4588-B949-98344218A899}"/>
    <cellStyle name="20% - Accent6 22 2 3 7 2" xfId="8702" xr:uid="{83DD7433-1BC3-4763-AACA-D962AC729A41}"/>
    <cellStyle name="20% - Accent6 22 2 3 7 2 2" xfId="16209" xr:uid="{9DAC29B4-0266-4521-837D-0759206889A6}"/>
    <cellStyle name="20% - Accent6 22 2 3 7 2 2 2" xfId="32413" xr:uid="{F0E02D7C-59EB-4415-9FD4-E87A9FEB8341}"/>
    <cellStyle name="20% - Accent6 22 2 3 7 2 3" xfId="24906" xr:uid="{8F4FDE3E-B174-4049-9E67-3C29BB47AAEE}"/>
    <cellStyle name="20% - Accent6 22 2 3 7 3" xfId="12594" xr:uid="{8371AD7D-D8F9-4F78-8B7B-0BD945177CBF}"/>
    <cellStyle name="20% - Accent6 22 2 3 7 3 2" xfId="28798" xr:uid="{0573EA38-39A4-4560-BB6F-C90E7DAC0FF9}"/>
    <cellStyle name="20% - Accent6 22 2 3 7 4" xfId="21240" xr:uid="{4209F808-9134-4178-8ABD-6238EF9E76CA}"/>
    <cellStyle name="20% - Accent6 22 2 3 8" xfId="5708" xr:uid="{3D5828ED-41D1-4ABD-B590-A5A4E9C5AFCB}"/>
    <cellStyle name="20% - Accent6 22 2 3 8 2" xfId="13223" xr:uid="{A41B5132-A48A-4D33-AB99-568772A72BF9}"/>
    <cellStyle name="20% - Accent6 22 2 3 8 2 2" xfId="29427" xr:uid="{2F4AB1C3-DFE1-4461-81E1-DD23030AD05A}"/>
    <cellStyle name="20% - Accent6 22 2 3 8 3" xfId="21912" xr:uid="{4F3490BD-8EA9-400D-A502-7DCC7671F9A5}"/>
    <cellStyle name="20% - Accent6 22 2 3 9" xfId="9635" xr:uid="{C331C05E-1D1C-4A13-A3A5-97D1058D61BE}"/>
    <cellStyle name="20% - Accent6 22 2 3 9 2" xfId="25839" xr:uid="{65327D08-3604-458B-8720-3992D72ACC58}"/>
    <cellStyle name="20% - Accent6 22 2 4" xfId="2084" xr:uid="{339AFAE9-8F84-4B6F-8A30-3779E3C27850}"/>
    <cellStyle name="20% - Accent6 22 2 4 2" xfId="2997" xr:uid="{11D05D0E-8B7F-4BB2-BEB6-73E1A7270051}"/>
    <cellStyle name="20% - Accent6 22 2 4 2 2" xfId="6779" xr:uid="{42582A00-830A-458E-9D64-D9E3526C3B3E}"/>
    <cellStyle name="20% - Accent6 22 2 4 2 2 2" xfId="14290" xr:uid="{8CB98795-2C9C-4B57-89FC-BC9B0987B48D}"/>
    <cellStyle name="20% - Accent6 22 2 4 2 2 2 2" xfId="30494" xr:uid="{EADC5F9D-5ACE-42EF-B5FC-A682A65EF77A}"/>
    <cellStyle name="20% - Accent6 22 2 4 2 2 3" xfId="22983" xr:uid="{C26592A8-B581-4238-9827-B0C56F0214FC}"/>
    <cellStyle name="20% - Accent6 22 2 4 2 3" xfId="10690" xr:uid="{B5629407-52EA-4E1F-AD1F-CA3FF1A6AE95}"/>
    <cellStyle name="20% - Accent6 22 2 4 2 3 2" xfId="26894" xr:uid="{4AF0F4D1-88C5-4C46-BF8F-23B253A46927}"/>
    <cellStyle name="20% - Accent6 22 2 4 2 4" xfId="19217" xr:uid="{F83CCB9E-4C70-440D-A0A9-7F6D7E088756}"/>
    <cellStyle name="20% - Accent6 22 2 4 3" xfId="5923" xr:uid="{5426E46B-CE58-42BE-8C19-C27A85E34B7A}"/>
    <cellStyle name="20% - Accent6 22 2 4 3 2" xfId="13437" xr:uid="{0BF12F47-DEA1-4BBD-8118-79F7FFC48783}"/>
    <cellStyle name="20% - Accent6 22 2 4 3 2 2" xfId="29641" xr:uid="{8DAB7900-6061-443F-9BF3-B9AC405ADA24}"/>
    <cellStyle name="20% - Accent6 22 2 4 3 3" xfId="22127" xr:uid="{EA691D8D-A087-4822-9D8D-0F571572C142}"/>
    <cellStyle name="20% - Accent6 22 2 4 4" xfId="9846" xr:uid="{0095B817-C9E6-444A-B5A6-7DA966FF970E}"/>
    <cellStyle name="20% - Accent6 22 2 4 4 2" xfId="26050" xr:uid="{A1E66E99-AE39-4DFE-A303-785C9CB8BA2C}"/>
    <cellStyle name="20% - Accent6 22 2 4 5" xfId="18371" xr:uid="{BB7165E9-8E63-422E-8C69-00B78105AA7F}"/>
    <cellStyle name="20% - Accent6 22 2 5" xfId="2572" xr:uid="{E4DC103A-63C8-4245-9A8F-C5AC4BBAFCAD}"/>
    <cellStyle name="20% - Accent6 22 2 5 2" xfId="6356" xr:uid="{B9510882-062E-4B8A-AB28-1E3B81FFDDDB}"/>
    <cellStyle name="20% - Accent6 22 2 5 2 2" xfId="13868" xr:uid="{BE3E2B74-F941-4841-B054-4FC2A83CDDC7}"/>
    <cellStyle name="20% - Accent6 22 2 5 2 2 2" xfId="30072" xr:uid="{B100EF6A-A757-4D26-AD7E-DDD609A8DCC6}"/>
    <cellStyle name="20% - Accent6 22 2 5 2 3" xfId="22560" xr:uid="{1C145921-C90B-4530-BE78-360FF78B790A}"/>
    <cellStyle name="20% - Accent6 22 2 5 3" xfId="10268" xr:uid="{5E06112D-4C1A-4BBC-BE81-B8AD587DCA08}"/>
    <cellStyle name="20% - Accent6 22 2 5 3 2" xfId="26472" xr:uid="{9DCD7BE7-261A-472C-BEF7-A08902E77A3A}"/>
    <cellStyle name="20% - Accent6 22 2 5 4" xfId="18794" xr:uid="{E4BDE01B-167C-4CEA-BEA1-012B7C549DA6}"/>
    <cellStyle name="20% - Accent6 22 2 6" xfId="3448" xr:uid="{40326873-40F1-4FDE-B166-04BF01D0E6BE}"/>
    <cellStyle name="20% - Accent6 22 2 6 2" xfId="7206" xr:uid="{233CE584-FE97-4EFB-BDE4-ED632A0F5A3D}"/>
    <cellStyle name="20% - Accent6 22 2 6 2 2" xfId="14716" xr:uid="{71ED1200-53CF-4AFC-A7CB-5AA2AAA1A6B0}"/>
    <cellStyle name="20% - Accent6 22 2 6 2 2 2" xfId="30920" xr:uid="{D28346DA-9272-428B-851F-DA075978C71F}"/>
    <cellStyle name="20% - Accent6 22 2 6 2 3" xfId="23410" xr:uid="{03923505-6BEC-4EA6-BA55-1827C9DFE5E8}"/>
    <cellStyle name="20% - Accent6 22 2 6 3" xfId="11113" xr:uid="{1B62EE4C-30C1-4EEF-9958-FC7546692D3E}"/>
    <cellStyle name="20% - Accent6 22 2 6 3 2" xfId="27317" xr:uid="{55E2F48D-D315-47DA-A499-D115931705E8}"/>
    <cellStyle name="20% - Accent6 22 2 6 4" xfId="19664" xr:uid="{78C71BA8-EF4E-44E2-96FE-21564F6171D5}"/>
    <cellStyle name="20% - Accent6 22 2 7" xfId="3972" xr:uid="{5EF45551-36F4-4CDC-9BFA-80F51C1E911F}"/>
    <cellStyle name="20% - Accent6 22 2 7 2" xfId="7642" xr:uid="{5EEFEF07-ADE3-4563-9D99-FC7513A71AC0}"/>
    <cellStyle name="20% - Accent6 22 2 7 2 2" xfId="15149" xr:uid="{EDAFB6B8-13FC-4D81-B482-6024CD48AB8A}"/>
    <cellStyle name="20% - Accent6 22 2 7 2 2 2" xfId="31353" xr:uid="{EC6312A6-C935-4DC1-AC53-480275903ED5}"/>
    <cellStyle name="20% - Accent6 22 2 7 2 3" xfId="23846" xr:uid="{F501AE34-BFC4-4424-8007-9B31331EC653}"/>
    <cellStyle name="20% - Accent6 22 2 7 3" xfId="11535" xr:uid="{ACB485B3-7A0D-40C6-9444-F9B843629BC9}"/>
    <cellStyle name="20% - Accent6 22 2 7 3 2" xfId="27739" xr:uid="{11D71A40-C804-441E-8E4E-B51DCFCCF300}"/>
    <cellStyle name="20% - Accent6 22 2 7 4" xfId="20176" xr:uid="{3C2C2CFB-9B6D-4695-A859-630CD4B350CA}"/>
    <cellStyle name="20% - Accent6 22 2 8" xfId="4397" xr:uid="{8A8A550E-2E41-4826-B277-A1947A829B3E}"/>
    <cellStyle name="20% - Accent6 22 2 8 2" xfId="8067" xr:uid="{03631943-20B5-463F-8A46-EE7760D8861A}"/>
    <cellStyle name="20% - Accent6 22 2 8 2 2" xfId="15574" xr:uid="{2A0499FB-541B-4B2B-A2C1-471EB665E852}"/>
    <cellStyle name="20% - Accent6 22 2 8 2 2 2" xfId="31778" xr:uid="{D4A4F0DB-AA59-469A-A06B-EF1F4745030E}"/>
    <cellStyle name="20% - Accent6 22 2 8 2 3" xfId="24271" xr:uid="{B3D408CB-D3EC-440C-8CCA-C07FD7F3E4A8}"/>
    <cellStyle name="20% - Accent6 22 2 8 3" xfId="11960" xr:uid="{6BEE7938-7D92-431F-8070-67240309551A}"/>
    <cellStyle name="20% - Accent6 22 2 8 3 2" xfId="28164" xr:uid="{32DC4993-6264-41D0-BDF6-9327CA161469}"/>
    <cellStyle name="20% - Accent6 22 2 8 4" xfId="20601" xr:uid="{D90EDB13-1D78-4521-A376-F703ED52C8E1}"/>
    <cellStyle name="20% - Accent6 22 2 9" xfId="4821" xr:uid="{0F755365-ED8B-4FD5-B56D-D74F7C02255D}"/>
    <cellStyle name="20% - Accent6 22 2 9 2" xfId="8490" xr:uid="{4F2AE1A9-41F9-46F1-AB6F-B80F87ADC7F9}"/>
    <cellStyle name="20% - Accent6 22 2 9 2 2" xfId="15997" xr:uid="{18B0B1D2-0C42-4302-A642-40FB6C618322}"/>
    <cellStyle name="20% - Accent6 22 2 9 2 2 2" xfId="32201" xr:uid="{90EC66A5-E17E-4A6D-A91A-D581F856BF46}"/>
    <cellStyle name="20% - Accent6 22 2 9 2 3" xfId="24694" xr:uid="{B815A817-BBD4-498C-B5C6-21C16564E0C9}"/>
    <cellStyle name="20% - Accent6 22 2 9 3" xfId="12382" xr:uid="{9AEFAE1F-6097-4A05-B252-3A158B0AF439}"/>
    <cellStyle name="20% - Accent6 22 2 9 3 2" xfId="28586" xr:uid="{981BA25A-79E0-4262-9979-543328FC9620}"/>
    <cellStyle name="20% - Accent6 22 2 9 4" xfId="21025" xr:uid="{869321E3-8B13-4DFA-AC9E-5A6DFF1CB20D}"/>
    <cellStyle name="20% - Accent6 22 3" xfId="533" xr:uid="{27EB7948-137B-4E97-B3F5-F14A513D2BF6}"/>
    <cellStyle name="20% - Accent6 22 3 10" xfId="5330" xr:uid="{F9726907-1BC8-41CE-A177-8294EB6BE6DF}"/>
    <cellStyle name="20% - Accent6 22 3 10 2" xfId="12879" xr:uid="{27A3129D-6741-4C9E-9492-3D9B69DAA743}"/>
    <cellStyle name="20% - Accent6 22 3 10 2 2" xfId="29083" xr:uid="{C9D18B54-0A38-47F2-8670-F2C8A1E80B4F}"/>
    <cellStyle name="20% - Accent6 22 3 10 3" xfId="21534" xr:uid="{30191511-0CF5-4E66-BCAE-EB810EE6F110}"/>
    <cellStyle name="20% - Accent6 22 3 11" xfId="9445" xr:uid="{8D48AC15-9321-4624-BDFC-E553266AD589}"/>
    <cellStyle name="20% - Accent6 22 3 11 2" xfId="25649" xr:uid="{ECE5F913-90E3-4DB9-8EF8-7C09BCF7A932}"/>
    <cellStyle name="20% - Accent6 22 3 12" xfId="17960" xr:uid="{B44930F2-EC89-4DE6-B550-F69ABFE9D09A}"/>
    <cellStyle name="20% - Accent6 22 3 2" xfId="604" xr:uid="{D9DC748D-52A5-4C79-9DA8-9B1EFD3EA470}"/>
    <cellStyle name="20% - Accent6 22 3 2 10" xfId="9512" xr:uid="{1913A968-FA27-4DAD-B0BB-0F05ABA2C1D2}"/>
    <cellStyle name="20% - Accent6 22 3 2 10 2" xfId="25716" xr:uid="{06E6A729-4E60-4FEA-9B8C-765CAC92B4EC}"/>
    <cellStyle name="20% - Accent6 22 3 2 11" xfId="18028" xr:uid="{0C04CEA1-F15A-4A29-8081-B53442E76F38}"/>
    <cellStyle name="20% - Accent6 22 3 2 2" xfId="1854" xr:uid="{D0BEC306-3FFB-49F1-B669-EFB1196C5AB8}"/>
    <cellStyle name="20% - Accent6 22 3 2 2 10" xfId="18159" xr:uid="{8DBB3235-710D-4512-81CD-BC46ACBE5C15}"/>
    <cellStyle name="20% - Accent6 22 3 2 2 2" xfId="2363" xr:uid="{6F228B63-DD46-4976-BFFF-939F6A503CBE}"/>
    <cellStyle name="20% - Accent6 22 3 2 2 2 2" xfId="3210" xr:uid="{2F31A36E-A3B4-4D99-B090-D5BB38E72173}"/>
    <cellStyle name="20% - Accent6 22 3 2 2 2 2 2" xfId="6992" xr:uid="{90BC9A5C-262D-4DED-9C40-7627B2CDB6FE}"/>
    <cellStyle name="20% - Accent6 22 3 2 2 2 2 2 2" xfId="14503" xr:uid="{2971AAAA-A9B3-461C-B1CB-B8D4D65EF3E5}"/>
    <cellStyle name="20% - Accent6 22 3 2 2 2 2 2 2 2" xfId="30707" xr:uid="{2D6FC1D9-AE19-4041-A2D2-065B33826BC0}"/>
    <cellStyle name="20% - Accent6 22 3 2 2 2 2 2 3" xfId="23196" xr:uid="{227B1CF9-C70D-496B-A40C-F5D93C2F33A9}"/>
    <cellStyle name="20% - Accent6 22 3 2 2 2 2 3" xfId="10903" xr:uid="{D13955D6-BFA9-47C8-A82F-12D4156D71C9}"/>
    <cellStyle name="20% - Accent6 22 3 2 2 2 2 3 2" xfId="27107" xr:uid="{71D1F529-A7AC-493A-A303-A070E46441F5}"/>
    <cellStyle name="20% - Accent6 22 3 2 2 2 2 4" xfId="19430" xr:uid="{3B9BFC98-2CB5-4888-B78C-990DCEFB81DD}"/>
    <cellStyle name="20% - Accent6 22 3 2 2 2 3" xfId="6147" xr:uid="{EC39284F-C405-437F-896B-FA35F7D5C1F3}"/>
    <cellStyle name="20% - Accent6 22 3 2 2 2 3 2" xfId="13659" xr:uid="{B5C3A0AC-3A63-4186-9CE9-E845712AAEFB}"/>
    <cellStyle name="20% - Accent6 22 3 2 2 2 3 2 2" xfId="29863" xr:uid="{50145304-575D-49F6-98A3-56993E00A0E3}"/>
    <cellStyle name="20% - Accent6 22 3 2 2 2 3 3" xfId="22351" xr:uid="{E02402E9-F4C9-4935-BDF0-3085EEF17684}"/>
    <cellStyle name="20% - Accent6 22 3 2 2 2 4" xfId="10059" xr:uid="{50F82797-3F09-4FFE-8439-99F00743A0C8}"/>
    <cellStyle name="20% - Accent6 22 3 2 2 2 4 2" xfId="26263" xr:uid="{6132BC0F-27FD-467D-96F2-73FA833C819A}"/>
    <cellStyle name="20% - Accent6 22 3 2 2 2 5" xfId="18585" xr:uid="{D85806C0-2107-4FED-AE14-0F9614D34BD7}"/>
    <cellStyle name="20% - Accent6 22 3 2 2 3" xfId="2785" xr:uid="{449BDFD0-9D5D-4EF1-9EE0-4259E67DE8CB}"/>
    <cellStyle name="20% - Accent6 22 3 2 2 3 2" xfId="6569" xr:uid="{E06B2503-3D5B-48D6-83A1-5148FF065CEF}"/>
    <cellStyle name="20% - Accent6 22 3 2 2 3 2 2" xfId="14081" xr:uid="{57712A1A-C04A-44E7-9D09-8CAE7BB9F2EC}"/>
    <cellStyle name="20% - Accent6 22 3 2 2 3 2 2 2" xfId="30285" xr:uid="{CB023BF2-794A-473A-B356-3228058FB391}"/>
    <cellStyle name="20% - Accent6 22 3 2 2 3 2 3" xfId="22773" xr:uid="{3749974E-6543-473D-B3C1-35B8FB1E03B4}"/>
    <cellStyle name="20% - Accent6 22 3 2 2 3 3" xfId="10481" xr:uid="{2BE1AC21-AAE2-48DC-8665-BF821E69EF42}"/>
    <cellStyle name="20% - Accent6 22 3 2 2 3 3 2" xfId="26685" xr:uid="{DC172DD7-B620-4D5A-9458-F7E99B481088}"/>
    <cellStyle name="20% - Accent6 22 3 2 2 3 4" xfId="19007" xr:uid="{5B1AE6B4-F516-442B-9B00-A273C958663A}"/>
    <cellStyle name="20% - Accent6 22 3 2 2 4" xfId="3716" xr:uid="{CDB6D267-D95D-492C-BD1F-4A5E5B54E36F}"/>
    <cellStyle name="20% - Accent6 22 3 2 2 4 2" xfId="7426" xr:uid="{34748396-CC20-42F5-AB83-B3FFD1230223}"/>
    <cellStyle name="20% - Accent6 22 3 2 2 4 2 2" xfId="14935" xr:uid="{ED7103C5-A3F3-480D-A147-47BCFD39E482}"/>
    <cellStyle name="20% - Accent6 22 3 2 2 4 2 2 2" xfId="31139" xr:uid="{FBC5894C-725D-4E9D-9CFE-03811D374ABE}"/>
    <cellStyle name="20% - Accent6 22 3 2 2 4 2 3" xfId="23630" xr:uid="{CA0CD7C2-A285-4CE0-84CA-E72332B7AD48}"/>
    <cellStyle name="20% - Accent6 22 3 2 2 4 3" xfId="11326" xr:uid="{1BB1231F-8474-4B4F-AF77-C3E27CFB0066}"/>
    <cellStyle name="20% - Accent6 22 3 2 2 4 3 2" xfId="27530" xr:uid="{1EC06781-8FAD-4A99-B851-D77F3DF1FC9A}"/>
    <cellStyle name="20% - Accent6 22 3 2 2 4 4" xfId="19925" xr:uid="{1D0B7180-D3CE-4CF4-BECB-1A97A946A21B}"/>
    <cellStyle name="20% - Accent6 22 3 2 2 5" xfId="4185" xr:uid="{83CD5D6D-F2CF-4E77-8C21-E120FB2B9AAC}"/>
    <cellStyle name="20% - Accent6 22 3 2 2 5 2" xfId="7855" xr:uid="{B1AD37A3-6BFD-4370-A879-195139C496B6}"/>
    <cellStyle name="20% - Accent6 22 3 2 2 5 2 2" xfId="15362" xr:uid="{708CDC6E-8B94-4068-96B9-343CC47B2A42}"/>
    <cellStyle name="20% - Accent6 22 3 2 2 5 2 2 2" xfId="31566" xr:uid="{78078000-C2BD-4822-83DD-27DFF04B1B7D}"/>
    <cellStyle name="20% - Accent6 22 3 2 2 5 2 3" xfId="24059" xr:uid="{C6B82198-1797-4451-AF62-78447259636A}"/>
    <cellStyle name="20% - Accent6 22 3 2 2 5 3" xfId="11748" xr:uid="{16E340DA-F6CD-46B1-87B5-E299B50BD547}"/>
    <cellStyle name="20% - Accent6 22 3 2 2 5 3 2" xfId="27952" xr:uid="{1478E1B3-C486-45CC-B245-5956EF687C70}"/>
    <cellStyle name="20% - Accent6 22 3 2 2 5 4" xfId="20389" xr:uid="{F38651DC-FE9A-4848-8D6E-23E0A0057848}"/>
    <cellStyle name="20% - Accent6 22 3 2 2 6" xfId="4610" xr:uid="{63F4ED4B-2467-4F54-9B91-05F6F17DDCA7}"/>
    <cellStyle name="20% - Accent6 22 3 2 2 6 2" xfId="8280" xr:uid="{CCAA79A2-6F18-47A2-82AA-7A148172FBB9}"/>
    <cellStyle name="20% - Accent6 22 3 2 2 6 2 2" xfId="15787" xr:uid="{FC1A8587-E719-48FA-8B41-A491418D4307}"/>
    <cellStyle name="20% - Accent6 22 3 2 2 6 2 2 2" xfId="31991" xr:uid="{5D0F3974-C60A-42A8-B1AF-BD4108DD9C3A}"/>
    <cellStyle name="20% - Accent6 22 3 2 2 6 2 3" xfId="24484" xr:uid="{7BD8F0E1-2F8C-4784-8983-52B492179B7F}"/>
    <cellStyle name="20% - Accent6 22 3 2 2 6 3" xfId="12173" xr:uid="{B7F8066D-9557-4DA2-8162-6AA3102D74CD}"/>
    <cellStyle name="20% - Accent6 22 3 2 2 6 3 2" xfId="28377" xr:uid="{3337969B-9B4A-4C0D-8D06-4312BE1DEFAD}"/>
    <cellStyle name="20% - Accent6 22 3 2 2 6 4" xfId="20814" xr:uid="{B9DD9953-FCFA-4B04-BA24-11525D15927D}"/>
    <cellStyle name="20% - Accent6 22 3 2 2 7" xfId="5037" xr:uid="{D906099C-B226-4B8C-9AB3-FF705145DACC}"/>
    <cellStyle name="20% - Accent6 22 3 2 2 7 2" xfId="8703" xr:uid="{B55115C8-16DE-4BA2-A0C3-A0CD40713477}"/>
    <cellStyle name="20% - Accent6 22 3 2 2 7 2 2" xfId="16210" xr:uid="{E0677AEC-50B0-44D7-A748-C53798D0E4DA}"/>
    <cellStyle name="20% - Accent6 22 3 2 2 7 2 2 2" xfId="32414" xr:uid="{A042549D-E0B8-44C7-BC1E-DA4D51BA547D}"/>
    <cellStyle name="20% - Accent6 22 3 2 2 7 2 3" xfId="24907" xr:uid="{B47773F0-7FF9-484E-9262-69F75EB26011}"/>
    <cellStyle name="20% - Accent6 22 3 2 2 7 3" xfId="12595" xr:uid="{BF235E49-0898-4E9D-BF01-25EBAD47BC6F}"/>
    <cellStyle name="20% - Accent6 22 3 2 2 7 3 2" xfId="28799" xr:uid="{E480BC99-DFF4-4663-AB97-DC77F744B124}"/>
    <cellStyle name="20% - Accent6 22 3 2 2 7 4" xfId="21241" xr:uid="{3984B355-1BA5-4016-AA6D-2ADFD5A99542}"/>
    <cellStyle name="20% - Accent6 22 3 2 2 8" xfId="5709" xr:uid="{773DDB8F-EA64-4C5B-A966-7C8DFD38E901}"/>
    <cellStyle name="20% - Accent6 22 3 2 2 8 2" xfId="13224" xr:uid="{69EA6981-4638-4CE5-A530-7DC32FD7E96F}"/>
    <cellStyle name="20% - Accent6 22 3 2 2 8 2 2" xfId="29428" xr:uid="{3311FF7B-8B82-4FCD-9206-815816D891D7}"/>
    <cellStyle name="20% - Accent6 22 3 2 2 8 3" xfId="21913" xr:uid="{8F27333B-EA10-4803-A928-59B38D7D3042}"/>
    <cellStyle name="20% - Accent6 22 3 2 2 9" xfId="9636" xr:uid="{2F41E635-B522-4BD2-B414-495098DB01B5}"/>
    <cellStyle name="20% - Accent6 22 3 2 2 9 2" xfId="25840" xr:uid="{D482512D-4948-43D0-8091-46EF9C9A06AB}"/>
    <cellStyle name="20% - Accent6 22 3 2 3" xfId="2173" xr:uid="{3B7DD7EB-330C-4A94-BD38-6ED5C4DF5568}"/>
    <cellStyle name="20% - Accent6 22 3 2 3 2" xfId="3086" xr:uid="{A96CD19B-C862-4787-9A93-A0A09EEE3827}"/>
    <cellStyle name="20% - Accent6 22 3 2 3 2 2" xfId="6868" xr:uid="{A5FA93BB-9134-467C-8F23-E003B1AB8C53}"/>
    <cellStyle name="20% - Accent6 22 3 2 3 2 2 2" xfId="14379" xr:uid="{5F38F4FE-C823-4B89-AC63-4EE98B250F88}"/>
    <cellStyle name="20% - Accent6 22 3 2 3 2 2 2 2" xfId="30583" xr:uid="{E39AEE99-85CD-4F64-BB4A-7D45968DBFED}"/>
    <cellStyle name="20% - Accent6 22 3 2 3 2 2 3" xfId="23072" xr:uid="{C7490E9A-A4CE-4857-BAE3-92D6621AD60D}"/>
    <cellStyle name="20% - Accent6 22 3 2 3 2 3" xfId="10779" xr:uid="{4CED0635-00A9-4F63-951B-FA5D781F83CF}"/>
    <cellStyle name="20% - Accent6 22 3 2 3 2 3 2" xfId="26983" xr:uid="{73A242DE-A91B-41E5-8D61-39D3C115AA18}"/>
    <cellStyle name="20% - Accent6 22 3 2 3 2 4" xfId="19306" xr:uid="{477A5EB6-F8A0-47AC-848B-093C7915A092}"/>
    <cellStyle name="20% - Accent6 22 3 2 3 3" xfId="6012" xr:uid="{601A0C52-C67C-4C29-97D5-5C6E28C77A76}"/>
    <cellStyle name="20% - Accent6 22 3 2 3 3 2" xfId="13526" xr:uid="{B3734AB5-005A-43C4-BE81-BAB43C1AF7C5}"/>
    <cellStyle name="20% - Accent6 22 3 2 3 3 2 2" xfId="29730" xr:uid="{83474BE8-E7D9-41F7-9BB2-D629EB458654}"/>
    <cellStyle name="20% - Accent6 22 3 2 3 3 3" xfId="22216" xr:uid="{30162133-0C58-49B9-A7C5-C52BFFE15ADF}"/>
    <cellStyle name="20% - Accent6 22 3 2 3 4" xfId="9935" xr:uid="{AAB4E962-AFD2-40FC-817F-AC0383296B34}"/>
    <cellStyle name="20% - Accent6 22 3 2 3 4 2" xfId="26139" xr:uid="{2723AFC1-7237-4D47-9A43-526F9692B6F4}"/>
    <cellStyle name="20% - Accent6 22 3 2 3 5" xfId="18460" xr:uid="{A1F25045-3ABE-433C-90B9-916CFA4611F3}"/>
    <cellStyle name="20% - Accent6 22 3 2 4" xfId="2661" xr:uid="{09D58086-2FFE-458A-B031-7E0CE20BDE0A}"/>
    <cellStyle name="20% - Accent6 22 3 2 4 2" xfId="6445" xr:uid="{D3955FDE-8134-4B71-9127-DA9AB89D1299}"/>
    <cellStyle name="20% - Accent6 22 3 2 4 2 2" xfId="13957" xr:uid="{D502A6D2-C685-41F3-AFA7-005559A08319}"/>
    <cellStyle name="20% - Accent6 22 3 2 4 2 2 2" xfId="30161" xr:uid="{1CF3A473-4758-4BFC-BBCE-4C0273F5E4F4}"/>
    <cellStyle name="20% - Accent6 22 3 2 4 2 3" xfId="22649" xr:uid="{826A59BB-8002-4DDD-B195-2479EB61ADBB}"/>
    <cellStyle name="20% - Accent6 22 3 2 4 3" xfId="10357" xr:uid="{88D0D75A-931F-4E77-8885-282B8E38CBE5}"/>
    <cellStyle name="20% - Accent6 22 3 2 4 3 2" xfId="26561" xr:uid="{04C5BE1A-DFF7-4B91-80E2-CBF22800AA95}"/>
    <cellStyle name="20% - Accent6 22 3 2 4 4" xfId="18883" xr:uid="{EC55813C-4A0C-4576-BD11-D35C53F5D918}"/>
    <cellStyle name="20% - Accent6 22 3 2 5" xfId="3537" xr:uid="{788B2002-6E67-4B36-93D0-5D568F2D06AE}"/>
    <cellStyle name="20% - Accent6 22 3 2 5 2" xfId="7295" xr:uid="{134DAE6A-CFE8-406B-A3EE-318FE6B43A17}"/>
    <cellStyle name="20% - Accent6 22 3 2 5 2 2" xfId="14805" xr:uid="{5CD17251-8D7D-420D-A112-8882389243EB}"/>
    <cellStyle name="20% - Accent6 22 3 2 5 2 2 2" xfId="31009" xr:uid="{8711DE11-D18C-4A8D-9B7B-2372551D4BAC}"/>
    <cellStyle name="20% - Accent6 22 3 2 5 2 3" xfId="23499" xr:uid="{2DFA7642-4755-4DC7-8D93-7CF0AF684398}"/>
    <cellStyle name="20% - Accent6 22 3 2 5 3" xfId="11202" xr:uid="{9B130799-E0B4-4552-A106-3E4AE8F9D0B1}"/>
    <cellStyle name="20% - Accent6 22 3 2 5 3 2" xfId="27406" xr:uid="{CBD21C00-64E9-4CE2-9977-91ACC3F65043}"/>
    <cellStyle name="20% - Accent6 22 3 2 5 4" xfId="19753" xr:uid="{CD09C1DA-6460-4183-B51D-44C89FF5C19B}"/>
    <cellStyle name="20% - Accent6 22 3 2 6" xfId="4061" xr:uid="{F6A74B13-6B2F-43AE-B5F5-621BF36D5BF6}"/>
    <cellStyle name="20% - Accent6 22 3 2 6 2" xfId="7731" xr:uid="{29812B09-0529-4CC0-802A-1AAE9DF30FF2}"/>
    <cellStyle name="20% - Accent6 22 3 2 6 2 2" xfId="15238" xr:uid="{63FAD32B-C590-4425-92E7-675CC213727D}"/>
    <cellStyle name="20% - Accent6 22 3 2 6 2 2 2" xfId="31442" xr:uid="{EABB5D37-1AF2-493B-A732-B8A34661AA75}"/>
    <cellStyle name="20% - Accent6 22 3 2 6 2 3" xfId="23935" xr:uid="{A711396F-8959-4CD4-9B6C-939FCA680CF2}"/>
    <cellStyle name="20% - Accent6 22 3 2 6 3" xfId="11624" xr:uid="{1EA4B8AE-288A-4A60-A22E-C0F72EF43492}"/>
    <cellStyle name="20% - Accent6 22 3 2 6 3 2" xfId="27828" xr:uid="{9DB81CE4-1DC2-414D-8F07-2B1C82E9DDF5}"/>
    <cellStyle name="20% - Accent6 22 3 2 6 4" xfId="20265" xr:uid="{D4F2AF54-2D2A-4FCC-A04F-D167FD0085C0}"/>
    <cellStyle name="20% - Accent6 22 3 2 7" xfId="4486" xr:uid="{51927848-7622-4BA4-B314-EC8EDCE56F76}"/>
    <cellStyle name="20% - Accent6 22 3 2 7 2" xfId="8156" xr:uid="{8EC44B8A-378E-4CF3-B4E0-7F424E4F4AD3}"/>
    <cellStyle name="20% - Accent6 22 3 2 7 2 2" xfId="15663" xr:uid="{35221D4E-051E-41FD-929B-F4CE60AF6498}"/>
    <cellStyle name="20% - Accent6 22 3 2 7 2 2 2" xfId="31867" xr:uid="{20D89B98-05FE-48A2-B01F-5B3682D0D1CF}"/>
    <cellStyle name="20% - Accent6 22 3 2 7 2 3" xfId="24360" xr:uid="{5FE68E47-AE27-4677-9F52-BA19E146C1E4}"/>
    <cellStyle name="20% - Accent6 22 3 2 7 3" xfId="12049" xr:uid="{FDD9C01F-C55A-4F74-A031-991E6BA2DEAE}"/>
    <cellStyle name="20% - Accent6 22 3 2 7 3 2" xfId="28253" xr:uid="{965DAC89-2592-42CA-B066-5EC6DAD39873}"/>
    <cellStyle name="20% - Accent6 22 3 2 7 4" xfId="20690" xr:uid="{EBEF2F98-2FB7-429C-8ADD-39F9E921975B}"/>
    <cellStyle name="20% - Accent6 22 3 2 8" xfId="4911" xr:uid="{C2C1E233-699C-4A79-B29C-87EDBFED5FFA}"/>
    <cellStyle name="20% - Accent6 22 3 2 8 2" xfId="8579" xr:uid="{FBCD3ACF-65CC-4C30-8177-D573D0628B66}"/>
    <cellStyle name="20% - Accent6 22 3 2 8 2 2" xfId="16086" xr:uid="{E7830E4B-556D-4463-8A80-A363D33E6B30}"/>
    <cellStyle name="20% - Accent6 22 3 2 8 2 2 2" xfId="32290" xr:uid="{60AC8355-1A73-4DC4-AE23-E7BB2C20F43B}"/>
    <cellStyle name="20% - Accent6 22 3 2 8 2 3" xfId="24783" xr:uid="{1AE9E2A9-3053-42E3-9E09-0253A246C9AE}"/>
    <cellStyle name="20% - Accent6 22 3 2 8 3" xfId="12471" xr:uid="{0B82A776-CD5A-4D0E-8BC6-1D74F18120D2}"/>
    <cellStyle name="20% - Accent6 22 3 2 8 3 2" xfId="28675" xr:uid="{6A1F676E-E229-4D96-AF1E-76608C83336E}"/>
    <cellStyle name="20% - Accent6 22 3 2 8 4" xfId="21115" xr:uid="{B31CD338-0513-4D65-8ACA-DBBB38EA35EB}"/>
    <cellStyle name="20% - Accent6 22 3 2 9" xfId="5397" xr:uid="{19092113-E9EA-4BAD-B776-24D8381A436C}"/>
    <cellStyle name="20% - Accent6 22 3 2 9 2" xfId="12946" xr:uid="{A73930A4-63CA-4990-A84C-FB924178D36B}"/>
    <cellStyle name="20% - Accent6 22 3 2 9 2 2" xfId="29150" xr:uid="{2637CFA7-7F34-4420-942B-75CF0DE3DB18}"/>
    <cellStyle name="20% - Accent6 22 3 2 9 3" xfId="21601" xr:uid="{CD240DDA-5955-4FD9-980D-8269DC995366}"/>
    <cellStyle name="20% - Accent6 22 3 3" xfId="1855" xr:uid="{0B1D2700-D4AC-4F85-BA49-F779B03F2C9A}"/>
    <cellStyle name="20% - Accent6 22 3 3 10" xfId="18160" xr:uid="{E4DD03C0-9C15-4F35-8314-16B69972446E}"/>
    <cellStyle name="20% - Accent6 22 3 3 2" xfId="2364" xr:uid="{A4367B8E-839F-46D9-84CF-C9D927883A34}"/>
    <cellStyle name="20% - Accent6 22 3 3 2 2" xfId="3211" xr:uid="{F37DB8A5-C43A-4236-8B69-6F8AD8AEFD39}"/>
    <cellStyle name="20% - Accent6 22 3 3 2 2 2" xfId="6993" xr:uid="{601B0D71-CDCC-4E42-82C4-FC61FA50291E}"/>
    <cellStyle name="20% - Accent6 22 3 3 2 2 2 2" xfId="14504" xr:uid="{AA9919B2-DA2F-43EA-97DC-95F351B97A25}"/>
    <cellStyle name="20% - Accent6 22 3 3 2 2 2 2 2" xfId="30708" xr:uid="{66FEDB27-3829-4DCF-BF00-6F60C43812C8}"/>
    <cellStyle name="20% - Accent6 22 3 3 2 2 2 3" xfId="23197" xr:uid="{5AD9BE6C-2250-4E15-B8AE-DD9C8FDF40AC}"/>
    <cellStyle name="20% - Accent6 22 3 3 2 2 3" xfId="10904" xr:uid="{92487A7D-034F-49AB-BE7F-881B3A0554DC}"/>
    <cellStyle name="20% - Accent6 22 3 3 2 2 3 2" xfId="27108" xr:uid="{50A2AA48-33B8-4499-B4EC-F1E1017DA791}"/>
    <cellStyle name="20% - Accent6 22 3 3 2 2 4" xfId="19431" xr:uid="{1B20C9EB-4757-475F-AF25-929DF3B83761}"/>
    <cellStyle name="20% - Accent6 22 3 3 2 3" xfId="6148" xr:uid="{4B724F02-187C-4E30-86A2-D002141630D7}"/>
    <cellStyle name="20% - Accent6 22 3 3 2 3 2" xfId="13660" xr:uid="{C9797B99-BD27-488F-9336-7DCF0C4DEEB5}"/>
    <cellStyle name="20% - Accent6 22 3 3 2 3 2 2" xfId="29864" xr:uid="{C4176DE5-DBA5-440F-B340-52BF703A821B}"/>
    <cellStyle name="20% - Accent6 22 3 3 2 3 3" xfId="22352" xr:uid="{9B31C377-991C-4EBB-9431-9DD628EE0474}"/>
    <cellStyle name="20% - Accent6 22 3 3 2 4" xfId="10060" xr:uid="{85AE67C9-98E4-466E-BC16-76158E406A0A}"/>
    <cellStyle name="20% - Accent6 22 3 3 2 4 2" xfId="26264" xr:uid="{B4E36D69-25B6-4A94-9A95-F908A1FCD65F}"/>
    <cellStyle name="20% - Accent6 22 3 3 2 5" xfId="18586" xr:uid="{C2AE48E9-B736-4884-9626-6CB54A0E75A1}"/>
    <cellStyle name="20% - Accent6 22 3 3 3" xfId="2786" xr:uid="{5B5B33D1-3766-46CF-86D2-AC3D5A776F18}"/>
    <cellStyle name="20% - Accent6 22 3 3 3 2" xfId="6570" xr:uid="{2E603B76-B35E-419B-91FC-086B29FBE84D}"/>
    <cellStyle name="20% - Accent6 22 3 3 3 2 2" xfId="14082" xr:uid="{4208AE49-6511-456D-92B7-1CC1CD3EB47A}"/>
    <cellStyle name="20% - Accent6 22 3 3 3 2 2 2" xfId="30286" xr:uid="{4E716848-8E22-4A0E-AB38-C0ECBE592CF0}"/>
    <cellStyle name="20% - Accent6 22 3 3 3 2 3" xfId="22774" xr:uid="{F3127EFD-B10A-4287-A367-3B76500EF50E}"/>
    <cellStyle name="20% - Accent6 22 3 3 3 3" xfId="10482" xr:uid="{B9468C0F-C82D-4340-A1A3-18F09277BCCD}"/>
    <cellStyle name="20% - Accent6 22 3 3 3 3 2" xfId="26686" xr:uid="{B6FE2FDB-72BE-413A-B876-8B53DE879A5B}"/>
    <cellStyle name="20% - Accent6 22 3 3 3 4" xfId="19008" xr:uid="{C71BBCC3-E654-4DB6-9EFF-730A505F8BE2}"/>
    <cellStyle name="20% - Accent6 22 3 3 4" xfId="3717" xr:uid="{F2C31D4D-662D-4D00-BC42-25CF3628007B}"/>
    <cellStyle name="20% - Accent6 22 3 3 4 2" xfId="7427" xr:uid="{1423033C-33C8-4092-8059-4D51811AEE58}"/>
    <cellStyle name="20% - Accent6 22 3 3 4 2 2" xfId="14936" xr:uid="{C8ACE292-B44A-4ABA-AAE2-C84938FF5480}"/>
    <cellStyle name="20% - Accent6 22 3 3 4 2 2 2" xfId="31140" xr:uid="{3153E74F-BDBF-46E1-B005-73E1A95678E4}"/>
    <cellStyle name="20% - Accent6 22 3 3 4 2 3" xfId="23631" xr:uid="{356E9CB9-7C36-402D-9C9F-CCB2A8D566C6}"/>
    <cellStyle name="20% - Accent6 22 3 3 4 3" xfId="11327" xr:uid="{2F3C03F5-9821-4A97-8ED8-07B2F434D8BB}"/>
    <cellStyle name="20% - Accent6 22 3 3 4 3 2" xfId="27531" xr:uid="{F9DC5C3D-8340-487A-8B7B-3EEF2E17359A}"/>
    <cellStyle name="20% - Accent6 22 3 3 4 4" xfId="19926" xr:uid="{3E81D963-4068-4719-B3A8-2252ECC59FDB}"/>
    <cellStyle name="20% - Accent6 22 3 3 5" xfId="4186" xr:uid="{427D02B8-0DC2-4B05-821A-D1CAA180199C}"/>
    <cellStyle name="20% - Accent6 22 3 3 5 2" xfId="7856" xr:uid="{1BBE8677-D678-4895-9E59-C595D392CA74}"/>
    <cellStyle name="20% - Accent6 22 3 3 5 2 2" xfId="15363" xr:uid="{399EDCFA-8F93-4E1E-9926-780672A7F607}"/>
    <cellStyle name="20% - Accent6 22 3 3 5 2 2 2" xfId="31567" xr:uid="{A6F83DB0-AD4E-4F30-82C1-CAFA75C44DC4}"/>
    <cellStyle name="20% - Accent6 22 3 3 5 2 3" xfId="24060" xr:uid="{C46B5A49-8507-4578-8809-6D4E8F37E18A}"/>
    <cellStyle name="20% - Accent6 22 3 3 5 3" xfId="11749" xr:uid="{4947920D-D7B1-474D-9AB5-B67381B3F746}"/>
    <cellStyle name="20% - Accent6 22 3 3 5 3 2" xfId="27953" xr:uid="{E4524E1F-13EF-4100-86D5-5BEF8F233CA2}"/>
    <cellStyle name="20% - Accent6 22 3 3 5 4" xfId="20390" xr:uid="{0441B584-D629-44D9-8392-5B97881246B9}"/>
    <cellStyle name="20% - Accent6 22 3 3 6" xfId="4611" xr:uid="{05226B98-0241-4FA9-9EE2-F53A3797FC72}"/>
    <cellStyle name="20% - Accent6 22 3 3 6 2" xfId="8281" xr:uid="{C36B8BFF-DE0C-4BED-A66E-F31A610CECD9}"/>
    <cellStyle name="20% - Accent6 22 3 3 6 2 2" xfId="15788" xr:uid="{793A68B0-E1A1-4224-8178-A331DFA261DE}"/>
    <cellStyle name="20% - Accent6 22 3 3 6 2 2 2" xfId="31992" xr:uid="{9F896FC8-16D1-4FE9-81FA-B471A967C048}"/>
    <cellStyle name="20% - Accent6 22 3 3 6 2 3" xfId="24485" xr:uid="{05B5FDD7-687D-441B-A6F0-1A6DCB066DBA}"/>
    <cellStyle name="20% - Accent6 22 3 3 6 3" xfId="12174" xr:uid="{CF2A68EF-50FB-40ED-B45A-FDCBBF40841F}"/>
    <cellStyle name="20% - Accent6 22 3 3 6 3 2" xfId="28378" xr:uid="{8FB9B6F1-6CFD-4857-9E49-F3294E952431}"/>
    <cellStyle name="20% - Accent6 22 3 3 6 4" xfId="20815" xr:uid="{05D4550A-F501-4AC7-9AFA-D8089C1FBF40}"/>
    <cellStyle name="20% - Accent6 22 3 3 7" xfId="5038" xr:uid="{2D50DDA5-3067-438D-AACE-91E729C526D6}"/>
    <cellStyle name="20% - Accent6 22 3 3 7 2" xfId="8704" xr:uid="{85132E7B-31C3-4744-83B7-2CD51BD7968C}"/>
    <cellStyle name="20% - Accent6 22 3 3 7 2 2" xfId="16211" xr:uid="{99BFE306-8B70-492D-A400-9BC56A19823E}"/>
    <cellStyle name="20% - Accent6 22 3 3 7 2 2 2" xfId="32415" xr:uid="{04D8AE54-95A2-4978-AC7E-3CCBB81C83C6}"/>
    <cellStyle name="20% - Accent6 22 3 3 7 2 3" xfId="24908" xr:uid="{CB224928-A76E-4F1D-BBF0-47F8DA082235}"/>
    <cellStyle name="20% - Accent6 22 3 3 7 3" xfId="12596" xr:uid="{F2441546-3FE7-4077-BD18-E90AAC8165E9}"/>
    <cellStyle name="20% - Accent6 22 3 3 7 3 2" xfId="28800" xr:uid="{7604FDE4-FB44-4251-8DF8-CB3AF27E21B3}"/>
    <cellStyle name="20% - Accent6 22 3 3 7 4" xfId="21242" xr:uid="{8C061E83-75AE-48A2-999B-7032A80C5F9B}"/>
    <cellStyle name="20% - Accent6 22 3 3 8" xfId="5710" xr:uid="{EDCE0B3D-1AD5-4A87-90E1-80D6B5811DEB}"/>
    <cellStyle name="20% - Accent6 22 3 3 8 2" xfId="13225" xr:uid="{34CB2004-1FDB-4CB1-B4D7-88BD53F7A740}"/>
    <cellStyle name="20% - Accent6 22 3 3 8 2 2" xfId="29429" xr:uid="{4461F3DC-E147-4D8C-BDB2-6D29F2C674A1}"/>
    <cellStyle name="20% - Accent6 22 3 3 8 3" xfId="21914" xr:uid="{45010616-84E3-46F1-B422-E7C65A28F34F}"/>
    <cellStyle name="20% - Accent6 22 3 3 9" xfId="9637" xr:uid="{FD3CD319-1BF6-44C5-A4B3-E3842C2F07E6}"/>
    <cellStyle name="20% - Accent6 22 3 3 9 2" xfId="25841" xr:uid="{39C5EFF5-EB3D-47EE-AC15-AD754F1D6F4B}"/>
    <cellStyle name="20% - Accent6 22 3 4" xfId="2106" xr:uid="{03E7A27E-B139-4FA5-9745-A06AFE808820}"/>
    <cellStyle name="20% - Accent6 22 3 4 2" xfId="3019" xr:uid="{2FAEAA72-769A-46F9-986E-38DE5EBD6BAF}"/>
    <cellStyle name="20% - Accent6 22 3 4 2 2" xfId="6801" xr:uid="{C2413209-A769-4B85-841A-C53BB803C8E9}"/>
    <cellStyle name="20% - Accent6 22 3 4 2 2 2" xfId="14312" xr:uid="{3D87FB7B-625E-489D-A649-B6ECBE765ED3}"/>
    <cellStyle name="20% - Accent6 22 3 4 2 2 2 2" xfId="30516" xr:uid="{F2BB4EA8-7499-4E1A-A588-2E64A2F7BA1A}"/>
    <cellStyle name="20% - Accent6 22 3 4 2 2 3" xfId="23005" xr:uid="{755A3F97-0360-4A37-86D5-48EC2993A927}"/>
    <cellStyle name="20% - Accent6 22 3 4 2 3" xfId="10712" xr:uid="{4E48E2F7-E2B1-4D02-A382-44EE5C1F3AE5}"/>
    <cellStyle name="20% - Accent6 22 3 4 2 3 2" xfId="26916" xr:uid="{17784319-A173-4808-B57E-CCD7B599C736}"/>
    <cellStyle name="20% - Accent6 22 3 4 2 4" xfId="19239" xr:uid="{004FF6BF-FEF7-4712-924C-9DAF38A91D18}"/>
    <cellStyle name="20% - Accent6 22 3 4 3" xfId="5945" xr:uid="{BAB15453-35C4-4056-8FDE-1EAF4CC8A459}"/>
    <cellStyle name="20% - Accent6 22 3 4 3 2" xfId="13459" xr:uid="{05BAEF84-3D45-481B-B710-7656A72D04A5}"/>
    <cellStyle name="20% - Accent6 22 3 4 3 2 2" xfId="29663" xr:uid="{48FA3E8A-2034-4770-9C51-DE65F6D1E3CD}"/>
    <cellStyle name="20% - Accent6 22 3 4 3 3" xfId="22149" xr:uid="{8A87A364-ECA4-4C1B-835F-B48C9A83628B}"/>
    <cellStyle name="20% - Accent6 22 3 4 4" xfId="9868" xr:uid="{6AD6BC71-439B-497A-B3CC-2E4F33E14820}"/>
    <cellStyle name="20% - Accent6 22 3 4 4 2" xfId="26072" xr:uid="{B71DCEEA-31C1-4589-BD77-4184A83F1B57}"/>
    <cellStyle name="20% - Accent6 22 3 4 5" xfId="18393" xr:uid="{678CD9BD-492E-485F-832A-C568AF3B9EAC}"/>
    <cellStyle name="20% - Accent6 22 3 5" xfId="2594" xr:uid="{6881314C-429C-4CFD-BE4A-9C993D8BC686}"/>
    <cellStyle name="20% - Accent6 22 3 5 2" xfId="6378" xr:uid="{1D970452-4B8C-41F3-A71A-9E8D7C65EC8F}"/>
    <cellStyle name="20% - Accent6 22 3 5 2 2" xfId="13890" xr:uid="{1D8E4C62-1110-4328-80FE-FC07E8F974D8}"/>
    <cellStyle name="20% - Accent6 22 3 5 2 2 2" xfId="30094" xr:uid="{02D12311-95DA-4A2E-975D-1FE084CEBE8E}"/>
    <cellStyle name="20% - Accent6 22 3 5 2 3" xfId="22582" xr:uid="{ACEF332C-6654-4D0B-AF92-891C3F3DE106}"/>
    <cellStyle name="20% - Accent6 22 3 5 3" xfId="10290" xr:uid="{C504218C-D0EB-4BCA-8DA3-E41E4333FF91}"/>
    <cellStyle name="20% - Accent6 22 3 5 3 2" xfId="26494" xr:uid="{4BF79E77-E388-4A11-8C9E-61F08C2FD635}"/>
    <cellStyle name="20% - Accent6 22 3 5 4" xfId="18816" xr:uid="{CA557EA1-37D4-463A-B15C-CC5488374977}"/>
    <cellStyle name="20% - Accent6 22 3 6" xfId="3470" xr:uid="{AB98B515-013C-4907-93B6-DB6EA3C6738C}"/>
    <cellStyle name="20% - Accent6 22 3 6 2" xfId="7228" xr:uid="{2E7713B3-0822-4927-A6E1-49216987B9B1}"/>
    <cellStyle name="20% - Accent6 22 3 6 2 2" xfId="14738" xr:uid="{F66ADC65-D0E5-447B-867F-C53124F8EF99}"/>
    <cellStyle name="20% - Accent6 22 3 6 2 2 2" xfId="30942" xr:uid="{2D2B40F5-3755-40B2-A6B7-E9415C53F3A5}"/>
    <cellStyle name="20% - Accent6 22 3 6 2 3" xfId="23432" xr:uid="{06785C89-AE14-43BB-A707-DB6BF9734A24}"/>
    <cellStyle name="20% - Accent6 22 3 6 3" xfId="11135" xr:uid="{2520A9F7-F62D-4566-835C-985BA3EF75F9}"/>
    <cellStyle name="20% - Accent6 22 3 6 3 2" xfId="27339" xr:uid="{B60B6860-3C0C-4174-8719-00E330C41C07}"/>
    <cellStyle name="20% - Accent6 22 3 6 4" xfId="19686" xr:uid="{AEE43B9A-3148-487F-A034-0591AA2E25B6}"/>
    <cellStyle name="20% - Accent6 22 3 7" xfId="3994" xr:uid="{34DB8554-C962-4D2F-8569-7FF925190374}"/>
    <cellStyle name="20% - Accent6 22 3 7 2" xfId="7664" xr:uid="{76D36324-C9D2-485B-AA0F-9DC897FDF515}"/>
    <cellStyle name="20% - Accent6 22 3 7 2 2" xfId="15171" xr:uid="{CD05E6A3-8B64-481B-879D-23AA5A1E5392}"/>
    <cellStyle name="20% - Accent6 22 3 7 2 2 2" xfId="31375" xr:uid="{6B694D90-611E-489C-B913-9CAA53F3D9F3}"/>
    <cellStyle name="20% - Accent6 22 3 7 2 3" xfId="23868" xr:uid="{A53FE38E-B9A0-474F-8C53-841F129A532A}"/>
    <cellStyle name="20% - Accent6 22 3 7 3" xfId="11557" xr:uid="{9D5737E5-D555-4E09-A030-AED307AC3AFA}"/>
    <cellStyle name="20% - Accent6 22 3 7 3 2" xfId="27761" xr:uid="{6B1BCE46-715B-41E0-82BC-7C1B2D98DA7D}"/>
    <cellStyle name="20% - Accent6 22 3 7 4" xfId="20198" xr:uid="{9891620D-8C62-46F3-A9DA-AE28CB2882F1}"/>
    <cellStyle name="20% - Accent6 22 3 8" xfId="4419" xr:uid="{CA3F451E-BA26-4E12-9098-32B0EBC231C7}"/>
    <cellStyle name="20% - Accent6 22 3 8 2" xfId="8089" xr:uid="{D6E5ED54-B6D6-426B-97A9-5D016955513D}"/>
    <cellStyle name="20% - Accent6 22 3 8 2 2" xfId="15596" xr:uid="{53CDDE78-E9D8-469C-9B83-EDB93E530A41}"/>
    <cellStyle name="20% - Accent6 22 3 8 2 2 2" xfId="31800" xr:uid="{284F2783-6CD1-41FB-B060-987C5BBDFCC0}"/>
    <cellStyle name="20% - Accent6 22 3 8 2 3" xfId="24293" xr:uid="{32EE8E84-A4CB-4F6B-B94C-ADEB54613908}"/>
    <cellStyle name="20% - Accent6 22 3 8 3" xfId="11982" xr:uid="{02A7ABA0-DD6A-4E48-B860-D82DBDB61E58}"/>
    <cellStyle name="20% - Accent6 22 3 8 3 2" xfId="28186" xr:uid="{4D5D8D66-9DDF-4D57-B826-D82A8B545950}"/>
    <cellStyle name="20% - Accent6 22 3 8 4" xfId="20623" xr:uid="{9B0FDE22-C730-4844-A05F-527E0D714756}"/>
    <cellStyle name="20% - Accent6 22 3 9" xfId="4843" xr:uid="{F737E4E0-3EE5-4B56-828F-D2CF05438AF0}"/>
    <cellStyle name="20% - Accent6 22 3 9 2" xfId="8512" xr:uid="{E37DE78F-F925-466D-A7C9-2B69EB74490B}"/>
    <cellStyle name="20% - Accent6 22 3 9 2 2" xfId="16019" xr:uid="{B8E3BF7E-65B7-4D5F-9EE9-72767504321C}"/>
    <cellStyle name="20% - Accent6 22 3 9 2 2 2" xfId="32223" xr:uid="{59C14F11-7BC2-478C-A4EE-84E5F9F37802}"/>
    <cellStyle name="20% - Accent6 22 3 9 2 3" xfId="24716" xr:uid="{C0CD33A4-9FBF-4551-A61A-02B443273B7C}"/>
    <cellStyle name="20% - Accent6 22 3 9 3" xfId="12404" xr:uid="{FAD42D04-0626-4384-9D57-F43AC6FCC9D5}"/>
    <cellStyle name="20% - Accent6 22 3 9 3 2" xfId="28608" xr:uid="{F4E8D93B-0CC4-49E2-ACAB-ED30774600D2}"/>
    <cellStyle name="20% - Accent6 22 3 9 4" xfId="21047" xr:uid="{9BF2E123-330F-4338-A45A-7067F4E5C0DD}"/>
    <cellStyle name="20% - Accent6 22 4" xfId="560" xr:uid="{D4176FB1-365A-4B64-903B-4F41925BF7F3}"/>
    <cellStyle name="20% - Accent6 22 4 10" xfId="9468" xr:uid="{E905C1ED-91A2-4D66-8466-E78FF0D906AB}"/>
    <cellStyle name="20% - Accent6 22 4 10 2" xfId="25672" xr:uid="{8CD53A67-679E-4C84-8267-963AA594D7D6}"/>
    <cellStyle name="20% - Accent6 22 4 11" xfId="17984" xr:uid="{1321E0C9-28A1-4EAE-B860-B5EC29B86E47}"/>
    <cellStyle name="20% - Accent6 22 4 2" xfId="1856" xr:uid="{9258AE08-7A7D-4FFC-860A-FEB7EBF3F5B9}"/>
    <cellStyle name="20% - Accent6 22 4 2 10" xfId="18161" xr:uid="{C3CCCD40-38AD-4105-8A1D-04268BFBA223}"/>
    <cellStyle name="20% - Accent6 22 4 2 2" xfId="2365" xr:uid="{7F2AAF70-DFAE-4C38-8D40-F0BD4C946CFF}"/>
    <cellStyle name="20% - Accent6 22 4 2 2 2" xfId="3212" xr:uid="{0A02BA13-A986-4D9F-B61D-7231A992338A}"/>
    <cellStyle name="20% - Accent6 22 4 2 2 2 2" xfId="6994" xr:uid="{BC5B43C2-B17D-4868-AFAB-538FD12BC03E}"/>
    <cellStyle name="20% - Accent6 22 4 2 2 2 2 2" xfId="14505" xr:uid="{5D300C79-2900-4F8E-91FC-10FAF5679A13}"/>
    <cellStyle name="20% - Accent6 22 4 2 2 2 2 2 2" xfId="30709" xr:uid="{D423DB17-06E0-47DF-A557-2A4848D81117}"/>
    <cellStyle name="20% - Accent6 22 4 2 2 2 2 3" xfId="23198" xr:uid="{A4EB4238-B203-4D3C-8F1A-A7B274B79E40}"/>
    <cellStyle name="20% - Accent6 22 4 2 2 2 3" xfId="10905" xr:uid="{D868964B-CCCB-4363-8EDB-FE997F2EBC7B}"/>
    <cellStyle name="20% - Accent6 22 4 2 2 2 3 2" xfId="27109" xr:uid="{40776874-75F2-4FD8-813D-8B15390B44A6}"/>
    <cellStyle name="20% - Accent6 22 4 2 2 2 4" xfId="19432" xr:uid="{43E99C8E-BE1F-42A0-94FE-D1F51B67510F}"/>
    <cellStyle name="20% - Accent6 22 4 2 2 3" xfId="6149" xr:uid="{C655E676-1F83-43A1-9E4F-13B8BF9AAE10}"/>
    <cellStyle name="20% - Accent6 22 4 2 2 3 2" xfId="13661" xr:uid="{DBFBB4B4-5326-4231-86D1-9F5A629FD320}"/>
    <cellStyle name="20% - Accent6 22 4 2 2 3 2 2" xfId="29865" xr:uid="{FF681CD4-A928-451A-80BC-D92771727523}"/>
    <cellStyle name="20% - Accent6 22 4 2 2 3 3" xfId="22353" xr:uid="{9AFA532C-AAB1-4A4B-8469-3B10BECD87B6}"/>
    <cellStyle name="20% - Accent6 22 4 2 2 4" xfId="10061" xr:uid="{454AAFD9-D28B-484B-8D47-F97AF99E4F34}"/>
    <cellStyle name="20% - Accent6 22 4 2 2 4 2" xfId="26265" xr:uid="{735D3C7A-4FC0-4098-93CD-10167E07EDBA}"/>
    <cellStyle name="20% - Accent6 22 4 2 2 5" xfId="18587" xr:uid="{13F5E5E7-7F22-4204-85DF-C195FF847D3B}"/>
    <cellStyle name="20% - Accent6 22 4 2 3" xfId="2787" xr:uid="{EAC66712-A18F-4FEC-B34D-1E6964A1CD09}"/>
    <cellStyle name="20% - Accent6 22 4 2 3 2" xfId="6571" xr:uid="{E6CDAFEC-B592-4A8A-AD71-BD089A14CB0C}"/>
    <cellStyle name="20% - Accent6 22 4 2 3 2 2" xfId="14083" xr:uid="{0275001C-204F-4089-9971-A1412509D3F2}"/>
    <cellStyle name="20% - Accent6 22 4 2 3 2 2 2" xfId="30287" xr:uid="{D0655719-D809-4984-9775-844DB3381A3A}"/>
    <cellStyle name="20% - Accent6 22 4 2 3 2 3" xfId="22775" xr:uid="{4EAEEE6C-95AE-42E5-BA83-4674CAA58A76}"/>
    <cellStyle name="20% - Accent6 22 4 2 3 3" xfId="10483" xr:uid="{B017531F-C5E3-4B13-9D24-EFFC5E876840}"/>
    <cellStyle name="20% - Accent6 22 4 2 3 3 2" xfId="26687" xr:uid="{4E87D92E-A8AF-4F23-8B5E-EAE7D6DC814A}"/>
    <cellStyle name="20% - Accent6 22 4 2 3 4" xfId="19009" xr:uid="{2062EF32-D40C-4137-B5D7-F1B5087BE83A}"/>
    <cellStyle name="20% - Accent6 22 4 2 4" xfId="3718" xr:uid="{2DD0710D-3EC9-48E5-901A-6F1EF3736AEA}"/>
    <cellStyle name="20% - Accent6 22 4 2 4 2" xfId="7428" xr:uid="{B1CE6566-0F5A-4E29-98EF-92190905C7AF}"/>
    <cellStyle name="20% - Accent6 22 4 2 4 2 2" xfId="14937" xr:uid="{3A70CE47-CED4-42EB-A8EA-68561AE13269}"/>
    <cellStyle name="20% - Accent6 22 4 2 4 2 2 2" xfId="31141" xr:uid="{92E6A1BA-DF4C-4C5A-93C6-99A46A3660A2}"/>
    <cellStyle name="20% - Accent6 22 4 2 4 2 3" xfId="23632" xr:uid="{056358C7-B733-407B-B8A1-DBD169ABD8D8}"/>
    <cellStyle name="20% - Accent6 22 4 2 4 3" xfId="11328" xr:uid="{5A390473-EE12-455B-994F-00276C765623}"/>
    <cellStyle name="20% - Accent6 22 4 2 4 3 2" xfId="27532" xr:uid="{11030D5B-0D52-4695-86FF-8A5033C492D0}"/>
    <cellStyle name="20% - Accent6 22 4 2 4 4" xfId="19927" xr:uid="{79755766-DE98-4FB3-A844-A34F5888DC0C}"/>
    <cellStyle name="20% - Accent6 22 4 2 5" xfId="4187" xr:uid="{8D2A9CE4-73F9-4B4B-9106-12CFA957C8B4}"/>
    <cellStyle name="20% - Accent6 22 4 2 5 2" xfId="7857" xr:uid="{CF540D60-1753-41C9-B69B-881125EC92C8}"/>
    <cellStyle name="20% - Accent6 22 4 2 5 2 2" xfId="15364" xr:uid="{EDBE09B3-E4F2-4B0C-A5B5-121AFB408F5C}"/>
    <cellStyle name="20% - Accent6 22 4 2 5 2 2 2" xfId="31568" xr:uid="{CD368B1B-5AED-4686-A88D-AEBEE3CB6A79}"/>
    <cellStyle name="20% - Accent6 22 4 2 5 2 3" xfId="24061" xr:uid="{5C045E43-FF92-4473-BE03-EF900D95413A}"/>
    <cellStyle name="20% - Accent6 22 4 2 5 3" xfId="11750" xr:uid="{3EE63376-3B0E-479C-8ABF-5F45427FBCDD}"/>
    <cellStyle name="20% - Accent6 22 4 2 5 3 2" xfId="27954" xr:uid="{07C47124-B98F-46AB-A04D-C1D798A9B20C}"/>
    <cellStyle name="20% - Accent6 22 4 2 5 4" xfId="20391" xr:uid="{5E91AF62-F0DE-4496-97DB-53E3D3055647}"/>
    <cellStyle name="20% - Accent6 22 4 2 6" xfId="4612" xr:uid="{2452A2B7-48F6-47F8-B985-9A0C0F849F66}"/>
    <cellStyle name="20% - Accent6 22 4 2 6 2" xfId="8282" xr:uid="{3ED4CD2B-94BB-4114-A085-98254658B21D}"/>
    <cellStyle name="20% - Accent6 22 4 2 6 2 2" xfId="15789" xr:uid="{45015DCB-A4CF-4E43-A64E-42AC6E1AF994}"/>
    <cellStyle name="20% - Accent6 22 4 2 6 2 2 2" xfId="31993" xr:uid="{78A9F4C3-EB1C-42FE-8A01-5389829AF410}"/>
    <cellStyle name="20% - Accent6 22 4 2 6 2 3" xfId="24486" xr:uid="{1378D380-4CB9-4B6B-B87B-30600138EB0D}"/>
    <cellStyle name="20% - Accent6 22 4 2 6 3" xfId="12175" xr:uid="{9BB5EE24-F30D-4EEF-82E1-AF820A33DF6D}"/>
    <cellStyle name="20% - Accent6 22 4 2 6 3 2" xfId="28379" xr:uid="{4389763E-EA0F-4B0C-9D43-B23C8A65C810}"/>
    <cellStyle name="20% - Accent6 22 4 2 6 4" xfId="20816" xr:uid="{FE4B8F6C-0DE7-4A7E-9A69-D4C3E0565B12}"/>
    <cellStyle name="20% - Accent6 22 4 2 7" xfId="5039" xr:uid="{50DF6505-0C9A-4D00-BE77-7FA63568FD72}"/>
    <cellStyle name="20% - Accent6 22 4 2 7 2" xfId="8705" xr:uid="{A4BE8CD6-53DA-450D-829C-BE8278289CE4}"/>
    <cellStyle name="20% - Accent6 22 4 2 7 2 2" xfId="16212" xr:uid="{432741B6-911B-4CE5-B553-A8048166E9CE}"/>
    <cellStyle name="20% - Accent6 22 4 2 7 2 2 2" xfId="32416" xr:uid="{A72A1FA6-CADE-484A-95D7-40D0071F8548}"/>
    <cellStyle name="20% - Accent6 22 4 2 7 2 3" xfId="24909" xr:uid="{F0550CB3-8345-40AB-A8AB-243E70C2D712}"/>
    <cellStyle name="20% - Accent6 22 4 2 7 3" xfId="12597" xr:uid="{405C0BD2-00DB-4949-ACFD-A021DECC81F4}"/>
    <cellStyle name="20% - Accent6 22 4 2 7 3 2" xfId="28801" xr:uid="{964D18B7-837D-4913-A413-7AD768BA4861}"/>
    <cellStyle name="20% - Accent6 22 4 2 7 4" xfId="21243" xr:uid="{CDD62285-6F48-4E44-8620-647326800ECE}"/>
    <cellStyle name="20% - Accent6 22 4 2 8" xfId="5711" xr:uid="{34DA99A6-BD4F-4F8F-A809-A6913ADC8EEF}"/>
    <cellStyle name="20% - Accent6 22 4 2 8 2" xfId="13226" xr:uid="{C01C1537-FBF1-429A-8A6E-48C015C86749}"/>
    <cellStyle name="20% - Accent6 22 4 2 8 2 2" xfId="29430" xr:uid="{1A1C74E3-9DEF-4474-8BA4-3326C0044089}"/>
    <cellStyle name="20% - Accent6 22 4 2 8 3" xfId="21915" xr:uid="{6F60B618-8FE4-43E3-9DD3-B5036254795D}"/>
    <cellStyle name="20% - Accent6 22 4 2 9" xfId="9638" xr:uid="{FE8C2236-8550-45C5-AC2E-F5A9B8FDE63C}"/>
    <cellStyle name="20% - Accent6 22 4 2 9 2" xfId="25842" xr:uid="{0B1B317D-11BE-4266-995A-B9D0C774E75A}"/>
    <cellStyle name="20% - Accent6 22 4 3" xfId="2129" xr:uid="{B539A605-6B67-4B98-9933-D09FEEFA13C7}"/>
    <cellStyle name="20% - Accent6 22 4 3 2" xfId="3042" xr:uid="{4B872AAA-DA94-48F8-81CF-6F87AD5FC330}"/>
    <cellStyle name="20% - Accent6 22 4 3 2 2" xfId="6824" xr:uid="{F28F410D-1AF8-4620-B418-C0EDF2FE7C61}"/>
    <cellStyle name="20% - Accent6 22 4 3 2 2 2" xfId="14335" xr:uid="{985CE6DF-DF40-408F-9596-95C74298DE59}"/>
    <cellStyle name="20% - Accent6 22 4 3 2 2 2 2" xfId="30539" xr:uid="{18B262E1-4104-4B18-AB0D-CB5AAFCD4C9D}"/>
    <cellStyle name="20% - Accent6 22 4 3 2 2 3" xfId="23028" xr:uid="{75F8BED7-8795-4CBC-B416-29BB58704001}"/>
    <cellStyle name="20% - Accent6 22 4 3 2 3" xfId="10735" xr:uid="{E80C7C72-F428-4CF2-8674-7722F59272D3}"/>
    <cellStyle name="20% - Accent6 22 4 3 2 3 2" xfId="26939" xr:uid="{60565042-2283-4126-9A74-76EF683BEAD9}"/>
    <cellStyle name="20% - Accent6 22 4 3 2 4" xfId="19262" xr:uid="{CFF9C748-5EE7-4120-BFFA-EB172348EF0D}"/>
    <cellStyle name="20% - Accent6 22 4 3 3" xfId="5968" xr:uid="{BE097D0B-2BAA-4FA6-B75E-87A2FFB194E2}"/>
    <cellStyle name="20% - Accent6 22 4 3 3 2" xfId="13482" xr:uid="{184933D3-728C-4DBA-A66B-E4668756859A}"/>
    <cellStyle name="20% - Accent6 22 4 3 3 2 2" xfId="29686" xr:uid="{0F34778C-16FC-4C25-BDD4-434E9E0F29E2}"/>
    <cellStyle name="20% - Accent6 22 4 3 3 3" xfId="22172" xr:uid="{A7A5A72E-565A-4477-9577-B76E9E78A803}"/>
    <cellStyle name="20% - Accent6 22 4 3 4" xfId="9891" xr:uid="{8AE15792-AED9-4794-860F-FF7FD12036EA}"/>
    <cellStyle name="20% - Accent6 22 4 3 4 2" xfId="26095" xr:uid="{B0441040-A803-4E2C-829E-AF10A6A1FEC4}"/>
    <cellStyle name="20% - Accent6 22 4 3 5" xfId="18416" xr:uid="{68FE94D2-D181-4311-A8CA-C2070F067468}"/>
    <cellStyle name="20% - Accent6 22 4 4" xfId="2617" xr:uid="{088B5575-8AB5-41CD-A7C7-AA20895B17A2}"/>
    <cellStyle name="20% - Accent6 22 4 4 2" xfId="6401" xr:uid="{FB4D9C41-B894-4F32-B006-F1004862AFB9}"/>
    <cellStyle name="20% - Accent6 22 4 4 2 2" xfId="13913" xr:uid="{08220DE9-1F9C-4DD2-8D65-7FCD871554EF}"/>
    <cellStyle name="20% - Accent6 22 4 4 2 2 2" xfId="30117" xr:uid="{D29BEE98-403B-4146-BC99-41889E818CC7}"/>
    <cellStyle name="20% - Accent6 22 4 4 2 3" xfId="22605" xr:uid="{B2F666E5-4C07-40E8-9E5E-4D8BDCB5BE19}"/>
    <cellStyle name="20% - Accent6 22 4 4 3" xfId="10313" xr:uid="{F90CE0AB-E30B-41A6-A242-DA3480B16D87}"/>
    <cellStyle name="20% - Accent6 22 4 4 3 2" xfId="26517" xr:uid="{F1703D55-3095-4D9B-910D-EE0C8CB34024}"/>
    <cellStyle name="20% - Accent6 22 4 4 4" xfId="18839" xr:uid="{D95BC614-71EA-41C3-8F85-C6DA8C111727}"/>
    <cellStyle name="20% - Accent6 22 4 5" xfId="3493" xr:uid="{520CA6C0-046D-4F55-A68E-C282EA303480}"/>
    <cellStyle name="20% - Accent6 22 4 5 2" xfId="7251" xr:uid="{4D1BE251-9B8B-44AB-8717-01A96C57BEF2}"/>
    <cellStyle name="20% - Accent6 22 4 5 2 2" xfId="14761" xr:uid="{2B743AD8-C771-4311-B26B-51996964ECD6}"/>
    <cellStyle name="20% - Accent6 22 4 5 2 2 2" xfId="30965" xr:uid="{F8586F04-9394-4C69-B724-73D6D7CC2E28}"/>
    <cellStyle name="20% - Accent6 22 4 5 2 3" xfId="23455" xr:uid="{921A9971-B6E4-4AF9-B580-6986366D2095}"/>
    <cellStyle name="20% - Accent6 22 4 5 3" xfId="11158" xr:uid="{10C0E9A5-836B-4C14-8740-14833851E264}"/>
    <cellStyle name="20% - Accent6 22 4 5 3 2" xfId="27362" xr:uid="{2D70D1A5-0FD9-4729-BF4D-EA0FD3D6D135}"/>
    <cellStyle name="20% - Accent6 22 4 5 4" xfId="19709" xr:uid="{9307DEFA-F455-4C8C-8ADF-95D463896792}"/>
    <cellStyle name="20% - Accent6 22 4 6" xfId="4017" xr:uid="{FFA49C39-D3DA-4662-9A05-8AACC71E3C53}"/>
    <cellStyle name="20% - Accent6 22 4 6 2" xfId="7687" xr:uid="{CBCE149C-A5E6-4718-8528-D543D9FB2FE2}"/>
    <cellStyle name="20% - Accent6 22 4 6 2 2" xfId="15194" xr:uid="{E35694D1-DC83-4590-A459-3CE9545CFBF5}"/>
    <cellStyle name="20% - Accent6 22 4 6 2 2 2" xfId="31398" xr:uid="{A7DC7A4D-CB33-4DF6-91BE-0249AD07298C}"/>
    <cellStyle name="20% - Accent6 22 4 6 2 3" xfId="23891" xr:uid="{938C8C33-33FF-4F4C-902C-8DCCE762530B}"/>
    <cellStyle name="20% - Accent6 22 4 6 3" xfId="11580" xr:uid="{79D3401B-C1EE-4646-8871-4B75668D3FCF}"/>
    <cellStyle name="20% - Accent6 22 4 6 3 2" xfId="27784" xr:uid="{5B34776B-1388-4E54-9F77-928E24840107}"/>
    <cellStyle name="20% - Accent6 22 4 6 4" xfId="20221" xr:uid="{74904E86-E974-491E-A5D6-555370D424B8}"/>
    <cellStyle name="20% - Accent6 22 4 7" xfId="4442" xr:uid="{E0F1D114-D585-469E-9956-24D38157757E}"/>
    <cellStyle name="20% - Accent6 22 4 7 2" xfId="8112" xr:uid="{41A9C3C6-04FA-4C8C-A896-CFC22DC64479}"/>
    <cellStyle name="20% - Accent6 22 4 7 2 2" xfId="15619" xr:uid="{CDE4314D-2C17-40E2-B08C-95100022115D}"/>
    <cellStyle name="20% - Accent6 22 4 7 2 2 2" xfId="31823" xr:uid="{3E9F7F48-F4B4-4E1B-8F3E-FBBAD5E6BAA5}"/>
    <cellStyle name="20% - Accent6 22 4 7 2 3" xfId="24316" xr:uid="{20B53CE0-35B7-4BC6-9303-4EFF026FC11D}"/>
    <cellStyle name="20% - Accent6 22 4 7 3" xfId="12005" xr:uid="{E448DD0F-D41E-4C07-9F39-AFD1C6F738DE}"/>
    <cellStyle name="20% - Accent6 22 4 7 3 2" xfId="28209" xr:uid="{9509C6FB-D10E-4EFB-AC12-D55B4CFF0450}"/>
    <cellStyle name="20% - Accent6 22 4 7 4" xfId="20646" xr:uid="{8074508D-38EA-4AE0-9D13-37D7A97E3E6B}"/>
    <cellStyle name="20% - Accent6 22 4 8" xfId="4867" xr:uid="{4CBFE271-26F9-4576-A758-5A522769062D}"/>
    <cellStyle name="20% - Accent6 22 4 8 2" xfId="8535" xr:uid="{0F189D7F-B524-4592-AF87-5288F184A863}"/>
    <cellStyle name="20% - Accent6 22 4 8 2 2" xfId="16042" xr:uid="{BE99C706-58D8-4C52-9409-3C9CAF1C91B6}"/>
    <cellStyle name="20% - Accent6 22 4 8 2 2 2" xfId="32246" xr:uid="{6C18FD30-A378-42BA-86BF-8CAECFD4DF8E}"/>
    <cellStyle name="20% - Accent6 22 4 8 2 3" xfId="24739" xr:uid="{FC9E5778-A1C7-40F8-A818-46CA101FA3D8}"/>
    <cellStyle name="20% - Accent6 22 4 8 3" xfId="12427" xr:uid="{9277FD91-33B0-4A39-8DC8-CFCECCB85082}"/>
    <cellStyle name="20% - Accent6 22 4 8 3 2" xfId="28631" xr:uid="{240556C3-334D-4781-A48B-AE4A4B83F8F4}"/>
    <cellStyle name="20% - Accent6 22 4 8 4" xfId="21071" xr:uid="{ACDECBCB-8267-4B6F-A9F9-9FB98773BC49}"/>
    <cellStyle name="20% - Accent6 22 4 9" xfId="5353" xr:uid="{2509EB9F-D778-42EB-B08B-5E6A81A19BC3}"/>
    <cellStyle name="20% - Accent6 22 4 9 2" xfId="12902" xr:uid="{12D4BA4B-E70F-4BFD-9948-6E6ED7D88F5B}"/>
    <cellStyle name="20% - Accent6 22 4 9 2 2" xfId="29106" xr:uid="{E9F88954-3E22-4024-8338-E8713BE7B894}"/>
    <cellStyle name="20% - Accent6 22 4 9 3" xfId="21557" xr:uid="{AD378825-F431-42CF-94D7-1479C11F10B0}"/>
    <cellStyle name="20% - Accent6 22 5" xfId="1348" xr:uid="{4BF46B78-7D5F-482B-916D-95D400C7B713}"/>
    <cellStyle name="20% - Accent6 22 6" xfId="1857" xr:uid="{2D3FBE80-9CD2-44AE-8D2A-96E593F87CCB}"/>
    <cellStyle name="20% - Accent6 22 6 10" xfId="18162" xr:uid="{8EE0725F-559C-4588-84BD-F454EAEB1FCA}"/>
    <cellStyle name="20% - Accent6 22 6 2" xfId="2366" xr:uid="{2CF8EF03-2C13-4131-B814-5C0736F5939E}"/>
    <cellStyle name="20% - Accent6 22 6 2 2" xfId="3213" xr:uid="{B754D112-1D7D-41AF-B823-F3D754C5919F}"/>
    <cellStyle name="20% - Accent6 22 6 2 2 2" xfId="6995" xr:uid="{09ACD817-A570-4A44-9EDD-338E81D84E0D}"/>
    <cellStyle name="20% - Accent6 22 6 2 2 2 2" xfId="14506" xr:uid="{A3833D4D-5648-4EF6-B070-6B0FF5D84638}"/>
    <cellStyle name="20% - Accent6 22 6 2 2 2 2 2" xfId="30710" xr:uid="{CAD9E1EC-87BF-4BF7-9DC9-75E033DE5D53}"/>
    <cellStyle name="20% - Accent6 22 6 2 2 2 3" xfId="23199" xr:uid="{F1592E77-AC4D-4EC9-8F0C-3A2B42AD16BF}"/>
    <cellStyle name="20% - Accent6 22 6 2 2 3" xfId="10906" xr:uid="{72A587CC-4155-4532-ACAD-98E45AA7BCC4}"/>
    <cellStyle name="20% - Accent6 22 6 2 2 3 2" xfId="27110" xr:uid="{1EEE5C13-2731-46D1-B3A2-05EE6A942A4A}"/>
    <cellStyle name="20% - Accent6 22 6 2 2 4" xfId="19433" xr:uid="{B89DC03D-14F5-4DCA-98B0-4AC75EE535B9}"/>
    <cellStyle name="20% - Accent6 22 6 2 3" xfId="6150" xr:uid="{F647B522-8E4D-407B-B8FB-870A78C9E668}"/>
    <cellStyle name="20% - Accent6 22 6 2 3 2" xfId="13662" xr:uid="{F3BB761D-B19B-4ED6-9B60-F50B1F09B598}"/>
    <cellStyle name="20% - Accent6 22 6 2 3 2 2" xfId="29866" xr:uid="{26A9DF9F-39B8-43BB-92D7-888997638CC1}"/>
    <cellStyle name="20% - Accent6 22 6 2 3 3" xfId="22354" xr:uid="{FA6E201C-280F-42F8-B744-8B832B294B12}"/>
    <cellStyle name="20% - Accent6 22 6 2 4" xfId="10062" xr:uid="{CD92EBD9-E706-41B0-9D2A-B916081DD6A9}"/>
    <cellStyle name="20% - Accent6 22 6 2 4 2" xfId="26266" xr:uid="{0557E37B-9C8C-40FC-AC58-2DA2F9B07845}"/>
    <cellStyle name="20% - Accent6 22 6 2 5" xfId="18588" xr:uid="{E272DFDC-9618-4452-A8DE-3E748472DBEA}"/>
    <cellStyle name="20% - Accent6 22 6 3" xfId="2788" xr:uid="{91442F04-5B1D-4987-BD29-3636E9E3BB5E}"/>
    <cellStyle name="20% - Accent6 22 6 3 2" xfId="6572" xr:uid="{037B2739-C51E-4E22-B4FE-1A7A7EB426A4}"/>
    <cellStyle name="20% - Accent6 22 6 3 2 2" xfId="14084" xr:uid="{C6C6E0C1-E246-4A4F-B66A-E2BBE047F54A}"/>
    <cellStyle name="20% - Accent6 22 6 3 2 2 2" xfId="30288" xr:uid="{00601FAF-E501-45B9-9A9D-1AEB9FAA561B}"/>
    <cellStyle name="20% - Accent6 22 6 3 2 3" xfId="22776" xr:uid="{E996BC68-8C16-471B-B9D5-A95D2D223A13}"/>
    <cellStyle name="20% - Accent6 22 6 3 3" xfId="10484" xr:uid="{093CF0B5-169B-4613-B834-044EA34EFA8B}"/>
    <cellStyle name="20% - Accent6 22 6 3 3 2" xfId="26688" xr:uid="{D065A172-B39B-479D-9820-1A2DED86634F}"/>
    <cellStyle name="20% - Accent6 22 6 3 4" xfId="19010" xr:uid="{4F9F9F5B-DF84-4F80-92FD-157F69E40B1B}"/>
    <cellStyle name="20% - Accent6 22 6 4" xfId="3719" xr:uid="{D867B63B-99B9-4588-9E71-94E8240484CC}"/>
    <cellStyle name="20% - Accent6 22 6 4 2" xfId="7429" xr:uid="{A52D743D-5271-42C5-A844-9B4E881EBB25}"/>
    <cellStyle name="20% - Accent6 22 6 4 2 2" xfId="14938" xr:uid="{F9B885DA-19E9-4A9A-A201-05C7D2F7E4B2}"/>
    <cellStyle name="20% - Accent6 22 6 4 2 2 2" xfId="31142" xr:uid="{8F794EC4-45EC-45C1-9409-86841DC4D68B}"/>
    <cellStyle name="20% - Accent6 22 6 4 2 3" xfId="23633" xr:uid="{C01A5452-E2CC-4194-A557-DFCE6661270E}"/>
    <cellStyle name="20% - Accent6 22 6 4 3" xfId="11329" xr:uid="{F383BA8C-A413-4783-9F6B-E653DD4A4D0B}"/>
    <cellStyle name="20% - Accent6 22 6 4 3 2" xfId="27533" xr:uid="{8267A1F4-F0A4-44C4-A787-D267D7B23465}"/>
    <cellStyle name="20% - Accent6 22 6 4 4" xfId="19928" xr:uid="{68916CD1-8EFF-4A9C-A3C8-9D930696C916}"/>
    <cellStyle name="20% - Accent6 22 6 5" xfId="4188" xr:uid="{989C2955-12D6-46CE-894C-BF16A6861F72}"/>
    <cellStyle name="20% - Accent6 22 6 5 2" xfId="7858" xr:uid="{8C8CFFD3-3981-4583-85AD-2A3F5C730ED8}"/>
    <cellStyle name="20% - Accent6 22 6 5 2 2" xfId="15365" xr:uid="{B89E3743-427A-4180-9F35-7E5502EFF560}"/>
    <cellStyle name="20% - Accent6 22 6 5 2 2 2" xfId="31569" xr:uid="{5BFC8359-A5A9-4750-B5D0-3E2BF1C7D33A}"/>
    <cellStyle name="20% - Accent6 22 6 5 2 3" xfId="24062" xr:uid="{92A66C3D-1FD5-43C7-B338-67A27308742D}"/>
    <cellStyle name="20% - Accent6 22 6 5 3" xfId="11751" xr:uid="{4DEDC270-C5E6-48B4-92B0-7E91E136C2E1}"/>
    <cellStyle name="20% - Accent6 22 6 5 3 2" xfId="27955" xr:uid="{16CF2FF5-4853-4412-AC07-2589811CC0CC}"/>
    <cellStyle name="20% - Accent6 22 6 5 4" xfId="20392" xr:uid="{96714EEF-4438-4297-B4AF-7C169D63B38B}"/>
    <cellStyle name="20% - Accent6 22 6 6" xfId="4613" xr:uid="{DE7241F2-2170-4139-8B0D-D400F0272CC8}"/>
    <cellStyle name="20% - Accent6 22 6 6 2" xfId="8283" xr:uid="{548C1D7B-57E7-498F-A726-7AA0BEE5EA8A}"/>
    <cellStyle name="20% - Accent6 22 6 6 2 2" xfId="15790" xr:uid="{9526ECB6-85FC-4B28-8A8B-CC702A8EB388}"/>
    <cellStyle name="20% - Accent6 22 6 6 2 2 2" xfId="31994" xr:uid="{E8176105-2E1C-41C8-A572-ABF56CFAF210}"/>
    <cellStyle name="20% - Accent6 22 6 6 2 3" xfId="24487" xr:uid="{E89D329B-E33B-4C80-9EBE-1F6C062FA488}"/>
    <cellStyle name="20% - Accent6 22 6 6 3" xfId="12176" xr:uid="{DC278A98-4114-4623-8A85-9C50C6E9BB8F}"/>
    <cellStyle name="20% - Accent6 22 6 6 3 2" xfId="28380" xr:uid="{412E8A81-5746-42FD-BE89-C911CB6DD21B}"/>
    <cellStyle name="20% - Accent6 22 6 6 4" xfId="20817" xr:uid="{4DFCD637-6768-4026-A872-A2DD43ED8C25}"/>
    <cellStyle name="20% - Accent6 22 6 7" xfId="5040" xr:uid="{DD4ADA14-D29D-403C-9978-A92F56D430C2}"/>
    <cellStyle name="20% - Accent6 22 6 7 2" xfId="8706" xr:uid="{5F2681A5-A8F0-4808-BF38-720CE2DA3626}"/>
    <cellStyle name="20% - Accent6 22 6 7 2 2" xfId="16213" xr:uid="{E123EFE6-4291-42F8-8A9C-E645E84B43AE}"/>
    <cellStyle name="20% - Accent6 22 6 7 2 2 2" xfId="32417" xr:uid="{3B193F7A-12C6-46C1-B83B-B929E72B206F}"/>
    <cellStyle name="20% - Accent6 22 6 7 2 3" xfId="24910" xr:uid="{29EC1DA3-EE2F-4FD4-B286-87CFE93F65A9}"/>
    <cellStyle name="20% - Accent6 22 6 7 3" xfId="12598" xr:uid="{891D3A8A-A454-47BE-BD48-79E0E01F1E4F}"/>
    <cellStyle name="20% - Accent6 22 6 7 3 2" xfId="28802" xr:uid="{CAE53FAC-666E-4E47-9734-1FA265A1FA5C}"/>
    <cellStyle name="20% - Accent6 22 6 7 4" xfId="21244" xr:uid="{0CFF94E3-ADCC-4987-A9CB-365AB2D2D228}"/>
    <cellStyle name="20% - Accent6 22 6 8" xfId="5712" xr:uid="{B9EFC9DE-AD54-40BD-BED4-79AFD2FDBC1A}"/>
    <cellStyle name="20% - Accent6 22 6 8 2" xfId="13227" xr:uid="{DF06B4D7-B83A-4DF8-BA34-5E3EAB478315}"/>
    <cellStyle name="20% - Accent6 22 6 8 2 2" xfId="29431" xr:uid="{19E76381-E92E-4FD8-9D73-AC9234C50E08}"/>
    <cellStyle name="20% - Accent6 22 6 8 3" xfId="21916" xr:uid="{CFAB4C8F-1DC4-4F02-9746-47430E5A98DC}"/>
    <cellStyle name="20% - Accent6 22 6 9" xfId="9639" xr:uid="{E9E50BA9-4FC0-417C-B773-C12933D558D0}"/>
    <cellStyle name="20% - Accent6 22 6 9 2" xfId="25843" xr:uid="{6F63884D-74D4-4BDA-B1A6-97C4EEB14DF2}"/>
    <cellStyle name="20% - Accent6 22 7" xfId="2062" xr:uid="{57DB1E5B-3FA5-4349-8496-E7E9B77328EF}"/>
    <cellStyle name="20% - Accent6 22 7 2" xfId="2975" xr:uid="{C7148D3E-6393-445A-AB8F-341787DE53B4}"/>
    <cellStyle name="20% - Accent6 22 7 2 2" xfId="6757" xr:uid="{7DE665E4-5199-4FDA-BF59-B2E40086B858}"/>
    <cellStyle name="20% - Accent6 22 7 2 2 2" xfId="14268" xr:uid="{1CA10F33-E593-4B5C-BEDA-59B746DFFF00}"/>
    <cellStyle name="20% - Accent6 22 7 2 2 2 2" xfId="30472" xr:uid="{317089D9-6924-438D-9ABD-613C59C791C9}"/>
    <cellStyle name="20% - Accent6 22 7 2 2 3" xfId="22961" xr:uid="{A8FC3CA0-C3ED-4C13-96C8-1EB18ECE24A8}"/>
    <cellStyle name="20% - Accent6 22 7 2 3" xfId="10668" xr:uid="{6A595593-50CE-4CDA-9103-D5C8DF53247F}"/>
    <cellStyle name="20% - Accent6 22 7 2 3 2" xfId="26872" xr:uid="{C66213F7-F04B-41AB-903C-B1594D33AE6D}"/>
    <cellStyle name="20% - Accent6 22 7 2 4" xfId="19195" xr:uid="{EA01B19E-EF42-4CCB-96C3-8FC887506877}"/>
    <cellStyle name="20% - Accent6 22 7 3" xfId="5901" xr:uid="{9BF126A6-A12C-495D-8FB8-0327B4572DB2}"/>
    <cellStyle name="20% - Accent6 22 7 3 2" xfId="13415" xr:uid="{4969DE6B-3BC9-49DB-B42F-1AD7E09A51BF}"/>
    <cellStyle name="20% - Accent6 22 7 3 2 2" xfId="29619" xr:uid="{818D3A45-67AA-40D8-BF2A-528CDD99F94E}"/>
    <cellStyle name="20% - Accent6 22 7 3 3" xfId="22105" xr:uid="{467D4296-78DD-4A93-8B2B-EC2763590A2D}"/>
    <cellStyle name="20% - Accent6 22 7 4" xfId="9824" xr:uid="{A1449338-61E5-4BE7-99F5-4F87EF6FAEC5}"/>
    <cellStyle name="20% - Accent6 22 7 4 2" xfId="26028" xr:uid="{C647D73C-5406-4CEE-9471-46F0B74F08A0}"/>
    <cellStyle name="20% - Accent6 22 7 5" xfId="18349" xr:uid="{37EC2F43-BF93-49FB-96AA-7CC60C82B6B5}"/>
    <cellStyle name="20% - Accent6 22 8" xfId="2550" xr:uid="{C7DAE28F-3485-4D39-B6F1-8A96B17C287F}"/>
    <cellStyle name="20% - Accent6 22 8 2" xfId="6334" xr:uid="{23D6B69B-3CD7-4531-97CA-301FC24F4C1F}"/>
    <cellStyle name="20% - Accent6 22 8 2 2" xfId="13846" xr:uid="{8E0819DC-06C8-4AC2-AAFA-0E3D417AA9BD}"/>
    <cellStyle name="20% - Accent6 22 8 2 2 2" xfId="30050" xr:uid="{E580B8EF-651E-4000-A6B6-F507D2B60506}"/>
    <cellStyle name="20% - Accent6 22 8 2 3" xfId="22538" xr:uid="{E1B84B14-7066-455E-B6DE-8739E9FB9E01}"/>
    <cellStyle name="20% - Accent6 22 8 3" xfId="10246" xr:uid="{BE06FBF6-9CE8-4902-876F-9EAB7484C8C0}"/>
    <cellStyle name="20% - Accent6 22 8 3 2" xfId="26450" xr:uid="{B4353828-D60E-4782-BF22-437798D4BEC7}"/>
    <cellStyle name="20% - Accent6 22 8 4" xfId="18772" xr:uid="{DD82E312-84AD-4AB0-93E1-9EE73E76269B}"/>
    <cellStyle name="20% - Accent6 22 9" xfId="3426" xr:uid="{71935C25-4A69-46FB-829A-A7E9C0DF5723}"/>
    <cellStyle name="20% - Accent6 22 9 2" xfId="7184" xr:uid="{FD8EB814-D181-4920-96A1-3E91BC9AF4EB}"/>
    <cellStyle name="20% - Accent6 22 9 2 2" xfId="14694" xr:uid="{37786CD5-E8F7-4EC7-9401-282A12481B43}"/>
    <cellStyle name="20% - Accent6 22 9 2 2 2" xfId="30898" xr:uid="{21F20F01-6D5F-42A6-939F-C1C87A234BC9}"/>
    <cellStyle name="20% - Accent6 22 9 2 3" xfId="23388" xr:uid="{5030FB05-09F9-404D-A943-70F2D1A363DF}"/>
    <cellStyle name="20% - Accent6 22 9 3" xfId="11091" xr:uid="{FA0B3748-2A9B-498A-B884-FD5090D6FF1F}"/>
    <cellStyle name="20% - Accent6 22 9 3 2" xfId="27295" xr:uid="{49A7361D-A0DF-4AE2-A59D-0F2089FFF962}"/>
    <cellStyle name="20% - Accent6 22 9 4" xfId="19642" xr:uid="{E62E5865-BD70-4DA6-AC24-E4C228620B9D}"/>
    <cellStyle name="20% - Accent6 23" xfId="904" xr:uid="{903F97EA-F88D-4CFA-80B9-8CF53E29F553}"/>
    <cellStyle name="20% - Accent6 24" xfId="1818" xr:uid="{D9A0BC63-FD0A-45C7-989E-743459D6475F}"/>
    <cellStyle name="20% - Accent6 24 10" xfId="18123" xr:uid="{2F034A7F-151C-4CD2-BA27-198C846A1030}"/>
    <cellStyle name="20% - Accent6 24 2" xfId="2327" xr:uid="{4EACDC45-89D0-416E-A02D-E7691D5B4D13}"/>
    <cellStyle name="20% - Accent6 24 2 2" xfId="3174" xr:uid="{D2FB3982-D5B2-4926-8A7C-4E5C9AE842D5}"/>
    <cellStyle name="20% - Accent6 24 2 2 2" xfId="6956" xr:uid="{34F3315A-5D25-4E31-8BF2-DD0ED98E0092}"/>
    <cellStyle name="20% - Accent6 24 2 2 2 2" xfId="14467" xr:uid="{B80B57BB-9ECB-41E7-B5B1-B6DF1364CA69}"/>
    <cellStyle name="20% - Accent6 24 2 2 2 2 2" xfId="30671" xr:uid="{E24C5BC9-E7E4-48F6-BB64-F1B0F91EDBF7}"/>
    <cellStyle name="20% - Accent6 24 2 2 2 3" xfId="23160" xr:uid="{9B3AC939-6C27-43ED-90E4-D029A28DB252}"/>
    <cellStyle name="20% - Accent6 24 2 2 3" xfId="10867" xr:uid="{C6F57EE7-3186-4D95-B487-AA71981A2EBB}"/>
    <cellStyle name="20% - Accent6 24 2 2 3 2" xfId="27071" xr:uid="{6AF5EE71-9550-4152-AC26-2CAFC9D4D9E0}"/>
    <cellStyle name="20% - Accent6 24 2 2 4" xfId="19394" xr:uid="{2D1B6628-AA04-4970-A87A-CD5A68C4E116}"/>
    <cellStyle name="20% - Accent6 24 2 3" xfId="6111" xr:uid="{BD541443-6D73-4FB7-9D42-47E35A1DFF13}"/>
    <cellStyle name="20% - Accent6 24 2 3 2" xfId="13623" xr:uid="{02CC5B78-7026-4F4C-B56D-5B89387830FB}"/>
    <cellStyle name="20% - Accent6 24 2 3 2 2" xfId="29827" xr:uid="{51EE9409-866A-404A-9456-8901D2267B81}"/>
    <cellStyle name="20% - Accent6 24 2 3 3" xfId="22315" xr:uid="{8F7CA616-D3B9-4F64-8A2A-63E18FD09B18}"/>
    <cellStyle name="20% - Accent6 24 2 4" xfId="10023" xr:uid="{F64F4B94-9045-4DA2-82FF-91CC45BA8CD0}"/>
    <cellStyle name="20% - Accent6 24 2 4 2" xfId="26227" xr:uid="{5BC92CB0-5102-4F96-B534-15C9E1691C7C}"/>
    <cellStyle name="20% - Accent6 24 2 5" xfId="18549" xr:uid="{47B4EDCA-3370-44BD-85D5-99943785C9F7}"/>
    <cellStyle name="20% - Accent6 24 3" xfId="2749" xr:uid="{C957ACC1-2B1B-4873-94F4-7D24A2E4465B}"/>
    <cellStyle name="20% - Accent6 24 3 2" xfId="6533" xr:uid="{16C9967F-4B7D-457C-B4AC-69AA5D272D2D}"/>
    <cellStyle name="20% - Accent6 24 3 2 2" xfId="14045" xr:uid="{D6AA68F5-5297-4695-9A79-826FCDDA19CC}"/>
    <cellStyle name="20% - Accent6 24 3 2 2 2" xfId="30249" xr:uid="{6A39F626-A078-4026-A823-CB6A7E82F280}"/>
    <cellStyle name="20% - Accent6 24 3 2 3" xfId="22737" xr:uid="{A70A2130-6ED6-47B1-84EA-E0431358716A}"/>
    <cellStyle name="20% - Accent6 24 3 3" xfId="10445" xr:uid="{C0A792F6-C7CF-4271-A838-6DAA29C97317}"/>
    <cellStyle name="20% - Accent6 24 3 3 2" xfId="26649" xr:uid="{F54E90A0-71CC-47EB-82FC-1738A09C8EA2}"/>
    <cellStyle name="20% - Accent6 24 3 4" xfId="18971" xr:uid="{3B1D7403-DD61-40DC-947E-4CBB2474F2A2}"/>
    <cellStyle name="20% - Accent6 24 4" xfId="3680" xr:uid="{92C2B08C-D812-4376-8886-ABE01C30AF44}"/>
    <cellStyle name="20% - Accent6 24 4 2" xfId="7390" xr:uid="{7FD0DF2B-B9FB-4DA6-B7AF-D7F832DF7E80}"/>
    <cellStyle name="20% - Accent6 24 4 2 2" xfId="14899" xr:uid="{35CFB072-4BA4-4270-8111-114929038596}"/>
    <cellStyle name="20% - Accent6 24 4 2 2 2" xfId="31103" xr:uid="{5D1310B8-FB2F-4157-930C-83323E98C55F}"/>
    <cellStyle name="20% - Accent6 24 4 2 3" xfId="23594" xr:uid="{F3BCF852-A73A-49D1-AA57-F5653E72FE66}"/>
    <cellStyle name="20% - Accent6 24 4 3" xfId="11290" xr:uid="{81EA89F3-5AD0-4415-B787-2BF5CF16C725}"/>
    <cellStyle name="20% - Accent6 24 4 3 2" xfId="27494" xr:uid="{6972D0E5-EBC9-450C-A12D-5EE6BC354BDA}"/>
    <cellStyle name="20% - Accent6 24 4 4" xfId="19889" xr:uid="{44129617-9164-425B-8FA3-4F990D5B4A95}"/>
    <cellStyle name="20% - Accent6 24 5" xfId="4149" xr:uid="{ED5B88C5-84EF-4A87-87A5-F4DBADEC2381}"/>
    <cellStyle name="20% - Accent6 24 5 2" xfId="7819" xr:uid="{1E111A96-8792-499B-B8CC-DBB9CBFB4641}"/>
    <cellStyle name="20% - Accent6 24 5 2 2" xfId="15326" xr:uid="{4A494D9C-B2C9-4F23-B8ED-DC541D376A1C}"/>
    <cellStyle name="20% - Accent6 24 5 2 2 2" xfId="31530" xr:uid="{5D0E75A5-5542-475D-8CF5-78D3F7336963}"/>
    <cellStyle name="20% - Accent6 24 5 2 3" xfId="24023" xr:uid="{EEB0C4E9-91FA-455A-8B80-ECA97CD3214C}"/>
    <cellStyle name="20% - Accent6 24 5 3" xfId="11712" xr:uid="{AFDD96A1-C461-481F-BC5B-A4A009F66C2E}"/>
    <cellStyle name="20% - Accent6 24 5 3 2" xfId="27916" xr:uid="{08128E29-5D11-47E0-AD29-7FD8025AFC44}"/>
    <cellStyle name="20% - Accent6 24 5 4" xfId="20353" xr:uid="{8E15F494-3DBD-4711-8995-37CFA5C56061}"/>
    <cellStyle name="20% - Accent6 24 6" xfId="4574" xr:uid="{0585DF87-D930-41FD-B2C2-6E1BB934190D}"/>
    <cellStyle name="20% - Accent6 24 6 2" xfId="8244" xr:uid="{FBA4D19D-970D-4F72-81A1-6B56ACEA6CD8}"/>
    <cellStyle name="20% - Accent6 24 6 2 2" xfId="15751" xr:uid="{4200BE84-3714-423A-BD91-16E22D44F5AF}"/>
    <cellStyle name="20% - Accent6 24 6 2 2 2" xfId="31955" xr:uid="{24D73F12-46B5-4270-8C22-556F4A426338}"/>
    <cellStyle name="20% - Accent6 24 6 2 3" xfId="24448" xr:uid="{4766D5E1-72E0-46EF-A7A8-102D67BAD8A2}"/>
    <cellStyle name="20% - Accent6 24 6 3" xfId="12137" xr:uid="{F876E2FB-5007-41F8-A8FF-93ABF9F9E493}"/>
    <cellStyle name="20% - Accent6 24 6 3 2" xfId="28341" xr:uid="{7FF19B1A-A668-4AEA-884A-365D97B95803}"/>
    <cellStyle name="20% - Accent6 24 6 4" xfId="20778" xr:uid="{310D9D1F-8978-441D-87D9-C23E3467E8A2}"/>
    <cellStyle name="20% - Accent6 24 7" xfId="5001" xr:uid="{F47ED8DB-E580-4E85-99EC-DEFD844A3681}"/>
    <cellStyle name="20% - Accent6 24 7 2" xfId="8667" xr:uid="{E9F8B2F5-4EC0-4F51-8306-225009E16991}"/>
    <cellStyle name="20% - Accent6 24 7 2 2" xfId="16174" xr:uid="{F113518D-2BE9-44D5-9F91-D1EA9AFC342A}"/>
    <cellStyle name="20% - Accent6 24 7 2 2 2" xfId="32378" xr:uid="{AA563775-4C78-4846-9844-63196A02FB21}"/>
    <cellStyle name="20% - Accent6 24 7 2 3" xfId="24871" xr:uid="{E0069A91-2679-4AD6-B384-247A7C2DCCCC}"/>
    <cellStyle name="20% - Accent6 24 7 3" xfId="12559" xr:uid="{4FCE6C9A-4D4B-4A7C-8E53-4BACB507EE5C}"/>
    <cellStyle name="20% - Accent6 24 7 3 2" xfId="28763" xr:uid="{C093BB25-4B7B-437A-A8D3-A35ED3432B0F}"/>
    <cellStyle name="20% - Accent6 24 7 4" xfId="21205" xr:uid="{18DA8653-8F8F-499D-88EF-2BF43C76D65C}"/>
    <cellStyle name="20% - Accent6 24 8" xfId="5673" xr:uid="{EA6F9800-1DEE-41C1-A64E-22B3C84144E3}"/>
    <cellStyle name="20% - Accent6 24 8 2" xfId="13188" xr:uid="{740C3479-50AF-4F08-AD80-17D3219C66DB}"/>
    <cellStyle name="20% - Accent6 24 8 2 2" xfId="29392" xr:uid="{CF705A0F-62FB-4A74-B855-54B9D4AD3984}"/>
    <cellStyle name="20% - Accent6 24 8 3" xfId="21877" xr:uid="{201EE200-B51B-4630-BD6A-0A1008D18C4F}"/>
    <cellStyle name="20% - Accent6 24 9" xfId="9600" xr:uid="{DDEE63E6-5D1A-4CE1-A3B1-F4D7E537A8AC}"/>
    <cellStyle name="20% - Accent6 24 9 2" xfId="25804" xr:uid="{0C3A769B-081A-44AA-870A-3E2E1B42FD7A}"/>
    <cellStyle name="20% - Accent6 25" xfId="116" xr:uid="{5732AC59-E94A-4E7E-A909-7ECF7ECAAC31}"/>
    <cellStyle name="20% - Accent6 26" xfId="16863" xr:uid="{D82BD363-36A9-4F50-B58B-A3E0A177F609}"/>
    <cellStyle name="20% - Accent6 3" xfId="129" xr:uid="{5B5B3AC4-257C-415F-A80D-1A626A47ABFF}"/>
    <cellStyle name="20% - Accent6 3 2" xfId="1361" xr:uid="{C7973FC8-5909-4A99-B4BB-1C29988E899E}"/>
    <cellStyle name="20% - Accent6 3 3" xfId="891" xr:uid="{6F126C52-7D69-4412-8481-3854DF75302C}"/>
    <cellStyle name="20% - Accent6 4" xfId="130" xr:uid="{511EC73D-9AF2-4CDA-BFEE-4BB7839C01F6}"/>
    <cellStyle name="20% - Accent6 4 2" xfId="1362" xr:uid="{064A1CD6-33DF-42F6-8770-D5EAFD845A9D}"/>
    <cellStyle name="20% - Accent6 4 3" xfId="890" xr:uid="{88F42E1E-A40E-4955-A71D-C514E21F97AC}"/>
    <cellStyle name="20% - Accent6 5" xfId="131" xr:uid="{09C1365B-D3E8-481B-BD44-ABE8347A76B8}"/>
    <cellStyle name="20% - Accent6 5 2" xfId="1363" xr:uid="{84DC84EA-B083-492A-BF57-63D6FF77F586}"/>
    <cellStyle name="20% - Accent6 5 3" xfId="889" xr:uid="{71B525CB-2F53-4339-B7AC-3568DFF55470}"/>
    <cellStyle name="20% - Accent6 6" xfId="132" xr:uid="{C025F653-97D2-4097-9736-2CE1FC0DAE05}"/>
    <cellStyle name="20% - Accent6 6 2" xfId="1364" xr:uid="{00A5DE2D-FDBE-4FD4-BFFF-F4E5A4CFCFF4}"/>
    <cellStyle name="20% - Accent6 6 3" xfId="888" xr:uid="{83E58D84-03D4-4AD6-A734-8E643FF34E7B}"/>
    <cellStyle name="20% - Accent6 7" xfId="133" xr:uid="{9C711C86-C06E-4751-97F2-46BFC00FDF5B}"/>
    <cellStyle name="20% - Accent6 7 2" xfId="1365" xr:uid="{7593B906-ED3F-4CEE-AD94-FD20A42EF258}"/>
    <cellStyle name="20% - Accent6 7 3" xfId="887" xr:uid="{3EF3A331-F0C4-4398-B9BA-92B95369FFA8}"/>
    <cellStyle name="20% - Accent6 8" xfId="134" xr:uid="{0EB12F10-F7AC-48CE-8136-1DEA9F448F22}"/>
    <cellStyle name="20% - Accent6 8 2" xfId="1366" xr:uid="{B7DAED6C-F4A8-42DC-B711-62DBE2E3B07A}"/>
    <cellStyle name="20% - Accent6 8 3" xfId="886" xr:uid="{1AAEF841-328E-42AD-8EF1-1397F70CC47F}"/>
    <cellStyle name="20% - Accent6 9" xfId="135" xr:uid="{1E0565D7-3284-4E27-BD88-2B7267AEBD90}"/>
    <cellStyle name="20% - Accent6 9 2" xfId="1367" xr:uid="{9F3ACF0B-C721-43AD-987D-2D6AE0F543A8}"/>
    <cellStyle name="20% - Accent6 9 3" xfId="885" xr:uid="{2273E518-F81C-46AB-AEBF-1999C28286DD}"/>
    <cellStyle name="40% - Accent1 10" xfId="137" xr:uid="{6599A207-9C9A-41AB-A60E-D18C78D175EB}"/>
    <cellStyle name="40% - Accent1 10 2" xfId="1369" xr:uid="{AC1CEAF0-F1D7-48B7-9CC4-44350F296FE0}"/>
    <cellStyle name="40% - Accent1 10 3" xfId="883" xr:uid="{7F58D6CC-22C0-437C-A1BA-C4DB025EAA88}"/>
    <cellStyle name="40% - Accent1 11" xfId="138" xr:uid="{E0434806-5D74-4709-9075-8E77370706BC}"/>
    <cellStyle name="40% - Accent1 11 2" xfId="1370" xr:uid="{7150DBB8-E16C-4236-9725-62446966E42F}"/>
    <cellStyle name="40% - Accent1 11 3" xfId="882" xr:uid="{E2719ED0-78F7-4166-BC2A-7742AD4072EE}"/>
    <cellStyle name="40% - Accent1 12" xfId="139" xr:uid="{8B336157-4D10-4704-B8BB-42C7D121B74D}"/>
    <cellStyle name="40% - Accent1 12 2" xfId="1371" xr:uid="{C711E5DD-92C3-4843-9AF5-7A61D81F0441}"/>
    <cellStyle name="40% - Accent1 12 3" xfId="881" xr:uid="{8260A081-C49A-4C17-86D3-F6CE3BC9F227}"/>
    <cellStyle name="40% - Accent1 13" xfId="140" xr:uid="{2D46F3A1-9680-41A8-B44A-D5CC02340393}"/>
    <cellStyle name="40% - Accent1 13 2" xfId="1372" xr:uid="{D419C77C-C17D-4008-AC14-F1E0F924802E}"/>
    <cellStyle name="40% - Accent1 13 3" xfId="880" xr:uid="{09083526-F286-446F-A54D-16B5B25AAC16}"/>
    <cellStyle name="40% - Accent1 14" xfId="141" xr:uid="{EFC2660E-A41E-46A4-A952-4ACA60777D48}"/>
    <cellStyle name="40% - Accent1 14 2" xfId="1373" xr:uid="{7EE1DD17-50A3-42A6-AF7B-38CB0038228D}"/>
    <cellStyle name="40% - Accent1 14 3" xfId="879" xr:uid="{FA66E34D-2C91-4F48-BB30-FB1F5755FF80}"/>
    <cellStyle name="40% - Accent1 15" xfId="142" xr:uid="{7B49245E-C251-4A65-837F-46C7A44E39E6}"/>
    <cellStyle name="40% - Accent1 15 2" xfId="1374" xr:uid="{1A971547-B022-4D84-8605-2900DB94FA33}"/>
    <cellStyle name="40% - Accent1 15 3" xfId="878" xr:uid="{87C313EA-C7A3-49F9-A4A3-08E9DCF3F1FA}"/>
    <cellStyle name="40% - Accent1 16" xfId="143" xr:uid="{A44D5FA3-3B87-4FD5-B0D4-9B762077EE24}"/>
    <cellStyle name="40% - Accent1 16 2" xfId="1375" xr:uid="{7FD5D0E1-70E6-4124-8F91-89CBFB0597DD}"/>
    <cellStyle name="40% - Accent1 16 3" xfId="877" xr:uid="{75D71DBB-FC83-4222-99A9-D52A19CA6C30}"/>
    <cellStyle name="40% - Accent1 17" xfId="144" xr:uid="{A89139B4-898C-4847-948C-5AF05A5AC7A8}"/>
    <cellStyle name="40% - Accent1 17 2" xfId="1376" xr:uid="{2E95A718-0F71-46C1-A207-64ACBA792140}"/>
    <cellStyle name="40% - Accent1 17 3" xfId="876" xr:uid="{F91B5F62-4F8D-4FE9-83BA-3AFE0B7C907A}"/>
    <cellStyle name="40% - Accent1 18" xfId="145" xr:uid="{21FE92E9-6162-47A1-9553-82DCEC446CB9}"/>
    <cellStyle name="40% - Accent1 18 2" xfId="1377" xr:uid="{9BF94CDE-3312-452B-BB6D-D6F071496755}"/>
    <cellStyle name="40% - Accent1 18 3" xfId="875" xr:uid="{3789725A-EC83-4248-ACC7-05A13A38762B}"/>
    <cellStyle name="40% - Accent1 19" xfId="146" xr:uid="{3D832DB1-6FC7-4B57-A47C-FD8451B4D4FA}"/>
    <cellStyle name="40% - Accent1 19 2" xfId="1378" xr:uid="{C6A6E63B-3A4D-4B18-972A-B0A1055EAB34}"/>
    <cellStyle name="40% - Accent1 19 3" xfId="874" xr:uid="{E664E3CB-8454-48CD-919F-BADAAE9E5624}"/>
    <cellStyle name="40% - Accent1 2" xfId="147" xr:uid="{F0104ECC-8A3E-4C4E-A237-6BF8D1BE31A4}"/>
    <cellStyle name="40% - Accent1 2 2" xfId="1379" xr:uid="{69AF9982-8991-48A3-8642-5A32A7C66B67}"/>
    <cellStyle name="40% - Accent1 2 3" xfId="873" xr:uid="{219BFAE3-206E-4649-832A-D91394F43266}"/>
    <cellStyle name="40% - Accent1 20" xfId="148" xr:uid="{574D9EBC-8807-472F-AB7F-67061247D0EC}"/>
    <cellStyle name="40% - Accent1 20 2" xfId="1380" xr:uid="{FE197623-AB9D-4621-AA3E-D0D2B2D83957}"/>
    <cellStyle name="40% - Accent1 20 3" xfId="872" xr:uid="{9822CBB9-4225-4F39-88EB-D621D5759EAA}"/>
    <cellStyle name="40% - Accent1 21" xfId="408" xr:uid="{FD199DC8-5F3E-495C-8689-6BD7DE411C32}"/>
    <cellStyle name="40% - Accent1 21 2" xfId="679" xr:uid="{9261500F-412C-4E4D-A526-99F9F8F5E691}"/>
    <cellStyle name="40% - Accent1 22" xfId="467" xr:uid="{1435F5E1-D57D-4FA2-B095-A0F43D0DD823}"/>
    <cellStyle name="40% - Accent1 22 10" xfId="3941" xr:uid="{FD8B67F6-3856-48AF-BEA7-EC193CABF2B5}"/>
    <cellStyle name="40% - Accent1 22 10 2" xfId="7611" xr:uid="{2B40F10E-D69E-4BF7-BA6D-8E7BEEA1E280}"/>
    <cellStyle name="40% - Accent1 22 10 2 2" xfId="15118" xr:uid="{1DE62C38-3A89-4290-A548-A8E63EE97624}"/>
    <cellStyle name="40% - Accent1 22 10 2 2 2" xfId="31322" xr:uid="{EE79E0B7-0238-4245-900E-CD0153F323F1}"/>
    <cellStyle name="40% - Accent1 22 10 2 3" xfId="23815" xr:uid="{7DC82D5F-E7D8-482B-B171-7BA2CDF2514F}"/>
    <cellStyle name="40% - Accent1 22 10 3" xfId="11504" xr:uid="{A55083E7-A67A-4BA4-94F5-82B3654972EF}"/>
    <cellStyle name="40% - Accent1 22 10 3 2" xfId="27708" xr:uid="{B72D36C7-5700-49F9-9277-A9FDADE99E35}"/>
    <cellStyle name="40% - Accent1 22 10 4" xfId="20145" xr:uid="{480A5124-296A-4492-AF42-E28257CC9B0D}"/>
    <cellStyle name="40% - Accent1 22 11" xfId="4366" xr:uid="{98F86D15-F401-4D72-A280-E289D4CBE853}"/>
    <cellStyle name="40% - Accent1 22 11 2" xfId="8036" xr:uid="{E635B0DC-E18C-44DE-B3F6-F6B910EBEE1E}"/>
    <cellStyle name="40% - Accent1 22 11 2 2" xfId="15543" xr:uid="{DD2A2ADB-B052-4145-9C23-6DD3B665A565}"/>
    <cellStyle name="40% - Accent1 22 11 2 2 2" xfId="31747" xr:uid="{70E327E0-894D-4A03-BEB7-EF128485B31A}"/>
    <cellStyle name="40% - Accent1 22 11 2 3" xfId="24240" xr:uid="{86561111-D2EB-44C7-8791-086F706FD953}"/>
    <cellStyle name="40% - Accent1 22 11 3" xfId="11929" xr:uid="{0B817ACE-FF86-4267-B9C6-89876FE0CA12}"/>
    <cellStyle name="40% - Accent1 22 11 3 2" xfId="28133" xr:uid="{B3998E07-9163-43DB-A7E6-20298010FA72}"/>
    <cellStyle name="40% - Accent1 22 11 4" xfId="20570" xr:uid="{1F3AB41A-890F-4F16-A3F9-B71F0A54AD9D}"/>
    <cellStyle name="40% - Accent1 22 12" xfId="4789" xr:uid="{B9BD0B8F-210B-45EC-9B04-1CA6B25545D1}"/>
    <cellStyle name="40% - Accent1 22 12 2" xfId="8458" xr:uid="{199CE0AA-630D-43AE-83E1-0DB28B803786}"/>
    <cellStyle name="40% - Accent1 22 12 2 2" xfId="15965" xr:uid="{E1747DB6-7B48-46E5-8D56-0A96131B772E}"/>
    <cellStyle name="40% - Accent1 22 12 2 2 2" xfId="32169" xr:uid="{D6874EE4-F986-40E4-AA15-E2E83931FCDE}"/>
    <cellStyle name="40% - Accent1 22 12 2 3" xfId="24662" xr:uid="{CB2B11F6-C670-4FEF-BAB3-34EEB358E365}"/>
    <cellStyle name="40% - Accent1 22 12 3" xfId="12351" xr:uid="{42CDA861-9673-471B-B52B-D7FD77DCE299}"/>
    <cellStyle name="40% - Accent1 22 12 3 2" xfId="28555" xr:uid="{29F2F821-E2C1-4806-8A42-3584BB03F78C}"/>
    <cellStyle name="40% - Accent1 22 12 4" xfId="20993" xr:uid="{D12F9800-67BC-4A54-9D88-F38E75369C43}"/>
    <cellStyle name="40% - Accent1 22 13" xfId="5276" xr:uid="{98BA2439-A8EF-428D-A0DF-EC1E75D89DDC}"/>
    <cellStyle name="40% - Accent1 22 13 2" xfId="12825" xr:uid="{9CDC224D-48D8-4915-BBBA-FC42E9DD29EC}"/>
    <cellStyle name="40% - Accent1 22 13 2 2" xfId="29029" xr:uid="{17820D8B-88D6-48A2-9395-9F8EE53B934F}"/>
    <cellStyle name="40% - Accent1 22 13 3" xfId="21480" xr:uid="{A4E2E86F-88CC-41B3-8DF0-093106E5489E}"/>
    <cellStyle name="40% - Accent1 22 14" xfId="9392" xr:uid="{0E5A786F-C412-4A0C-844E-ACF2363BFFCE}"/>
    <cellStyle name="40% - Accent1 22 14 2" xfId="25596" xr:uid="{5B8977F9-AA5E-46C5-BECE-93769BDCEB39}"/>
    <cellStyle name="40% - Accent1 22 15" xfId="17906" xr:uid="{6FFC67F3-75FD-4995-A2D3-3E9DF774F873}"/>
    <cellStyle name="40% - Accent1 22 2" xfId="502" xr:uid="{DF10081C-8A28-4263-8A56-7C22A3209A0B}"/>
    <cellStyle name="40% - Accent1 22 2 10" xfId="5299" xr:uid="{6A09FAE6-0EEB-4EEF-ABBE-EBBDFC9F1831}"/>
    <cellStyle name="40% - Accent1 22 2 10 2" xfId="12848" xr:uid="{2AC4BDE9-FF0D-472F-853C-B52385EF7F63}"/>
    <cellStyle name="40% - Accent1 22 2 10 2 2" xfId="29052" xr:uid="{2291FE9C-8816-47DF-B432-E6EEAF32B584}"/>
    <cellStyle name="40% - Accent1 22 2 10 3" xfId="21503" xr:uid="{5B5846E5-C3B2-4022-802A-91ECC811A6CF}"/>
    <cellStyle name="40% - Accent1 22 2 11" xfId="9414" xr:uid="{1568F99D-0394-4604-B948-35528F8ED855}"/>
    <cellStyle name="40% - Accent1 22 2 11 2" xfId="25618" xr:uid="{CA77644F-C181-4EC3-BC37-A0758F7BAC29}"/>
    <cellStyle name="40% - Accent1 22 2 12" xfId="17929" xr:uid="{BDC29147-795F-4405-B986-B20B6125D54E}"/>
    <cellStyle name="40% - Accent1 22 2 2" xfId="573" xr:uid="{D81E13DC-3F47-4C41-A04D-8B2BCF07BF57}"/>
    <cellStyle name="40% - Accent1 22 2 2 10" xfId="9481" xr:uid="{367D9E5C-3869-488D-A597-69BE05E1B82F}"/>
    <cellStyle name="40% - Accent1 22 2 2 10 2" xfId="25685" xr:uid="{29E4291C-5627-4A5E-A474-384391E6EC77}"/>
    <cellStyle name="40% - Accent1 22 2 2 11" xfId="17997" xr:uid="{C68495DC-0046-43F7-81EB-40390547A384}"/>
    <cellStyle name="40% - Accent1 22 2 2 2" xfId="1858" xr:uid="{A43086E4-016D-4E78-8DF9-F4E47CC6B5AA}"/>
    <cellStyle name="40% - Accent1 22 2 2 2 10" xfId="18163" xr:uid="{BAA9FA4D-664C-415D-B8E3-4134B3BC63AA}"/>
    <cellStyle name="40% - Accent1 22 2 2 2 2" xfId="2367" xr:uid="{1C339803-7850-4939-9BF4-0F26A3EF5404}"/>
    <cellStyle name="40% - Accent1 22 2 2 2 2 2" xfId="3214" xr:uid="{B236947A-3D4D-48E4-9ACB-96336841A8C2}"/>
    <cellStyle name="40% - Accent1 22 2 2 2 2 2 2" xfId="6996" xr:uid="{98599400-7F1E-44CA-93AE-277E926B325D}"/>
    <cellStyle name="40% - Accent1 22 2 2 2 2 2 2 2" xfId="14507" xr:uid="{9000C08A-F250-43B9-8466-46C47EDBA04D}"/>
    <cellStyle name="40% - Accent1 22 2 2 2 2 2 2 2 2" xfId="30711" xr:uid="{3E65AA10-33A6-4DB4-A0B7-2D31039E9CE6}"/>
    <cellStyle name="40% - Accent1 22 2 2 2 2 2 2 3" xfId="23200" xr:uid="{D223E636-C086-4A1F-A9CD-09CA4FF58E21}"/>
    <cellStyle name="40% - Accent1 22 2 2 2 2 2 3" xfId="10907" xr:uid="{B1F45E57-5F19-41F9-8F30-9394238AC289}"/>
    <cellStyle name="40% - Accent1 22 2 2 2 2 2 3 2" xfId="27111" xr:uid="{EC01D2C1-D4EB-4461-8B2A-86B06D46953D}"/>
    <cellStyle name="40% - Accent1 22 2 2 2 2 2 4" xfId="19434" xr:uid="{9F44A785-1C06-47AF-88CE-687001669C3F}"/>
    <cellStyle name="40% - Accent1 22 2 2 2 2 3" xfId="6151" xr:uid="{5847D77B-2AF2-42B7-8E8C-491AA6B7675C}"/>
    <cellStyle name="40% - Accent1 22 2 2 2 2 3 2" xfId="13663" xr:uid="{7CA94F15-ADD3-47F3-91A0-4FBF5E365015}"/>
    <cellStyle name="40% - Accent1 22 2 2 2 2 3 2 2" xfId="29867" xr:uid="{5D5ED332-28E0-4FEC-AABC-41DBF959789D}"/>
    <cellStyle name="40% - Accent1 22 2 2 2 2 3 3" xfId="22355" xr:uid="{67207C09-B653-45D0-B38F-BBBF566F2AAD}"/>
    <cellStyle name="40% - Accent1 22 2 2 2 2 4" xfId="10063" xr:uid="{A77F1262-3C81-41E9-9990-FFE0811E0CBC}"/>
    <cellStyle name="40% - Accent1 22 2 2 2 2 4 2" xfId="26267" xr:uid="{7830E6CC-4D83-4F58-A78C-83F9D25B73B1}"/>
    <cellStyle name="40% - Accent1 22 2 2 2 2 5" xfId="18589" xr:uid="{0E1202EE-AF55-40B2-A643-6692081B8E82}"/>
    <cellStyle name="40% - Accent1 22 2 2 2 3" xfId="2789" xr:uid="{DC6BD6D1-0EFE-4899-BA3B-0312C13568F5}"/>
    <cellStyle name="40% - Accent1 22 2 2 2 3 2" xfId="6573" xr:uid="{5E897C04-14FB-4BF1-9B3E-6536A3BFA260}"/>
    <cellStyle name="40% - Accent1 22 2 2 2 3 2 2" xfId="14085" xr:uid="{365BC09B-4689-43A2-9A85-868F656C3D16}"/>
    <cellStyle name="40% - Accent1 22 2 2 2 3 2 2 2" xfId="30289" xr:uid="{96F1C80F-3C25-4B18-9735-19AC9FBC1663}"/>
    <cellStyle name="40% - Accent1 22 2 2 2 3 2 3" xfId="22777" xr:uid="{CD4D7E9D-C61C-4E5D-A9A9-08BE366FA281}"/>
    <cellStyle name="40% - Accent1 22 2 2 2 3 3" xfId="10485" xr:uid="{6F47BF2E-7C46-4D2D-B6A9-36BE983A1566}"/>
    <cellStyle name="40% - Accent1 22 2 2 2 3 3 2" xfId="26689" xr:uid="{FE374E1A-1A70-44AF-AB90-A29101B525E6}"/>
    <cellStyle name="40% - Accent1 22 2 2 2 3 4" xfId="19011" xr:uid="{C3CB5615-A873-4C26-BE41-5EE5980A768B}"/>
    <cellStyle name="40% - Accent1 22 2 2 2 4" xfId="3720" xr:uid="{7DE87033-F5CF-4331-859D-F73D50FD742D}"/>
    <cellStyle name="40% - Accent1 22 2 2 2 4 2" xfId="7430" xr:uid="{A087A2DC-9C20-4E2F-94FD-69B9525FBABD}"/>
    <cellStyle name="40% - Accent1 22 2 2 2 4 2 2" xfId="14939" xr:uid="{ECD4DFBE-AC26-46C8-AE55-9AE1811E5E96}"/>
    <cellStyle name="40% - Accent1 22 2 2 2 4 2 2 2" xfId="31143" xr:uid="{525870BD-917A-4B94-AE1A-F1891F59472B}"/>
    <cellStyle name="40% - Accent1 22 2 2 2 4 2 3" xfId="23634" xr:uid="{647F5129-066B-4D34-8711-0690810278AB}"/>
    <cellStyle name="40% - Accent1 22 2 2 2 4 3" xfId="11330" xr:uid="{35C7981B-CED7-4EE2-B494-4F58A65F77E9}"/>
    <cellStyle name="40% - Accent1 22 2 2 2 4 3 2" xfId="27534" xr:uid="{85280646-23A5-47CC-BD47-5538BC352E9C}"/>
    <cellStyle name="40% - Accent1 22 2 2 2 4 4" xfId="19929" xr:uid="{39C2E7D5-7F40-4F5C-ABDB-354583CFB5B7}"/>
    <cellStyle name="40% - Accent1 22 2 2 2 5" xfId="4189" xr:uid="{E57D2279-2873-4C0B-9E17-A84E7239CDD7}"/>
    <cellStyle name="40% - Accent1 22 2 2 2 5 2" xfId="7859" xr:uid="{4D4E65B1-4AB1-4FEB-BC3B-4E03E17EB295}"/>
    <cellStyle name="40% - Accent1 22 2 2 2 5 2 2" xfId="15366" xr:uid="{6E1ECC66-B044-472C-AE7A-5E122A4DD4BB}"/>
    <cellStyle name="40% - Accent1 22 2 2 2 5 2 2 2" xfId="31570" xr:uid="{D34DA2FC-71B4-4B28-9C6B-47941BF0D828}"/>
    <cellStyle name="40% - Accent1 22 2 2 2 5 2 3" xfId="24063" xr:uid="{F80CD0EC-8313-4AAB-8C25-E28DFA447356}"/>
    <cellStyle name="40% - Accent1 22 2 2 2 5 3" xfId="11752" xr:uid="{AD1F86BB-10B4-4CFB-808A-12F1F20BD744}"/>
    <cellStyle name="40% - Accent1 22 2 2 2 5 3 2" xfId="27956" xr:uid="{3F298C2E-59AD-4694-8B19-40373CD70E0E}"/>
    <cellStyle name="40% - Accent1 22 2 2 2 5 4" xfId="20393" xr:uid="{992400FE-AB5D-47F0-9F81-0C0A803B24EC}"/>
    <cellStyle name="40% - Accent1 22 2 2 2 6" xfId="4614" xr:uid="{66761A25-04C7-4891-B919-6013DA4CC89F}"/>
    <cellStyle name="40% - Accent1 22 2 2 2 6 2" xfId="8284" xr:uid="{873CAEB2-DCD6-45D9-B75B-A1925A0FF4D5}"/>
    <cellStyle name="40% - Accent1 22 2 2 2 6 2 2" xfId="15791" xr:uid="{CCBE6B7D-BEA9-4604-92E0-7E583BF01904}"/>
    <cellStyle name="40% - Accent1 22 2 2 2 6 2 2 2" xfId="31995" xr:uid="{E3021F9B-ED55-4C7D-ABEE-9A5116A1F030}"/>
    <cellStyle name="40% - Accent1 22 2 2 2 6 2 3" xfId="24488" xr:uid="{9297F11A-B07E-4DB9-BC2C-5C58DACF8441}"/>
    <cellStyle name="40% - Accent1 22 2 2 2 6 3" xfId="12177" xr:uid="{9D3965E3-47F9-408F-8B4C-B81B4DE36058}"/>
    <cellStyle name="40% - Accent1 22 2 2 2 6 3 2" xfId="28381" xr:uid="{77C9DA3E-9673-4768-8E82-44786A38595D}"/>
    <cellStyle name="40% - Accent1 22 2 2 2 6 4" xfId="20818" xr:uid="{8EB0919C-86E5-4411-B562-3357D53E6B7B}"/>
    <cellStyle name="40% - Accent1 22 2 2 2 7" xfId="5041" xr:uid="{F25E5924-69D4-4818-AD42-A52321C20DEE}"/>
    <cellStyle name="40% - Accent1 22 2 2 2 7 2" xfId="8707" xr:uid="{0ED1A4FE-3900-45DA-86B6-4E4C30DB200E}"/>
    <cellStyle name="40% - Accent1 22 2 2 2 7 2 2" xfId="16214" xr:uid="{E85173D8-BD14-4E51-B530-6C93EDA60465}"/>
    <cellStyle name="40% - Accent1 22 2 2 2 7 2 2 2" xfId="32418" xr:uid="{65294367-2592-41B8-B98F-109C16A45516}"/>
    <cellStyle name="40% - Accent1 22 2 2 2 7 2 3" xfId="24911" xr:uid="{ECE98B94-2B40-4DD6-B81E-BCC786109707}"/>
    <cellStyle name="40% - Accent1 22 2 2 2 7 3" xfId="12599" xr:uid="{69CEE5C6-EC8A-44D8-A512-380D0761D706}"/>
    <cellStyle name="40% - Accent1 22 2 2 2 7 3 2" xfId="28803" xr:uid="{9618A7E6-C59E-4123-89E6-22EA08939C37}"/>
    <cellStyle name="40% - Accent1 22 2 2 2 7 4" xfId="21245" xr:uid="{EE14CEB3-C42A-47F8-BEA6-AB5B29B2E0CE}"/>
    <cellStyle name="40% - Accent1 22 2 2 2 8" xfId="5713" xr:uid="{57504E61-6B10-49C4-B6C8-E5232651A55B}"/>
    <cellStyle name="40% - Accent1 22 2 2 2 8 2" xfId="13228" xr:uid="{BF1FA84A-921A-4FB6-88B3-A1714C530838}"/>
    <cellStyle name="40% - Accent1 22 2 2 2 8 2 2" xfId="29432" xr:uid="{B43B5B33-203F-4E5E-A4FB-66A827AD8FEA}"/>
    <cellStyle name="40% - Accent1 22 2 2 2 8 3" xfId="21917" xr:uid="{6A65B2AF-194E-4EF5-B0DB-F379BA42FCC7}"/>
    <cellStyle name="40% - Accent1 22 2 2 2 9" xfId="9640" xr:uid="{848479C5-6415-4707-B080-3667A2C0129F}"/>
    <cellStyle name="40% - Accent1 22 2 2 2 9 2" xfId="25844" xr:uid="{F6458A20-8975-447D-8543-4694902A49FF}"/>
    <cellStyle name="40% - Accent1 22 2 2 3" xfId="2142" xr:uid="{0DB34572-DC9A-4665-B59B-8054CF9ED4F6}"/>
    <cellStyle name="40% - Accent1 22 2 2 3 2" xfId="3055" xr:uid="{05B85A4E-89A0-4F4D-8C51-2E888E643A7D}"/>
    <cellStyle name="40% - Accent1 22 2 2 3 2 2" xfId="6837" xr:uid="{D79170EF-67A4-45AE-9E20-844802011C8F}"/>
    <cellStyle name="40% - Accent1 22 2 2 3 2 2 2" xfId="14348" xr:uid="{21BC231E-0E34-439A-AA1E-A0A3B785A99B}"/>
    <cellStyle name="40% - Accent1 22 2 2 3 2 2 2 2" xfId="30552" xr:uid="{ABF1E0C5-932B-465E-8596-5D0B5B65C3FE}"/>
    <cellStyle name="40% - Accent1 22 2 2 3 2 2 3" xfId="23041" xr:uid="{185377A0-A8C6-4374-A7C8-230747C149AA}"/>
    <cellStyle name="40% - Accent1 22 2 2 3 2 3" xfId="10748" xr:uid="{24D2B05E-B889-4D7A-9F7F-81E48E11CE42}"/>
    <cellStyle name="40% - Accent1 22 2 2 3 2 3 2" xfId="26952" xr:uid="{DB344C9D-97E5-4CE7-84ED-87E9B8234F1A}"/>
    <cellStyle name="40% - Accent1 22 2 2 3 2 4" xfId="19275" xr:uid="{12D6908C-85DF-416C-971B-EABC511523B7}"/>
    <cellStyle name="40% - Accent1 22 2 2 3 3" xfId="5981" xr:uid="{4B949B17-7E4D-4A91-A45F-6119BC78B431}"/>
    <cellStyle name="40% - Accent1 22 2 2 3 3 2" xfId="13495" xr:uid="{0A01086A-FFA2-4140-BBEA-23953E707CED}"/>
    <cellStyle name="40% - Accent1 22 2 2 3 3 2 2" xfId="29699" xr:uid="{5D5FB9D0-8EE7-420C-A243-F6AA72827204}"/>
    <cellStyle name="40% - Accent1 22 2 2 3 3 3" xfId="22185" xr:uid="{52204CB6-E1C0-4478-BFF4-B942C1C008A8}"/>
    <cellStyle name="40% - Accent1 22 2 2 3 4" xfId="9904" xr:uid="{C972062E-2F67-40D0-A598-498ECF96CDB4}"/>
    <cellStyle name="40% - Accent1 22 2 2 3 4 2" xfId="26108" xr:uid="{6A278F10-6F5C-4C0A-BD7B-E3E31B619A7F}"/>
    <cellStyle name="40% - Accent1 22 2 2 3 5" xfId="18429" xr:uid="{A3AF8BB9-B0AA-45A2-89AB-46992ED76A15}"/>
    <cellStyle name="40% - Accent1 22 2 2 4" xfId="2630" xr:uid="{D8376E1F-EC05-44A1-8F99-2744391D6FC5}"/>
    <cellStyle name="40% - Accent1 22 2 2 4 2" xfId="6414" xr:uid="{C0E36E9A-F932-4C7C-A396-6FC07A479920}"/>
    <cellStyle name="40% - Accent1 22 2 2 4 2 2" xfId="13926" xr:uid="{93EB63DE-E785-4BAB-B096-D7489AABC737}"/>
    <cellStyle name="40% - Accent1 22 2 2 4 2 2 2" xfId="30130" xr:uid="{5A28EA3F-486C-4E16-A837-42DC4A4C9B7C}"/>
    <cellStyle name="40% - Accent1 22 2 2 4 2 3" xfId="22618" xr:uid="{ECF4C630-E428-4F7F-8CA6-BF1AAC3B292E}"/>
    <cellStyle name="40% - Accent1 22 2 2 4 3" xfId="10326" xr:uid="{F82C2389-1D50-48C7-B406-79DFEA4E299F}"/>
    <cellStyle name="40% - Accent1 22 2 2 4 3 2" xfId="26530" xr:uid="{DAAD979B-623A-477F-8F26-C5FE94A385B4}"/>
    <cellStyle name="40% - Accent1 22 2 2 4 4" xfId="18852" xr:uid="{46FBB991-28D4-46A0-999E-91B3F41BF68F}"/>
    <cellStyle name="40% - Accent1 22 2 2 5" xfId="3506" xr:uid="{E40B0D5B-4CDA-4279-B6AF-CD41FCA07981}"/>
    <cellStyle name="40% - Accent1 22 2 2 5 2" xfId="7264" xr:uid="{DF09FD55-0F94-443E-BE63-22BFC985713E}"/>
    <cellStyle name="40% - Accent1 22 2 2 5 2 2" xfId="14774" xr:uid="{29C281D4-133D-48B2-9EE5-1114B5123623}"/>
    <cellStyle name="40% - Accent1 22 2 2 5 2 2 2" xfId="30978" xr:uid="{D114D55C-3DEE-40E9-8F3C-209A31D460B5}"/>
    <cellStyle name="40% - Accent1 22 2 2 5 2 3" xfId="23468" xr:uid="{9EC038CB-40D6-43FF-B6F2-220C6D85E7B3}"/>
    <cellStyle name="40% - Accent1 22 2 2 5 3" xfId="11171" xr:uid="{561AA9E1-B25F-452C-B499-012CFA510E1C}"/>
    <cellStyle name="40% - Accent1 22 2 2 5 3 2" xfId="27375" xr:uid="{21EC8730-B02D-4EFB-8BF2-1536CAAB7416}"/>
    <cellStyle name="40% - Accent1 22 2 2 5 4" xfId="19722" xr:uid="{458940CB-ED14-4E90-94C5-5712EE4B1511}"/>
    <cellStyle name="40% - Accent1 22 2 2 6" xfId="4030" xr:uid="{BED1D732-D211-4C7A-A6AD-50BB0B034802}"/>
    <cellStyle name="40% - Accent1 22 2 2 6 2" xfId="7700" xr:uid="{BF8ADFF8-0458-4CAE-8614-6EBCCF4BA72E}"/>
    <cellStyle name="40% - Accent1 22 2 2 6 2 2" xfId="15207" xr:uid="{D313FFD4-86CB-4E16-AF27-1CB81D53CDAA}"/>
    <cellStyle name="40% - Accent1 22 2 2 6 2 2 2" xfId="31411" xr:uid="{DA6985F3-38DE-4DC9-A125-2BF3CAE16D35}"/>
    <cellStyle name="40% - Accent1 22 2 2 6 2 3" xfId="23904" xr:uid="{7F02C021-F012-4092-AB6B-462A42859C36}"/>
    <cellStyle name="40% - Accent1 22 2 2 6 3" xfId="11593" xr:uid="{2B3D2F5D-B2C8-44D5-9E2A-5DA3860135F9}"/>
    <cellStyle name="40% - Accent1 22 2 2 6 3 2" xfId="27797" xr:uid="{E164BDAB-AB86-46FD-A24C-88CB9D1BF040}"/>
    <cellStyle name="40% - Accent1 22 2 2 6 4" xfId="20234" xr:uid="{E631AA87-54B6-4AB9-BE88-49162CC3759C}"/>
    <cellStyle name="40% - Accent1 22 2 2 7" xfId="4455" xr:uid="{107B016B-98B1-41EB-803F-857B5BE75D6E}"/>
    <cellStyle name="40% - Accent1 22 2 2 7 2" xfId="8125" xr:uid="{170F280F-4023-4C31-B9E9-E4D67A71C9B2}"/>
    <cellStyle name="40% - Accent1 22 2 2 7 2 2" xfId="15632" xr:uid="{73816113-436B-4165-BDD3-F0FC2876EF1B}"/>
    <cellStyle name="40% - Accent1 22 2 2 7 2 2 2" xfId="31836" xr:uid="{783532CE-9F6B-4909-8E7B-5ABC2AB40875}"/>
    <cellStyle name="40% - Accent1 22 2 2 7 2 3" xfId="24329" xr:uid="{50C1B891-253F-4C57-ACFA-9FF120D30FC1}"/>
    <cellStyle name="40% - Accent1 22 2 2 7 3" xfId="12018" xr:uid="{4C8645B4-2FAC-4672-A375-5EA04D60F095}"/>
    <cellStyle name="40% - Accent1 22 2 2 7 3 2" xfId="28222" xr:uid="{532F0339-19D8-4388-856A-D57FC072A9C6}"/>
    <cellStyle name="40% - Accent1 22 2 2 7 4" xfId="20659" xr:uid="{2B38618C-77A9-4484-BDB2-DB32A99AC277}"/>
    <cellStyle name="40% - Accent1 22 2 2 8" xfId="4880" xr:uid="{5E67FC49-7D01-4E76-843C-292E1A8932B8}"/>
    <cellStyle name="40% - Accent1 22 2 2 8 2" xfId="8548" xr:uid="{3D93E4E9-8570-41F6-BDAF-2D0C1E416ECF}"/>
    <cellStyle name="40% - Accent1 22 2 2 8 2 2" xfId="16055" xr:uid="{A537E57C-E577-4B51-A687-DBBF3F8641D0}"/>
    <cellStyle name="40% - Accent1 22 2 2 8 2 2 2" xfId="32259" xr:uid="{6461021D-089E-4057-B6E4-CBBF154FCD34}"/>
    <cellStyle name="40% - Accent1 22 2 2 8 2 3" xfId="24752" xr:uid="{95CAA248-772A-40B8-AE65-20A472605A95}"/>
    <cellStyle name="40% - Accent1 22 2 2 8 3" xfId="12440" xr:uid="{44F34D92-B93F-4BFA-95BA-7B6B359CAF82}"/>
    <cellStyle name="40% - Accent1 22 2 2 8 3 2" xfId="28644" xr:uid="{3B056D76-F108-458F-B83A-E1EA7616E48B}"/>
    <cellStyle name="40% - Accent1 22 2 2 8 4" xfId="21084" xr:uid="{2B3C0AC3-85EA-4F4D-B7AD-57A2C9F9402E}"/>
    <cellStyle name="40% - Accent1 22 2 2 9" xfId="5366" xr:uid="{D2A790D8-B781-4BCD-B242-ED4DC54D7CE3}"/>
    <cellStyle name="40% - Accent1 22 2 2 9 2" xfId="12915" xr:uid="{82D10FB5-D072-43F1-A902-E3A504F87995}"/>
    <cellStyle name="40% - Accent1 22 2 2 9 2 2" xfId="29119" xr:uid="{94016B52-231E-4115-94E1-6F1626DED694}"/>
    <cellStyle name="40% - Accent1 22 2 2 9 3" xfId="21570" xr:uid="{92FBEC4A-E5B0-4873-A540-F2635C85FF9F}"/>
    <cellStyle name="40% - Accent1 22 2 3" xfId="1859" xr:uid="{DE5AD2F4-C0F2-4563-AE91-4F9840B1138A}"/>
    <cellStyle name="40% - Accent1 22 2 3 10" xfId="18164" xr:uid="{8EDCAF93-8DE3-4F18-9D78-75F373A95C62}"/>
    <cellStyle name="40% - Accent1 22 2 3 2" xfId="2368" xr:uid="{9702E3CE-68AE-4F21-AE03-30E8449AC55A}"/>
    <cellStyle name="40% - Accent1 22 2 3 2 2" xfId="3215" xr:uid="{2794B3CD-E78E-48DE-9C37-50E5FC605C32}"/>
    <cellStyle name="40% - Accent1 22 2 3 2 2 2" xfId="6997" xr:uid="{BBC766D9-8D18-45EB-B755-52B432DF8E66}"/>
    <cellStyle name="40% - Accent1 22 2 3 2 2 2 2" xfId="14508" xr:uid="{3A1D1048-7814-4F63-A91A-0B091EBBE945}"/>
    <cellStyle name="40% - Accent1 22 2 3 2 2 2 2 2" xfId="30712" xr:uid="{B7A45899-3BC5-44D9-AA74-29E07FDC3DD9}"/>
    <cellStyle name="40% - Accent1 22 2 3 2 2 2 3" xfId="23201" xr:uid="{136AE8DB-4877-4D3E-898A-99B16C83C90A}"/>
    <cellStyle name="40% - Accent1 22 2 3 2 2 3" xfId="10908" xr:uid="{F367168B-6FFC-42C3-B45B-B64EAE7A2C66}"/>
    <cellStyle name="40% - Accent1 22 2 3 2 2 3 2" xfId="27112" xr:uid="{BEEF5320-560F-4AB9-99E3-4812EDDA0800}"/>
    <cellStyle name="40% - Accent1 22 2 3 2 2 4" xfId="19435" xr:uid="{835DC164-32D6-4486-AC62-4C3F48F52113}"/>
    <cellStyle name="40% - Accent1 22 2 3 2 3" xfId="6152" xr:uid="{A9142C87-03D3-4114-B73C-AFB78D47E4FF}"/>
    <cellStyle name="40% - Accent1 22 2 3 2 3 2" xfId="13664" xr:uid="{3A9C84CE-288C-4839-932F-C94702476055}"/>
    <cellStyle name="40% - Accent1 22 2 3 2 3 2 2" xfId="29868" xr:uid="{19AEB436-E65C-4BE4-AE3B-B054BB3B45C9}"/>
    <cellStyle name="40% - Accent1 22 2 3 2 3 3" xfId="22356" xr:uid="{0D8D5FCF-186D-498A-B046-198399235AAC}"/>
    <cellStyle name="40% - Accent1 22 2 3 2 4" xfId="10064" xr:uid="{6899C011-8097-4730-A57D-FEC73FB2D13C}"/>
    <cellStyle name="40% - Accent1 22 2 3 2 4 2" xfId="26268" xr:uid="{89720AED-9780-4646-8D19-C4707F7ABBA1}"/>
    <cellStyle name="40% - Accent1 22 2 3 2 5" xfId="18590" xr:uid="{F9203C70-2956-4C9C-A4E5-EEBAA565BE98}"/>
    <cellStyle name="40% - Accent1 22 2 3 3" xfId="2790" xr:uid="{29F8E61B-3EE8-4BCE-8EB1-27A269D081D8}"/>
    <cellStyle name="40% - Accent1 22 2 3 3 2" xfId="6574" xr:uid="{A63CC5F1-992B-4DCA-92BB-EB11205980FA}"/>
    <cellStyle name="40% - Accent1 22 2 3 3 2 2" xfId="14086" xr:uid="{C96D6BD2-4256-4D49-8050-B6445678F13B}"/>
    <cellStyle name="40% - Accent1 22 2 3 3 2 2 2" xfId="30290" xr:uid="{3FFD4415-9734-42F9-8030-ACCE83F4F02A}"/>
    <cellStyle name="40% - Accent1 22 2 3 3 2 3" xfId="22778" xr:uid="{7D5CE6E2-DFCB-445D-9A67-E002CE4D0A8B}"/>
    <cellStyle name="40% - Accent1 22 2 3 3 3" xfId="10486" xr:uid="{FBD53B88-4B24-4DCF-BE32-E84394225DFB}"/>
    <cellStyle name="40% - Accent1 22 2 3 3 3 2" xfId="26690" xr:uid="{AA35198E-1CEB-423E-A680-3D6A6B29BD6D}"/>
    <cellStyle name="40% - Accent1 22 2 3 3 4" xfId="19012" xr:uid="{CFF4AC43-B38F-4BC3-B65F-EBA803C842E6}"/>
    <cellStyle name="40% - Accent1 22 2 3 4" xfId="3721" xr:uid="{5479892A-EDF5-4801-ADA3-58FF1C0BE050}"/>
    <cellStyle name="40% - Accent1 22 2 3 4 2" xfId="7431" xr:uid="{710B62EC-4C32-4DF1-BF7C-FF94B3C3B800}"/>
    <cellStyle name="40% - Accent1 22 2 3 4 2 2" xfId="14940" xr:uid="{429F3ED7-099F-41FB-B4DD-9398347AF8ED}"/>
    <cellStyle name="40% - Accent1 22 2 3 4 2 2 2" xfId="31144" xr:uid="{2C107872-45E2-4E06-B1F4-144E1842B3A7}"/>
    <cellStyle name="40% - Accent1 22 2 3 4 2 3" xfId="23635" xr:uid="{1A2D053F-ADE0-497A-9DCF-4F2951F66907}"/>
    <cellStyle name="40% - Accent1 22 2 3 4 3" xfId="11331" xr:uid="{B3BD350B-4581-4618-849D-CE509156E6E4}"/>
    <cellStyle name="40% - Accent1 22 2 3 4 3 2" xfId="27535" xr:uid="{87D7AC70-6A2E-452A-A89A-A74E4E59D937}"/>
    <cellStyle name="40% - Accent1 22 2 3 4 4" xfId="19930" xr:uid="{2ACD3B0A-D8F4-4887-ADEA-73B99B0FDDB1}"/>
    <cellStyle name="40% - Accent1 22 2 3 5" xfId="4190" xr:uid="{DE97E374-EB94-4440-95BC-FB9E48A12C92}"/>
    <cellStyle name="40% - Accent1 22 2 3 5 2" xfId="7860" xr:uid="{D350AF2F-686B-469B-8105-A55EDEC9F4A3}"/>
    <cellStyle name="40% - Accent1 22 2 3 5 2 2" xfId="15367" xr:uid="{1E840172-90F0-4D97-BDE8-062A154F48AC}"/>
    <cellStyle name="40% - Accent1 22 2 3 5 2 2 2" xfId="31571" xr:uid="{B965EA88-01BF-4AB5-9411-FD20577572A0}"/>
    <cellStyle name="40% - Accent1 22 2 3 5 2 3" xfId="24064" xr:uid="{47CA9559-DCA2-4AC2-9FA3-98FD753F2526}"/>
    <cellStyle name="40% - Accent1 22 2 3 5 3" xfId="11753" xr:uid="{6EB1234E-E09A-4922-A8C0-27F193C1F525}"/>
    <cellStyle name="40% - Accent1 22 2 3 5 3 2" xfId="27957" xr:uid="{640F1954-7EF0-4342-96F5-CF524565FEF4}"/>
    <cellStyle name="40% - Accent1 22 2 3 5 4" xfId="20394" xr:uid="{B3452A1E-4746-4D0D-9DDB-4A9C91DE3277}"/>
    <cellStyle name="40% - Accent1 22 2 3 6" xfId="4615" xr:uid="{EBB957C7-934F-4B07-9729-9DDCC1B4D92B}"/>
    <cellStyle name="40% - Accent1 22 2 3 6 2" xfId="8285" xr:uid="{0D1470A0-D8B5-4719-9DC4-E95ADBB66138}"/>
    <cellStyle name="40% - Accent1 22 2 3 6 2 2" xfId="15792" xr:uid="{238FE6BF-D8C0-4399-98B1-BA4E03FE8576}"/>
    <cellStyle name="40% - Accent1 22 2 3 6 2 2 2" xfId="31996" xr:uid="{EF7F8883-9CCE-4597-AF5D-F7EF8DD010B7}"/>
    <cellStyle name="40% - Accent1 22 2 3 6 2 3" xfId="24489" xr:uid="{EFC00570-BCB4-4EEE-BC54-8C9CA062DB6F}"/>
    <cellStyle name="40% - Accent1 22 2 3 6 3" xfId="12178" xr:uid="{AEC5B0B6-605D-489E-9714-97161FC4A343}"/>
    <cellStyle name="40% - Accent1 22 2 3 6 3 2" xfId="28382" xr:uid="{87BC695C-E0A2-4CB7-ACFB-4BC5B00CDEE3}"/>
    <cellStyle name="40% - Accent1 22 2 3 6 4" xfId="20819" xr:uid="{CF20D030-EBF9-460A-B383-C70077E0635F}"/>
    <cellStyle name="40% - Accent1 22 2 3 7" xfId="5042" xr:uid="{3688A95A-41A9-4A8B-83D4-C6CEE04FA36A}"/>
    <cellStyle name="40% - Accent1 22 2 3 7 2" xfId="8708" xr:uid="{86846AE3-2857-44C1-8D28-5A25288D3E34}"/>
    <cellStyle name="40% - Accent1 22 2 3 7 2 2" xfId="16215" xr:uid="{7D72D47D-6E1C-4901-92C6-DE3F24522FE0}"/>
    <cellStyle name="40% - Accent1 22 2 3 7 2 2 2" xfId="32419" xr:uid="{3A6363D6-2D1B-40F5-947B-7ED027246D00}"/>
    <cellStyle name="40% - Accent1 22 2 3 7 2 3" xfId="24912" xr:uid="{EA9A1112-7E06-4127-8A73-B4BA99B2F0F0}"/>
    <cellStyle name="40% - Accent1 22 2 3 7 3" xfId="12600" xr:uid="{538FD76F-078F-4C96-B9F7-43BB54A02CE5}"/>
    <cellStyle name="40% - Accent1 22 2 3 7 3 2" xfId="28804" xr:uid="{EBEDCB24-9AA1-4F0E-A664-C5E4A73008A8}"/>
    <cellStyle name="40% - Accent1 22 2 3 7 4" xfId="21246" xr:uid="{DBE1C1FA-637A-4819-93AB-E1D512FFE0E3}"/>
    <cellStyle name="40% - Accent1 22 2 3 8" xfId="5714" xr:uid="{E884E5B7-A883-4865-BD20-EF0B16C349E0}"/>
    <cellStyle name="40% - Accent1 22 2 3 8 2" xfId="13229" xr:uid="{387BAD2C-A721-46A6-842B-ADB7C2767605}"/>
    <cellStyle name="40% - Accent1 22 2 3 8 2 2" xfId="29433" xr:uid="{3D18068A-0265-474A-AAB3-31B3D8FD66D6}"/>
    <cellStyle name="40% - Accent1 22 2 3 8 3" xfId="21918" xr:uid="{67D35723-DD4A-44AF-B71E-8DED1AEC1581}"/>
    <cellStyle name="40% - Accent1 22 2 3 9" xfId="9641" xr:uid="{8D352B32-92D0-4C14-BA2C-15122FAF93E8}"/>
    <cellStyle name="40% - Accent1 22 2 3 9 2" xfId="25845" xr:uid="{F69B9D10-CC73-4182-9EFB-A2BAF4D4ADC7}"/>
    <cellStyle name="40% - Accent1 22 2 4" xfId="2075" xr:uid="{71AD6817-5231-4AF5-9F31-E3C911174F79}"/>
    <cellStyle name="40% - Accent1 22 2 4 2" xfId="2988" xr:uid="{B5CDCDD2-CB4F-4295-A0C8-CD2B40C75999}"/>
    <cellStyle name="40% - Accent1 22 2 4 2 2" xfId="6770" xr:uid="{F5C28EBE-7E88-4779-821F-F455DA3BDE2A}"/>
    <cellStyle name="40% - Accent1 22 2 4 2 2 2" xfId="14281" xr:uid="{592DD9B0-23AE-4B97-A414-06CC01AB22C0}"/>
    <cellStyle name="40% - Accent1 22 2 4 2 2 2 2" xfId="30485" xr:uid="{56D17673-E71E-4408-9F3C-5F9EBCC63BD9}"/>
    <cellStyle name="40% - Accent1 22 2 4 2 2 3" xfId="22974" xr:uid="{F2D81949-1DE3-439D-A177-88231AE9E91C}"/>
    <cellStyle name="40% - Accent1 22 2 4 2 3" xfId="10681" xr:uid="{B8BE01E2-228B-4803-97FF-4633912AF0F6}"/>
    <cellStyle name="40% - Accent1 22 2 4 2 3 2" xfId="26885" xr:uid="{A68EDE6B-C5A8-4FAA-A532-FE29366EF229}"/>
    <cellStyle name="40% - Accent1 22 2 4 2 4" xfId="19208" xr:uid="{7A6C5B79-6415-4599-BF5A-1D782E304715}"/>
    <cellStyle name="40% - Accent1 22 2 4 3" xfId="5914" xr:uid="{06EEEFA6-9090-4A25-ACF5-FFEF91EDF3C1}"/>
    <cellStyle name="40% - Accent1 22 2 4 3 2" xfId="13428" xr:uid="{B25F2EE7-1CF9-4F4F-897A-83E152588062}"/>
    <cellStyle name="40% - Accent1 22 2 4 3 2 2" xfId="29632" xr:uid="{044C5199-1C4F-4A3E-BE3C-6B3454B0E46C}"/>
    <cellStyle name="40% - Accent1 22 2 4 3 3" xfId="22118" xr:uid="{06A5806C-5F3B-42C9-B74A-951F8F33A8A9}"/>
    <cellStyle name="40% - Accent1 22 2 4 4" xfId="9837" xr:uid="{28E41006-4328-481B-AE79-9A1BFFCCA4BA}"/>
    <cellStyle name="40% - Accent1 22 2 4 4 2" xfId="26041" xr:uid="{95F2948D-3DC9-4222-BE46-B673FECDC1B1}"/>
    <cellStyle name="40% - Accent1 22 2 4 5" xfId="18362" xr:uid="{B55408A9-63B0-4CC8-B723-C9DBA8A888C0}"/>
    <cellStyle name="40% - Accent1 22 2 5" xfId="2563" xr:uid="{A1D9B3F9-4D21-4953-A7C6-B0DD2EFEFE7B}"/>
    <cellStyle name="40% - Accent1 22 2 5 2" xfId="6347" xr:uid="{ED9EEA8C-5D57-4E31-BD1F-666687D96291}"/>
    <cellStyle name="40% - Accent1 22 2 5 2 2" xfId="13859" xr:uid="{C7ACF3A0-8580-4F7F-9053-82A70B561C76}"/>
    <cellStyle name="40% - Accent1 22 2 5 2 2 2" xfId="30063" xr:uid="{A65EB57F-32B0-4A8B-BB1B-0C2A543D29BD}"/>
    <cellStyle name="40% - Accent1 22 2 5 2 3" xfId="22551" xr:uid="{C27CE443-90D3-47F3-BE02-7A20E53CA70A}"/>
    <cellStyle name="40% - Accent1 22 2 5 3" xfId="10259" xr:uid="{55F0E98D-8DD8-4884-A397-17A91A5814DE}"/>
    <cellStyle name="40% - Accent1 22 2 5 3 2" xfId="26463" xr:uid="{593E37E4-877B-4F9E-9550-82D32EE5FED0}"/>
    <cellStyle name="40% - Accent1 22 2 5 4" xfId="18785" xr:uid="{192EECB4-974A-41B9-B8C5-42775258CDE2}"/>
    <cellStyle name="40% - Accent1 22 2 6" xfId="3439" xr:uid="{50F86735-476A-43EC-929E-46682D715156}"/>
    <cellStyle name="40% - Accent1 22 2 6 2" xfId="7197" xr:uid="{D594D429-14B9-40DD-895C-D3F87DF33127}"/>
    <cellStyle name="40% - Accent1 22 2 6 2 2" xfId="14707" xr:uid="{62E4A0F6-EA82-4FB6-8E61-AF9271C6418C}"/>
    <cellStyle name="40% - Accent1 22 2 6 2 2 2" xfId="30911" xr:uid="{7BA6DA20-CFE0-4784-849C-ED5FEEDC7892}"/>
    <cellStyle name="40% - Accent1 22 2 6 2 3" xfId="23401" xr:uid="{1BA75D7E-4278-4ED2-8780-AC81D2315F50}"/>
    <cellStyle name="40% - Accent1 22 2 6 3" xfId="11104" xr:uid="{02CEB94A-CD7A-44DD-A698-E20138D0BA04}"/>
    <cellStyle name="40% - Accent1 22 2 6 3 2" xfId="27308" xr:uid="{CE48C98D-8804-48F3-BACA-9669788B31FA}"/>
    <cellStyle name="40% - Accent1 22 2 6 4" xfId="19655" xr:uid="{C613368F-0EE0-4B97-A2F0-9D248C1554F1}"/>
    <cellStyle name="40% - Accent1 22 2 7" xfId="3963" xr:uid="{0D1FA55E-132F-414D-8220-05E3D6949953}"/>
    <cellStyle name="40% - Accent1 22 2 7 2" xfId="7633" xr:uid="{2B33E8DE-4448-4C6F-BB63-75AEB0E675F4}"/>
    <cellStyle name="40% - Accent1 22 2 7 2 2" xfId="15140" xr:uid="{0D55714E-56BA-426B-8C3F-E54F4B113AA4}"/>
    <cellStyle name="40% - Accent1 22 2 7 2 2 2" xfId="31344" xr:uid="{3254FBB7-809E-488D-AB20-6E61681B7967}"/>
    <cellStyle name="40% - Accent1 22 2 7 2 3" xfId="23837" xr:uid="{9738AFED-3E3C-46AE-913A-FB531D0E670D}"/>
    <cellStyle name="40% - Accent1 22 2 7 3" xfId="11526" xr:uid="{6A3CEBE4-4703-4723-AED1-2B6C0FA0AFF1}"/>
    <cellStyle name="40% - Accent1 22 2 7 3 2" xfId="27730" xr:uid="{C4F512F4-3491-482D-989E-5371A2706A0B}"/>
    <cellStyle name="40% - Accent1 22 2 7 4" xfId="20167" xr:uid="{DF57E330-D17B-43FE-9DA0-6EEEA068420A}"/>
    <cellStyle name="40% - Accent1 22 2 8" xfId="4388" xr:uid="{CC9E45B1-55F1-4405-973B-D517BE414348}"/>
    <cellStyle name="40% - Accent1 22 2 8 2" xfId="8058" xr:uid="{B95A7736-F28D-4652-8458-1F29EBC26C2E}"/>
    <cellStyle name="40% - Accent1 22 2 8 2 2" xfId="15565" xr:uid="{4DA2E687-3D6D-438D-97B2-BD21DFC9302E}"/>
    <cellStyle name="40% - Accent1 22 2 8 2 2 2" xfId="31769" xr:uid="{9931941B-5347-4F16-A59E-8FA3EC6BFC81}"/>
    <cellStyle name="40% - Accent1 22 2 8 2 3" xfId="24262" xr:uid="{0FDAB8D3-71A6-4052-93F4-C3DD1CD35C9F}"/>
    <cellStyle name="40% - Accent1 22 2 8 3" xfId="11951" xr:uid="{5FA420E7-EB51-4879-AD37-2B2AD623D43B}"/>
    <cellStyle name="40% - Accent1 22 2 8 3 2" xfId="28155" xr:uid="{8E1F22E7-934E-4699-A396-13C67C407D3F}"/>
    <cellStyle name="40% - Accent1 22 2 8 4" xfId="20592" xr:uid="{4DFB2273-D38F-4456-8A0D-8202E9752ADA}"/>
    <cellStyle name="40% - Accent1 22 2 9" xfId="4812" xr:uid="{7CC6BD7F-CD09-456C-8A94-82DF4CAE7E92}"/>
    <cellStyle name="40% - Accent1 22 2 9 2" xfId="8481" xr:uid="{9C815D81-AE61-421B-8BFA-004A471CEBCA}"/>
    <cellStyle name="40% - Accent1 22 2 9 2 2" xfId="15988" xr:uid="{635FA3F4-D720-419E-A212-D698ADBD5B1E}"/>
    <cellStyle name="40% - Accent1 22 2 9 2 2 2" xfId="32192" xr:uid="{5EDFCE68-1C14-400C-B5FC-3E7AE8631BC5}"/>
    <cellStyle name="40% - Accent1 22 2 9 2 3" xfId="24685" xr:uid="{34C4C532-C008-44A1-89D6-35470445D326}"/>
    <cellStyle name="40% - Accent1 22 2 9 3" xfId="12373" xr:uid="{D1D9D01E-3B8B-4E01-9054-F04334F2E0F6}"/>
    <cellStyle name="40% - Accent1 22 2 9 3 2" xfId="28577" xr:uid="{5E131712-8615-4DEE-A649-D56A5C9A5DCE}"/>
    <cellStyle name="40% - Accent1 22 2 9 4" xfId="21016" xr:uid="{F1BF0DAB-1D8D-4356-855C-C0E7836BC8C9}"/>
    <cellStyle name="40% - Accent1 22 3" xfId="524" xr:uid="{B6EDEEC6-1656-49B1-8FDE-A96F21947DD9}"/>
    <cellStyle name="40% - Accent1 22 3 10" xfId="5321" xr:uid="{4A205557-3425-4EA4-92FD-AD6E4E0528BE}"/>
    <cellStyle name="40% - Accent1 22 3 10 2" xfId="12870" xr:uid="{036D2C09-E027-4B6B-A55B-148AF9D818D7}"/>
    <cellStyle name="40% - Accent1 22 3 10 2 2" xfId="29074" xr:uid="{0CA7DE8E-50B8-48E1-A664-A0A42CA62AC9}"/>
    <cellStyle name="40% - Accent1 22 3 10 3" xfId="21525" xr:uid="{197BB28F-3DB9-49BC-9877-E073AD3F36B8}"/>
    <cellStyle name="40% - Accent1 22 3 11" xfId="9436" xr:uid="{7AF32286-465B-4187-9AEC-C227E0292A69}"/>
    <cellStyle name="40% - Accent1 22 3 11 2" xfId="25640" xr:uid="{06248718-19A2-45C5-B92C-02065ECC4D50}"/>
    <cellStyle name="40% - Accent1 22 3 12" xfId="17951" xr:uid="{330AC699-A401-4786-B5E3-93D0D45BBE46}"/>
    <cellStyle name="40% - Accent1 22 3 2" xfId="595" xr:uid="{B7A0664D-9C73-453B-A915-7A0B1235D8F3}"/>
    <cellStyle name="40% - Accent1 22 3 2 10" xfId="9503" xr:uid="{F1FC9872-630D-445D-A66A-BBAD2A249388}"/>
    <cellStyle name="40% - Accent1 22 3 2 10 2" xfId="25707" xr:uid="{FCCCB4B2-8C42-4F33-A82F-83D627A4CAD1}"/>
    <cellStyle name="40% - Accent1 22 3 2 11" xfId="18019" xr:uid="{C11F279B-5099-4DC2-895C-25A7C2716CB8}"/>
    <cellStyle name="40% - Accent1 22 3 2 2" xfId="1860" xr:uid="{5866D846-41B8-4B85-AC42-63BFC01DC35F}"/>
    <cellStyle name="40% - Accent1 22 3 2 2 10" xfId="18165" xr:uid="{EABBB4DC-C294-4B97-A425-310E9B1E45DD}"/>
    <cellStyle name="40% - Accent1 22 3 2 2 2" xfId="2369" xr:uid="{473136AB-ACE5-447A-B79F-15877718240E}"/>
    <cellStyle name="40% - Accent1 22 3 2 2 2 2" xfId="3216" xr:uid="{4332C159-773F-4EF2-B774-10123767BF23}"/>
    <cellStyle name="40% - Accent1 22 3 2 2 2 2 2" xfId="6998" xr:uid="{7412F7DE-4F4C-411C-8380-3FEAEC42FFAC}"/>
    <cellStyle name="40% - Accent1 22 3 2 2 2 2 2 2" xfId="14509" xr:uid="{7088F0FB-7410-4EAF-A15C-1E1923546A83}"/>
    <cellStyle name="40% - Accent1 22 3 2 2 2 2 2 2 2" xfId="30713" xr:uid="{CECBE38C-F1F0-449E-AEE8-F9FB62E38D97}"/>
    <cellStyle name="40% - Accent1 22 3 2 2 2 2 2 3" xfId="23202" xr:uid="{3E482329-ECC1-4D2A-A5C0-D15673D8A113}"/>
    <cellStyle name="40% - Accent1 22 3 2 2 2 2 3" xfId="10909" xr:uid="{0CCD5AD1-B13A-48EF-9E83-64E364165450}"/>
    <cellStyle name="40% - Accent1 22 3 2 2 2 2 3 2" xfId="27113" xr:uid="{2EABEC81-3494-46E2-83F9-6D28435880E7}"/>
    <cellStyle name="40% - Accent1 22 3 2 2 2 2 4" xfId="19436" xr:uid="{70B7EB36-C8F9-4AC9-9EC0-7DC11E6C49C1}"/>
    <cellStyle name="40% - Accent1 22 3 2 2 2 3" xfId="6153" xr:uid="{76B61C26-EAE4-4368-B4F2-2A588BE0E2B6}"/>
    <cellStyle name="40% - Accent1 22 3 2 2 2 3 2" xfId="13665" xr:uid="{446E9059-468C-4497-8B9C-9B1DEF7663C7}"/>
    <cellStyle name="40% - Accent1 22 3 2 2 2 3 2 2" xfId="29869" xr:uid="{C6B7033F-2708-44BD-8E2E-65A1F4E19E83}"/>
    <cellStyle name="40% - Accent1 22 3 2 2 2 3 3" xfId="22357" xr:uid="{C4F75795-4B68-4F50-8B38-84A9468459EF}"/>
    <cellStyle name="40% - Accent1 22 3 2 2 2 4" xfId="10065" xr:uid="{1D7BE135-23F3-459E-87F7-CE0F3B17D78B}"/>
    <cellStyle name="40% - Accent1 22 3 2 2 2 4 2" xfId="26269" xr:uid="{86B2A3EA-9C16-4D7B-A4B7-1E9FD1745ABB}"/>
    <cellStyle name="40% - Accent1 22 3 2 2 2 5" xfId="18591" xr:uid="{C442FBC4-1061-4F7B-9AA3-4D6544C0B0EE}"/>
    <cellStyle name="40% - Accent1 22 3 2 2 3" xfId="2791" xr:uid="{9955A270-6D7F-4C5C-AE08-26CAA211A199}"/>
    <cellStyle name="40% - Accent1 22 3 2 2 3 2" xfId="6575" xr:uid="{13092A80-FA8C-403A-8B0E-0E5CA2FC090C}"/>
    <cellStyle name="40% - Accent1 22 3 2 2 3 2 2" xfId="14087" xr:uid="{0C3FDDBC-2948-41CF-A906-06AEA975B909}"/>
    <cellStyle name="40% - Accent1 22 3 2 2 3 2 2 2" xfId="30291" xr:uid="{BBE2F1FB-DAF4-41EC-BF80-4104B8D66F57}"/>
    <cellStyle name="40% - Accent1 22 3 2 2 3 2 3" xfId="22779" xr:uid="{D9E4724C-2F9F-48EC-9F98-640009A15330}"/>
    <cellStyle name="40% - Accent1 22 3 2 2 3 3" xfId="10487" xr:uid="{F523F72E-AC27-4B4A-8A3F-AF780448BC6A}"/>
    <cellStyle name="40% - Accent1 22 3 2 2 3 3 2" xfId="26691" xr:uid="{BE113B07-701A-428A-879B-D829B19CCB33}"/>
    <cellStyle name="40% - Accent1 22 3 2 2 3 4" xfId="19013" xr:uid="{86FD06B1-D846-4E10-95F5-086C26D8783B}"/>
    <cellStyle name="40% - Accent1 22 3 2 2 4" xfId="3722" xr:uid="{0D91DEF8-98BF-4430-A9D8-BC95C256081D}"/>
    <cellStyle name="40% - Accent1 22 3 2 2 4 2" xfId="7432" xr:uid="{FB4BD8F9-77A9-4B57-BC98-5EAD56F9C9BF}"/>
    <cellStyle name="40% - Accent1 22 3 2 2 4 2 2" xfId="14941" xr:uid="{53F8B231-FE35-44F1-8E85-86F58D027D55}"/>
    <cellStyle name="40% - Accent1 22 3 2 2 4 2 2 2" xfId="31145" xr:uid="{BB5311B6-6C81-48D7-A4B8-32FDCCB564B1}"/>
    <cellStyle name="40% - Accent1 22 3 2 2 4 2 3" xfId="23636" xr:uid="{A3FB3FF0-B759-47AF-A8D9-0691E879B4E7}"/>
    <cellStyle name="40% - Accent1 22 3 2 2 4 3" xfId="11332" xr:uid="{865D9824-B089-4767-93D0-766CA03E49BB}"/>
    <cellStyle name="40% - Accent1 22 3 2 2 4 3 2" xfId="27536" xr:uid="{30243834-DC91-4847-85C4-97627EA6B11B}"/>
    <cellStyle name="40% - Accent1 22 3 2 2 4 4" xfId="19931" xr:uid="{74894E28-372F-44E1-95A0-AEE46BB83A79}"/>
    <cellStyle name="40% - Accent1 22 3 2 2 5" xfId="4191" xr:uid="{32EF1C67-F7C7-4E24-B8DE-0C2E4BC5B45F}"/>
    <cellStyle name="40% - Accent1 22 3 2 2 5 2" xfId="7861" xr:uid="{015D362C-7028-4AB4-A42A-4ED86FF965A3}"/>
    <cellStyle name="40% - Accent1 22 3 2 2 5 2 2" xfId="15368" xr:uid="{1E243576-1070-464E-AE43-F15D6F93A360}"/>
    <cellStyle name="40% - Accent1 22 3 2 2 5 2 2 2" xfId="31572" xr:uid="{48A87032-6A1B-41FF-9C86-02C60C1C13C9}"/>
    <cellStyle name="40% - Accent1 22 3 2 2 5 2 3" xfId="24065" xr:uid="{4B5D4E4C-B462-4BE7-96CD-5EA1D7E0E15E}"/>
    <cellStyle name="40% - Accent1 22 3 2 2 5 3" xfId="11754" xr:uid="{0CBF65E3-FDD9-4386-979E-01AC4EB56B3E}"/>
    <cellStyle name="40% - Accent1 22 3 2 2 5 3 2" xfId="27958" xr:uid="{D2F82CC1-439B-4940-B980-8363AAFB95E6}"/>
    <cellStyle name="40% - Accent1 22 3 2 2 5 4" xfId="20395" xr:uid="{5405C729-F557-43D8-894E-4CFBB87C24AA}"/>
    <cellStyle name="40% - Accent1 22 3 2 2 6" xfId="4616" xr:uid="{DC771591-926C-444A-B8D4-77EE37310545}"/>
    <cellStyle name="40% - Accent1 22 3 2 2 6 2" xfId="8286" xr:uid="{C7FC2031-446D-4D06-9B0B-B9D55628E497}"/>
    <cellStyle name="40% - Accent1 22 3 2 2 6 2 2" xfId="15793" xr:uid="{D857264E-F5B4-4720-8710-9D60410D669C}"/>
    <cellStyle name="40% - Accent1 22 3 2 2 6 2 2 2" xfId="31997" xr:uid="{CF787FA6-E75F-49D4-BA4F-5315551FBB24}"/>
    <cellStyle name="40% - Accent1 22 3 2 2 6 2 3" xfId="24490" xr:uid="{ADEE24CB-F9D9-42D3-8883-61613583AF13}"/>
    <cellStyle name="40% - Accent1 22 3 2 2 6 3" xfId="12179" xr:uid="{8018E342-9854-4638-A1C3-8F6491D2FFD3}"/>
    <cellStyle name="40% - Accent1 22 3 2 2 6 3 2" xfId="28383" xr:uid="{59829067-9092-4DDA-AE69-1E83CFB10FEA}"/>
    <cellStyle name="40% - Accent1 22 3 2 2 6 4" xfId="20820" xr:uid="{B219766B-0427-48E1-B566-13CC2F32314E}"/>
    <cellStyle name="40% - Accent1 22 3 2 2 7" xfId="5043" xr:uid="{1A0B95A3-44BD-48FF-90D7-53A4E5518354}"/>
    <cellStyle name="40% - Accent1 22 3 2 2 7 2" xfId="8709" xr:uid="{52D5387E-74FC-4240-8BDF-A3520A8E4556}"/>
    <cellStyle name="40% - Accent1 22 3 2 2 7 2 2" xfId="16216" xr:uid="{AB8098A6-2131-42D3-A25E-C644384C3631}"/>
    <cellStyle name="40% - Accent1 22 3 2 2 7 2 2 2" xfId="32420" xr:uid="{34BF399D-CBA9-48F0-9D09-8A7A7E8688B8}"/>
    <cellStyle name="40% - Accent1 22 3 2 2 7 2 3" xfId="24913" xr:uid="{3479F198-74DF-4A8C-B18C-2430405E67B7}"/>
    <cellStyle name="40% - Accent1 22 3 2 2 7 3" xfId="12601" xr:uid="{118B48AF-2947-4E1C-8F90-70F2077C6C82}"/>
    <cellStyle name="40% - Accent1 22 3 2 2 7 3 2" xfId="28805" xr:uid="{1F241AFF-6BB0-471D-AD93-ECB498C7B1F3}"/>
    <cellStyle name="40% - Accent1 22 3 2 2 7 4" xfId="21247" xr:uid="{D3C85454-2755-4B59-96A4-8CCFADECF000}"/>
    <cellStyle name="40% - Accent1 22 3 2 2 8" xfId="5715" xr:uid="{D0E80D12-D0C3-423C-A0A9-B5023BE5CFBB}"/>
    <cellStyle name="40% - Accent1 22 3 2 2 8 2" xfId="13230" xr:uid="{F0869A44-CE20-4585-A50F-D9ECCB6EC315}"/>
    <cellStyle name="40% - Accent1 22 3 2 2 8 2 2" xfId="29434" xr:uid="{3775EC97-CD5C-4145-A2F7-B7EBA9BFA4A8}"/>
    <cellStyle name="40% - Accent1 22 3 2 2 8 3" xfId="21919" xr:uid="{02697E5F-9384-4DFB-9EED-49D45CC83664}"/>
    <cellStyle name="40% - Accent1 22 3 2 2 9" xfId="9642" xr:uid="{7BE75D0E-3102-43FA-8E33-CA39387B53EA}"/>
    <cellStyle name="40% - Accent1 22 3 2 2 9 2" xfId="25846" xr:uid="{4509C55C-D722-44B5-87D9-091A0E2B5D27}"/>
    <cellStyle name="40% - Accent1 22 3 2 3" xfId="2164" xr:uid="{B3BF4B09-6F11-4A11-B017-F124001BDE67}"/>
    <cellStyle name="40% - Accent1 22 3 2 3 2" xfId="3077" xr:uid="{B14FD5C0-3CA2-4CC5-9852-EE18A4902141}"/>
    <cellStyle name="40% - Accent1 22 3 2 3 2 2" xfId="6859" xr:uid="{67292365-365B-4BE6-81F7-0B69286C59A1}"/>
    <cellStyle name="40% - Accent1 22 3 2 3 2 2 2" xfId="14370" xr:uid="{977B706B-7F66-4EA8-A457-6C9197D8FFCD}"/>
    <cellStyle name="40% - Accent1 22 3 2 3 2 2 2 2" xfId="30574" xr:uid="{37933485-DE78-40F7-A2D7-B952D0C0C844}"/>
    <cellStyle name="40% - Accent1 22 3 2 3 2 2 3" xfId="23063" xr:uid="{B902B0A8-DA27-46AD-8FE2-C2BDB9E7BEDB}"/>
    <cellStyle name="40% - Accent1 22 3 2 3 2 3" xfId="10770" xr:uid="{9CEA81CE-375A-4A14-B17D-D1266BAA3406}"/>
    <cellStyle name="40% - Accent1 22 3 2 3 2 3 2" xfId="26974" xr:uid="{C7E9F7B4-F96F-4262-A9CD-5C5EE100E194}"/>
    <cellStyle name="40% - Accent1 22 3 2 3 2 4" xfId="19297" xr:uid="{504C8F4F-D839-4B52-B0CF-BDD2945A0620}"/>
    <cellStyle name="40% - Accent1 22 3 2 3 3" xfId="6003" xr:uid="{EB395135-0CEA-456B-8CF1-DF9B0430AC21}"/>
    <cellStyle name="40% - Accent1 22 3 2 3 3 2" xfId="13517" xr:uid="{29855E35-1730-4D7C-9E38-85CA59FCE44F}"/>
    <cellStyle name="40% - Accent1 22 3 2 3 3 2 2" xfId="29721" xr:uid="{3FCD398B-42FC-4760-ADAC-C1BEBDD2102A}"/>
    <cellStyle name="40% - Accent1 22 3 2 3 3 3" xfId="22207" xr:uid="{708CA08B-98F6-4BFB-99CC-A1EB3F8761DF}"/>
    <cellStyle name="40% - Accent1 22 3 2 3 4" xfId="9926" xr:uid="{DDE32C19-3653-418E-A828-3CAFA4AEB5BE}"/>
    <cellStyle name="40% - Accent1 22 3 2 3 4 2" xfId="26130" xr:uid="{5401E9A2-F4A5-4205-911E-71C693372CFE}"/>
    <cellStyle name="40% - Accent1 22 3 2 3 5" xfId="18451" xr:uid="{44633E11-6699-4FD9-A462-3D03428CD7F1}"/>
    <cellStyle name="40% - Accent1 22 3 2 4" xfId="2652" xr:uid="{B37CD199-5010-458F-A3A2-4F280C2F79BB}"/>
    <cellStyle name="40% - Accent1 22 3 2 4 2" xfId="6436" xr:uid="{0A18F244-75DC-43FA-B61C-BF730482260C}"/>
    <cellStyle name="40% - Accent1 22 3 2 4 2 2" xfId="13948" xr:uid="{F4A8430A-4412-4B64-A3E0-D72C3B1D4FE6}"/>
    <cellStyle name="40% - Accent1 22 3 2 4 2 2 2" xfId="30152" xr:uid="{72BE3DB2-07F1-4F94-835F-83226107C7D2}"/>
    <cellStyle name="40% - Accent1 22 3 2 4 2 3" xfId="22640" xr:uid="{2C1B3CA0-D572-4D02-85D4-526EF47EEE3E}"/>
    <cellStyle name="40% - Accent1 22 3 2 4 3" xfId="10348" xr:uid="{7740420A-29BB-4C2D-9EED-03B36426DB39}"/>
    <cellStyle name="40% - Accent1 22 3 2 4 3 2" xfId="26552" xr:uid="{47F3C3FB-BC5C-4D00-953B-05ADA6C18A8E}"/>
    <cellStyle name="40% - Accent1 22 3 2 4 4" xfId="18874" xr:uid="{32F9F7A0-AF76-4BF8-9482-A95367DD314F}"/>
    <cellStyle name="40% - Accent1 22 3 2 5" xfId="3528" xr:uid="{3F51F977-A82B-4D18-AF7A-6D158866E177}"/>
    <cellStyle name="40% - Accent1 22 3 2 5 2" xfId="7286" xr:uid="{052B75C5-2683-45EC-9F2B-75B39E8B3868}"/>
    <cellStyle name="40% - Accent1 22 3 2 5 2 2" xfId="14796" xr:uid="{BBEED76B-562D-470E-8169-FD6D3AC8BD10}"/>
    <cellStyle name="40% - Accent1 22 3 2 5 2 2 2" xfId="31000" xr:uid="{DC07502B-3BC1-45A0-AE06-65C47B6ECDE0}"/>
    <cellStyle name="40% - Accent1 22 3 2 5 2 3" xfId="23490" xr:uid="{7BDB2AF7-AFA9-4DA6-A4DC-591BBABFB01F}"/>
    <cellStyle name="40% - Accent1 22 3 2 5 3" xfId="11193" xr:uid="{3F4907FE-8DC8-403D-B173-96F705A41DD6}"/>
    <cellStyle name="40% - Accent1 22 3 2 5 3 2" xfId="27397" xr:uid="{97815DFC-A51F-41BE-8E27-3BDF22E26417}"/>
    <cellStyle name="40% - Accent1 22 3 2 5 4" xfId="19744" xr:uid="{32026BD7-DD76-4EC9-840B-D0BFB0569290}"/>
    <cellStyle name="40% - Accent1 22 3 2 6" xfId="4052" xr:uid="{908F67EA-536F-4506-BBCF-CD91F59A8411}"/>
    <cellStyle name="40% - Accent1 22 3 2 6 2" xfId="7722" xr:uid="{16BCEAEB-1E14-4BF9-859D-2548F5DC3309}"/>
    <cellStyle name="40% - Accent1 22 3 2 6 2 2" xfId="15229" xr:uid="{DD99D4CB-293A-4C1C-9CD2-A816EC3EC444}"/>
    <cellStyle name="40% - Accent1 22 3 2 6 2 2 2" xfId="31433" xr:uid="{324BD3C5-647B-4ACE-9A0C-696A36BD4DAD}"/>
    <cellStyle name="40% - Accent1 22 3 2 6 2 3" xfId="23926" xr:uid="{A4C457D1-C18D-4A79-A335-AA9405E61916}"/>
    <cellStyle name="40% - Accent1 22 3 2 6 3" xfId="11615" xr:uid="{30F1E5CF-16CD-4C53-AFF8-EB39EBB50888}"/>
    <cellStyle name="40% - Accent1 22 3 2 6 3 2" xfId="27819" xr:uid="{02465F1D-2B4D-4B35-9936-628CB23CC212}"/>
    <cellStyle name="40% - Accent1 22 3 2 6 4" xfId="20256" xr:uid="{8484B27B-6CFF-46A2-A3CB-DB67C9417A1E}"/>
    <cellStyle name="40% - Accent1 22 3 2 7" xfId="4477" xr:uid="{34AFEF77-B292-41A3-9437-DBE673480218}"/>
    <cellStyle name="40% - Accent1 22 3 2 7 2" xfId="8147" xr:uid="{ED592EE5-9102-4E29-BDC4-0A6C3BAA557F}"/>
    <cellStyle name="40% - Accent1 22 3 2 7 2 2" xfId="15654" xr:uid="{ABCCE87A-E332-4D66-9B4A-411CC4115BBB}"/>
    <cellStyle name="40% - Accent1 22 3 2 7 2 2 2" xfId="31858" xr:uid="{E04A68C9-5608-41C0-88B9-4F5C3E90156C}"/>
    <cellStyle name="40% - Accent1 22 3 2 7 2 3" xfId="24351" xr:uid="{1C53D700-CAD7-490B-97DE-53123D1B7992}"/>
    <cellStyle name="40% - Accent1 22 3 2 7 3" xfId="12040" xr:uid="{D7E6B6D6-25F0-4B0E-A2CB-DE9544F89E69}"/>
    <cellStyle name="40% - Accent1 22 3 2 7 3 2" xfId="28244" xr:uid="{0DCEBFE2-6F8E-4117-8BBF-0CFF55C252A4}"/>
    <cellStyle name="40% - Accent1 22 3 2 7 4" xfId="20681" xr:uid="{25BDD7F3-18AD-4BBB-84E1-58B975880F89}"/>
    <cellStyle name="40% - Accent1 22 3 2 8" xfId="4902" xr:uid="{CCBF1C24-756E-4606-B860-4EFD6064DC5E}"/>
    <cellStyle name="40% - Accent1 22 3 2 8 2" xfId="8570" xr:uid="{A3669E2C-B25D-4D43-A29D-B96AC9B52906}"/>
    <cellStyle name="40% - Accent1 22 3 2 8 2 2" xfId="16077" xr:uid="{6F5631F2-59E1-4242-A29C-A7412F3CF408}"/>
    <cellStyle name="40% - Accent1 22 3 2 8 2 2 2" xfId="32281" xr:uid="{394CF6B1-BB01-4BEA-A02F-3FC9ABFE79B6}"/>
    <cellStyle name="40% - Accent1 22 3 2 8 2 3" xfId="24774" xr:uid="{FA1F9748-5FFF-4E21-B155-263AED240FA3}"/>
    <cellStyle name="40% - Accent1 22 3 2 8 3" xfId="12462" xr:uid="{5DF651AB-2103-4E0C-BD12-8496099A35F2}"/>
    <cellStyle name="40% - Accent1 22 3 2 8 3 2" xfId="28666" xr:uid="{EAB48ADD-3B71-48CB-82CC-29D227A85F1B}"/>
    <cellStyle name="40% - Accent1 22 3 2 8 4" xfId="21106" xr:uid="{EAF2590B-B41B-465E-AA62-8786928ED1A3}"/>
    <cellStyle name="40% - Accent1 22 3 2 9" xfId="5388" xr:uid="{F62FD601-975E-4F16-A97F-FB66403EE6F2}"/>
    <cellStyle name="40% - Accent1 22 3 2 9 2" xfId="12937" xr:uid="{B49CDBB1-EB53-4616-B6D8-594E7E03B268}"/>
    <cellStyle name="40% - Accent1 22 3 2 9 2 2" xfId="29141" xr:uid="{F1C778E9-A797-4577-BB25-E2134BC393AE}"/>
    <cellStyle name="40% - Accent1 22 3 2 9 3" xfId="21592" xr:uid="{8D54649D-65E0-4F93-B849-61DEF6D06337}"/>
    <cellStyle name="40% - Accent1 22 3 3" xfId="1861" xr:uid="{1D54608F-93C7-4EE1-BA4C-0B8545358C0B}"/>
    <cellStyle name="40% - Accent1 22 3 3 10" xfId="18166" xr:uid="{F9C1BCEC-E801-4D73-AB83-9AFEB684854F}"/>
    <cellStyle name="40% - Accent1 22 3 3 2" xfId="2370" xr:uid="{FA8FC6A0-4653-4023-AD5A-B9413A2FC235}"/>
    <cellStyle name="40% - Accent1 22 3 3 2 2" xfId="3217" xr:uid="{0A37B2FA-14F4-41E3-97D7-13515A3F4961}"/>
    <cellStyle name="40% - Accent1 22 3 3 2 2 2" xfId="6999" xr:uid="{84BF9047-3D95-4710-8D87-A78E464C6129}"/>
    <cellStyle name="40% - Accent1 22 3 3 2 2 2 2" xfId="14510" xr:uid="{306FD6E6-D2B5-4B80-A65D-5342CD0B28A5}"/>
    <cellStyle name="40% - Accent1 22 3 3 2 2 2 2 2" xfId="30714" xr:uid="{517DB8C8-3105-49E7-A97F-F9C9A6174CA0}"/>
    <cellStyle name="40% - Accent1 22 3 3 2 2 2 3" xfId="23203" xr:uid="{49944BD2-59F9-4971-A0C6-24024EB2BA9E}"/>
    <cellStyle name="40% - Accent1 22 3 3 2 2 3" xfId="10910" xr:uid="{E1BAD2DB-3C47-400F-B5CA-14BF8B61F35A}"/>
    <cellStyle name="40% - Accent1 22 3 3 2 2 3 2" xfId="27114" xr:uid="{7A5562D9-B7BC-4909-BE9E-1F77AFBA9DA8}"/>
    <cellStyle name="40% - Accent1 22 3 3 2 2 4" xfId="19437" xr:uid="{B474F0F8-2BDA-4202-9C31-245E13C76872}"/>
    <cellStyle name="40% - Accent1 22 3 3 2 3" xfId="6154" xr:uid="{C78F9C6D-000A-4155-922D-AA9AAE746E70}"/>
    <cellStyle name="40% - Accent1 22 3 3 2 3 2" xfId="13666" xr:uid="{FE755010-6568-4EBF-989B-F57749619757}"/>
    <cellStyle name="40% - Accent1 22 3 3 2 3 2 2" xfId="29870" xr:uid="{A1F3059A-9822-4047-89F0-9AF982A1CE0C}"/>
    <cellStyle name="40% - Accent1 22 3 3 2 3 3" xfId="22358" xr:uid="{68DFDF59-A504-4D6D-AED3-1A288080E77B}"/>
    <cellStyle name="40% - Accent1 22 3 3 2 4" xfId="10066" xr:uid="{949FF16F-BADE-40F1-B395-6247D958F17F}"/>
    <cellStyle name="40% - Accent1 22 3 3 2 4 2" xfId="26270" xr:uid="{F79BAFA1-AA66-4561-BA78-2198E1323637}"/>
    <cellStyle name="40% - Accent1 22 3 3 2 5" xfId="18592" xr:uid="{BC3EC1BB-5849-4BF3-8C99-00F963E5F893}"/>
    <cellStyle name="40% - Accent1 22 3 3 3" xfId="2792" xr:uid="{437FBF07-C2EC-499D-B6E0-D1DC6938391C}"/>
    <cellStyle name="40% - Accent1 22 3 3 3 2" xfId="6576" xr:uid="{168DE3E7-E950-42D8-A51B-470666723688}"/>
    <cellStyle name="40% - Accent1 22 3 3 3 2 2" xfId="14088" xr:uid="{9ECCC338-44A7-4B19-86BE-8ABDA1821A8A}"/>
    <cellStyle name="40% - Accent1 22 3 3 3 2 2 2" xfId="30292" xr:uid="{684C2872-BD86-429E-83FE-A47233D7676C}"/>
    <cellStyle name="40% - Accent1 22 3 3 3 2 3" xfId="22780" xr:uid="{1B616CB6-E25B-4DD7-A03D-BC974A6839D4}"/>
    <cellStyle name="40% - Accent1 22 3 3 3 3" xfId="10488" xr:uid="{A991D0D8-9DCA-4CCB-89D0-F25EA001CC3A}"/>
    <cellStyle name="40% - Accent1 22 3 3 3 3 2" xfId="26692" xr:uid="{3F74B96A-B403-4A59-A977-5BE5FE53AC34}"/>
    <cellStyle name="40% - Accent1 22 3 3 3 4" xfId="19014" xr:uid="{B98967B9-C769-4096-89CA-FA99C4B413DA}"/>
    <cellStyle name="40% - Accent1 22 3 3 4" xfId="3723" xr:uid="{EA50642C-76BE-43E7-9DC2-2D2ADF2A499F}"/>
    <cellStyle name="40% - Accent1 22 3 3 4 2" xfId="7433" xr:uid="{0E87BFE7-FEAC-4722-B8AC-696770884F14}"/>
    <cellStyle name="40% - Accent1 22 3 3 4 2 2" xfId="14942" xr:uid="{352A0F0B-8916-4D63-9FFB-49189C9D181E}"/>
    <cellStyle name="40% - Accent1 22 3 3 4 2 2 2" xfId="31146" xr:uid="{1918F3A9-2399-496C-A2F5-1C5C952070BA}"/>
    <cellStyle name="40% - Accent1 22 3 3 4 2 3" xfId="23637" xr:uid="{A0A7040E-D794-4627-9E44-F1D6B665868E}"/>
    <cellStyle name="40% - Accent1 22 3 3 4 3" xfId="11333" xr:uid="{3AF06671-E592-4FA0-8447-C37DC7035D7D}"/>
    <cellStyle name="40% - Accent1 22 3 3 4 3 2" xfId="27537" xr:uid="{38E77749-95EB-4442-B2B4-5952A910CF72}"/>
    <cellStyle name="40% - Accent1 22 3 3 4 4" xfId="19932" xr:uid="{9C407967-9077-404C-A7D6-EF2237F95281}"/>
    <cellStyle name="40% - Accent1 22 3 3 5" xfId="4192" xr:uid="{8E9934CE-E2A5-45E6-8882-45B5F9277486}"/>
    <cellStyle name="40% - Accent1 22 3 3 5 2" xfId="7862" xr:uid="{6067DA30-EC79-4AAD-AC57-823C4FFAAC03}"/>
    <cellStyle name="40% - Accent1 22 3 3 5 2 2" xfId="15369" xr:uid="{05D4EE75-FBBC-4059-A2F2-A63353341076}"/>
    <cellStyle name="40% - Accent1 22 3 3 5 2 2 2" xfId="31573" xr:uid="{FD66992A-1FFB-4EF9-B31D-6181610C1B12}"/>
    <cellStyle name="40% - Accent1 22 3 3 5 2 3" xfId="24066" xr:uid="{E938F7E3-CCA2-46F2-83A8-5EEFA0F2B0AD}"/>
    <cellStyle name="40% - Accent1 22 3 3 5 3" xfId="11755" xr:uid="{6BB2A60F-FB95-4142-8133-51E1F669CC7B}"/>
    <cellStyle name="40% - Accent1 22 3 3 5 3 2" xfId="27959" xr:uid="{067EF0E5-CE5A-49F6-BBE1-3CE36D20E130}"/>
    <cellStyle name="40% - Accent1 22 3 3 5 4" xfId="20396" xr:uid="{3614992A-24DC-4FE2-BDB1-B1F421CF19EE}"/>
    <cellStyle name="40% - Accent1 22 3 3 6" xfId="4617" xr:uid="{066B7FF2-303A-4719-A96A-7024B27B1D0B}"/>
    <cellStyle name="40% - Accent1 22 3 3 6 2" xfId="8287" xr:uid="{CE7BCA23-C35C-4D29-A6FE-70ECE6A55E49}"/>
    <cellStyle name="40% - Accent1 22 3 3 6 2 2" xfId="15794" xr:uid="{7784814D-863F-4D0E-874B-0FD87977214B}"/>
    <cellStyle name="40% - Accent1 22 3 3 6 2 2 2" xfId="31998" xr:uid="{53C410D7-43EC-4965-836E-57909331DA62}"/>
    <cellStyle name="40% - Accent1 22 3 3 6 2 3" xfId="24491" xr:uid="{D6770708-2076-49F9-8C76-E1C11AB55F61}"/>
    <cellStyle name="40% - Accent1 22 3 3 6 3" xfId="12180" xr:uid="{4516B893-97A2-4D41-8B9A-7FFCD3B85458}"/>
    <cellStyle name="40% - Accent1 22 3 3 6 3 2" xfId="28384" xr:uid="{CE8ABBB3-939F-409C-BBDE-D9526E7ED6F5}"/>
    <cellStyle name="40% - Accent1 22 3 3 6 4" xfId="20821" xr:uid="{D2A69D69-C5CA-4060-8813-2067ACD0706B}"/>
    <cellStyle name="40% - Accent1 22 3 3 7" xfId="5044" xr:uid="{F7A06408-7BAC-4215-94A6-E17FF2EC266B}"/>
    <cellStyle name="40% - Accent1 22 3 3 7 2" xfId="8710" xr:uid="{8DBFF6EA-D0A0-4595-899F-AA6905BE09F2}"/>
    <cellStyle name="40% - Accent1 22 3 3 7 2 2" xfId="16217" xr:uid="{3612F51E-D0F7-4F0C-A9F7-7627940AECF0}"/>
    <cellStyle name="40% - Accent1 22 3 3 7 2 2 2" xfId="32421" xr:uid="{77856B80-DDD1-4684-879D-CE62FA4B43A3}"/>
    <cellStyle name="40% - Accent1 22 3 3 7 2 3" xfId="24914" xr:uid="{150F778F-2BFC-4C6B-99C2-C59C1CD91A58}"/>
    <cellStyle name="40% - Accent1 22 3 3 7 3" xfId="12602" xr:uid="{C7A22369-1E34-420F-B480-5D5D5E4BB48B}"/>
    <cellStyle name="40% - Accent1 22 3 3 7 3 2" xfId="28806" xr:uid="{EABFFEA5-DFE5-4579-9E57-5094085193BD}"/>
    <cellStyle name="40% - Accent1 22 3 3 7 4" xfId="21248" xr:uid="{92C7035C-021D-49CD-9514-12A12F34E41F}"/>
    <cellStyle name="40% - Accent1 22 3 3 8" xfId="5716" xr:uid="{DBD338B2-1AC7-44BD-A708-E0A7635090F2}"/>
    <cellStyle name="40% - Accent1 22 3 3 8 2" xfId="13231" xr:uid="{5EE588BD-6F3C-45D5-83BA-459CA7B744AC}"/>
    <cellStyle name="40% - Accent1 22 3 3 8 2 2" xfId="29435" xr:uid="{25B30477-D8A4-4E45-B46F-4AA6F0A680CB}"/>
    <cellStyle name="40% - Accent1 22 3 3 8 3" xfId="21920" xr:uid="{A54002E3-B1AB-4194-AB70-44B3BD51F652}"/>
    <cellStyle name="40% - Accent1 22 3 3 9" xfId="9643" xr:uid="{E907A12F-9733-4384-A652-78E06836B1BA}"/>
    <cellStyle name="40% - Accent1 22 3 3 9 2" xfId="25847" xr:uid="{EAC02575-2E9A-46AE-BBFF-80F5165E844D}"/>
    <cellStyle name="40% - Accent1 22 3 4" xfId="2097" xr:uid="{FF8F08F7-E9B1-4D25-8940-805AB3427572}"/>
    <cellStyle name="40% - Accent1 22 3 4 2" xfId="3010" xr:uid="{C2686C59-1C74-45B5-B69E-EBFFA61D8F47}"/>
    <cellStyle name="40% - Accent1 22 3 4 2 2" xfId="6792" xr:uid="{FCDEAA39-9211-4CCE-96B0-45F6A7A7186E}"/>
    <cellStyle name="40% - Accent1 22 3 4 2 2 2" xfId="14303" xr:uid="{01589914-5860-45D4-BB8A-6A6E3405A9B6}"/>
    <cellStyle name="40% - Accent1 22 3 4 2 2 2 2" xfId="30507" xr:uid="{A0103F4C-90B3-4311-B5FC-FE2A140DF318}"/>
    <cellStyle name="40% - Accent1 22 3 4 2 2 3" xfId="22996" xr:uid="{B735BDEF-5E3C-4B26-ABC2-EF5863D0D8BC}"/>
    <cellStyle name="40% - Accent1 22 3 4 2 3" xfId="10703" xr:uid="{4AEC0B9F-4BE1-45C8-AB9B-82DA743E2D4A}"/>
    <cellStyle name="40% - Accent1 22 3 4 2 3 2" xfId="26907" xr:uid="{43818E68-A78F-4321-8580-67356D843B0C}"/>
    <cellStyle name="40% - Accent1 22 3 4 2 4" xfId="19230" xr:uid="{0693F76C-F080-466F-B4EC-7E2DA02F9E09}"/>
    <cellStyle name="40% - Accent1 22 3 4 3" xfId="5936" xr:uid="{D6F5EFD3-4509-412A-9DE8-46D97D08B663}"/>
    <cellStyle name="40% - Accent1 22 3 4 3 2" xfId="13450" xr:uid="{CBEA22DF-988F-4A83-B14F-86372F35CF73}"/>
    <cellStyle name="40% - Accent1 22 3 4 3 2 2" xfId="29654" xr:uid="{246D3C38-1828-4B4A-B568-7E3FD675AF4B}"/>
    <cellStyle name="40% - Accent1 22 3 4 3 3" xfId="22140" xr:uid="{0A82CB13-46C1-4904-AB7C-449F83DE83B4}"/>
    <cellStyle name="40% - Accent1 22 3 4 4" xfId="9859" xr:uid="{A00D1FC1-EC41-4FD1-B8F1-3D6060F3C45E}"/>
    <cellStyle name="40% - Accent1 22 3 4 4 2" xfId="26063" xr:uid="{D98E3C2F-5A36-44CB-81FD-B2E7DE823C3A}"/>
    <cellStyle name="40% - Accent1 22 3 4 5" xfId="18384" xr:uid="{B6E9457B-276C-4E48-AC7B-D96BAA4422CE}"/>
    <cellStyle name="40% - Accent1 22 3 5" xfId="2585" xr:uid="{76232DCC-CAD2-4E65-A394-4DA983A25550}"/>
    <cellStyle name="40% - Accent1 22 3 5 2" xfId="6369" xr:uid="{CE5A6C2C-2CE2-4342-A4D2-6E4CE6A216ED}"/>
    <cellStyle name="40% - Accent1 22 3 5 2 2" xfId="13881" xr:uid="{F7981D63-F6FA-4CEF-BE48-039F6333470B}"/>
    <cellStyle name="40% - Accent1 22 3 5 2 2 2" xfId="30085" xr:uid="{33BAA268-F9B6-4F47-8ECC-6012918B65B7}"/>
    <cellStyle name="40% - Accent1 22 3 5 2 3" xfId="22573" xr:uid="{3ED1E398-1940-4654-A031-28EFFE280FB1}"/>
    <cellStyle name="40% - Accent1 22 3 5 3" xfId="10281" xr:uid="{C9A32ECF-9F76-48AE-9868-91DE21398D11}"/>
    <cellStyle name="40% - Accent1 22 3 5 3 2" xfId="26485" xr:uid="{A49AD6C9-488D-4581-B88A-A0FCEEF7105A}"/>
    <cellStyle name="40% - Accent1 22 3 5 4" xfId="18807" xr:uid="{6058DE4F-E462-480E-BF13-933385BFB5A1}"/>
    <cellStyle name="40% - Accent1 22 3 6" xfId="3461" xr:uid="{FA5ABA87-4EEE-4DDA-B5C8-FCA644AF2037}"/>
    <cellStyle name="40% - Accent1 22 3 6 2" xfId="7219" xr:uid="{205AD13F-0765-4B6F-9B60-F4349358B32A}"/>
    <cellStyle name="40% - Accent1 22 3 6 2 2" xfId="14729" xr:uid="{4ED51EA1-71C8-4B3C-86D8-B2851CDF3CAD}"/>
    <cellStyle name="40% - Accent1 22 3 6 2 2 2" xfId="30933" xr:uid="{AC40C3DC-CEAF-4F7E-AFD7-E0E23C79C7E5}"/>
    <cellStyle name="40% - Accent1 22 3 6 2 3" xfId="23423" xr:uid="{C454695F-378C-4854-9A34-5E18A4213A78}"/>
    <cellStyle name="40% - Accent1 22 3 6 3" xfId="11126" xr:uid="{561A061D-E8CD-45EF-8546-3A5F242F03BE}"/>
    <cellStyle name="40% - Accent1 22 3 6 3 2" xfId="27330" xr:uid="{DBE4E4F4-E5C5-4617-9758-F1C285A7D176}"/>
    <cellStyle name="40% - Accent1 22 3 6 4" xfId="19677" xr:uid="{2F011298-CDBC-4A29-9ED3-A13D210C0BBF}"/>
    <cellStyle name="40% - Accent1 22 3 7" xfId="3985" xr:uid="{B198276F-AE82-4867-9CBB-F2D5572729EA}"/>
    <cellStyle name="40% - Accent1 22 3 7 2" xfId="7655" xr:uid="{EA0DB2C8-23BE-4E8F-A025-754C04B53155}"/>
    <cellStyle name="40% - Accent1 22 3 7 2 2" xfId="15162" xr:uid="{942D66EC-7D01-4F74-8B52-31AEEC8E4B40}"/>
    <cellStyle name="40% - Accent1 22 3 7 2 2 2" xfId="31366" xr:uid="{7C9E9467-5574-4464-B69C-32FA2BAFC359}"/>
    <cellStyle name="40% - Accent1 22 3 7 2 3" xfId="23859" xr:uid="{3FB5CA36-8B59-4C98-AA4B-3B7EC2D1465A}"/>
    <cellStyle name="40% - Accent1 22 3 7 3" xfId="11548" xr:uid="{C1DEDA02-7E1E-448A-B07B-2E74F21203A0}"/>
    <cellStyle name="40% - Accent1 22 3 7 3 2" xfId="27752" xr:uid="{0D99C5D0-315F-45E7-9940-A030B924AD06}"/>
    <cellStyle name="40% - Accent1 22 3 7 4" xfId="20189" xr:uid="{421423E6-A86E-4215-B15D-61625D4C8074}"/>
    <cellStyle name="40% - Accent1 22 3 8" xfId="4410" xr:uid="{671DB646-38D5-4EAC-8419-6AA7C1C6E0BD}"/>
    <cellStyle name="40% - Accent1 22 3 8 2" xfId="8080" xr:uid="{483379D4-39BA-429E-AAA0-187F24EC9156}"/>
    <cellStyle name="40% - Accent1 22 3 8 2 2" xfId="15587" xr:uid="{FEA4DC78-1052-48AF-934C-E5B936B67DDA}"/>
    <cellStyle name="40% - Accent1 22 3 8 2 2 2" xfId="31791" xr:uid="{4E01E698-CF57-4F29-A648-4FFF963CC2E5}"/>
    <cellStyle name="40% - Accent1 22 3 8 2 3" xfId="24284" xr:uid="{AA3C9783-D182-45CB-8D24-0F780F3B1AB4}"/>
    <cellStyle name="40% - Accent1 22 3 8 3" xfId="11973" xr:uid="{EC61B203-925C-40CD-B396-C4EDD7E36A32}"/>
    <cellStyle name="40% - Accent1 22 3 8 3 2" xfId="28177" xr:uid="{A33BBC7E-3351-4D51-AD72-20DD54D1CD17}"/>
    <cellStyle name="40% - Accent1 22 3 8 4" xfId="20614" xr:uid="{0D627BE7-0563-46A6-8C3C-F98856E62653}"/>
    <cellStyle name="40% - Accent1 22 3 9" xfId="4834" xr:uid="{0B4DEA29-2990-470E-B344-BB9A9C4726D0}"/>
    <cellStyle name="40% - Accent1 22 3 9 2" xfId="8503" xr:uid="{DF65723D-ECB1-42AA-89A8-608CD1D3D9D8}"/>
    <cellStyle name="40% - Accent1 22 3 9 2 2" xfId="16010" xr:uid="{9DCBD8E0-0525-4016-BD97-9D76E2EDEFA5}"/>
    <cellStyle name="40% - Accent1 22 3 9 2 2 2" xfId="32214" xr:uid="{E3852410-73CA-40D5-9656-1753037DF386}"/>
    <cellStyle name="40% - Accent1 22 3 9 2 3" xfId="24707" xr:uid="{9DD75AF1-2EBF-408B-B010-77747A284CD1}"/>
    <cellStyle name="40% - Accent1 22 3 9 3" xfId="12395" xr:uid="{587F759E-DFD4-48CE-8E3A-586D7BEA305C}"/>
    <cellStyle name="40% - Accent1 22 3 9 3 2" xfId="28599" xr:uid="{E3E1C92F-13E7-46A1-A9F4-A1DDD15C3143}"/>
    <cellStyle name="40% - Accent1 22 3 9 4" xfId="21038" xr:uid="{41FE9927-7EDC-4AB0-B532-D7867BD21D35}"/>
    <cellStyle name="40% - Accent1 22 4" xfId="551" xr:uid="{5E13137A-703C-4B99-8D8C-F43790EFCC07}"/>
    <cellStyle name="40% - Accent1 22 4 10" xfId="9459" xr:uid="{66D7EADB-009D-4CDE-A474-5295CBD36874}"/>
    <cellStyle name="40% - Accent1 22 4 10 2" xfId="25663" xr:uid="{D51857BC-367B-4339-A749-6BA3948D5AFB}"/>
    <cellStyle name="40% - Accent1 22 4 11" xfId="17975" xr:uid="{E6E5A044-E295-4A84-86CA-91BBB7EF10AF}"/>
    <cellStyle name="40% - Accent1 22 4 2" xfId="1862" xr:uid="{E021AA17-7EED-47A7-B931-E984A2EB53C7}"/>
    <cellStyle name="40% - Accent1 22 4 2 10" xfId="18167" xr:uid="{7ECEE6A9-F30D-4C24-8FAD-107FC8A4056C}"/>
    <cellStyle name="40% - Accent1 22 4 2 2" xfId="2371" xr:uid="{A2B01F95-688C-407B-98F4-C74CE1A3C981}"/>
    <cellStyle name="40% - Accent1 22 4 2 2 2" xfId="3218" xr:uid="{7558D07D-6654-49D6-A028-54794B043BFF}"/>
    <cellStyle name="40% - Accent1 22 4 2 2 2 2" xfId="7000" xr:uid="{D9EE8919-C911-4CC4-A76C-D387AEBC67FD}"/>
    <cellStyle name="40% - Accent1 22 4 2 2 2 2 2" xfId="14511" xr:uid="{28211C7A-728B-4F15-BAB1-C335E87AD9D8}"/>
    <cellStyle name="40% - Accent1 22 4 2 2 2 2 2 2" xfId="30715" xr:uid="{C3A6D17C-ABCA-404A-B4A3-1737494EB2EA}"/>
    <cellStyle name="40% - Accent1 22 4 2 2 2 2 3" xfId="23204" xr:uid="{D641A350-45AC-473C-B818-1AD863C5BC9B}"/>
    <cellStyle name="40% - Accent1 22 4 2 2 2 3" xfId="10911" xr:uid="{72325DB4-40CF-49AC-8DB8-75646F953BAC}"/>
    <cellStyle name="40% - Accent1 22 4 2 2 2 3 2" xfId="27115" xr:uid="{317D7CF3-AB7A-46BD-9F05-007C9227EDF0}"/>
    <cellStyle name="40% - Accent1 22 4 2 2 2 4" xfId="19438" xr:uid="{2F282AF6-F9E4-444B-B934-6AE729DA8FAD}"/>
    <cellStyle name="40% - Accent1 22 4 2 2 3" xfId="6155" xr:uid="{F75D31EA-16F1-4045-B759-56AB267E4414}"/>
    <cellStyle name="40% - Accent1 22 4 2 2 3 2" xfId="13667" xr:uid="{E2260E26-9620-4E08-8747-91F1B4F0F380}"/>
    <cellStyle name="40% - Accent1 22 4 2 2 3 2 2" xfId="29871" xr:uid="{AFB2F795-255F-4201-BFB4-8FE41A993F4A}"/>
    <cellStyle name="40% - Accent1 22 4 2 2 3 3" xfId="22359" xr:uid="{83EDF5A2-3DD6-48F9-A4EE-4B94A2C0CEA2}"/>
    <cellStyle name="40% - Accent1 22 4 2 2 4" xfId="10067" xr:uid="{EB47B49B-08D9-4A19-9356-355D555923C5}"/>
    <cellStyle name="40% - Accent1 22 4 2 2 4 2" xfId="26271" xr:uid="{4F6EE9D3-5680-4D48-9E8A-1BB169B3FD8F}"/>
    <cellStyle name="40% - Accent1 22 4 2 2 5" xfId="18593" xr:uid="{C5500C23-4B6C-4AF3-9723-32B3AF1FBE3D}"/>
    <cellStyle name="40% - Accent1 22 4 2 3" xfId="2793" xr:uid="{DBFB23DC-03E7-48C8-8367-97C77B2AA5E3}"/>
    <cellStyle name="40% - Accent1 22 4 2 3 2" xfId="6577" xr:uid="{1E4C6596-462F-4CEC-87BE-D454457F2195}"/>
    <cellStyle name="40% - Accent1 22 4 2 3 2 2" xfId="14089" xr:uid="{7B9D1C55-48D0-409D-A40C-2C50DD7DDF4F}"/>
    <cellStyle name="40% - Accent1 22 4 2 3 2 2 2" xfId="30293" xr:uid="{AB698B68-EFEF-401F-80AE-158D80000AFE}"/>
    <cellStyle name="40% - Accent1 22 4 2 3 2 3" xfId="22781" xr:uid="{7EEB9CF7-3ECB-4013-A593-6A40193B4EBE}"/>
    <cellStyle name="40% - Accent1 22 4 2 3 3" xfId="10489" xr:uid="{3B27B9EC-0E87-489C-A9B0-643BC5E56A44}"/>
    <cellStyle name="40% - Accent1 22 4 2 3 3 2" xfId="26693" xr:uid="{5CCB522E-ADCC-45B3-8357-45B9A360BDCE}"/>
    <cellStyle name="40% - Accent1 22 4 2 3 4" xfId="19015" xr:uid="{2123FBCA-3976-491A-BF05-A1EDF6747FA7}"/>
    <cellStyle name="40% - Accent1 22 4 2 4" xfId="3724" xr:uid="{9B3ACFC4-9585-4B90-9FEE-CC59F63ECF73}"/>
    <cellStyle name="40% - Accent1 22 4 2 4 2" xfId="7434" xr:uid="{35133BFE-91D4-4914-A190-2AC94190D55B}"/>
    <cellStyle name="40% - Accent1 22 4 2 4 2 2" xfId="14943" xr:uid="{C0C298F1-24F2-44A5-B059-DF29DA400DF6}"/>
    <cellStyle name="40% - Accent1 22 4 2 4 2 2 2" xfId="31147" xr:uid="{009E49BB-C4A2-43D6-B3E2-8E85794926A6}"/>
    <cellStyle name="40% - Accent1 22 4 2 4 2 3" xfId="23638" xr:uid="{ACC04EE6-5635-4F8D-899E-6C0400E0B6D7}"/>
    <cellStyle name="40% - Accent1 22 4 2 4 3" xfId="11334" xr:uid="{D22266C0-8A12-4D8F-A475-569993810207}"/>
    <cellStyle name="40% - Accent1 22 4 2 4 3 2" xfId="27538" xr:uid="{1059E0E8-F1E0-40BE-8BC8-75B8AC49CE91}"/>
    <cellStyle name="40% - Accent1 22 4 2 4 4" xfId="19933" xr:uid="{EA60CB5D-B3CE-4982-95FF-AD642351CAB8}"/>
    <cellStyle name="40% - Accent1 22 4 2 5" xfId="4193" xr:uid="{F4136AC1-4856-4C98-8064-1F291F882852}"/>
    <cellStyle name="40% - Accent1 22 4 2 5 2" xfId="7863" xr:uid="{0371A51C-2472-467B-8629-E9C263B78687}"/>
    <cellStyle name="40% - Accent1 22 4 2 5 2 2" xfId="15370" xr:uid="{C882812B-E6C1-4F45-A3CB-E1F580BE893D}"/>
    <cellStyle name="40% - Accent1 22 4 2 5 2 2 2" xfId="31574" xr:uid="{9CDD067C-166B-4613-9CE1-D78B3FED806B}"/>
    <cellStyle name="40% - Accent1 22 4 2 5 2 3" xfId="24067" xr:uid="{4559B6EC-FF08-434E-A079-0F92F8D47B68}"/>
    <cellStyle name="40% - Accent1 22 4 2 5 3" xfId="11756" xr:uid="{922FF237-AFF6-4E30-AC34-C525DC72C197}"/>
    <cellStyle name="40% - Accent1 22 4 2 5 3 2" xfId="27960" xr:uid="{271C7F2B-F8A2-4116-AEE8-752637C1DD57}"/>
    <cellStyle name="40% - Accent1 22 4 2 5 4" xfId="20397" xr:uid="{2E3F74BD-F444-4D1D-9618-FE1BF4E382D4}"/>
    <cellStyle name="40% - Accent1 22 4 2 6" xfId="4618" xr:uid="{4F1F9DE7-108F-4C8B-AEE2-8154FF26004D}"/>
    <cellStyle name="40% - Accent1 22 4 2 6 2" xfId="8288" xr:uid="{38379950-BB12-426F-AAD5-6A87E9BF7837}"/>
    <cellStyle name="40% - Accent1 22 4 2 6 2 2" xfId="15795" xr:uid="{E2B97AB2-C56B-4020-9441-1D70DC6D68EA}"/>
    <cellStyle name="40% - Accent1 22 4 2 6 2 2 2" xfId="31999" xr:uid="{3501EF67-3F65-4D0B-89C9-A4101CA5CA9F}"/>
    <cellStyle name="40% - Accent1 22 4 2 6 2 3" xfId="24492" xr:uid="{118854D5-429C-4D74-B0D0-F46C345954F7}"/>
    <cellStyle name="40% - Accent1 22 4 2 6 3" xfId="12181" xr:uid="{D3826116-F734-4958-B310-0FDCF7549F7A}"/>
    <cellStyle name="40% - Accent1 22 4 2 6 3 2" xfId="28385" xr:uid="{F7FCD05A-A74D-4CBF-A4A6-5601DB2717CA}"/>
    <cellStyle name="40% - Accent1 22 4 2 6 4" xfId="20822" xr:uid="{64500FB3-7FB6-40E1-824C-1CF6908E9E80}"/>
    <cellStyle name="40% - Accent1 22 4 2 7" xfId="5045" xr:uid="{A84FF6BE-844E-4DA7-87A7-1A9D3493644C}"/>
    <cellStyle name="40% - Accent1 22 4 2 7 2" xfId="8711" xr:uid="{BC8079C7-84F2-4700-A503-58BAA8316589}"/>
    <cellStyle name="40% - Accent1 22 4 2 7 2 2" xfId="16218" xr:uid="{67CC2AE4-ED3A-409B-B366-D6380B4D791D}"/>
    <cellStyle name="40% - Accent1 22 4 2 7 2 2 2" xfId="32422" xr:uid="{3547C85F-562D-435B-9F7E-C3D8291EDC68}"/>
    <cellStyle name="40% - Accent1 22 4 2 7 2 3" xfId="24915" xr:uid="{123EE62E-E949-482A-9C99-4A1568959A83}"/>
    <cellStyle name="40% - Accent1 22 4 2 7 3" xfId="12603" xr:uid="{9241BBBD-128A-4941-884D-3EE6BCA48BB0}"/>
    <cellStyle name="40% - Accent1 22 4 2 7 3 2" xfId="28807" xr:uid="{764C7039-6E50-4835-94A1-21C4D8C27B44}"/>
    <cellStyle name="40% - Accent1 22 4 2 7 4" xfId="21249" xr:uid="{4805B026-F1B4-4B31-AA19-197881494C53}"/>
    <cellStyle name="40% - Accent1 22 4 2 8" xfId="5717" xr:uid="{EB910A44-4CB4-4C9D-964B-4B96186BEDFD}"/>
    <cellStyle name="40% - Accent1 22 4 2 8 2" xfId="13232" xr:uid="{C8D4AEE4-A967-4DA9-924D-8090BEB131B0}"/>
    <cellStyle name="40% - Accent1 22 4 2 8 2 2" xfId="29436" xr:uid="{0F501D86-9224-45B7-ACA8-4CEFACFEB208}"/>
    <cellStyle name="40% - Accent1 22 4 2 8 3" xfId="21921" xr:uid="{77A0B899-1973-45A9-883F-DD223D2BB88B}"/>
    <cellStyle name="40% - Accent1 22 4 2 9" xfId="9644" xr:uid="{E930D3F5-DA9B-48AC-AF41-4EFA6B71BE6B}"/>
    <cellStyle name="40% - Accent1 22 4 2 9 2" xfId="25848" xr:uid="{7A27E7D1-CB4B-4C73-959E-2C54DD44C9BD}"/>
    <cellStyle name="40% - Accent1 22 4 3" xfId="2120" xr:uid="{78C12E27-D4E2-458D-9651-FEBF9FEFD5A1}"/>
    <cellStyle name="40% - Accent1 22 4 3 2" xfId="3033" xr:uid="{6F4A71AB-5CF0-407F-A8F9-1556FE0F7DBE}"/>
    <cellStyle name="40% - Accent1 22 4 3 2 2" xfId="6815" xr:uid="{D0B50E36-1F89-4281-8628-98550E7AD329}"/>
    <cellStyle name="40% - Accent1 22 4 3 2 2 2" xfId="14326" xr:uid="{E95637CD-2C1F-448E-B32B-AA981572CB19}"/>
    <cellStyle name="40% - Accent1 22 4 3 2 2 2 2" xfId="30530" xr:uid="{EA6AE4E1-07C6-4058-90A8-05CDE69C4FF5}"/>
    <cellStyle name="40% - Accent1 22 4 3 2 2 3" xfId="23019" xr:uid="{08597126-A799-4D78-BDDE-5809E5C79947}"/>
    <cellStyle name="40% - Accent1 22 4 3 2 3" xfId="10726" xr:uid="{835BAE0D-5320-40C5-A006-1D0EDFDECBB8}"/>
    <cellStyle name="40% - Accent1 22 4 3 2 3 2" xfId="26930" xr:uid="{DEC44455-FD26-4CB7-A39C-DF8B0243517B}"/>
    <cellStyle name="40% - Accent1 22 4 3 2 4" xfId="19253" xr:uid="{7A23D5A1-07F2-404D-A94A-CC706D4CD81F}"/>
    <cellStyle name="40% - Accent1 22 4 3 3" xfId="5959" xr:uid="{550E4DBD-2F05-4E24-B092-5BDC374639B4}"/>
    <cellStyle name="40% - Accent1 22 4 3 3 2" xfId="13473" xr:uid="{A8352512-D918-49F7-A1FC-F3E49E2C20AF}"/>
    <cellStyle name="40% - Accent1 22 4 3 3 2 2" xfId="29677" xr:uid="{5DFADACF-41BB-4ED4-AC2F-288FC8E29FD6}"/>
    <cellStyle name="40% - Accent1 22 4 3 3 3" xfId="22163" xr:uid="{9413EAF9-F864-4C5A-9D72-76F42B3A7938}"/>
    <cellStyle name="40% - Accent1 22 4 3 4" xfId="9882" xr:uid="{06C0D852-9460-474F-A494-2FCB8DDAAAD8}"/>
    <cellStyle name="40% - Accent1 22 4 3 4 2" xfId="26086" xr:uid="{202E3F86-8363-4EB8-B112-38CF20814A81}"/>
    <cellStyle name="40% - Accent1 22 4 3 5" xfId="18407" xr:uid="{F6A02CD9-0F15-4D4C-9A76-4CFDF35DAB8C}"/>
    <cellStyle name="40% - Accent1 22 4 4" xfId="2608" xr:uid="{8064BE14-DB34-4C62-A54E-0C6F73F5F2B9}"/>
    <cellStyle name="40% - Accent1 22 4 4 2" xfId="6392" xr:uid="{460773E4-ACC6-4E96-BA3C-B427E67945C2}"/>
    <cellStyle name="40% - Accent1 22 4 4 2 2" xfId="13904" xr:uid="{5DD9A0BE-53BA-40E7-B202-980F60A189E5}"/>
    <cellStyle name="40% - Accent1 22 4 4 2 2 2" xfId="30108" xr:uid="{D3C618BB-4D44-46BF-B6EA-AF7284E0895A}"/>
    <cellStyle name="40% - Accent1 22 4 4 2 3" xfId="22596" xr:uid="{932101CD-5BEA-4F2D-BD60-476D54B5F841}"/>
    <cellStyle name="40% - Accent1 22 4 4 3" xfId="10304" xr:uid="{8C7DF739-9459-4FA1-BA61-7DA1923AD251}"/>
    <cellStyle name="40% - Accent1 22 4 4 3 2" xfId="26508" xr:uid="{923CE96F-67DF-40B3-99D3-2D8B545B35CF}"/>
    <cellStyle name="40% - Accent1 22 4 4 4" xfId="18830" xr:uid="{B62CB863-19C4-49CC-841F-8B7BE167373B}"/>
    <cellStyle name="40% - Accent1 22 4 5" xfId="3484" xr:uid="{3CED379B-7A02-4F4C-B712-AFFBEA7E56C5}"/>
    <cellStyle name="40% - Accent1 22 4 5 2" xfId="7242" xr:uid="{1AD2B4A9-1682-48E0-88E2-C171B550B286}"/>
    <cellStyle name="40% - Accent1 22 4 5 2 2" xfId="14752" xr:uid="{AA02DC51-DAB1-4500-BDF1-ED385C741B48}"/>
    <cellStyle name="40% - Accent1 22 4 5 2 2 2" xfId="30956" xr:uid="{16746478-186C-4CC3-94FA-EBF10F1299F1}"/>
    <cellStyle name="40% - Accent1 22 4 5 2 3" xfId="23446" xr:uid="{B9C59390-6027-49B9-9911-0975DA51BE7E}"/>
    <cellStyle name="40% - Accent1 22 4 5 3" xfId="11149" xr:uid="{A2F9AB51-E1B8-48D1-B323-64AD7E353672}"/>
    <cellStyle name="40% - Accent1 22 4 5 3 2" xfId="27353" xr:uid="{77B25301-A090-4459-93F2-1151E2575D19}"/>
    <cellStyle name="40% - Accent1 22 4 5 4" xfId="19700" xr:uid="{ECF2AE77-0823-4CD9-8C01-70CFD8C9B411}"/>
    <cellStyle name="40% - Accent1 22 4 6" xfId="4008" xr:uid="{306325A0-6BF6-4901-A00D-DA051C1ACB2C}"/>
    <cellStyle name="40% - Accent1 22 4 6 2" xfId="7678" xr:uid="{0F74919E-3AFA-43E9-AC29-74E487D2822A}"/>
    <cellStyle name="40% - Accent1 22 4 6 2 2" xfId="15185" xr:uid="{35D74D7D-11DF-488B-9D73-96D6E875EA8C}"/>
    <cellStyle name="40% - Accent1 22 4 6 2 2 2" xfId="31389" xr:uid="{0C19290D-7CAD-4E4E-B520-18A5A3FEA159}"/>
    <cellStyle name="40% - Accent1 22 4 6 2 3" xfId="23882" xr:uid="{94DBC28C-DB06-42B4-9443-7F058EFA9823}"/>
    <cellStyle name="40% - Accent1 22 4 6 3" xfId="11571" xr:uid="{6024E69C-D716-4295-AF8D-59FF92A96E86}"/>
    <cellStyle name="40% - Accent1 22 4 6 3 2" xfId="27775" xr:uid="{C80DF3FE-E1AA-46DB-8B20-9587DE2AE516}"/>
    <cellStyle name="40% - Accent1 22 4 6 4" xfId="20212" xr:uid="{3C4A2564-7C79-492F-84BC-E43D820D9F84}"/>
    <cellStyle name="40% - Accent1 22 4 7" xfId="4433" xr:uid="{CADA34DB-2643-43ED-BFFC-C6C34D1AED32}"/>
    <cellStyle name="40% - Accent1 22 4 7 2" xfId="8103" xr:uid="{8A2B3969-132C-4CB1-A92E-670FEE97AEC8}"/>
    <cellStyle name="40% - Accent1 22 4 7 2 2" xfId="15610" xr:uid="{E84F5C9D-B6F7-45CD-A580-2ACFF0A9CAD8}"/>
    <cellStyle name="40% - Accent1 22 4 7 2 2 2" xfId="31814" xr:uid="{45068C78-EDD1-410F-907B-8DF36D18FE31}"/>
    <cellStyle name="40% - Accent1 22 4 7 2 3" xfId="24307" xr:uid="{A6DB0978-1588-4C5A-A774-0BBBB5EE325A}"/>
    <cellStyle name="40% - Accent1 22 4 7 3" xfId="11996" xr:uid="{8D2DF030-829B-4E60-A092-1A89091A7C2F}"/>
    <cellStyle name="40% - Accent1 22 4 7 3 2" xfId="28200" xr:uid="{AED9D890-AFB1-4D2D-AB70-8760899B5B00}"/>
    <cellStyle name="40% - Accent1 22 4 7 4" xfId="20637" xr:uid="{12CBE627-C3F9-40E5-99F1-861325DBD051}"/>
    <cellStyle name="40% - Accent1 22 4 8" xfId="4858" xr:uid="{03BE40E5-0A24-4A94-9606-388F110B1020}"/>
    <cellStyle name="40% - Accent1 22 4 8 2" xfId="8526" xr:uid="{0B952025-1743-4375-A963-3E3FA8B4AA3A}"/>
    <cellStyle name="40% - Accent1 22 4 8 2 2" xfId="16033" xr:uid="{B26E67CE-3201-435D-9E4D-B3BA1ADFCF24}"/>
    <cellStyle name="40% - Accent1 22 4 8 2 2 2" xfId="32237" xr:uid="{F0AB76FF-BFE3-4C23-9CDC-6981111695B3}"/>
    <cellStyle name="40% - Accent1 22 4 8 2 3" xfId="24730" xr:uid="{0B0615F5-4B4F-4FE8-B003-300EF1B75658}"/>
    <cellStyle name="40% - Accent1 22 4 8 3" xfId="12418" xr:uid="{85977AB2-5832-4843-804F-9CA874B55860}"/>
    <cellStyle name="40% - Accent1 22 4 8 3 2" xfId="28622" xr:uid="{5C126053-FF67-47EA-B974-43781939A1C9}"/>
    <cellStyle name="40% - Accent1 22 4 8 4" xfId="21062" xr:uid="{D03DD00B-EA19-4016-ADF5-5E56B1C526C8}"/>
    <cellStyle name="40% - Accent1 22 4 9" xfId="5344" xr:uid="{3B9474B1-5AEE-4C61-8D6F-4DB67AB68C4F}"/>
    <cellStyle name="40% - Accent1 22 4 9 2" xfId="12893" xr:uid="{DC52F2D5-DB66-478A-BB17-A016C9DC80C7}"/>
    <cellStyle name="40% - Accent1 22 4 9 2 2" xfId="29097" xr:uid="{2E30C398-6966-4C99-96E0-F8FC56F02E94}"/>
    <cellStyle name="40% - Accent1 22 4 9 3" xfId="21548" xr:uid="{35022D90-5D6B-4918-90E6-A60AC298C5D3}"/>
    <cellStyle name="40% - Accent1 22 5" xfId="1368" xr:uid="{90A3CA53-FE37-4688-B130-D7B85E6B0939}"/>
    <cellStyle name="40% - Accent1 22 6" xfId="1863" xr:uid="{C7E2EC02-2C28-41F3-82C4-F122D67E0ED7}"/>
    <cellStyle name="40% - Accent1 22 6 10" xfId="18168" xr:uid="{681E0D7E-61D0-44D0-BE34-38F677D73A0F}"/>
    <cellStyle name="40% - Accent1 22 6 2" xfId="2372" xr:uid="{D95F45F8-AF73-4358-AF25-844A393E3D18}"/>
    <cellStyle name="40% - Accent1 22 6 2 2" xfId="3219" xr:uid="{9A2D80A3-9A2B-48A5-B795-859E965D5EC2}"/>
    <cellStyle name="40% - Accent1 22 6 2 2 2" xfId="7001" xr:uid="{676EF66D-09A5-4174-943F-43E963572BA9}"/>
    <cellStyle name="40% - Accent1 22 6 2 2 2 2" xfId="14512" xr:uid="{20A6CAF2-EE15-484C-98D8-57C63D1DADB6}"/>
    <cellStyle name="40% - Accent1 22 6 2 2 2 2 2" xfId="30716" xr:uid="{D9BCA979-ECF5-4C14-8609-CCFB1DDA81E4}"/>
    <cellStyle name="40% - Accent1 22 6 2 2 2 3" xfId="23205" xr:uid="{E04CF3C7-9173-4B55-8A13-D1210841E10C}"/>
    <cellStyle name="40% - Accent1 22 6 2 2 3" xfId="10912" xr:uid="{FB696866-BBDC-4184-943E-D08D78ACBFAB}"/>
    <cellStyle name="40% - Accent1 22 6 2 2 3 2" xfId="27116" xr:uid="{5A6CF563-B75F-4CFF-81CD-82C0370E8275}"/>
    <cellStyle name="40% - Accent1 22 6 2 2 4" xfId="19439" xr:uid="{B6CA7028-1F34-41C3-82BE-C9B32A53B611}"/>
    <cellStyle name="40% - Accent1 22 6 2 3" xfId="6156" xr:uid="{3B082238-1BB7-46E9-BB5E-33FCFCC2AD99}"/>
    <cellStyle name="40% - Accent1 22 6 2 3 2" xfId="13668" xr:uid="{AD2CD3B8-782E-4E08-B976-A9AD61B4D28A}"/>
    <cellStyle name="40% - Accent1 22 6 2 3 2 2" xfId="29872" xr:uid="{024AAFD7-6222-418D-9DC0-C4FD3627222A}"/>
    <cellStyle name="40% - Accent1 22 6 2 3 3" xfId="22360" xr:uid="{B8699B4E-5791-45C9-8078-CE8581B91C9C}"/>
    <cellStyle name="40% - Accent1 22 6 2 4" xfId="10068" xr:uid="{24AF2179-2916-4197-8BA5-DF82171713F4}"/>
    <cellStyle name="40% - Accent1 22 6 2 4 2" xfId="26272" xr:uid="{52A60712-BD04-4B2E-BAA9-B35934D3FD9F}"/>
    <cellStyle name="40% - Accent1 22 6 2 5" xfId="18594" xr:uid="{33E427C2-F45D-4CA0-AFEF-10642C0A9271}"/>
    <cellStyle name="40% - Accent1 22 6 3" xfId="2794" xr:uid="{6A1F4BF1-6454-4779-B35C-F5BB9D13DEDC}"/>
    <cellStyle name="40% - Accent1 22 6 3 2" xfId="6578" xr:uid="{C844C5E4-8D1E-4679-BCD3-1C3353E75996}"/>
    <cellStyle name="40% - Accent1 22 6 3 2 2" xfId="14090" xr:uid="{77190BBD-20CA-4F7D-987A-77CAD3FCE472}"/>
    <cellStyle name="40% - Accent1 22 6 3 2 2 2" xfId="30294" xr:uid="{00DC7F44-EE9D-4A16-A4FF-C090B9FF7897}"/>
    <cellStyle name="40% - Accent1 22 6 3 2 3" xfId="22782" xr:uid="{DCF2BFEF-1759-45B9-8CAE-A2F34DE834D1}"/>
    <cellStyle name="40% - Accent1 22 6 3 3" xfId="10490" xr:uid="{9E30B7C9-C86E-435F-B8BC-19907AA4408C}"/>
    <cellStyle name="40% - Accent1 22 6 3 3 2" xfId="26694" xr:uid="{137AE7E4-AACF-4879-9AE7-0E6BA77A3C61}"/>
    <cellStyle name="40% - Accent1 22 6 3 4" xfId="19016" xr:uid="{0A8C5655-B990-4E20-BB86-67E5FDD4F025}"/>
    <cellStyle name="40% - Accent1 22 6 4" xfId="3725" xr:uid="{3BE3AD52-3CC3-473D-9B0B-B425D2FE079F}"/>
    <cellStyle name="40% - Accent1 22 6 4 2" xfId="7435" xr:uid="{0B97834F-D1E2-40CA-83A1-CE811A76493C}"/>
    <cellStyle name="40% - Accent1 22 6 4 2 2" xfId="14944" xr:uid="{5B57733F-7286-4868-A52F-EFB8A1FDF352}"/>
    <cellStyle name="40% - Accent1 22 6 4 2 2 2" xfId="31148" xr:uid="{823D038C-EB1B-47B5-8D35-E91BF114A33A}"/>
    <cellStyle name="40% - Accent1 22 6 4 2 3" xfId="23639" xr:uid="{71949ED3-1E4E-4F08-8492-E5020D8F872B}"/>
    <cellStyle name="40% - Accent1 22 6 4 3" xfId="11335" xr:uid="{99EB5563-107E-4455-B8CD-F4854BD0D8B2}"/>
    <cellStyle name="40% - Accent1 22 6 4 3 2" xfId="27539" xr:uid="{73040BE3-FEFC-4534-8D75-4FD67C3F3A25}"/>
    <cellStyle name="40% - Accent1 22 6 4 4" xfId="19934" xr:uid="{C45F1CCF-FFCD-4601-9162-30159F255390}"/>
    <cellStyle name="40% - Accent1 22 6 5" xfId="4194" xr:uid="{CF71D173-8049-4412-84EB-94E16E82E951}"/>
    <cellStyle name="40% - Accent1 22 6 5 2" xfId="7864" xr:uid="{6AC0AFAD-155A-43E4-B4CF-FBD33BE9C997}"/>
    <cellStyle name="40% - Accent1 22 6 5 2 2" xfId="15371" xr:uid="{7E27B63D-319C-450F-BBDA-604FFE4D68C5}"/>
    <cellStyle name="40% - Accent1 22 6 5 2 2 2" xfId="31575" xr:uid="{BD972FF7-B2AF-446A-8466-720E25A18CEF}"/>
    <cellStyle name="40% - Accent1 22 6 5 2 3" xfId="24068" xr:uid="{F9B0B31B-5186-4CB2-A8AD-08E77763AB03}"/>
    <cellStyle name="40% - Accent1 22 6 5 3" xfId="11757" xr:uid="{A584B51B-117B-49FC-A3AB-6C9E1CA16DEF}"/>
    <cellStyle name="40% - Accent1 22 6 5 3 2" xfId="27961" xr:uid="{358ADC53-E7D1-45A6-8D1B-F2D2DFF200C2}"/>
    <cellStyle name="40% - Accent1 22 6 5 4" xfId="20398" xr:uid="{0C09F29D-FF18-4B7C-AC93-36F33BE45840}"/>
    <cellStyle name="40% - Accent1 22 6 6" xfId="4619" xr:uid="{0BEF2A1C-20B9-4258-979A-FE879823A79B}"/>
    <cellStyle name="40% - Accent1 22 6 6 2" xfId="8289" xr:uid="{22E31547-4125-4E27-A4F8-5CDF38B93E84}"/>
    <cellStyle name="40% - Accent1 22 6 6 2 2" xfId="15796" xr:uid="{32DFF97B-97CA-447A-B885-D2F03151DF62}"/>
    <cellStyle name="40% - Accent1 22 6 6 2 2 2" xfId="32000" xr:uid="{3AF72863-B1D3-41E6-B046-7A78A28C161A}"/>
    <cellStyle name="40% - Accent1 22 6 6 2 3" xfId="24493" xr:uid="{7D808D58-7067-48E0-907D-9B1AA8B90313}"/>
    <cellStyle name="40% - Accent1 22 6 6 3" xfId="12182" xr:uid="{D17ED11C-AB7A-45A6-B321-E205CC3FB17E}"/>
    <cellStyle name="40% - Accent1 22 6 6 3 2" xfId="28386" xr:uid="{58D467F0-74AB-4FCC-9E34-00B300293BB6}"/>
    <cellStyle name="40% - Accent1 22 6 6 4" xfId="20823" xr:uid="{4DE879B2-0B94-42D5-B747-BF47606C862C}"/>
    <cellStyle name="40% - Accent1 22 6 7" xfId="5046" xr:uid="{E86D3C0A-FF50-4902-8EEB-52E66D6BE8BF}"/>
    <cellStyle name="40% - Accent1 22 6 7 2" xfId="8712" xr:uid="{8EEEE0E6-C3ED-4E9E-9C4B-55E23A824EE6}"/>
    <cellStyle name="40% - Accent1 22 6 7 2 2" xfId="16219" xr:uid="{F422304E-ABD0-4378-88BE-D78B396C7845}"/>
    <cellStyle name="40% - Accent1 22 6 7 2 2 2" xfId="32423" xr:uid="{E968AB5B-BAD0-4E2F-9C3B-6BC3C141B064}"/>
    <cellStyle name="40% - Accent1 22 6 7 2 3" xfId="24916" xr:uid="{9D31775D-D3D2-48FC-BD79-071F70A66822}"/>
    <cellStyle name="40% - Accent1 22 6 7 3" xfId="12604" xr:uid="{40DEEDB9-F25F-423A-AC85-29E29529A9D3}"/>
    <cellStyle name="40% - Accent1 22 6 7 3 2" xfId="28808" xr:uid="{FE0B894A-D79E-4CE7-93D3-19C554E8125F}"/>
    <cellStyle name="40% - Accent1 22 6 7 4" xfId="21250" xr:uid="{308DC0F1-0C56-4469-880E-50D8BAA17623}"/>
    <cellStyle name="40% - Accent1 22 6 8" xfId="5718" xr:uid="{C3BD769D-ECD7-4E68-ADFD-28D8AC7E8EF1}"/>
    <cellStyle name="40% - Accent1 22 6 8 2" xfId="13233" xr:uid="{41B1E23B-88A9-47F6-9C1C-823DE3BF28EF}"/>
    <cellStyle name="40% - Accent1 22 6 8 2 2" xfId="29437" xr:uid="{7FF5839C-2ACF-4837-BD49-A7A311B1E4E1}"/>
    <cellStyle name="40% - Accent1 22 6 8 3" xfId="21922" xr:uid="{59C5E11C-1581-49A6-8CBE-0F227B9B01E7}"/>
    <cellStyle name="40% - Accent1 22 6 9" xfId="9645" xr:uid="{32C5417A-B834-40C9-A064-30C302960365}"/>
    <cellStyle name="40% - Accent1 22 6 9 2" xfId="25849" xr:uid="{AB18BDDF-8CBB-4A19-A019-08B4C768E970}"/>
    <cellStyle name="40% - Accent1 22 7" xfId="2053" xr:uid="{DFE14BE8-6E95-422D-BCF0-E2C8A2C42FB0}"/>
    <cellStyle name="40% - Accent1 22 7 2" xfId="2966" xr:uid="{4D0869B5-63E2-4F59-B379-6EDCBE57E0DA}"/>
    <cellStyle name="40% - Accent1 22 7 2 2" xfId="6748" xr:uid="{DD29E36B-7CA7-4372-B6FE-03C28AC63365}"/>
    <cellStyle name="40% - Accent1 22 7 2 2 2" xfId="14259" xr:uid="{45E5C22F-B9C6-4CBD-AAB8-B94532D00ECC}"/>
    <cellStyle name="40% - Accent1 22 7 2 2 2 2" xfId="30463" xr:uid="{B675F28D-9DAB-48A5-B512-E7F5121526C7}"/>
    <cellStyle name="40% - Accent1 22 7 2 2 3" xfId="22952" xr:uid="{7ED82A18-FF11-42CE-8DA5-ACAFD0383AF1}"/>
    <cellStyle name="40% - Accent1 22 7 2 3" xfId="10659" xr:uid="{4CC39501-4320-4A03-A81A-17B58C0CF6F2}"/>
    <cellStyle name="40% - Accent1 22 7 2 3 2" xfId="26863" xr:uid="{32A49AA2-063A-4825-BB88-7086D624347B}"/>
    <cellStyle name="40% - Accent1 22 7 2 4" xfId="19186" xr:uid="{18C63B1F-5360-4679-977D-96975011B886}"/>
    <cellStyle name="40% - Accent1 22 7 3" xfId="5892" xr:uid="{28A04D8E-1B62-44B7-93E6-A667C6EF4E95}"/>
    <cellStyle name="40% - Accent1 22 7 3 2" xfId="13406" xr:uid="{A53A1A06-F82B-44E0-B555-46DEAC8CE515}"/>
    <cellStyle name="40% - Accent1 22 7 3 2 2" xfId="29610" xr:uid="{79B79D8A-719C-48E0-873D-A1074CF420EA}"/>
    <cellStyle name="40% - Accent1 22 7 3 3" xfId="22096" xr:uid="{78AFF4E6-1BC9-494D-8940-576E7E641C69}"/>
    <cellStyle name="40% - Accent1 22 7 4" xfId="9815" xr:uid="{925B2DC0-71FB-412F-82B4-E361881AB916}"/>
    <cellStyle name="40% - Accent1 22 7 4 2" xfId="26019" xr:uid="{0B60A0C2-8D15-4A31-A35C-0C83A1EC45D6}"/>
    <cellStyle name="40% - Accent1 22 7 5" xfId="18340" xr:uid="{33F944E1-217B-4FBC-A0E7-745D56F03F8D}"/>
    <cellStyle name="40% - Accent1 22 8" xfId="2541" xr:uid="{51E25312-4496-4E8C-A736-02147E3C5B37}"/>
    <cellStyle name="40% - Accent1 22 8 2" xfId="6325" xr:uid="{FD9524A2-E66E-4E4D-82ED-87A8C75D3240}"/>
    <cellStyle name="40% - Accent1 22 8 2 2" xfId="13837" xr:uid="{7FCE7B09-2CF2-4ED5-9C48-36F51F27C207}"/>
    <cellStyle name="40% - Accent1 22 8 2 2 2" xfId="30041" xr:uid="{03888052-C823-4B86-AF73-2BBEBDCD275D}"/>
    <cellStyle name="40% - Accent1 22 8 2 3" xfId="22529" xr:uid="{182E2B51-EED6-47A0-BBF2-B73ABC14A457}"/>
    <cellStyle name="40% - Accent1 22 8 3" xfId="10237" xr:uid="{047A3D65-B776-45D0-B843-B4C75B148B00}"/>
    <cellStyle name="40% - Accent1 22 8 3 2" xfId="26441" xr:uid="{C0ECD4FA-40ED-403D-A8A1-C9E4BE694E20}"/>
    <cellStyle name="40% - Accent1 22 8 4" xfId="18763" xr:uid="{04A73B10-ED82-4BB3-8EF2-33AEA1904C9A}"/>
    <cellStyle name="40% - Accent1 22 9" xfId="3417" xr:uid="{DAECDC3F-CE83-4E38-BCD6-E31924AA15A5}"/>
    <cellStyle name="40% - Accent1 22 9 2" xfId="7175" xr:uid="{5ACBDA5E-520B-4927-BC32-CBE7CD6CA1F2}"/>
    <cellStyle name="40% - Accent1 22 9 2 2" xfId="14685" xr:uid="{AFC9B7BC-64EB-45A1-B0F1-3132A2676452}"/>
    <cellStyle name="40% - Accent1 22 9 2 2 2" xfId="30889" xr:uid="{14B5AC1D-BF1A-4504-9CFE-94D0ED1DFD31}"/>
    <cellStyle name="40% - Accent1 22 9 2 3" xfId="23379" xr:uid="{B39C4DE6-6D87-4A3A-BFC0-5F8818656073}"/>
    <cellStyle name="40% - Accent1 22 9 3" xfId="11082" xr:uid="{39549717-FBB5-4CF9-9422-6F94D8451423}"/>
    <cellStyle name="40% - Accent1 22 9 3 2" xfId="27286" xr:uid="{C9A96F15-80A3-4840-A45D-69D028F21E92}"/>
    <cellStyle name="40% - Accent1 22 9 4" xfId="19633" xr:uid="{F2F56683-23B8-465F-B2BE-398DC487270E}"/>
    <cellStyle name="40% - Accent1 23" xfId="884" xr:uid="{35E9382A-F9D4-4611-9286-9DF009675363}"/>
    <cellStyle name="40% - Accent1 24" xfId="1809" xr:uid="{2825DE27-F140-4EFB-82F2-C5880491DD0C}"/>
    <cellStyle name="40% - Accent1 24 10" xfId="18114" xr:uid="{983CC87D-7991-492A-85B2-309719B75286}"/>
    <cellStyle name="40% - Accent1 24 2" xfId="2318" xr:uid="{674F1A36-2A4F-4E6E-AD1A-C69CA8E09BCB}"/>
    <cellStyle name="40% - Accent1 24 2 2" xfId="3165" xr:uid="{C0C58486-11C5-43F8-A08F-FA31B8136B7D}"/>
    <cellStyle name="40% - Accent1 24 2 2 2" xfId="6947" xr:uid="{D4CC5616-25E0-44D4-81E2-EA3F464A5614}"/>
    <cellStyle name="40% - Accent1 24 2 2 2 2" xfId="14458" xr:uid="{2063A9C5-C055-43BA-B7D0-A28F16DED4E3}"/>
    <cellStyle name="40% - Accent1 24 2 2 2 2 2" xfId="30662" xr:uid="{DB6778AA-184B-4F21-9BE7-A9CABDE16FB5}"/>
    <cellStyle name="40% - Accent1 24 2 2 2 3" xfId="23151" xr:uid="{5FF1105C-9F26-4A03-9256-D4AFF472F17A}"/>
    <cellStyle name="40% - Accent1 24 2 2 3" xfId="10858" xr:uid="{DC26D838-41E8-4782-91DA-0981A1BBCD55}"/>
    <cellStyle name="40% - Accent1 24 2 2 3 2" xfId="27062" xr:uid="{6E33CE6C-D74C-49F6-B9C2-B105C0EBE500}"/>
    <cellStyle name="40% - Accent1 24 2 2 4" xfId="19385" xr:uid="{EB47A16E-5530-48D4-8236-2D9237EE8E4D}"/>
    <cellStyle name="40% - Accent1 24 2 3" xfId="6102" xr:uid="{A695CD1B-E31E-4AB1-BE92-095197CFED1E}"/>
    <cellStyle name="40% - Accent1 24 2 3 2" xfId="13614" xr:uid="{C914742E-9B6B-444D-A256-9ACC8811D912}"/>
    <cellStyle name="40% - Accent1 24 2 3 2 2" xfId="29818" xr:uid="{4909D265-3912-466E-B8A0-84F423B92C4A}"/>
    <cellStyle name="40% - Accent1 24 2 3 3" xfId="22306" xr:uid="{910A9C72-E4C1-49EB-A7D8-FCDE220FA423}"/>
    <cellStyle name="40% - Accent1 24 2 4" xfId="10014" xr:uid="{9C28E20C-0B13-4A66-A2D4-122E23919337}"/>
    <cellStyle name="40% - Accent1 24 2 4 2" xfId="26218" xr:uid="{12AAF1C2-FDDE-45AC-B1A9-58F3753476C5}"/>
    <cellStyle name="40% - Accent1 24 2 5" xfId="18540" xr:uid="{6282F4D1-80D8-47CF-9E94-BEBA99EB39D0}"/>
    <cellStyle name="40% - Accent1 24 3" xfId="2740" xr:uid="{04C05B10-A887-401F-ACC9-75B21F664AB3}"/>
    <cellStyle name="40% - Accent1 24 3 2" xfId="6524" xr:uid="{1A5FA362-EB50-48E3-99CB-6A8E000CE37E}"/>
    <cellStyle name="40% - Accent1 24 3 2 2" xfId="14036" xr:uid="{F5689AF4-2911-4278-A9E7-76651A14C7B7}"/>
    <cellStyle name="40% - Accent1 24 3 2 2 2" xfId="30240" xr:uid="{49326036-CA07-4C63-B26B-770209EE205B}"/>
    <cellStyle name="40% - Accent1 24 3 2 3" xfId="22728" xr:uid="{674E3C8B-E1D5-40A7-AE3F-972491A55316}"/>
    <cellStyle name="40% - Accent1 24 3 3" xfId="10436" xr:uid="{555A6F5E-5A3C-4C63-BAAA-2C029CE969DC}"/>
    <cellStyle name="40% - Accent1 24 3 3 2" xfId="26640" xr:uid="{859D32EE-D697-4565-89C6-03FC11754B43}"/>
    <cellStyle name="40% - Accent1 24 3 4" xfId="18962" xr:uid="{2D08A93A-D45F-4C34-AB39-7BE94AF500E5}"/>
    <cellStyle name="40% - Accent1 24 4" xfId="3671" xr:uid="{408F2ABC-5227-49B2-9919-E9530E555773}"/>
    <cellStyle name="40% - Accent1 24 4 2" xfId="7381" xr:uid="{69C83BE3-E27C-47D8-94BF-56A12851B2A8}"/>
    <cellStyle name="40% - Accent1 24 4 2 2" xfId="14890" xr:uid="{9944B2A0-E17B-406F-B764-AB390EAB8A7E}"/>
    <cellStyle name="40% - Accent1 24 4 2 2 2" xfId="31094" xr:uid="{72ED199F-037C-410C-842F-9FCDEA9119D9}"/>
    <cellStyle name="40% - Accent1 24 4 2 3" xfId="23585" xr:uid="{1A3D4FCC-521B-44C0-8296-ACA26AB0C9E2}"/>
    <cellStyle name="40% - Accent1 24 4 3" xfId="11281" xr:uid="{AB58E4AC-4363-498A-B623-72065A589D50}"/>
    <cellStyle name="40% - Accent1 24 4 3 2" xfId="27485" xr:uid="{4BE05F2A-13A7-4C3D-AD7A-CBB838658EC3}"/>
    <cellStyle name="40% - Accent1 24 4 4" xfId="19880" xr:uid="{6C51361E-C1D1-4669-A655-CD7AD2697357}"/>
    <cellStyle name="40% - Accent1 24 5" xfId="4140" xr:uid="{9D773B7D-0F88-4FE0-BCDD-7D4180DA41ED}"/>
    <cellStyle name="40% - Accent1 24 5 2" xfId="7810" xr:uid="{D4F881FE-3FDC-44E9-A0C3-4ADEC0F8BA73}"/>
    <cellStyle name="40% - Accent1 24 5 2 2" xfId="15317" xr:uid="{E83B52D6-2FD6-4DE4-B259-1B92FDB2A7AA}"/>
    <cellStyle name="40% - Accent1 24 5 2 2 2" xfId="31521" xr:uid="{9FDBD541-2AAD-4193-9611-80ACD2BF6BD2}"/>
    <cellStyle name="40% - Accent1 24 5 2 3" xfId="24014" xr:uid="{E27FCB46-3158-4951-B01B-9506FCD02B4F}"/>
    <cellStyle name="40% - Accent1 24 5 3" xfId="11703" xr:uid="{75C4F04D-EB98-44BF-B37B-B59543D63210}"/>
    <cellStyle name="40% - Accent1 24 5 3 2" xfId="27907" xr:uid="{069B0122-624B-49CC-97B8-053DED3E4D27}"/>
    <cellStyle name="40% - Accent1 24 5 4" xfId="20344" xr:uid="{5DB92D63-7E6D-4743-88AA-FCA7B1723759}"/>
    <cellStyle name="40% - Accent1 24 6" xfId="4565" xr:uid="{2762F4AA-FCB8-4F81-AE61-327ABDD0B1AA}"/>
    <cellStyle name="40% - Accent1 24 6 2" xfId="8235" xr:uid="{8727955F-B9B9-4F0A-AD22-6AF61FB6CCC2}"/>
    <cellStyle name="40% - Accent1 24 6 2 2" xfId="15742" xr:uid="{A4C18ACB-6D64-46BA-A104-D166C9187878}"/>
    <cellStyle name="40% - Accent1 24 6 2 2 2" xfId="31946" xr:uid="{ACC73FD3-DE4F-498A-A898-2E3518D06102}"/>
    <cellStyle name="40% - Accent1 24 6 2 3" xfId="24439" xr:uid="{DB0C5A06-7BE8-4E37-A055-32CEC1FE78BB}"/>
    <cellStyle name="40% - Accent1 24 6 3" xfId="12128" xr:uid="{2BDA84AF-1794-4733-9473-F06A69A5D857}"/>
    <cellStyle name="40% - Accent1 24 6 3 2" xfId="28332" xr:uid="{279D7C7B-F79C-40E5-8B4B-4504F0902685}"/>
    <cellStyle name="40% - Accent1 24 6 4" xfId="20769" xr:uid="{F0A43714-464D-42C5-9A67-046F5E61A643}"/>
    <cellStyle name="40% - Accent1 24 7" xfId="4992" xr:uid="{AEE8FA8B-F58C-48E6-83F7-25A7A59D15AE}"/>
    <cellStyle name="40% - Accent1 24 7 2" xfId="8658" xr:uid="{9CD7C0CC-8EBD-47A7-AFA6-BD9DD9F8C5BB}"/>
    <cellStyle name="40% - Accent1 24 7 2 2" xfId="16165" xr:uid="{69488745-68B0-4500-A978-CD9C2CAB2968}"/>
    <cellStyle name="40% - Accent1 24 7 2 2 2" xfId="32369" xr:uid="{A16DF869-28C7-4BC6-9868-3CD00BA06812}"/>
    <cellStyle name="40% - Accent1 24 7 2 3" xfId="24862" xr:uid="{501FC100-4889-4DC6-AD92-23131DD7A590}"/>
    <cellStyle name="40% - Accent1 24 7 3" xfId="12550" xr:uid="{437E0AEF-1348-4A4A-B829-7ECE4832E5E0}"/>
    <cellStyle name="40% - Accent1 24 7 3 2" xfId="28754" xr:uid="{B1A01FF2-9363-49A2-A42E-C9CE46EC616B}"/>
    <cellStyle name="40% - Accent1 24 7 4" xfId="21196" xr:uid="{C8446311-CDCF-4993-A08A-EC68D4BCD6ED}"/>
    <cellStyle name="40% - Accent1 24 8" xfId="5664" xr:uid="{DDCD7438-C8BD-476F-ADA3-F1E816002328}"/>
    <cellStyle name="40% - Accent1 24 8 2" xfId="13179" xr:uid="{DEE562EB-691F-4060-8D12-420F96D64A95}"/>
    <cellStyle name="40% - Accent1 24 8 2 2" xfId="29383" xr:uid="{803EC2AF-F102-4062-BB72-536D37EB3D55}"/>
    <cellStyle name="40% - Accent1 24 8 3" xfId="21868" xr:uid="{E6A86FCA-CA70-4FB6-8A28-E629EACF5EE1}"/>
    <cellStyle name="40% - Accent1 24 9" xfId="9591" xr:uid="{5FE1627B-57F9-4937-B24B-2ADE61C09573}"/>
    <cellStyle name="40% - Accent1 24 9 2" xfId="25795" xr:uid="{54744E33-18ED-4BCF-8F5B-33605465738A}"/>
    <cellStyle name="40% - Accent1 25" xfId="136" xr:uid="{B7B66BDA-7889-4136-A022-50BFC0703340}"/>
    <cellStyle name="40% - Accent1 26" xfId="16844" xr:uid="{95E6FB2B-E20B-47A0-8C8B-C8FB408BE22F}"/>
    <cellStyle name="40% - Accent1 3" xfId="149" xr:uid="{82D4DED5-AA55-4D4A-9D34-F05943021DAF}"/>
    <cellStyle name="40% - Accent1 3 2" xfId="1381" xr:uid="{43A1322A-E7B8-4561-9B77-425B63E9D046}"/>
    <cellStyle name="40% - Accent1 3 3" xfId="871" xr:uid="{34DF33F7-3F3C-4F1A-9118-833B8D1569C8}"/>
    <cellStyle name="40% - Accent1 4" xfId="150" xr:uid="{BE389343-6E20-4706-8E76-039DDEBE797A}"/>
    <cellStyle name="40% - Accent1 4 2" xfId="1382" xr:uid="{8D8C0013-3619-410F-8F50-750DA57F88A9}"/>
    <cellStyle name="40% - Accent1 4 3" xfId="870" xr:uid="{FD2214AF-1478-48B2-8BBC-EE6FDA96D8E2}"/>
    <cellStyle name="40% - Accent1 5" xfId="151" xr:uid="{3FFEC9BA-1137-4D67-B256-A8C53E323A4A}"/>
    <cellStyle name="40% - Accent1 5 2" xfId="1383" xr:uid="{CF6B2F4D-8EB9-4453-8DBB-80BF4B6868CC}"/>
    <cellStyle name="40% - Accent1 5 3" xfId="869" xr:uid="{7D05CF4E-8A9B-400B-BF56-299985EF288D}"/>
    <cellStyle name="40% - Accent1 6" xfId="152" xr:uid="{0268EF23-2A8F-49D2-BD1B-AFAE8ACFCA67}"/>
    <cellStyle name="40% - Accent1 6 2" xfId="1384" xr:uid="{781CDC53-CE9B-4ABF-B843-CEB4AB054267}"/>
    <cellStyle name="40% - Accent1 6 3" xfId="868" xr:uid="{94039256-A2F8-4E7D-A603-8F447056EF34}"/>
    <cellStyle name="40% - Accent1 7" xfId="153" xr:uid="{853381A3-C7E7-4956-B8CE-4BD665013E8D}"/>
    <cellStyle name="40% - Accent1 7 2" xfId="1385" xr:uid="{0B86B63C-87A4-41B3-9A12-387B026061EC}"/>
    <cellStyle name="40% - Accent1 7 3" xfId="867" xr:uid="{B3D299A3-6DB1-42F5-91FE-E18FFAD497E2}"/>
    <cellStyle name="40% - Accent1 8" xfId="154" xr:uid="{6E626405-5A32-4740-ACF6-8B25A46FD46C}"/>
    <cellStyle name="40% - Accent1 8 2" xfId="1386" xr:uid="{5E0EFFDB-E7EB-4FE3-BD19-4129142E4C0C}"/>
    <cellStyle name="40% - Accent1 8 3" xfId="866" xr:uid="{B221865E-2E0D-4A58-B754-6BD65ACA23FC}"/>
    <cellStyle name="40% - Accent1 9" xfId="155" xr:uid="{A5304F0E-8E34-4FB3-A044-FE9FBD50FB0B}"/>
    <cellStyle name="40% - Accent1 9 2" xfId="1387" xr:uid="{A6AB3EAF-BF91-4EE8-9E4D-CA8FF70C62A0}"/>
    <cellStyle name="40% - Accent1 9 3" xfId="865" xr:uid="{A200C520-37E9-4FE2-A313-29C4D6AEB0DA}"/>
    <cellStyle name="40% - Accent2 10" xfId="157" xr:uid="{94DAB0CD-AED8-4A26-A1BA-D53246F37773}"/>
    <cellStyle name="40% - Accent2 10 2" xfId="1389" xr:uid="{5641480A-6131-4DD1-99AA-5DC54B0C2861}"/>
    <cellStyle name="40% - Accent2 10 3" xfId="863" xr:uid="{3DE29563-A7F9-4BAE-85DF-B609974BFCDA}"/>
    <cellStyle name="40% - Accent2 11" xfId="158" xr:uid="{799E6DC1-583D-4001-BC49-0837A79FC905}"/>
    <cellStyle name="40% - Accent2 11 2" xfId="1390" xr:uid="{6C61ED96-9D64-41BE-9908-8AA7B22EDCA7}"/>
    <cellStyle name="40% - Accent2 11 3" xfId="862" xr:uid="{F6366576-0D81-43FF-9548-81D7600B4827}"/>
    <cellStyle name="40% - Accent2 12" xfId="159" xr:uid="{F79D7328-3FBA-4966-8777-03AD7CAD5E9E}"/>
    <cellStyle name="40% - Accent2 12 2" xfId="1391" xr:uid="{E1EB8B08-2FD8-418F-81E4-2E41B982C306}"/>
    <cellStyle name="40% - Accent2 12 3" xfId="861" xr:uid="{76ED4ACB-5541-4E6F-999E-039D25FAEC2B}"/>
    <cellStyle name="40% - Accent2 13" xfId="160" xr:uid="{766F408D-166D-46CF-B6BA-A54DF2782839}"/>
    <cellStyle name="40% - Accent2 13 2" xfId="1392" xr:uid="{6EBA86FA-AC2C-4212-A7EE-008F29B2B39B}"/>
    <cellStyle name="40% - Accent2 13 3" xfId="860" xr:uid="{C893A7EE-10E7-44A3-94E1-864D41E7F33B}"/>
    <cellStyle name="40% - Accent2 14" xfId="161" xr:uid="{7E833480-7284-4E7B-9B20-F8C3C937EA6C}"/>
    <cellStyle name="40% - Accent2 14 2" xfId="1393" xr:uid="{B4E380A5-EC9D-4F84-9BA5-A37A5B56D856}"/>
    <cellStyle name="40% - Accent2 14 3" xfId="859" xr:uid="{C5BAF8FC-D692-457B-98E8-55A633D8FD63}"/>
    <cellStyle name="40% - Accent2 15" xfId="162" xr:uid="{9702CE8D-4D52-44F4-86DA-A6315B14437A}"/>
    <cellStyle name="40% - Accent2 15 2" xfId="1394" xr:uid="{493EDF12-820E-46FB-984D-5DA49FDFB111}"/>
    <cellStyle name="40% - Accent2 15 3" xfId="858" xr:uid="{BA1B29D8-564C-47FE-836A-F6C36DD36E04}"/>
    <cellStyle name="40% - Accent2 16" xfId="163" xr:uid="{AB9BB4DE-3F83-4BA4-8767-D02C8C367ABB}"/>
    <cellStyle name="40% - Accent2 16 2" xfId="1395" xr:uid="{E850602E-C58B-4442-965F-288C2E83E352}"/>
    <cellStyle name="40% - Accent2 16 3" xfId="857" xr:uid="{566DC5B6-2CD8-48E7-8E66-B5B5F91671E1}"/>
    <cellStyle name="40% - Accent2 17" xfId="164" xr:uid="{6699D5E5-2489-41DB-B411-A28596B1F497}"/>
    <cellStyle name="40% - Accent2 17 2" xfId="1396" xr:uid="{139DF84C-2B8B-464B-A6EA-DD6C9982BF06}"/>
    <cellStyle name="40% - Accent2 17 3" xfId="856" xr:uid="{44032BA4-F586-46CA-A4D8-4D659605A5D6}"/>
    <cellStyle name="40% - Accent2 18" xfId="165" xr:uid="{97F243A7-D87C-4322-AFEA-4C2CB1262DA8}"/>
    <cellStyle name="40% - Accent2 18 2" xfId="1397" xr:uid="{0F1AA799-4F01-4F87-A369-9E53699C7B67}"/>
    <cellStyle name="40% - Accent2 18 3" xfId="855" xr:uid="{4E2C3176-929F-408F-B0A0-7B34D095D4D2}"/>
    <cellStyle name="40% - Accent2 19" xfId="166" xr:uid="{541148FC-B730-4156-91F2-8E7ECAD2C438}"/>
    <cellStyle name="40% - Accent2 19 2" xfId="1398" xr:uid="{E08D81B2-D95D-4679-81D2-53F003816B6A}"/>
    <cellStyle name="40% - Accent2 19 3" xfId="854" xr:uid="{23A2E97C-6D98-48FB-A1FC-F479C1D72E99}"/>
    <cellStyle name="40% - Accent2 2" xfId="167" xr:uid="{B6BFB213-69AB-4E17-8682-7B93F4BAF98E}"/>
    <cellStyle name="40% - Accent2 2 2" xfId="1399" xr:uid="{77C0672B-5261-4DD3-9FED-83E57FE3961B}"/>
    <cellStyle name="40% - Accent2 2 3" xfId="853" xr:uid="{8BD08A84-99D3-4B8B-8DCA-86FCDD45A2F0}"/>
    <cellStyle name="40% - Accent2 20" xfId="168" xr:uid="{A25D9703-6224-44AD-B7A6-304ADF5A830C}"/>
    <cellStyle name="40% - Accent2 20 2" xfId="1400" xr:uid="{C586EA70-D36C-4862-A22E-CB2A1E089EC8}"/>
    <cellStyle name="40% - Accent2 20 3" xfId="852" xr:uid="{43A67201-61C0-41CF-807D-B96C8C318CC7}"/>
    <cellStyle name="40% - Accent2 21" xfId="409" xr:uid="{FD74EB6C-10F6-4428-B337-E5D480F31CFE}"/>
    <cellStyle name="40% - Accent2 21 2" xfId="678" xr:uid="{05289B15-F769-4057-A565-62C5CC0BEDE4}"/>
    <cellStyle name="40% - Accent2 22" xfId="471" xr:uid="{3D67E819-B03F-470C-81CF-33C35341C8C7}"/>
    <cellStyle name="40% - Accent2 22 10" xfId="3943" xr:uid="{34D254EA-1D30-41E4-A458-27FEE7967071}"/>
    <cellStyle name="40% - Accent2 22 10 2" xfId="7613" xr:uid="{9C6EB77E-F1DC-413F-BA94-473AD263E107}"/>
    <cellStyle name="40% - Accent2 22 10 2 2" xfId="15120" xr:uid="{DD29F05E-4956-410C-86D7-A8F2ED15D236}"/>
    <cellStyle name="40% - Accent2 22 10 2 2 2" xfId="31324" xr:uid="{4644B4F1-AF60-47F5-8B96-284DA78D6B63}"/>
    <cellStyle name="40% - Accent2 22 10 2 3" xfId="23817" xr:uid="{0E2B1B48-475B-48C1-A847-BBDFAAB914AF}"/>
    <cellStyle name="40% - Accent2 22 10 3" xfId="11506" xr:uid="{86A6114F-1B7B-4243-BFBD-14BD184E12DC}"/>
    <cellStyle name="40% - Accent2 22 10 3 2" xfId="27710" xr:uid="{5354F7DC-109F-48BC-A76E-C063AD5CE0A6}"/>
    <cellStyle name="40% - Accent2 22 10 4" xfId="20147" xr:uid="{E9C63D76-C508-4152-81C5-A572A36B59CB}"/>
    <cellStyle name="40% - Accent2 22 11" xfId="4368" xr:uid="{0484C0AD-4665-4A9D-BACA-F84DA3F002DB}"/>
    <cellStyle name="40% - Accent2 22 11 2" xfId="8038" xr:uid="{CD5A22C3-26A5-407E-8F3D-165388173B94}"/>
    <cellStyle name="40% - Accent2 22 11 2 2" xfId="15545" xr:uid="{7C051269-44E5-4F33-8ADE-B2B06E24683B}"/>
    <cellStyle name="40% - Accent2 22 11 2 2 2" xfId="31749" xr:uid="{BA2690B3-4F4B-49F7-B9F2-3B1819807E9F}"/>
    <cellStyle name="40% - Accent2 22 11 2 3" xfId="24242" xr:uid="{3C18F696-CECB-4357-9FE7-0046B978BA9B}"/>
    <cellStyle name="40% - Accent2 22 11 3" xfId="11931" xr:uid="{52044706-F2D4-4A3F-B3BF-AD5F3D212F0F}"/>
    <cellStyle name="40% - Accent2 22 11 3 2" xfId="28135" xr:uid="{AEC473FB-0DA3-46B8-95A7-C7D2E7C5852E}"/>
    <cellStyle name="40% - Accent2 22 11 4" xfId="20572" xr:uid="{27F4B80E-D7D1-40F1-BDA8-14BCBE18F865}"/>
    <cellStyle name="40% - Accent2 22 12" xfId="4791" xr:uid="{FC3F35ED-A781-45C6-8145-6B5D887E9D2A}"/>
    <cellStyle name="40% - Accent2 22 12 2" xfId="8460" xr:uid="{571908D6-E239-407B-911E-BF3A62032007}"/>
    <cellStyle name="40% - Accent2 22 12 2 2" xfId="15967" xr:uid="{76C17EE0-5E08-4B79-A8E6-F1D83D3F1D6B}"/>
    <cellStyle name="40% - Accent2 22 12 2 2 2" xfId="32171" xr:uid="{E527BDC4-DE91-4F12-8B8B-819BB76A1AF5}"/>
    <cellStyle name="40% - Accent2 22 12 2 3" xfId="24664" xr:uid="{85B6404D-AA2F-4AAE-B2CC-64B3CC27FE23}"/>
    <cellStyle name="40% - Accent2 22 12 3" xfId="12353" xr:uid="{2C2F01C5-1063-42F5-9D47-15F5252FFDBB}"/>
    <cellStyle name="40% - Accent2 22 12 3 2" xfId="28557" xr:uid="{05FE9E4A-583C-489F-9EDB-5F8454291FC6}"/>
    <cellStyle name="40% - Accent2 22 12 4" xfId="20995" xr:uid="{B8252DFE-6EAF-4F55-8DA0-DF45B62D20F4}"/>
    <cellStyle name="40% - Accent2 22 13" xfId="5278" xr:uid="{C5E464C6-9C3D-4F36-8574-DD7373714A58}"/>
    <cellStyle name="40% - Accent2 22 13 2" xfId="12827" xr:uid="{A538A111-C0AB-498B-8B58-5B626EA88BE6}"/>
    <cellStyle name="40% - Accent2 22 13 2 2" xfId="29031" xr:uid="{DBCB5A60-84A3-4FA3-B8D6-4187288CD143}"/>
    <cellStyle name="40% - Accent2 22 13 3" xfId="21482" xr:uid="{67E3B058-0E92-4787-BF90-F79C7888785D}"/>
    <cellStyle name="40% - Accent2 22 14" xfId="9394" xr:uid="{CCF3AEBE-D2BD-49E0-B123-BAD29CD1F152}"/>
    <cellStyle name="40% - Accent2 22 14 2" xfId="25598" xr:uid="{F174CDC8-54B3-4CFD-8A23-16F2F2B603B8}"/>
    <cellStyle name="40% - Accent2 22 15" xfId="17908" xr:uid="{296E90D3-CBE9-45B9-8687-8E6E4814577D}"/>
    <cellStyle name="40% - Accent2 22 2" xfId="504" xr:uid="{50B40C44-CDFB-4C79-A978-09A47E9A7472}"/>
    <cellStyle name="40% - Accent2 22 2 10" xfId="5301" xr:uid="{B3053170-14EF-4981-90B8-5B01CD4072AF}"/>
    <cellStyle name="40% - Accent2 22 2 10 2" xfId="12850" xr:uid="{58A96BF3-6C97-4326-B9F7-46CD39AF73F5}"/>
    <cellStyle name="40% - Accent2 22 2 10 2 2" xfId="29054" xr:uid="{FA83BD0A-2914-4F78-B7ED-090DCB34F5F9}"/>
    <cellStyle name="40% - Accent2 22 2 10 3" xfId="21505" xr:uid="{389C315D-3703-4E47-852C-7E8F0493E48F}"/>
    <cellStyle name="40% - Accent2 22 2 11" xfId="9416" xr:uid="{C45ADA47-D184-46B6-BBF7-516E9838A1EC}"/>
    <cellStyle name="40% - Accent2 22 2 11 2" xfId="25620" xr:uid="{52BC6A2D-A9A9-4068-B99E-F13BC8D810A8}"/>
    <cellStyle name="40% - Accent2 22 2 12" xfId="17931" xr:uid="{79B23540-AC43-4197-ADAC-7AF1285F2B08}"/>
    <cellStyle name="40% - Accent2 22 2 2" xfId="575" xr:uid="{D4925920-75AB-4DFF-90C3-9E4414A19467}"/>
    <cellStyle name="40% - Accent2 22 2 2 10" xfId="9483" xr:uid="{DE5605EA-65AF-4802-A4E3-760DEA51803A}"/>
    <cellStyle name="40% - Accent2 22 2 2 10 2" xfId="25687" xr:uid="{4A1068E7-B572-4804-B258-53A1D49FFA2B}"/>
    <cellStyle name="40% - Accent2 22 2 2 11" xfId="17999" xr:uid="{F4A583A1-3CF0-473C-91A1-B2F6AFCE598F}"/>
    <cellStyle name="40% - Accent2 22 2 2 2" xfId="1864" xr:uid="{57783F64-213E-43C0-B5D1-61D10FFBDAE3}"/>
    <cellStyle name="40% - Accent2 22 2 2 2 10" xfId="18169" xr:uid="{0E8BAE91-94BF-48F0-81F8-34406C39CA3E}"/>
    <cellStyle name="40% - Accent2 22 2 2 2 2" xfId="2373" xr:uid="{D3708E7F-1C61-4D52-947A-50A1C8146F07}"/>
    <cellStyle name="40% - Accent2 22 2 2 2 2 2" xfId="3220" xr:uid="{F6C3E441-7FD7-4125-94D1-60BFB1CBC2B3}"/>
    <cellStyle name="40% - Accent2 22 2 2 2 2 2 2" xfId="7002" xr:uid="{6AF33950-5369-4347-A1ED-D772CC3B5955}"/>
    <cellStyle name="40% - Accent2 22 2 2 2 2 2 2 2" xfId="14513" xr:uid="{093964E0-8BE7-477A-93AB-1642B7B2298E}"/>
    <cellStyle name="40% - Accent2 22 2 2 2 2 2 2 2 2" xfId="30717" xr:uid="{AAB1B81E-A911-42F8-9D99-FDC5D6D7B8FC}"/>
    <cellStyle name="40% - Accent2 22 2 2 2 2 2 2 3" xfId="23206" xr:uid="{F77515E0-E3EE-431B-B564-0504E2F2D08E}"/>
    <cellStyle name="40% - Accent2 22 2 2 2 2 2 3" xfId="10913" xr:uid="{A96B9150-7AEF-4ABD-B19D-A3D098DE5C28}"/>
    <cellStyle name="40% - Accent2 22 2 2 2 2 2 3 2" xfId="27117" xr:uid="{B7A8408C-7558-4EFD-AB98-C9201DE5C471}"/>
    <cellStyle name="40% - Accent2 22 2 2 2 2 2 4" xfId="19440" xr:uid="{2D4AD345-4665-4F54-9827-B540157F3585}"/>
    <cellStyle name="40% - Accent2 22 2 2 2 2 3" xfId="6157" xr:uid="{E8D740BC-1D84-443A-832B-0CC3FF0015EA}"/>
    <cellStyle name="40% - Accent2 22 2 2 2 2 3 2" xfId="13669" xr:uid="{50706E1B-7EEC-4C4B-829B-ED1FD540F531}"/>
    <cellStyle name="40% - Accent2 22 2 2 2 2 3 2 2" xfId="29873" xr:uid="{996286C2-0509-4BD0-AFCB-A22BD554D2E5}"/>
    <cellStyle name="40% - Accent2 22 2 2 2 2 3 3" xfId="22361" xr:uid="{A45F7323-C6F6-442A-B785-0753C19A8C83}"/>
    <cellStyle name="40% - Accent2 22 2 2 2 2 4" xfId="10069" xr:uid="{816AAE71-7999-4F82-954C-AFC7EB484A87}"/>
    <cellStyle name="40% - Accent2 22 2 2 2 2 4 2" xfId="26273" xr:uid="{88CAE064-3CBF-43D9-86C9-8D65CF8AC519}"/>
    <cellStyle name="40% - Accent2 22 2 2 2 2 5" xfId="18595" xr:uid="{52C0FE63-0D66-43FF-9C2A-0094508DDF8A}"/>
    <cellStyle name="40% - Accent2 22 2 2 2 3" xfId="2795" xr:uid="{F49D5764-6475-49F4-A4FC-365220B12D2A}"/>
    <cellStyle name="40% - Accent2 22 2 2 2 3 2" xfId="6579" xr:uid="{A6B8BC1B-4BDA-4C87-A6E4-301C67357F33}"/>
    <cellStyle name="40% - Accent2 22 2 2 2 3 2 2" xfId="14091" xr:uid="{D0B5861B-98ED-4315-BD1B-95D5366628D8}"/>
    <cellStyle name="40% - Accent2 22 2 2 2 3 2 2 2" xfId="30295" xr:uid="{72E8D679-08AD-4080-9977-F6D298D95D2A}"/>
    <cellStyle name="40% - Accent2 22 2 2 2 3 2 3" xfId="22783" xr:uid="{71A60A28-EB60-43E2-826B-02BC19F80DAC}"/>
    <cellStyle name="40% - Accent2 22 2 2 2 3 3" xfId="10491" xr:uid="{F63AA6CA-0F58-4206-BAAA-B56FE56554F2}"/>
    <cellStyle name="40% - Accent2 22 2 2 2 3 3 2" xfId="26695" xr:uid="{900FB5E3-40C2-44FE-9B4F-54BAB15C5EB5}"/>
    <cellStyle name="40% - Accent2 22 2 2 2 3 4" xfId="19017" xr:uid="{7ABAA6E0-9EEB-4EFB-A658-2254ED26EF58}"/>
    <cellStyle name="40% - Accent2 22 2 2 2 4" xfId="3726" xr:uid="{2E5C0CE0-541A-49C5-A9B9-65B6705FBDA4}"/>
    <cellStyle name="40% - Accent2 22 2 2 2 4 2" xfId="7436" xr:uid="{3222C991-DC93-4B25-BAB6-8DC0E2666FE9}"/>
    <cellStyle name="40% - Accent2 22 2 2 2 4 2 2" xfId="14945" xr:uid="{B0CD88A8-6A5F-4B9D-8C46-C98C8BFA6573}"/>
    <cellStyle name="40% - Accent2 22 2 2 2 4 2 2 2" xfId="31149" xr:uid="{272ADA1F-DA20-4B83-91B3-6A4D326A1277}"/>
    <cellStyle name="40% - Accent2 22 2 2 2 4 2 3" xfId="23640" xr:uid="{85BBBB1B-5A8F-4CDF-8AC0-B2BC633A160D}"/>
    <cellStyle name="40% - Accent2 22 2 2 2 4 3" xfId="11336" xr:uid="{44301A66-B9EB-41DC-8A2C-8E816657E950}"/>
    <cellStyle name="40% - Accent2 22 2 2 2 4 3 2" xfId="27540" xr:uid="{A45C5328-7E52-4247-8D38-E25301F686C3}"/>
    <cellStyle name="40% - Accent2 22 2 2 2 4 4" xfId="19935" xr:uid="{D87A603A-EF46-4B6F-8E66-AE74FDDEE7D6}"/>
    <cellStyle name="40% - Accent2 22 2 2 2 5" xfId="4195" xr:uid="{B8E95D97-2B03-451B-B140-246307F5E154}"/>
    <cellStyle name="40% - Accent2 22 2 2 2 5 2" xfId="7865" xr:uid="{C286D020-D1BF-415A-9735-D53903F31F21}"/>
    <cellStyle name="40% - Accent2 22 2 2 2 5 2 2" xfId="15372" xr:uid="{AC61F1B2-041D-4DC9-BE12-FBA2D11864B9}"/>
    <cellStyle name="40% - Accent2 22 2 2 2 5 2 2 2" xfId="31576" xr:uid="{BB8E3A78-133F-4FB8-B9BF-D971AA260CA9}"/>
    <cellStyle name="40% - Accent2 22 2 2 2 5 2 3" xfId="24069" xr:uid="{B0C860A7-3CA5-4A1D-B8D0-FAF0291AD31D}"/>
    <cellStyle name="40% - Accent2 22 2 2 2 5 3" xfId="11758" xr:uid="{851B8FC2-C064-45F6-B721-6890C4A2FE3A}"/>
    <cellStyle name="40% - Accent2 22 2 2 2 5 3 2" xfId="27962" xr:uid="{5FDAE2BA-B3F2-4616-8296-C0608D4273F1}"/>
    <cellStyle name="40% - Accent2 22 2 2 2 5 4" xfId="20399" xr:uid="{12E42721-C463-4DEA-BBAE-0EFB69B99FD5}"/>
    <cellStyle name="40% - Accent2 22 2 2 2 6" xfId="4620" xr:uid="{B83FBE36-FB39-49FC-AC34-50930F53FF10}"/>
    <cellStyle name="40% - Accent2 22 2 2 2 6 2" xfId="8290" xr:uid="{CDA19406-D5F1-4623-9112-C1B041C4C6DB}"/>
    <cellStyle name="40% - Accent2 22 2 2 2 6 2 2" xfId="15797" xr:uid="{70241621-A5E8-4024-B204-2B230CB4B3E5}"/>
    <cellStyle name="40% - Accent2 22 2 2 2 6 2 2 2" xfId="32001" xr:uid="{79550246-2E98-48A8-A5A5-53D0BC7D1025}"/>
    <cellStyle name="40% - Accent2 22 2 2 2 6 2 3" xfId="24494" xr:uid="{7E82B7E9-35C1-4B5A-B86C-31588840DF0D}"/>
    <cellStyle name="40% - Accent2 22 2 2 2 6 3" xfId="12183" xr:uid="{75CA6DC1-B194-4B76-B832-543638868A9B}"/>
    <cellStyle name="40% - Accent2 22 2 2 2 6 3 2" xfId="28387" xr:uid="{7530081C-C87A-45DE-931F-070CF097AD18}"/>
    <cellStyle name="40% - Accent2 22 2 2 2 6 4" xfId="20824" xr:uid="{6E3FD9FA-3E4E-42BB-9DE4-2EDB14FD02EA}"/>
    <cellStyle name="40% - Accent2 22 2 2 2 7" xfId="5047" xr:uid="{73EFBF9F-5233-4EFB-951B-A0392D521388}"/>
    <cellStyle name="40% - Accent2 22 2 2 2 7 2" xfId="8713" xr:uid="{6A31A4C5-301E-4861-B57D-8B2F726E0A3F}"/>
    <cellStyle name="40% - Accent2 22 2 2 2 7 2 2" xfId="16220" xr:uid="{D4F21149-2B9B-4D83-A76F-F7F0737DF160}"/>
    <cellStyle name="40% - Accent2 22 2 2 2 7 2 2 2" xfId="32424" xr:uid="{3ECD5124-1748-4DF6-BE2B-8B3CB274A163}"/>
    <cellStyle name="40% - Accent2 22 2 2 2 7 2 3" xfId="24917" xr:uid="{158A9AF9-4A26-4788-93F7-0A3D11C5C3D5}"/>
    <cellStyle name="40% - Accent2 22 2 2 2 7 3" xfId="12605" xr:uid="{E4D865D3-2F10-4D5E-A22C-B709BC84AD7C}"/>
    <cellStyle name="40% - Accent2 22 2 2 2 7 3 2" xfId="28809" xr:uid="{D43B7AC4-2980-41B9-AD2B-E1196A1DE1A3}"/>
    <cellStyle name="40% - Accent2 22 2 2 2 7 4" xfId="21251" xr:uid="{B33F242E-D6C6-460E-B098-B8087105FE01}"/>
    <cellStyle name="40% - Accent2 22 2 2 2 8" xfId="5719" xr:uid="{4F5E0307-FFF0-4FD0-AE05-C305AA64E030}"/>
    <cellStyle name="40% - Accent2 22 2 2 2 8 2" xfId="13234" xr:uid="{8B3F17FD-4C59-4D97-9BCA-5C7F031294F5}"/>
    <cellStyle name="40% - Accent2 22 2 2 2 8 2 2" xfId="29438" xr:uid="{C08D060C-DAA4-489D-B68B-62F27C9D7DBF}"/>
    <cellStyle name="40% - Accent2 22 2 2 2 8 3" xfId="21923" xr:uid="{D1201FAA-7F92-4BD1-BBA0-25F2CE7F7986}"/>
    <cellStyle name="40% - Accent2 22 2 2 2 9" xfId="9646" xr:uid="{0AB234C6-BD73-4B20-8CD0-43C687389398}"/>
    <cellStyle name="40% - Accent2 22 2 2 2 9 2" xfId="25850" xr:uid="{191FDA08-2CB6-4C34-B9A7-70610EEF8988}"/>
    <cellStyle name="40% - Accent2 22 2 2 3" xfId="2144" xr:uid="{C0585D23-E5AA-4E80-8A05-3C20AC7FACA3}"/>
    <cellStyle name="40% - Accent2 22 2 2 3 2" xfId="3057" xr:uid="{15E6DD1E-81FC-450A-A031-FBFC3D99192A}"/>
    <cellStyle name="40% - Accent2 22 2 2 3 2 2" xfId="6839" xr:uid="{DF7384B3-D066-4504-9149-378B477A434C}"/>
    <cellStyle name="40% - Accent2 22 2 2 3 2 2 2" xfId="14350" xr:uid="{7CA72AED-F373-423E-8EF8-9E9792B570E1}"/>
    <cellStyle name="40% - Accent2 22 2 2 3 2 2 2 2" xfId="30554" xr:uid="{9DE7E53C-EE29-4113-83FA-F8BB11041C60}"/>
    <cellStyle name="40% - Accent2 22 2 2 3 2 2 3" xfId="23043" xr:uid="{5FE3793A-7620-4FC3-9BE2-C4F44B13497B}"/>
    <cellStyle name="40% - Accent2 22 2 2 3 2 3" xfId="10750" xr:uid="{4CFD247C-B27A-47D5-B0CB-1AC5916D6466}"/>
    <cellStyle name="40% - Accent2 22 2 2 3 2 3 2" xfId="26954" xr:uid="{20AEC7F5-8760-4368-8786-DE64B5868411}"/>
    <cellStyle name="40% - Accent2 22 2 2 3 2 4" xfId="19277" xr:uid="{4DABA431-BEA4-4131-92B9-8A116448E81F}"/>
    <cellStyle name="40% - Accent2 22 2 2 3 3" xfId="5983" xr:uid="{D7B8B9D5-B07B-414B-A4E1-A1D72F6DB0C7}"/>
    <cellStyle name="40% - Accent2 22 2 2 3 3 2" xfId="13497" xr:uid="{EA1752BB-36B7-403B-A44A-4FFD45248683}"/>
    <cellStyle name="40% - Accent2 22 2 2 3 3 2 2" xfId="29701" xr:uid="{06F89625-B28F-43BA-999A-B70AF6B75731}"/>
    <cellStyle name="40% - Accent2 22 2 2 3 3 3" xfId="22187" xr:uid="{D240920A-5C10-4969-827C-8BA0F8545801}"/>
    <cellStyle name="40% - Accent2 22 2 2 3 4" xfId="9906" xr:uid="{AE9AF779-2E48-4605-94C7-06A1BD6E0AD9}"/>
    <cellStyle name="40% - Accent2 22 2 2 3 4 2" xfId="26110" xr:uid="{78338BE8-59F6-4E0F-8D26-886E13A8B2B2}"/>
    <cellStyle name="40% - Accent2 22 2 2 3 5" xfId="18431" xr:uid="{14F40EE2-054E-4B6B-B050-650D79D4544A}"/>
    <cellStyle name="40% - Accent2 22 2 2 4" xfId="2632" xr:uid="{DCAFEB79-EEFB-4C71-9DE3-EA270AB6792C}"/>
    <cellStyle name="40% - Accent2 22 2 2 4 2" xfId="6416" xr:uid="{794D5B79-4DE0-48B3-A819-76691B53DA84}"/>
    <cellStyle name="40% - Accent2 22 2 2 4 2 2" xfId="13928" xr:uid="{0B849B18-3BBB-4713-999E-9610433E63B3}"/>
    <cellStyle name="40% - Accent2 22 2 2 4 2 2 2" xfId="30132" xr:uid="{88072BE5-4015-4AAA-857E-CAB637CE2C0F}"/>
    <cellStyle name="40% - Accent2 22 2 2 4 2 3" xfId="22620" xr:uid="{5FB002EF-6739-47C6-BE3E-BCA0424474B8}"/>
    <cellStyle name="40% - Accent2 22 2 2 4 3" xfId="10328" xr:uid="{C40CD389-2995-415E-A229-5484707E10F1}"/>
    <cellStyle name="40% - Accent2 22 2 2 4 3 2" xfId="26532" xr:uid="{2E723703-267E-4592-BF8C-9249F80BE245}"/>
    <cellStyle name="40% - Accent2 22 2 2 4 4" xfId="18854" xr:uid="{87A1319A-9B8A-4FC1-9F0D-D960DD71C517}"/>
    <cellStyle name="40% - Accent2 22 2 2 5" xfId="3508" xr:uid="{EA4049EE-0CB5-4FBF-8523-EC468F28DFB8}"/>
    <cellStyle name="40% - Accent2 22 2 2 5 2" xfId="7266" xr:uid="{D9460506-99F3-47D7-BB70-2CE7B44F1949}"/>
    <cellStyle name="40% - Accent2 22 2 2 5 2 2" xfId="14776" xr:uid="{0576279A-1E4E-422F-8184-DFD4D48D503D}"/>
    <cellStyle name="40% - Accent2 22 2 2 5 2 2 2" xfId="30980" xr:uid="{FE1D104C-27E5-49EF-834D-A8D9A3457C27}"/>
    <cellStyle name="40% - Accent2 22 2 2 5 2 3" xfId="23470" xr:uid="{753189E0-FAA3-499D-AF18-13D58CE04C37}"/>
    <cellStyle name="40% - Accent2 22 2 2 5 3" xfId="11173" xr:uid="{879D7322-A16D-435F-A71C-888846560254}"/>
    <cellStyle name="40% - Accent2 22 2 2 5 3 2" xfId="27377" xr:uid="{80881D3C-D295-4949-948C-091AC3FDFC1A}"/>
    <cellStyle name="40% - Accent2 22 2 2 5 4" xfId="19724" xr:uid="{A830B3E0-C210-4A3D-B15E-51BF527E5F67}"/>
    <cellStyle name="40% - Accent2 22 2 2 6" xfId="4032" xr:uid="{6E638596-0DC2-4815-BA7F-C4CD43E026EA}"/>
    <cellStyle name="40% - Accent2 22 2 2 6 2" xfId="7702" xr:uid="{2EE4D1BB-0450-4669-BBE5-4A4781D88747}"/>
    <cellStyle name="40% - Accent2 22 2 2 6 2 2" xfId="15209" xr:uid="{538899AC-8917-4746-A881-F913E0E93784}"/>
    <cellStyle name="40% - Accent2 22 2 2 6 2 2 2" xfId="31413" xr:uid="{5FE40588-D781-4B94-AA63-5A5C6CA3DA20}"/>
    <cellStyle name="40% - Accent2 22 2 2 6 2 3" xfId="23906" xr:uid="{93185A24-9CAC-4D0E-A940-D6BA1C8A7955}"/>
    <cellStyle name="40% - Accent2 22 2 2 6 3" xfId="11595" xr:uid="{79370CDF-437D-4B1F-A9AD-16FF1FD98049}"/>
    <cellStyle name="40% - Accent2 22 2 2 6 3 2" xfId="27799" xr:uid="{CD0B8175-1C42-4A1C-9DB2-90B59DCEDE5F}"/>
    <cellStyle name="40% - Accent2 22 2 2 6 4" xfId="20236" xr:uid="{B77895FC-E270-4E91-8CA0-B8B16AED959B}"/>
    <cellStyle name="40% - Accent2 22 2 2 7" xfId="4457" xr:uid="{56DFD4FF-24FE-4BAC-A262-DFFA0BF179F3}"/>
    <cellStyle name="40% - Accent2 22 2 2 7 2" xfId="8127" xr:uid="{DB214D87-26CE-4122-93BB-B504BC07944D}"/>
    <cellStyle name="40% - Accent2 22 2 2 7 2 2" xfId="15634" xr:uid="{36CE38F4-53E4-4AB2-977E-64EDF24EB035}"/>
    <cellStyle name="40% - Accent2 22 2 2 7 2 2 2" xfId="31838" xr:uid="{09BEE37E-90AE-4C98-9274-D075259C0E29}"/>
    <cellStyle name="40% - Accent2 22 2 2 7 2 3" xfId="24331" xr:uid="{8113BC3E-1F6F-4973-AD2B-45A37627305A}"/>
    <cellStyle name="40% - Accent2 22 2 2 7 3" xfId="12020" xr:uid="{E5826358-9CD3-4F41-881B-753D65AC374D}"/>
    <cellStyle name="40% - Accent2 22 2 2 7 3 2" xfId="28224" xr:uid="{4F317A7A-FFF3-428E-8669-6AF1B5ADF97A}"/>
    <cellStyle name="40% - Accent2 22 2 2 7 4" xfId="20661" xr:uid="{7E0C87B7-5BE3-41E8-B9AB-D22FB1A1D718}"/>
    <cellStyle name="40% - Accent2 22 2 2 8" xfId="4882" xr:uid="{ED116D89-9B8C-4BFF-932D-236332F3AD81}"/>
    <cellStyle name="40% - Accent2 22 2 2 8 2" xfId="8550" xr:uid="{C366BAB7-C528-47E6-A028-E9DFB3E4556C}"/>
    <cellStyle name="40% - Accent2 22 2 2 8 2 2" xfId="16057" xr:uid="{B900E9BF-7BC1-42CF-B979-2B3534EDBC60}"/>
    <cellStyle name="40% - Accent2 22 2 2 8 2 2 2" xfId="32261" xr:uid="{47D2E652-9DA7-4B26-8CF6-AF9506B7911D}"/>
    <cellStyle name="40% - Accent2 22 2 2 8 2 3" xfId="24754" xr:uid="{F72B186D-F682-4EBE-965B-98F0F2960A11}"/>
    <cellStyle name="40% - Accent2 22 2 2 8 3" xfId="12442" xr:uid="{159C6506-C465-46DD-A306-B85AA6DFA635}"/>
    <cellStyle name="40% - Accent2 22 2 2 8 3 2" xfId="28646" xr:uid="{9A9B5229-5B5B-47F6-9371-5F3792F074DA}"/>
    <cellStyle name="40% - Accent2 22 2 2 8 4" xfId="21086" xr:uid="{3062FEF7-AF7A-455D-B745-C314CB7FA71C}"/>
    <cellStyle name="40% - Accent2 22 2 2 9" xfId="5368" xr:uid="{2A1AF793-9137-4458-9506-FB752899C194}"/>
    <cellStyle name="40% - Accent2 22 2 2 9 2" xfId="12917" xr:uid="{366C0474-406C-4DE1-BBA8-777DD5C62F1E}"/>
    <cellStyle name="40% - Accent2 22 2 2 9 2 2" xfId="29121" xr:uid="{25824170-320A-44D4-B310-0B92BAA9CC3C}"/>
    <cellStyle name="40% - Accent2 22 2 2 9 3" xfId="21572" xr:uid="{A920F901-1C59-411F-9909-C052A925DBB0}"/>
    <cellStyle name="40% - Accent2 22 2 3" xfId="1865" xr:uid="{BF6E5771-C8A0-4FED-BE9D-BCA678A0C5CD}"/>
    <cellStyle name="40% - Accent2 22 2 3 10" xfId="18170" xr:uid="{3501BB1E-8A52-4D09-96AB-F4339BB13930}"/>
    <cellStyle name="40% - Accent2 22 2 3 2" xfId="2374" xr:uid="{C30FD596-F74F-4235-80DF-7E3EFF5D42D9}"/>
    <cellStyle name="40% - Accent2 22 2 3 2 2" xfId="3221" xr:uid="{12E03CDB-A69D-427F-A219-2C26F11A7378}"/>
    <cellStyle name="40% - Accent2 22 2 3 2 2 2" xfId="7003" xr:uid="{AA7D7C4A-1AFF-4E85-8061-83D6B935B0AB}"/>
    <cellStyle name="40% - Accent2 22 2 3 2 2 2 2" xfId="14514" xr:uid="{B1E73E88-FA67-4B4C-A650-E39D47CF75DF}"/>
    <cellStyle name="40% - Accent2 22 2 3 2 2 2 2 2" xfId="30718" xr:uid="{7017F5BF-5CC8-4170-B4C7-A74F6D7C8541}"/>
    <cellStyle name="40% - Accent2 22 2 3 2 2 2 3" xfId="23207" xr:uid="{BE125F0A-9E1E-4C53-964E-DA141CB83F83}"/>
    <cellStyle name="40% - Accent2 22 2 3 2 2 3" xfId="10914" xr:uid="{0355D4CD-D912-4304-B845-D5411581C520}"/>
    <cellStyle name="40% - Accent2 22 2 3 2 2 3 2" xfId="27118" xr:uid="{50BA2992-623C-4830-AB0F-253CC73ABF26}"/>
    <cellStyle name="40% - Accent2 22 2 3 2 2 4" xfId="19441" xr:uid="{45E69896-1FED-4568-B3EA-85420BAFC3EB}"/>
    <cellStyle name="40% - Accent2 22 2 3 2 3" xfId="6158" xr:uid="{BF84C6D4-BC54-4A76-93BF-4E617EAFE190}"/>
    <cellStyle name="40% - Accent2 22 2 3 2 3 2" xfId="13670" xr:uid="{9A9D32EA-2248-4FF8-B5B7-E55E91EACBA1}"/>
    <cellStyle name="40% - Accent2 22 2 3 2 3 2 2" xfId="29874" xr:uid="{92B2C3D4-7035-407B-A6B7-A5597092CBA7}"/>
    <cellStyle name="40% - Accent2 22 2 3 2 3 3" xfId="22362" xr:uid="{10BDF3D0-DE80-44C1-9502-7374189E643D}"/>
    <cellStyle name="40% - Accent2 22 2 3 2 4" xfId="10070" xr:uid="{17020DA0-888D-481C-8EF3-642B91705323}"/>
    <cellStyle name="40% - Accent2 22 2 3 2 4 2" xfId="26274" xr:uid="{4BBE8953-3BA9-4B37-8D67-896765B6D92B}"/>
    <cellStyle name="40% - Accent2 22 2 3 2 5" xfId="18596" xr:uid="{AED602F6-758C-4947-991E-04B5BE119E90}"/>
    <cellStyle name="40% - Accent2 22 2 3 3" xfId="2796" xr:uid="{F41AB3C5-D77A-4206-8A04-8A4C8AC3FC5A}"/>
    <cellStyle name="40% - Accent2 22 2 3 3 2" xfId="6580" xr:uid="{8CC8FB0D-2F63-4F8B-BB6B-D123D4B35AAF}"/>
    <cellStyle name="40% - Accent2 22 2 3 3 2 2" xfId="14092" xr:uid="{5030A375-B8D9-4C15-827D-DEA57A76D855}"/>
    <cellStyle name="40% - Accent2 22 2 3 3 2 2 2" xfId="30296" xr:uid="{E58AA90A-1F6B-478A-9F19-1C1F1E2D1A39}"/>
    <cellStyle name="40% - Accent2 22 2 3 3 2 3" xfId="22784" xr:uid="{20C92A18-413C-4EFD-B100-D89CFBEE9437}"/>
    <cellStyle name="40% - Accent2 22 2 3 3 3" xfId="10492" xr:uid="{80132F21-3BB6-4FFA-8A66-97D05C9C47DA}"/>
    <cellStyle name="40% - Accent2 22 2 3 3 3 2" xfId="26696" xr:uid="{7EE47C18-E7C1-451C-AFA7-6C03F62E9525}"/>
    <cellStyle name="40% - Accent2 22 2 3 3 4" xfId="19018" xr:uid="{0AD01C0C-9D7F-41C1-8D47-F62B2ACE5250}"/>
    <cellStyle name="40% - Accent2 22 2 3 4" xfId="3727" xr:uid="{EFD91B85-2E77-4274-8CC2-DC6DBBCCA32A}"/>
    <cellStyle name="40% - Accent2 22 2 3 4 2" xfId="7437" xr:uid="{01E8D4D8-5349-4EBB-BBA6-D0CF38DD564A}"/>
    <cellStyle name="40% - Accent2 22 2 3 4 2 2" xfId="14946" xr:uid="{D4850641-0650-47C2-968A-A378D9814DEE}"/>
    <cellStyle name="40% - Accent2 22 2 3 4 2 2 2" xfId="31150" xr:uid="{08EAFEE8-3E8D-46F8-8903-4519EDC87844}"/>
    <cellStyle name="40% - Accent2 22 2 3 4 2 3" xfId="23641" xr:uid="{9964E823-0C13-4CC3-A27B-3D642BF3EF56}"/>
    <cellStyle name="40% - Accent2 22 2 3 4 3" xfId="11337" xr:uid="{86AAD5A2-389A-4640-81FD-0694D12060BC}"/>
    <cellStyle name="40% - Accent2 22 2 3 4 3 2" xfId="27541" xr:uid="{62F226A0-1F7A-401B-9D92-DAB3735C4E4D}"/>
    <cellStyle name="40% - Accent2 22 2 3 4 4" xfId="19936" xr:uid="{CBF0A63A-6DCA-4CAA-865B-1F1CE3C6436F}"/>
    <cellStyle name="40% - Accent2 22 2 3 5" xfId="4196" xr:uid="{322FFD1B-C2E4-4960-A139-6BB5DD2A6D93}"/>
    <cellStyle name="40% - Accent2 22 2 3 5 2" xfId="7866" xr:uid="{4EBE408A-FB8B-4968-B62E-AA08244810DB}"/>
    <cellStyle name="40% - Accent2 22 2 3 5 2 2" xfId="15373" xr:uid="{78ACD4B0-2C2B-462D-80AB-21A52AC13C02}"/>
    <cellStyle name="40% - Accent2 22 2 3 5 2 2 2" xfId="31577" xr:uid="{87C6B730-EA59-40CD-B0EB-F075F08823EB}"/>
    <cellStyle name="40% - Accent2 22 2 3 5 2 3" xfId="24070" xr:uid="{F8575C7E-0EAE-45F4-A83F-EF7A5E8433C7}"/>
    <cellStyle name="40% - Accent2 22 2 3 5 3" xfId="11759" xr:uid="{20835368-9B1A-4277-8246-CE32FF4C52EC}"/>
    <cellStyle name="40% - Accent2 22 2 3 5 3 2" xfId="27963" xr:uid="{8404CAC7-D376-46B1-8BC8-3ED60600A737}"/>
    <cellStyle name="40% - Accent2 22 2 3 5 4" xfId="20400" xr:uid="{63B4AB47-02D1-4B30-9168-8B43538756CC}"/>
    <cellStyle name="40% - Accent2 22 2 3 6" xfId="4621" xr:uid="{3385C672-EC7D-45D9-9063-BE2DF0691468}"/>
    <cellStyle name="40% - Accent2 22 2 3 6 2" xfId="8291" xr:uid="{1BA1415A-AD78-46F8-BB18-571478558D07}"/>
    <cellStyle name="40% - Accent2 22 2 3 6 2 2" xfId="15798" xr:uid="{2842D923-FEC1-43B6-AE81-15ABC200FDCF}"/>
    <cellStyle name="40% - Accent2 22 2 3 6 2 2 2" xfId="32002" xr:uid="{323F5AA9-C118-48C1-AE65-F044F521128C}"/>
    <cellStyle name="40% - Accent2 22 2 3 6 2 3" xfId="24495" xr:uid="{4866939D-88E3-491D-BFAC-0915B0B000FD}"/>
    <cellStyle name="40% - Accent2 22 2 3 6 3" xfId="12184" xr:uid="{C6863054-9635-45D2-8474-E71C791DA760}"/>
    <cellStyle name="40% - Accent2 22 2 3 6 3 2" xfId="28388" xr:uid="{1F867783-9FC5-4557-8265-71021F44C9F5}"/>
    <cellStyle name="40% - Accent2 22 2 3 6 4" xfId="20825" xr:uid="{4B2011F0-2864-410A-A7ED-C7ADC1F4EBDC}"/>
    <cellStyle name="40% - Accent2 22 2 3 7" xfId="5048" xr:uid="{A589A505-1C2D-4A93-B55B-6B8BAC4C509A}"/>
    <cellStyle name="40% - Accent2 22 2 3 7 2" xfId="8714" xr:uid="{D8482553-F0E8-4FE4-8B9F-ABF4FD9BBDDA}"/>
    <cellStyle name="40% - Accent2 22 2 3 7 2 2" xfId="16221" xr:uid="{D95630FF-EA74-49AB-819B-412AFAF2B241}"/>
    <cellStyle name="40% - Accent2 22 2 3 7 2 2 2" xfId="32425" xr:uid="{98CB76CB-EA93-4DAE-8885-88E863C91410}"/>
    <cellStyle name="40% - Accent2 22 2 3 7 2 3" xfId="24918" xr:uid="{6AE7945A-050F-4F24-95C6-64397C1130D0}"/>
    <cellStyle name="40% - Accent2 22 2 3 7 3" xfId="12606" xr:uid="{B74A391D-462A-43F4-B3F4-5CCDDF2028CF}"/>
    <cellStyle name="40% - Accent2 22 2 3 7 3 2" xfId="28810" xr:uid="{229ABE96-C7E7-40C6-9D1E-DD8AB28916C8}"/>
    <cellStyle name="40% - Accent2 22 2 3 7 4" xfId="21252" xr:uid="{44CA7521-C8E1-42F5-BCEC-B6D7F361F20A}"/>
    <cellStyle name="40% - Accent2 22 2 3 8" xfId="5720" xr:uid="{3DAEF6FA-07BD-4F0D-AAAD-AFAEE6D1A715}"/>
    <cellStyle name="40% - Accent2 22 2 3 8 2" xfId="13235" xr:uid="{674D64EB-46B9-42C7-BFDB-281607137D15}"/>
    <cellStyle name="40% - Accent2 22 2 3 8 2 2" xfId="29439" xr:uid="{A6B57FB1-DCDA-4A7E-98BD-9CB8A1619C89}"/>
    <cellStyle name="40% - Accent2 22 2 3 8 3" xfId="21924" xr:uid="{F3B587EA-DF74-476D-8856-D49E36E7704E}"/>
    <cellStyle name="40% - Accent2 22 2 3 9" xfId="9647" xr:uid="{3DB99E2E-8766-4873-973E-803345C23581}"/>
    <cellStyle name="40% - Accent2 22 2 3 9 2" xfId="25851" xr:uid="{7FA2A5BD-9316-4D62-975B-6A469E34CDB1}"/>
    <cellStyle name="40% - Accent2 22 2 4" xfId="2077" xr:uid="{F4F6AEFA-5A4D-4266-A681-C9D22393DA0C}"/>
    <cellStyle name="40% - Accent2 22 2 4 2" xfId="2990" xr:uid="{1560002C-F24A-4546-A1D9-E56D93F35D4E}"/>
    <cellStyle name="40% - Accent2 22 2 4 2 2" xfId="6772" xr:uid="{F17A271C-D00E-4458-A7F9-FAEBB4C4A761}"/>
    <cellStyle name="40% - Accent2 22 2 4 2 2 2" xfId="14283" xr:uid="{6576695B-B647-4EC9-862B-C910E804CC39}"/>
    <cellStyle name="40% - Accent2 22 2 4 2 2 2 2" xfId="30487" xr:uid="{BC51ACD4-5DAB-4D5A-87C4-86DD8DB45150}"/>
    <cellStyle name="40% - Accent2 22 2 4 2 2 3" xfId="22976" xr:uid="{17BE2593-9516-4F1B-B0FC-D7DAAD40F490}"/>
    <cellStyle name="40% - Accent2 22 2 4 2 3" xfId="10683" xr:uid="{18DC4CA8-7D93-41DB-BB33-6094D129A593}"/>
    <cellStyle name="40% - Accent2 22 2 4 2 3 2" xfId="26887" xr:uid="{259D32CD-A562-42DF-B88F-792B6864A624}"/>
    <cellStyle name="40% - Accent2 22 2 4 2 4" xfId="19210" xr:uid="{3261484A-11A9-48EB-9E1D-8AF396FC89B7}"/>
    <cellStyle name="40% - Accent2 22 2 4 3" xfId="5916" xr:uid="{49971427-88C9-4ED4-A002-932D30F1D9A9}"/>
    <cellStyle name="40% - Accent2 22 2 4 3 2" xfId="13430" xr:uid="{F367EA67-4736-45E9-A8EA-552B82FA9E09}"/>
    <cellStyle name="40% - Accent2 22 2 4 3 2 2" xfId="29634" xr:uid="{41880D0A-C202-4268-AA7C-4C75A040CBB3}"/>
    <cellStyle name="40% - Accent2 22 2 4 3 3" xfId="22120" xr:uid="{036C8842-FEFE-4598-AADD-1A11019A0F7A}"/>
    <cellStyle name="40% - Accent2 22 2 4 4" xfId="9839" xr:uid="{98AD47A9-93CE-40B6-A702-60E49386C7D8}"/>
    <cellStyle name="40% - Accent2 22 2 4 4 2" xfId="26043" xr:uid="{AE92F3E7-CC4D-46E1-B243-F93D78835040}"/>
    <cellStyle name="40% - Accent2 22 2 4 5" xfId="18364" xr:uid="{80CAF363-3162-42F4-9B74-0B126563A46B}"/>
    <cellStyle name="40% - Accent2 22 2 5" xfId="2565" xr:uid="{5E296061-FED2-4DF2-8B7E-CBA3DD54ACC4}"/>
    <cellStyle name="40% - Accent2 22 2 5 2" xfId="6349" xr:uid="{24867DED-41A8-4ADA-BA49-BBB4E83A4C09}"/>
    <cellStyle name="40% - Accent2 22 2 5 2 2" xfId="13861" xr:uid="{A4057997-77B2-427D-9AE7-240E1AC53B9F}"/>
    <cellStyle name="40% - Accent2 22 2 5 2 2 2" xfId="30065" xr:uid="{35FBA160-E8F7-4F79-BB66-971328221F9A}"/>
    <cellStyle name="40% - Accent2 22 2 5 2 3" xfId="22553" xr:uid="{02F44485-2117-4958-A471-5B7AD3DEFB15}"/>
    <cellStyle name="40% - Accent2 22 2 5 3" xfId="10261" xr:uid="{CB496D32-45D5-4D81-B07F-459B6FA0A6FC}"/>
    <cellStyle name="40% - Accent2 22 2 5 3 2" xfId="26465" xr:uid="{EBA74533-FC81-40A6-9483-1292FD96D8DD}"/>
    <cellStyle name="40% - Accent2 22 2 5 4" xfId="18787" xr:uid="{284AC933-944E-4868-96B6-7FABBF56020C}"/>
    <cellStyle name="40% - Accent2 22 2 6" xfId="3441" xr:uid="{A551968E-DD58-46D6-8D0B-FA599309A782}"/>
    <cellStyle name="40% - Accent2 22 2 6 2" xfId="7199" xr:uid="{71AEB55C-7C49-46D7-829E-3A654A6974E0}"/>
    <cellStyle name="40% - Accent2 22 2 6 2 2" xfId="14709" xr:uid="{E2E3CFDD-3183-4B9F-965E-BC51C7E1DF8C}"/>
    <cellStyle name="40% - Accent2 22 2 6 2 2 2" xfId="30913" xr:uid="{9E13337E-5E7D-44D4-ADDF-EDF9C105C14C}"/>
    <cellStyle name="40% - Accent2 22 2 6 2 3" xfId="23403" xr:uid="{493E1001-50E5-4BFF-BB80-8C979C264700}"/>
    <cellStyle name="40% - Accent2 22 2 6 3" xfId="11106" xr:uid="{6AF8D87C-1B5A-4BBB-A692-17A152C2021A}"/>
    <cellStyle name="40% - Accent2 22 2 6 3 2" xfId="27310" xr:uid="{11F92911-81C1-4B1E-8DE8-7DDEA481C30C}"/>
    <cellStyle name="40% - Accent2 22 2 6 4" xfId="19657" xr:uid="{19F3B267-66DC-4839-9A94-6FA1D0C6674D}"/>
    <cellStyle name="40% - Accent2 22 2 7" xfId="3965" xr:uid="{7FEB5CD5-B0CA-4E88-8A47-916BBECCBFDA}"/>
    <cellStyle name="40% - Accent2 22 2 7 2" xfId="7635" xr:uid="{3BB69F10-0449-4340-91B9-069CB1A05E33}"/>
    <cellStyle name="40% - Accent2 22 2 7 2 2" xfId="15142" xr:uid="{E1D02C25-1825-4C5F-BACD-C7F20A9F1F4B}"/>
    <cellStyle name="40% - Accent2 22 2 7 2 2 2" xfId="31346" xr:uid="{5BD1F740-F7FB-4C8D-889C-932F977087FC}"/>
    <cellStyle name="40% - Accent2 22 2 7 2 3" xfId="23839" xr:uid="{ABCF3A13-1A32-4293-B53B-C54522E56685}"/>
    <cellStyle name="40% - Accent2 22 2 7 3" xfId="11528" xr:uid="{56D2FECD-401C-412D-A6FE-741E676FE0A3}"/>
    <cellStyle name="40% - Accent2 22 2 7 3 2" xfId="27732" xr:uid="{B04E8CAA-CA9C-4CCB-810F-5848EFE310D2}"/>
    <cellStyle name="40% - Accent2 22 2 7 4" xfId="20169" xr:uid="{D64A0012-E026-4E9D-A24C-A302374CED85}"/>
    <cellStyle name="40% - Accent2 22 2 8" xfId="4390" xr:uid="{3C8C6F52-9DAD-4736-8CA0-3B8333776F10}"/>
    <cellStyle name="40% - Accent2 22 2 8 2" xfId="8060" xr:uid="{91B6151B-859E-445E-928F-1331E6B11E9A}"/>
    <cellStyle name="40% - Accent2 22 2 8 2 2" xfId="15567" xr:uid="{806A4C6A-ED2A-4E5B-B9F3-116F744951EB}"/>
    <cellStyle name="40% - Accent2 22 2 8 2 2 2" xfId="31771" xr:uid="{9DF6A63E-7C93-4598-A6A9-AB029866F384}"/>
    <cellStyle name="40% - Accent2 22 2 8 2 3" xfId="24264" xr:uid="{81CE435D-A78B-442C-8209-CB7C4859FB9C}"/>
    <cellStyle name="40% - Accent2 22 2 8 3" xfId="11953" xr:uid="{C74A6BE1-8015-4201-AE6F-72F25829AAC5}"/>
    <cellStyle name="40% - Accent2 22 2 8 3 2" xfId="28157" xr:uid="{582E1A29-5CC0-4D28-94C1-5A5C928B174C}"/>
    <cellStyle name="40% - Accent2 22 2 8 4" xfId="20594" xr:uid="{9AAF8966-0A35-4E5F-A900-D8975EA144DE}"/>
    <cellStyle name="40% - Accent2 22 2 9" xfId="4814" xr:uid="{03F86AD5-2C3D-4012-B904-D325DD558850}"/>
    <cellStyle name="40% - Accent2 22 2 9 2" xfId="8483" xr:uid="{40677C1B-8FA7-47E6-A4A8-5E9FDF265DDC}"/>
    <cellStyle name="40% - Accent2 22 2 9 2 2" xfId="15990" xr:uid="{91029DF4-9428-4055-AF2D-19A40A0A644A}"/>
    <cellStyle name="40% - Accent2 22 2 9 2 2 2" xfId="32194" xr:uid="{89C4DA17-1414-4BA4-80D5-982436BF90AA}"/>
    <cellStyle name="40% - Accent2 22 2 9 2 3" xfId="24687" xr:uid="{A27340D9-BA98-47F8-8FF4-4BF84A7AE660}"/>
    <cellStyle name="40% - Accent2 22 2 9 3" xfId="12375" xr:uid="{F63536F7-67CD-4EE7-8ECC-A4714261F7BB}"/>
    <cellStyle name="40% - Accent2 22 2 9 3 2" xfId="28579" xr:uid="{A9BEEA36-2B43-40E9-8126-A6EE1929A88B}"/>
    <cellStyle name="40% - Accent2 22 2 9 4" xfId="21018" xr:uid="{DD9A948E-83DD-4669-A54B-FA750AB209DA}"/>
    <cellStyle name="40% - Accent2 22 3" xfId="526" xr:uid="{0924D60B-08B9-40FA-9751-A692A18157A2}"/>
    <cellStyle name="40% - Accent2 22 3 10" xfId="5323" xr:uid="{886E3685-9786-408E-B734-DE0D0FCAD259}"/>
    <cellStyle name="40% - Accent2 22 3 10 2" xfId="12872" xr:uid="{3C5998BC-C2D2-46D1-9F45-0773999F735B}"/>
    <cellStyle name="40% - Accent2 22 3 10 2 2" xfId="29076" xr:uid="{AF2539CB-AB89-4526-84BF-63B30E5D7C2C}"/>
    <cellStyle name="40% - Accent2 22 3 10 3" xfId="21527" xr:uid="{EF975C0C-1728-4F84-BB7E-DEF967583B3B}"/>
    <cellStyle name="40% - Accent2 22 3 11" xfId="9438" xr:uid="{F62ED7FD-1E73-4804-9A68-98D65A6B3BA2}"/>
    <cellStyle name="40% - Accent2 22 3 11 2" xfId="25642" xr:uid="{8FC1C561-4061-499D-8324-AAA05F781042}"/>
    <cellStyle name="40% - Accent2 22 3 12" xfId="17953" xr:uid="{48FC0356-8DE6-4F50-BFFD-B98C958332C9}"/>
    <cellStyle name="40% - Accent2 22 3 2" xfId="597" xr:uid="{333E3377-58BB-4F07-9EE9-019A6936C864}"/>
    <cellStyle name="40% - Accent2 22 3 2 10" xfId="9505" xr:uid="{F6027093-32E4-4188-8B36-D4BFE13115C1}"/>
    <cellStyle name="40% - Accent2 22 3 2 10 2" xfId="25709" xr:uid="{78F9ABB2-6045-4BE9-8574-08AF68124F8E}"/>
    <cellStyle name="40% - Accent2 22 3 2 11" xfId="18021" xr:uid="{3AE20D3C-3A25-4058-9015-C226C3BDAE4E}"/>
    <cellStyle name="40% - Accent2 22 3 2 2" xfId="1866" xr:uid="{E85F2AF9-3004-4C48-AD85-F7F364E2958D}"/>
    <cellStyle name="40% - Accent2 22 3 2 2 10" xfId="18171" xr:uid="{D06577C0-F66E-4239-9BBC-2AAAB065DC7D}"/>
    <cellStyle name="40% - Accent2 22 3 2 2 2" xfId="2375" xr:uid="{37BA409D-696E-4E7B-B071-C92A702C1231}"/>
    <cellStyle name="40% - Accent2 22 3 2 2 2 2" xfId="3222" xr:uid="{EA51A8AF-447B-4D5C-BEFE-20EECD0794D8}"/>
    <cellStyle name="40% - Accent2 22 3 2 2 2 2 2" xfId="7004" xr:uid="{41364B45-6CFC-4665-A0EE-E4AC26EEA73C}"/>
    <cellStyle name="40% - Accent2 22 3 2 2 2 2 2 2" xfId="14515" xr:uid="{A5F9DB01-5053-4D28-8D70-73F9AB3788A9}"/>
    <cellStyle name="40% - Accent2 22 3 2 2 2 2 2 2 2" xfId="30719" xr:uid="{956E2CD5-17B1-476C-8B89-FC9E9E561F8E}"/>
    <cellStyle name="40% - Accent2 22 3 2 2 2 2 2 3" xfId="23208" xr:uid="{538315D9-82C9-4E52-9460-EAB14A1580E6}"/>
    <cellStyle name="40% - Accent2 22 3 2 2 2 2 3" xfId="10915" xr:uid="{0B12AA30-91F6-4BDB-9FF6-132FCC39FB41}"/>
    <cellStyle name="40% - Accent2 22 3 2 2 2 2 3 2" xfId="27119" xr:uid="{08E710F1-7DD4-4BA0-8D84-E83E3ED7D438}"/>
    <cellStyle name="40% - Accent2 22 3 2 2 2 2 4" xfId="19442" xr:uid="{30DF94F5-28A0-4F87-922F-C06ABFBA2D10}"/>
    <cellStyle name="40% - Accent2 22 3 2 2 2 3" xfId="6159" xr:uid="{88F0DEC6-85FF-41FF-90B4-383F60883372}"/>
    <cellStyle name="40% - Accent2 22 3 2 2 2 3 2" xfId="13671" xr:uid="{2127F32F-9E76-4E06-8F99-BF959DA135F0}"/>
    <cellStyle name="40% - Accent2 22 3 2 2 2 3 2 2" xfId="29875" xr:uid="{C77461D1-3EDD-49B9-8BCD-19276DE240EE}"/>
    <cellStyle name="40% - Accent2 22 3 2 2 2 3 3" xfId="22363" xr:uid="{3043984E-A7C8-4AD6-A259-CBED0C50FF21}"/>
    <cellStyle name="40% - Accent2 22 3 2 2 2 4" xfId="10071" xr:uid="{491CF4FD-68D2-4BA2-9BB3-6E7833F06420}"/>
    <cellStyle name="40% - Accent2 22 3 2 2 2 4 2" xfId="26275" xr:uid="{ED10ACD4-B738-4A01-9681-FF3FBC47ED1D}"/>
    <cellStyle name="40% - Accent2 22 3 2 2 2 5" xfId="18597" xr:uid="{F545AC43-6222-4085-A149-3FF2F2C3D4B0}"/>
    <cellStyle name="40% - Accent2 22 3 2 2 3" xfId="2797" xr:uid="{0944BE59-7B09-45BF-A6FB-02678F9157B5}"/>
    <cellStyle name="40% - Accent2 22 3 2 2 3 2" xfId="6581" xr:uid="{D4AA7892-C4DD-48D9-8DFF-9451EEE0ED7A}"/>
    <cellStyle name="40% - Accent2 22 3 2 2 3 2 2" xfId="14093" xr:uid="{E003CA7A-45B6-4716-9169-69C92C338619}"/>
    <cellStyle name="40% - Accent2 22 3 2 2 3 2 2 2" xfId="30297" xr:uid="{24B101DB-07A1-4078-A9A1-1593B4899CBC}"/>
    <cellStyle name="40% - Accent2 22 3 2 2 3 2 3" xfId="22785" xr:uid="{C510BD0C-68BE-48B6-94D3-9F33F6045535}"/>
    <cellStyle name="40% - Accent2 22 3 2 2 3 3" xfId="10493" xr:uid="{15C382C1-951B-4A4C-9332-D54B2F6378FB}"/>
    <cellStyle name="40% - Accent2 22 3 2 2 3 3 2" xfId="26697" xr:uid="{B4FBCCF1-D446-4F07-A56F-FC2017877D87}"/>
    <cellStyle name="40% - Accent2 22 3 2 2 3 4" xfId="19019" xr:uid="{D8FB0412-3A62-4C01-A449-8C5F9622811C}"/>
    <cellStyle name="40% - Accent2 22 3 2 2 4" xfId="3728" xr:uid="{E8B28AE2-A399-4BB8-A99B-8C7D2CE2D42B}"/>
    <cellStyle name="40% - Accent2 22 3 2 2 4 2" xfId="7438" xr:uid="{39FBBB82-A77E-4C05-B71A-6441ED63822A}"/>
    <cellStyle name="40% - Accent2 22 3 2 2 4 2 2" xfId="14947" xr:uid="{CEF31921-5EAF-4D92-B72A-F5B06E3210CD}"/>
    <cellStyle name="40% - Accent2 22 3 2 2 4 2 2 2" xfId="31151" xr:uid="{CEEA2E55-8ACC-45B1-8703-7F26522A729A}"/>
    <cellStyle name="40% - Accent2 22 3 2 2 4 2 3" xfId="23642" xr:uid="{E80D9155-DA29-4C8C-843C-890324A9CC9A}"/>
    <cellStyle name="40% - Accent2 22 3 2 2 4 3" xfId="11338" xr:uid="{92B8F970-C942-45E8-A549-3F9F11765040}"/>
    <cellStyle name="40% - Accent2 22 3 2 2 4 3 2" xfId="27542" xr:uid="{0969D665-CE47-48E4-9E87-C91048FA1645}"/>
    <cellStyle name="40% - Accent2 22 3 2 2 4 4" xfId="19937" xr:uid="{9CE46C17-EE5C-4F1A-AB08-6E78CC4DB026}"/>
    <cellStyle name="40% - Accent2 22 3 2 2 5" xfId="4197" xr:uid="{7E43FCA7-96AA-41C7-8801-898634615F38}"/>
    <cellStyle name="40% - Accent2 22 3 2 2 5 2" xfId="7867" xr:uid="{DD64B843-2B8D-495F-A00C-267A210D80FD}"/>
    <cellStyle name="40% - Accent2 22 3 2 2 5 2 2" xfId="15374" xr:uid="{1F90F8E7-0C5F-4DF8-A915-7FBBE7D2B348}"/>
    <cellStyle name="40% - Accent2 22 3 2 2 5 2 2 2" xfId="31578" xr:uid="{D8D44B39-CEFA-4B6E-9F94-24571CF24F9C}"/>
    <cellStyle name="40% - Accent2 22 3 2 2 5 2 3" xfId="24071" xr:uid="{76B6ECEE-A994-46FA-BF7E-7DF42D3E0257}"/>
    <cellStyle name="40% - Accent2 22 3 2 2 5 3" xfId="11760" xr:uid="{BC4CB376-5769-490C-80CA-BCB64DBCE6CC}"/>
    <cellStyle name="40% - Accent2 22 3 2 2 5 3 2" xfId="27964" xr:uid="{8DE70D59-0499-45A1-BA29-31A78017A478}"/>
    <cellStyle name="40% - Accent2 22 3 2 2 5 4" xfId="20401" xr:uid="{D1044BD3-40B3-48D0-B318-96A5C3E83BBB}"/>
    <cellStyle name="40% - Accent2 22 3 2 2 6" xfId="4622" xr:uid="{945A3B79-0661-4D1E-8DA5-568C71B92968}"/>
    <cellStyle name="40% - Accent2 22 3 2 2 6 2" xfId="8292" xr:uid="{847377F8-C600-4A61-A407-D63C501988B3}"/>
    <cellStyle name="40% - Accent2 22 3 2 2 6 2 2" xfId="15799" xr:uid="{E879CBFC-E3A7-46C8-8584-540126AF8325}"/>
    <cellStyle name="40% - Accent2 22 3 2 2 6 2 2 2" xfId="32003" xr:uid="{C1C62E48-5028-4847-A0C6-83A14C671A42}"/>
    <cellStyle name="40% - Accent2 22 3 2 2 6 2 3" xfId="24496" xr:uid="{9F7A25ED-5547-4878-8A5D-CFC8ACCD192B}"/>
    <cellStyle name="40% - Accent2 22 3 2 2 6 3" xfId="12185" xr:uid="{7BC1AFDA-A314-45BF-A542-E7B0BB94549B}"/>
    <cellStyle name="40% - Accent2 22 3 2 2 6 3 2" xfId="28389" xr:uid="{FE28857E-0D26-491B-8192-9965C6CD70FF}"/>
    <cellStyle name="40% - Accent2 22 3 2 2 6 4" xfId="20826" xr:uid="{0F0923F0-6E76-4201-8589-1036EFF79BA1}"/>
    <cellStyle name="40% - Accent2 22 3 2 2 7" xfId="5049" xr:uid="{EDA9CCA8-BF7C-438D-84C6-4429CF0D839D}"/>
    <cellStyle name="40% - Accent2 22 3 2 2 7 2" xfId="8715" xr:uid="{632A4152-44B9-4C8B-B78F-7801A3C23724}"/>
    <cellStyle name="40% - Accent2 22 3 2 2 7 2 2" xfId="16222" xr:uid="{4C480F09-F04F-4989-B01B-BEA21F2FF578}"/>
    <cellStyle name="40% - Accent2 22 3 2 2 7 2 2 2" xfId="32426" xr:uid="{007C8235-DC22-43C3-8FFA-CC028820A9EF}"/>
    <cellStyle name="40% - Accent2 22 3 2 2 7 2 3" xfId="24919" xr:uid="{39DFE53C-AD44-4FA9-8262-91080AF568BB}"/>
    <cellStyle name="40% - Accent2 22 3 2 2 7 3" xfId="12607" xr:uid="{53D59D27-B7E8-4781-96C8-D3CF3B6E069D}"/>
    <cellStyle name="40% - Accent2 22 3 2 2 7 3 2" xfId="28811" xr:uid="{06F5C395-2CAF-4F75-BCE8-E445EF0C6028}"/>
    <cellStyle name="40% - Accent2 22 3 2 2 7 4" xfId="21253" xr:uid="{9400B5F6-281D-46C7-B009-448E230E9F6F}"/>
    <cellStyle name="40% - Accent2 22 3 2 2 8" xfId="5721" xr:uid="{63D4B237-C87B-4FCD-A5EB-9D75E90A115A}"/>
    <cellStyle name="40% - Accent2 22 3 2 2 8 2" xfId="13236" xr:uid="{2E86FF41-B516-48C4-82AA-62E8DFCED3E6}"/>
    <cellStyle name="40% - Accent2 22 3 2 2 8 2 2" xfId="29440" xr:uid="{5DE84879-0A81-4A14-B389-D588317ED3E9}"/>
    <cellStyle name="40% - Accent2 22 3 2 2 8 3" xfId="21925" xr:uid="{DE8D5032-F380-4FE3-BC33-F42AC1756B87}"/>
    <cellStyle name="40% - Accent2 22 3 2 2 9" xfId="9648" xr:uid="{0365F004-1BBF-40CA-ADD6-5E70E1E457B3}"/>
    <cellStyle name="40% - Accent2 22 3 2 2 9 2" xfId="25852" xr:uid="{91CDFF4B-DD5D-48C6-B34D-B88BD1B0E18B}"/>
    <cellStyle name="40% - Accent2 22 3 2 3" xfId="2166" xr:uid="{9E2CEC74-5199-4425-860F-70E20C4BA6F7}"/>
    <cellStyle name="40% - Accent2 22 3 2 3 2" xfId="3079" xr:uid="{2EF43ED1-B79C-4AF9-ACD8-6A57307A5AA9}"/>
    <cellStyle name="40% - Accent2 22 3 2 3 2 2" xfId="6861" xr:uid="{1EC124DA-D2C9-4610-AAA1-6CF91A3912F9}"/>
    <cellStyle name="40% - Accent2 22 3 2 3 2 2 2" xfId="14372" xr:uid="{2382A1ED-DF96-40EA-A19B-F8B6D649F556}"/>
    <cellStyle name="40% - Accent2 22 3 2 3 2 2 2 2" xfId="30576" xr:uid="{2FABC9B1-803D-48DE-A9FD-871C5E692BFA}"/>
    <cellStyle name="40% - Accent2 22 3 2 3 2 2 3" xfId="23065" xr:uid="{E6D6E805-997C-463E-BA47-F4CCD75C0A7B}"/>
    <cellStyle name="40% - Accent2 22 3 2 3 2 3" xfId="10772" xr:uid="{B3FF6A97-148E-4B5A-98F4-2A9B807DE922}"/>
    <cellStyle name="40% - Accent2 22 3 2 3 2 3 2" xfId="26976" xr:uid="{19E64869-EB26-4632-A748-2562E0EA3ABF}"/>
    <cellStyle name="40% - Accent2 22 3 2 3 2 4" xfId="19299" xr:uid="{A1E6B518-8B1E-4F95-9BE6-FF9FA228BF7A}"/>
    <cellStyle name="40% - Accent2 22 3 2 3 3" xfId="6005" xr:uid="{0AD319C6-4AC7-4468-A4EC-15CE4DDDFF01}"/>
    <cellStyle name="40% - Accent2 22 3 2 3 3 2" xfId="13519" xr:uid="{D4D3CE16-3506-4A9A-AC2E-1B437AA07EB8}"/>
    <cellStyle name="40% - Accent2 22 3 2 3 3 2 2" xfId="29723" xr:uid="{3E75C8D6-D16C-442C-89BC-553C5B45F616}"/>
    <cellStyle name="40% - Accent2 22 3 2 3 3 3" xfId="22209" xr:uid="{B540648C-B031-420E-AFB8-12E51874A2B5}"/>
    <cellStyle name="40% - Accent2 22 3 2 3 4" xfId="9928" xr:uid="{3AC578B0-8295-40F4-AC1A-8E83E7168B11}"/>
    <cellStyle name="40% - Accent2 22 3 2 3 4 2" xfId="26132" xr:uid="{A8E7DC63-E525-4EF6-BCA6-620F3BD3CF38}"/>
    <cellStyle name="40% - Accent2 22 3 2 3 5" xfId="18453" xr:uid="{55E335C5-032D-4E98-96DC-6F625F800E26}"/>
    <cellStyle name="40% - Accent2 22 3 2 4" xfId="2654" xr:uid="{C3DBBD53-A95E-4011-B722-3C2A5FE1ADEB}"/>
    <cellStyle name="40% - Accent2 22 3 2 4 2" xfId="6438" xr:uid="{FD9BAC96-BFFA-4952-83AB-9A5E45840F93}"/>
    <cellStyle name="40% - Accent2 22 3 2 4 2 2" xfId="13950" xr:uid="{44007627-3660-448D-B731-65F2DA8DFB00}"/>
    <cellStyle name="40% - Accent2 22 3 2 4 2 2 2" xfId="30154" xr:uid="{E87AC5F5-E272-4F7D-8932-E24ABCD39FF2}"/>
    <cellStyle name="40% - Accent2 22 3 2 4 2 3" xfId="22642" xr:uid="{67672C04-6F94-47AE-99B7-5753DEA8C07F}"/>
    <cellStyle name="40% - Accent2 22 3 2 4 3" xfId="10350" xr:uid="{E20E2CCA-AFEE-4BBB-99AD-FE394E1D736C}"/>
    <cellStyle name="40% - Accent2 22 3 2 4 3 2" xfId="26554" xr:uid="{E07D773B-9672-4B8B-98DC-12E13380E6DC}"/>
    <cellStyle name="40% - Accent2 22 3 2 4 4" xfId="18876" xr:uid="{439B9F0F-7586-42F9-A9A4-3946291DDCFC}"/>
    <cellStyle name="40% - Accent2 22 3 2 5" xfId="3530" xr:uid="{142879D5-30AA-450A-882D-931A44BCE7A0}"/>
    <cellStyle name="40% - Accent2 22 3 2 5 2" xfId="7288" xr:uid="{D894E3F4-B061-48DA-9CB5-C03A79766F6F}"/>
    <cellStyle name="40% - Accent2 22 3 2 5 2 2" xfId="14798" xr:uid="{7DE12F8B-8E59-4033-901C-F7D3C85F96EF}"/>
    <cellStyle name="40% - Accent2 22 3 2 5 2 2 2" xfId="31002" xr:uid="{58DF11CA-76CB-4C4B-90F2-135D9B5D55B1}"/>
    <cellStyle name="40% - Accent2 22 3 2 5 2 3" xfId="23492" xr:uid="{C5281DAF-DBBF-4232-959C-F4BE35744B0D}"/>
    <cellStyle name="40% - Accent2 22 3 2 5 3" xfId="11195" xr:uid="{01401880-9592-44E8-84E5-00C770602C7F}"/>
    <cellStyle name="40% - Accent2 22 3 2 5 3 2" xfId="27399" xr:uid="{106ACECB-597B-41A3-8085-A1927EF9D6D6}"/>
    <cellStyle name="40% - Accent2 22 3 2 5 4" xfId="19746" xr:uid="{83F38F3F-E8A7-4373-994C-92F07FCAA528}"/>
    <cellStyle name="40% - Accent2 22 3 2 6" xfId="4054" xr:uid="{0D419A1D-C62B-4E51-8B66-4854E6549A80}"/>
    <cellStyle name="40% - Accent2 22 3 2 6 2" xfId="7724" xr:uid="{F78E09C5-1EB5-41D2-BF5A-902929B31944}"/>
    <cellStyle name="40% - Accent2 22 3 2 6 2 2" xfId="15231" xr:uid="{C8B0B2A2-A1DF-490F-9913-DAF815807501}"/>
    <cellStyle name="40% - Accent2 22 3 2 6 2 2 2" xfId="31435" xr:uid="{EE0343D2-4CE5-47FF-BD04-808898646B66}"/>
    <cellStyle name="40% - Accent2 22 3 2 6 2 3" xfId="23928" xr:uid="{AE166F18-F061-4B0B-9632-7E70563CF2CF}"/>
    <cellStyle name="40% - Accent2 22 3 2 6 3" xfId="11617" xr:uid="{A53F514B-55C0-43E1-89A5-D14C39BB6AF3}"/>
    <cellStyle name="40% - Accent2 22 3 2 6 3 2" xfId="27821" xr:uid="{37221A81-2D63-45C7-A487-753F5991F9F9}"/>
    <cellStyle name="40% - Accent2 22 3 2 6 4" xfId="20258" xr:uid="{DD45C891-D998-4804-9B4F-C9789A2C4799}"/>
    <cellStyle name="40% - Accent2 22 3 2 7" xfId="4479" xr:uid="{88A1D02B-5860-48D8-8661-0DFBB840D627}"/>
    <cellStyle name="40% - Accent2 22 3 2 7 2" xfId="8149" xr:uid="{E27E47A3-4269-4650-8084-6F9C312816F5}"/>
    <cellStyle name="40% - Accent2 22 3 2 7 2 2" xfId="15656" xr:uid="{C67CF29E-BB6D-420A-A2CE-EF354B506E18}"/>
    <cellStyle name="40% - Accent2 22 3 2 7 2 2 2" xfId="31860" xr:uid="{666BF4F9-66C9-4453-A808-CC4C6AA9F75A}"/>
    <cellStyle name="40% - Accent2 22 3 2 7 2 3" xfId="24353" xr:uid="{48956422-1EB8-4BE5-9630-1D07C225ED91}"/>
    <cellStyle name="40% - Accent2 22 3 2 7 3" xfId="12042" xr:uid="{89D95B4D-511E-4B0B-9140-F8A46D6A7B22}"/>
    <cellStyle name="40% - Accent2 22 3 2 7 3 2" xfId="28246" xr:uid="{C381BD5F-85B5-49D0-945A-3D8F1B1ABC18}"/>
    <cellStyle name="40% - Accent2 22 3 2 7 4" xfId="20683" xr:uid="{0CD0B51A-49D7-4696-AE3A-5E6348679EED}"/>
    <cellStyle name="40% - Accent2 22 3 2 8" xfId="4904" xr:uid="{B1A1F399-6FC3-4EAB-92D1-740AFFE0A759}"/>
    <cellStyle name="40% - Accent2 22 3 2 8 2" xfId="8572" xr:uid="{D6FD86B6-47E5-447C-BB77-7586ED2EF31F}"/>
    <cellStyle name="40% - Accent2 22 3 2 8 2 2" xfId="16079" xr:uid="{5F974BE8-A961-4AE6-A6E1-7CD19924D1DD}"/>
    <cellStyle name="40% - Accent2 22 3 2 8 2 2 2" xfId="32283" xr:uid="{79A3D3CE-C114-4C8F-B6EA-77612D45B376}"/>
    <cellStyle name="40% - Accent2 22 3 2 8 2 3" xfId="24776" xr:uid="{BD28C301-E341-4EA5-89AF-46F2DC5A801E}"/>
    <cellStyle name="40% - Accent2 22 3 2 8 3" xfId="12464" xr:uid="{F8903A1C-4A1D-4AEC-9E05-5C4AF9341BEF}"/>
    <cellStyle name="40% - Accent2 22 3 2 8 3 2" xfId="28668" xr:uid="{D69A12DE-A7EA-4A5C-BF1F-545AC159F04C}"/>
    <cellStyle name="40% - Accent2 22 3 2 8 4" xfId="21108" xr:uid="{609592B1-88BD-44DA-BA0F-03DDF359FA2E}"/>
    <cellStyle name="40% - Accent2 22 3 2 9" xfId="5390" xr:uid="{6C117184-EE63-4FD1-844F-C2C3814C2A56}"/>
    <cellStyle name="40% - Accent2 22 3 2 9 2" xfId="12939" xr:uid="{46145F1F-0CE1-41C0-B577-215886799DE9}"/>
    <cellStyle name="40% - Accent2 22 3 2 9 2 2" xfId="29143" xr:uid="{57F553B4-4671-40E4-BD20-52F015079C1B}"/>
    <cellStyle name="40% - Accent2 22 3 2 9 3" xfId="21594" xr:uid="{BFDA8E25-66E6-429C-8A35-1368758FCFE7}"/>
    <cellStyle name="40% - Accent2 22 3 3" xfId="1867" xr:uid="{C623D5F7-9073-4E70-8EA3-6E8D7F4E695F}"/>
    <cellStyle name="40% - Accent2 22 3 3 10" xfId="18172" xr:uid="{E85344DE-DA54-461C-8A4E-05414D80B4B9}"/>
    <cellStyle name="40% - Accent2 22 3 3 2" xfId="2376" xr:uid="{A706BA25-7E3B-46C5-A81E-4F74F1C9F65C}"/>
    <cellStyle name="40% - Accent2 22 3 3 2 2" xfId="3223" xr:uid="{B3D6524F-6369-487A-845B-7C60AC963038}"/>
    <cellStyle name="40% - Accent2 22 3 3 2 2 2" xfId="7005" xr:uid="{9C80B28E-072C-49A2-A9B8-8E7AD520AE15}"/>
    <cellStyle name="40% - Accent2 22 3 3 2 2 2 2" xfId="14516" xr:uid="{E5E0C960-3AC2-44E0-ABF2-8063FC5CED69}"/>
    <cellStyle name="40% - Accent2 22 3 3 2 2 2 2 2" xfId="30720" xr:uid="{84ACA026-B381-4872-BFB2-E38844984F0A}"/>
    <cellStyle name="40% - Accent2 22 3 3 2 2 2 3" xfId="23209" xr:uid="{E3B27B6D-1183-411D-887E-2F21EF405A8A}"/>
    <cellStyle name="40% - Accent2 22 3 3 2 2 3" xfId="10916" xr:uid="{424C71B5-9EF5-4D21-BCAE-FD8D8FFF1023}"/>
    <cellStyle name="40% - Accent2 22 3 3 2 2 3 2" xfId="27120" xr:uid="{1123AE8A-5A20-46A4-B902-1BDF9F790FFB}"/>
    <cellStyle name="40% - Accent2 22 3 3 2 2 4" xfId="19443" xr:uid="{19D74D9B-30FA-4FCB-839B-4B4F63C09D1C}"/>
    <cellStyle name="40% - Accent2 22 3 3 2 3" xfId="6160" xr:uid="{AE2DCEFA-A13D-4565-A7EE-7018A8033BDC}"/>
    <cellStyle name="40% - Accent2 22 3 3 2 3 2" xfId="13672" xr:uid="{3FBFB01D-EEEE-4296-8CD2-ABA675CE2ECE}"/>
    <cellStyle name="40% - Accent2 22 3 3 2 3 2 2" xfId="29876" xr:uid="{1EC98A86-93CC-430A-90AC-17F85E0DF0B6}"/>
    <cellStyle name="40% - Accent2 22 3 3 2 3 3" xfId="22364" xr:uid="{7FF2E23E-22D5-42DB-A143-A8CC35A53733}"/>
    <cellStyle name="40% - Accent2 22 3 3 2 4" xfId="10072" xr:uid="{43D380F1-2705-464C-B715-E36046715371}"/>
    <cellStyle name="40% - Accent2 22 3 3 2 4 2" xfId="26276" xr:uid="{F6073E39-E59E-467E-A78B-75CB400EBFF7}"/>
    <cellStyle name="40% - Accent2 22 3 3 2 5" xfId="18598" xr:uid="{CBB926B4-4BB5-480A-8299-ACA3014B7900}"/>
    <cellStyle name="40% - Accent2 22 3 3 3" xfId="2798" xr:uid="{CBD78E22-444F-4CB2-905C-2BA3B6A49ADD}"/>
    <cellStyle name="40% - Accent2 22 3 3 3 2" xfId="6582" xr:uid="{E5C2BFE8-0FF5-49B3-A20C-0E4906D17C34}"/>
    <cellStyle name="40% - Accent2 22 3 3 3 2 2" xfId="14094" xr:uid="{89959DE8-8A95-4884-80CA-BDCE09541EC8}"/>
    <cellStyle name="40% - Accent2 22 3 3 3 2 2 2" xfId="30298" xr:uid="{F6EBEE2C-F075-422C-91D9-F7219231DC8A}"/>
    <cellStyle name="40% - Accent2 22 3 3 3 2 3" xfId="22786" xr:uid="{50CCCAE0-00B8-4FB8-A0B4-FA7506EBC644}"/>
    <cellStyle name="40% - Accent2 22 3 3 3 3" xfId="10494" xr:uid="{0331A825-D01D-43FD-9D17-57A8985331AC}"/>
    <cellStyle name="40% - Accent2 22 3 3 3 3 2" xfId="26698" xr:uid="{029957B2-96C2-4DDC-8CA7-D11038E2C842}"/>
    <cellStyle name="40% - Accent2 22 3 3 3 4" xfId="19020" xr:uid="{0FE4C15D-8742-4085-A196-E1A007625575}"/>
    <cellStyle name="40% - Accent2 22 3 3 4" xfId="3729" xr:uid="{0C2F75E2-2E88-4B5B-B2DD-498453C894F4}"/>
    <cellStyle name="40% - Accent2 22 3 3 4 2" xfId="7439" xr:uid="{F24C0575-1931-4460-A0CE-F0745D83B426}"/>
    <cellStyle name="40% - Accent2 22 3 3 4 2 2" xfId="14948" xr:uid="{B703AEE5-C03F-4422-B369-3EF6EC2500FA}"/>
    <cellStyle name="40% - Accent2 22 3 3 4 2 2 2" xfId="31152" xr:uid="{25459D7F-7B82-4777-95B6-B364CC6A1A2F}"/>
    <cellStyle name="40% - Accent2 22 3 3 4 2 3" xfId="23643" xr:uid="{889BD3C0-D2EE-4ED1-8116-3E6E205A96B0}"/>
    <cellStyle name="40% - Accent2 22 3 3 4 3" xfId="11339" xr:uid="{29E796FF-F573-4BEE-9B88-94B4C4D1A82C}"/>
    <cellStyle name="40% - Accent2 22 3 3 4 3 2" xfId="27543" xr:uid="{B7B8A210-89C2-42DD-917D-795928D0E844}"/>
    <cellStyle name="40% - Accent2 22 3 3 4 4" xfId="19938" xr:uid="{8447D785-9606-4F5B-B569-22B42FCB0318}"/>
    <cellStyle name="40% - Accent2 22 3 3 5" xfId="4198" xr:uid="{E29F7D5A-6F2B-4AE7-9C81-6D5754EC3F36}"/>
    <cellStyle name="40% - Accent2 22 3 3 5 2" xfId="7868" xr:uid="{49AC425C-46F8-4AD5-9E54-353F7C1FCF66}"/>
    <cellStyle name="40% - Accent2 22 3 3 5 2 2" xfId="15375" xr:uid="{FFDFCB43-865B-4545-8760-70A0353086B3}"/>
    <cellStyle name="40% - Accent2 22 3 3 5 2 2 2" xfId="31579" xr:uid="{4EBDE514-9A4E-42FA-863E-044353EB0AE2}"/>
    <cellStyle name="40% - Accent2 22 3 3 5 2 3" xfId="24072" xr:uid="{6928989E-47AE-429C-9C7B-2622632BE96F}"/>
    <cellStyle name="40% - Accent2 22 3 3 5 3" xfId="11761" xr:uid="{E2D7E882-B3E0-430F-9559-833EFD5D363D}"/>
    <cellStyle name="40% - Accent2 22 3 3 5 3 2" xfId="27965" xr:uid="{19488B2E-9C8B-496F-A6FB-0FB5AA991B4F}"/>
    <cellStyle name="40% - Accent2 22 3 3 5 4" xfId="20402" xr:uid="{B9BFC742-8C15-4D40-8B21-7C68535F0C42}"/>
    <cellStyle name="40% - Accent2 22 3 3 6" xfId="4623" xr:uid="{F89E1877-0CC1-4A41-A032-6BBAA8181D06}"/>
    <cellStyle name="40% - Accent2 22 3 3 6 2" xfId="8293" xr:uid="{34ACD89A-5D3B-4CA2-B2AC-D8F885CAD5E5}"/>
    <cellStyle name="40% - Accent2 22 3 3 6 2 2" xfId="15800" xr:uid="{FBC7C694-B432-48DC-A16F-94F81F9DE024}"/>
    <cellStyle name="40% - Accent2 22 3 3 6 2 2 2" xfId="32004" xr:uid="{5ECE7F36-B81C-4DF6-B149-2730E27AE43F}"/>
    <cellStyle name="40% - Accent2 22 3 3 6 2 3" xfId="24497" xr:uid="{A0CBC7A6-B019-43F7-8359-F29CBF8AAF3E}"/>
    <cellStyle name="40% - Accent2 22 3 3 6 3" xfId="12186" xr:uid="{1A3D6F66-3123-4397-B55F-AB04A63D78C4}"/>
    <cellStyle name="40% - Accent2 22 3 3 6 3 2" xfId="28390" xr:uid="{9EA63D34-FE29-4C20-9A14-F189BD2B0270}"/>
    <cellStyle name="40% - Accent2 22 3 3 6 4" xfId="20827" xr:uid="{BA807A68-A5F4-4EA6-8022-28594B67979C}"/>
    <cellStyle name="40% - Accent2 22 3 3 7" xfId="5050" xr:uid="{5CC8DBA8-B9EE-44BE-A453-640C881D96B2}"/>
    <cellStyle name="40% - Accent2 22 3 3 7 2" xfId="8716" xr:uid="{B1C3A130-904E-4ACF-98F6-CF5F3D81A36F}"/>
    <cellStyle name="40% - Accent2 22 3 3 7 2 2" xfId="16223" xr:uid="{E40C2367-D4AF-4938-BFF7-F040971ABA45}"/>
    <cellStyle name="40% - Accent2 22 3 3 7 2 2 2" xfId="32427" xr:uid="{DA65B579-6E17-4BB4-831A-EEA893F8E38B}"/>
    <cellStyle name="40% - Accent2 22 3 3 7 2 3" xfId="24920" xr:uid="{F585943A-0D66-4D40-A74C-A1F1DE922101}"/>
    <cellStyle name="40% - Accent2 22 3 3 7 3" xfId="12608" xr:uid="{E78EA2B2-6E9E-4DD5-90D9-0504CA4F9377}"/>
    <cellStyle name="40% - Accent2 22 3 3 7 3 2" xfId="28812" xr:uid="{87BED3BC-987C-465C-B53E-5DB2A57D52F0}"/>
    <cellStyle name="40% - Accent2 22 3 3 7 4" xfId="21254" xr:uid="{7BF0C74E-BC2A-4AD9-A0B5-ABD3BFDA7F50}"/>
    <cellStyle name="40% - Accent2 22 3 3 8" xfId="5722" xr:uid="{F94DE428-8614-4F62-871B-EC0F7857DA8C}"/>
    <cellStyle name="40% - Accent2 22 3 3 8 2" xfId="13237" xr:uid="{F49699EB-5CBD-40D9-8CF8-D10745ACE646}"/>
    <cellStyle name="40% - Accent2 22 3 3 8 2 2" xfId="29441" xr:uid="{36A2A1F0-479A-42A7-BFD7-F98FB2D092FF}"/>
    <cellStyle name="40% - Accent2 22 3 3 8 3" xfId="21926" xr:uid="{378D36E9-38AE-4E37-8844-B3E9AEFC10BA}"/>
    <cellStyle name="40% - Accent2 22 3 3 9" xfId="9649" xr:uid="{123D2667-A1E7-4BDF-83D5-831D35C02D40}"/>
    <cellStyle name="40% - Accent2 22 3 3 9 2" xfId="25853" xr:uid="{72137E2D-C0F5-475B-942F-1F095213B7A7}"/>
    <cellStyle name="40% - Accent2 22 3 4" xfId="2099" xr:uid="{42EF03B7-1A70-47BA-B9D0-EB24906FFF24}"/>
    <cellStyle name="40% - Accent2 22 3 4 2" xfId="3012" xr:uid="{AC506680-0FA1-4E60-86A5-DA90BD6E3767}"/>
    <cellStyle name="40% - Accent2 22 3 4 2 2" xfId="6794" xr:uid="{D9722563-4A8E-4853-B8C1-5FA13C64CB9A}"/>
    <cellStyle name="40% - Accent2 22 3 4 2 2 2" xfId="14305" xr:uid="{8C297C19-552B-44A0-BC0F-72CC8CAC6FFA}"/>
    <cellStyle name="40% - Accent2 22 3 4 2 2 2 2" xfId="30509" xr:uid="{5ADA832E-F676-44E8-8624-3479B12783BD}"/>
    <cellStyle name="40% - Accent2 22 3 4 2 2 3" xfId="22998" xr:uid="{914BE2D2-7DCA-4F7D-949D-0D66E31F78F1}"/>
    <cellStyle name="40% - Accent2 22 3 4 2 3" xfId="10705" xr:uid="{613C443D-A279-4013-8CE4-A497822A3A1D}"/>
    <cellStyle name="40% - Accent2 22 3 4 2 3 2" xfId="26909" xr:uid="{04A20B97-51A1-4C21-83DD-ED4F60EDDABE}"/>
    <cellStyle name="40% - Accent2 22 3 4 2 4" xfId="19232" xr:uid="{1A5C64E4-90B0-4AA3-B9D5-4F9909FA9C32}"/>
    <cellStyle name="40% - Accent2 22 3 4 3" xfId="5938" xr:uid="{9684871F-ABC5-4077-A9E6-164C01782BCB}"/>
    <cellStyle name="40% - Accent2 22 3 4 3 2" xfId="13452" xr:uid="{637B4590-C03A-48AA-A33F-4EEE40FB008C}"/>
    <cellStyle name="40% - Accent2 22 3 4 3 2 2" xfId="29656" xr:uid="{575DBB36-784D-48C6-9CA6-CD4A13B9D919}"/>
    <cellStyle name="40% - Accent2 22 3 4 3 3" xfId="22142" xr:uid="{663D679A-AFCA-439C-A930-B493358FC199}"/>
    <cellStyle name="40% - Accent2 22 3 4 4" xfId="9861" xr:uid="{BACEC589-D5B0-4D1A-AA5A-467CF76669C1}"/>
    <cellStyle name="40% - Accent2 22 3 4 4 2" xfId="26065" xr:uid="{B4409993-885B-4DF0-BB3A-9F03F4246B4F}"/>
    <cellStyle name="40% - Accent2 22 3 4 5" xfId="18386" xr:uid="{4B275D01-D269-4F70-8503-5D317788EB27}"/>
    <cellStyle name="40% - Accent2 22 3 5" xfId="2587" xr:uid="{A19574A7-34A1-4834-9066-44C7967671A6}"/>
    <cellStyle name="40% - Accent2 22 3 5 2" xfId="6371" xr:uid="{183A4BC1-236E-4E9B-B320-38C4FDC877B8}"/>
    <cellStyle name="40% - Accent2 22 3 5 2 2" xfId="13883" xr:uid="{35405216-C55E-4B9D-B08B-0BC066D091A2}"/>
    <cellStyle name="40% - Accent2 22 3 5 2 2 2" xfId="30087" xr:uid="{D19D39CF-1C5E-4089-AB5D-59BE463E4F01}"/>
    <cellStyle name="40% - Accent2 22 3 5 2 3" xfId="22575" xr:uid="{C395A40F-382F-477A-9743-8BECEE35D609}"/>
    <cellStyle name="40% - Accent2 22 3 5 3" xfId="10283" xr:uid="{DFA835ED-63EA-4825-8D12-DD347E7F4D57}"/>
    <cellStyle name="40% - Accent2 22 3 5 3 2" xfId="26487" xr:uid="{E8DAA124-FD54-4C71-AB37-294A25B0B006}"/>
    <cellStyle name="40% - Accent2 22 3 5 4" xfId="18809" xr:uid="{5D6DD8A6-71C6-4C4B-B08C-B55B18891D05}"/>
    <cellStyle name="40% - Accent2 22 3 6" xfId="3463" xr:uid="{0DF5D72D-466A-442A-ACB0-001D5DA33DA3}"/>
    <cellStyle name="40% - Accent2 22 3 6 2" xfId="7221" xr:uid="{652CF0C8-1466-4248-A224-6EB8BD15410F}"/>
    <cellStyle name="40% - Accent2 22 3 6 2 2" xfId="14731" xr:uid="{4083002B-949B-40D0-BA8D-FD12A3E50E71}"/>
    <cellStyle name="40% - Accent2 22 3 6 2 2 2" xfId="30935" xr:uid="{533AF851-2A44-417D-AE3D-D800C8170F73}"/>
    <cellStyle name="40% - Accent2 22 3 6 2 3" xfId="23425" xr:uid="{9C485BD3-E58D-4C66-97E5-EF5EC6856836}"/>
    <cellStyle name="40% - Accent2 22 3 6 3" xfId="11128" xr:uid="{72875E77-6381-417A-B4EB-BB511382C49E}"/>
    <cellStyle name="40% - Accent2 22 3 6 3 2" xfId="27332" xr:uid="{E2C95019-836C-4231-80BA-92FD29AF122F}"/>
    <cellStyle name="40% - Accent2 22 3 6 4" xfId="19679" xr:uid="{5EC2CB2F-D1C6-4F19-9BB4-E78E17B2C534}"/>
    <cellStyle name="40% - Accent2 22 3 7" xfId="3987" xr:uid="{2BE3A11D-CD31-4D9E-9D5A-8A617EF42E8D}"/>
    <cellStyle name="40% - Accent2 22 3 7 2" xfId="7657" xr:uid="{51CBC270-DE37-43D3-A69C-94F36F0899B0}"/>
    <cellStyle name="40% - Accent2 22 3 7 2 2" xfId="15164" xr:uid="{E597DE45-7CE5-41D8-B52D-B007A52350A3}"/>
    <cellStyle name="40% - Accent2 22 3 7 2 2 2" xfId="31368" xr:uid="{28CEF06C-7561-42D2-92C6-CA727E7111FB}"/>
    <cellStyle name="40% - Accent2 22 3 7 2 3" xfId="23861" xr:uid="{53010F01-0822-4BF4-84CA-0E702A3D490A}"/>
    <cellStyle name="40% - Accent2 22 3 7 3" xfId="11550" xr:uid="{880A5F6E-A49D-49B5-A2B5-2DE3B3FC7143}"/>
    <cellStyle name="40% - Accent2 22 3 7 3 2" xfId="27754" xr:uid="{A04E0B5D-09E3-4B69-A284-485D2D0BB122}"/>
    <cellStyle name="40% - Accent2 22 3 7 4" xfId="20191" xr:uid="{2270EF46-42CA-4DD6-A2BC-4577B729BE57}"/>
    <cellStyle name="40% - Accent2 22 3 8" xfId="4412" xr:uid="{F0BF060C-00F9-47B4-841A-3DF0FD416F2F}"/>
    <cellStyle name="40% - Accent2 22 3 8 2" xfId="8082" xr:uid="{C1D35B27-DED4-4CD1-81D3-63CA37615A76}"/>
    <cellStyle name="40% - Accent2 22 3 8 2 2" xfId="15589" xr:uid="{55571E05-C31C-48CF-A1CE-F6EC3127FB2D}"/>
    <cellStyle name="40% - Accent2 22 3 8 2 2 2" xfId="31793" xr:uid="{4AB4AC5F-72E1-49DC-972D-D1B09DA2DE5E}"/>
    <cellStyle name="40% - Accent2 22 3 8 2 3" xfId="24286" xr:uid="{BC8D7821-967F-4092-924E-289483F08643}"/>
    <cellStyle name="40% - Accent2 22 3 8 3" xfId="11975" xr:uid="{EE8B6926-C8F0-4AD5-B1DC-E8EB60063799}"/>
    <cellStyle name="40% - Accent2 22 3 8 3 2" xfId="28179" xr:uid="{1BDE0D57-7392-4020-9A85-FEBCF72934B5}"/>
    <cellStyle name="40% - Accent2 22 3 8 4" xfId="20616" xr:uid="{1C53032A-3ADF-451E-B9A1-6650B8FB5830}"/>
    <cellStyle name="40% - Accent2 22 3 9" xfId="4836" xr:uid="{C88B05C8-6077-48F8-A65D-512093248EB3}"/>
    <cellStyle name="40% - Accent2 22 3 9 2" xfId="8505" xr:uid="{12669D93-8686-4963-96CD-331F3695106F}"/>
    <cellStyle name="40% - Accent2 22 3 9 2 2" xfId="16012" xr:uid="{9F1C5076-3E13-4775-9BB0-3CA251BB5BB8}"/>
    <cellStyle name="40% - Accent2 22 3 9 2 2 2" xfId="32216" xr:uid="{ABC60E1B-E682-4394-814F-F1DE1115E726}"/>
    <cellStyle name="40% - Accent2 22 3 9 2 3" xfId="24709" xr:uid="{291B3056-F78B-4CCC-B6B1-FB750AF61315}"/>
    <cellStyle name="40% - Accent2 22 3 9 3" xfId="12397" xr:uid="{722DF5FD-DCFE-49F2-B23F-1B150B85C584}"/>
    <cellStyle name="40% - Accent2 22 3 9 3 2" xfId="28601" xr:uid="{371698BD-27F4-4E87-9BCB-BCCD4F65CA1A}"/>
    <cellStyle name="40% - Accent2 22 3 9 4" xfId="21040" xr:uid="{40D5C9D3-7881-4F81-B8B3-E85B2ACB7BB4}"/>
    <cellStyle name="40% - Accent2 22 4" xfId="553" xr:uid="{7BC067CB-F12A-4971-B37A-02014395B3EF}"/>
    <cellStyle name="40% - Accent2 22 4 10" xfId="9461" xr:uid="{1D9E2AF4-993A-461A-A5C2-1438215AF617}"/>
    <cellStyle name="40% - Accent2 22 4 10 2" xfId="25665" xr:uid="{76ED7A1D-1DD9-4AA3-BCBE-A1DC985FD9A4}"/>
    <cellStyle name="40% - Accent2 22 4 11" xfId="17977" xr:uid="{0FE3CA8B-148E-4C79-8806-888BF083FC94}"/>
    <cellStyle name="40% - Accent2 22 4 2" xfId="1868" xr:uid="{FA212BD5-FE82-46AC-9587-6D0D878F5295}"/>
    <cellStyle name="40% - Accent2 22 4 2 10" xfId="18173" xr:uid="{7557EF6E-162F-4014-8DBF-9EA17525398A}"/>
    <cellStyle name="40% - Accent2 22 4 2 2" xfId="2377" xr:uid="{592C33D8-9592-403E-9F94-86F28716EA55}"/>
    <cellStyle name="40% - Accent2 22 4 2 2 2" xfId="3224" xr:uid="{3B83A416-2FCE-46E4-8678-AFC076A7F589}"/>
    <cellStyle name="40% - Accent2 22 4 2 2 2 2" xfId="7006" xr:uid="{9D379F32-745C-4B57-9A0F-9348AD5688A4}"/>
    <cellStyle name="40% - Accent2 22 4 2 2 2 2 2" xfId="14517" xr:uid="{AEAF560B-58BE-4BBB-80F7-C4B026145D70}"/>
    <cellStyle name="40% - Accent2 22 4 2 2 2 2 2 2" xfId="30721" xr:uid="{C1FCF5E7-C4AF-4011-9592-A98B07342E48}"/>
    <cellStyle name="40% - Accent2 22 4 2 2 2 2 3" xfId="23210" xr:uid="{AEFC5B01-D2DD-4780-BFA7-C2C877626A5F}"/>
    <cellStyle name="40% - Accent2 22 4 2 2 2 3" xfId="10917" xr:uid="{6735395F-45EA-4A52-AD76-2DF5B0653577}"/>
    <cellStyle name="40% - Accent2 22 4 2 2 2 3 2" xfId="27121" xr:uid="{BDB2369F-723F-47D3-A94B-6D9288473C5C}"/>
    <cellStyle name="40% - Accent2 22 4 2 2 2 4" xfId="19444" xr:uid="{D5B48D0F-B380-490D-8990-D4F35EF6346B}"/>
    <cellStyle name="40% - Accent2 22 4 2 2 3" xfId="6161" xr:uid="{259FEE54-756F-494F-ACF6-5A6099B08007}"/>
    <cellStyle name="40% - Accent2 22 4 2 2 3 2" xfId="13673" xr:uid="{F97D68E0-008D-4EE5-92EB-BB925FBCBC15}"/>
    <cellStyle name="40% - Accent2 22 4 2 2 3 2 2" xfId="29877" xr:uid="{D3DF0DD8-F02A-45EC-89BA-53602B8937A0}"/>
    <cellStyle name="40% - Accent2 22 4 2 2 3 3" xfId="22365" xr:uid="{6A34C5E7-17BF-4C10-B1C9-E56907F358FD}"/>
    <cellStyle name="40% - Accent2 22 4 2 2 4" xfId="10073" xr:uid="{6ED2C313-8E63-4D6A-AE7C-BAC1612E5EBC}"/>
    <cellStyle name="40% - Accent2 22 4 2 2 4 2" xfId="26277" xr:uid="{AC41135B-D333-4E4A-9ED5-E2978413C3AC}"/>
    <cellStyle name="40% - Accent2 22 4 2 2 5" xfId="18599" xr:uid="{BB6A9385-2BFC-4959-B115-9AB533B86328}"/>
    <cellStyle name="40% - Accent2 22 4 2 3" xfId="2799" xr:uid="{8084EB29-0734-48CF-A4F2-B311FC87723D}"/>
    <cellStyle name="40% - Accent2 22 4 2 3 2" xfId="6583" xr:uid="{12F74EB8-4B1D-43FA-AAB8-A8039C8CAD6F}"/>
    <cellStyle name="40% - Accent2 22 4 2 3 2 2" xfId="14095" xr:uid="{C8244605-CE92-450D-ABC9-D6CCE4FCB389}"/>
    <cellStyle name="40% - Accent2 22 4 2 3 2 2 2" xfId="30299" xr:uid="{F43B0A7E-94E3-4AA3-B3C7-A1D4A5B6B23F}"/>
    <cellStyle name="40% - Accent2 22 4 2 3 2 3" xfId="22787" xr:uid="{82613FA4-FA13-4E21-8469-DF698380FA05}"/>
    <cellStyle name="40% - Accent2 22 4 2 3 3" xfId="10495" xr:uid="{5131468D-B60A-4D35-9325-7CEF92297AE8}"/>
    <cellStyle name="40% - Accent2 22 4 2 3 3 2" xfId="26699" xr:uid="{3F86C026-C7A8-46F7-9443-3AD154D7D496}"/>
    <cellStyle name="40% - Accent2 22 4 2 3 4" xfId="19021" xr:uid="{39DC53C8-FC04-4F95-891B-E9020C38CED0}"/>
    <cellStyle name="40% - Accent2 22 4 2 4" xfId="3730" xr:uid="{F03A3374-3054-4F53-BF8F-98DB38D58BCB}"/>
    <cellStyle name="40% - Accent2 22 4 2 4 2" xfId="7440" xr:uid="{068988EC-15BF-4D87-AD38-AE133BCD2A20}"/>
    <cellStyle name="40% - Accent2 22 4 2 4 2 2" xfId="14949" xr:uid="{991182E2-B46C-48F0-B565-8926941B5EAC}"/>
    <cellStyle name="40% - Accent2 22 4 2 4 2 2 2" xfId="31153" xr:uid="{EF5F8F28-10D5-4D8A-ACBE-C3DB75CF5D27}"/>
    <cellStyle name="40% - Accent2 22 4 2 4 2 3" xfId="23644" xr:uid="{C69A509A-D66B-49E3-9561-EC595E476D2B}"/>
    <cellStyle name="40% - Accent2 22 4 2 4 3" xfId="11340" xr:uid="{80DFF90B-076C-4284-BF6D-9CD0A392D23F}"/>
    <cellStyle name="40% - Accent2 22 4 2 4 3 2" xfId="27544" xr:uid="{9CEB23B4-9D9E-4740-8644-6D8D7B26A09C}"/>
    <cellStyle name="40% - Accent2 22 4 2 4 4" xfId="19939" xr:uid="{6C756531-E71A-4725-A3C3-FBB7B0B3CDD0}"/>
    <cellStyle name="40% - Accent2 22 4 2 5" xfId="4199" xr:uid="{B6DDA50E-87B6-478D-A0C0-58326DE44678}"/>
    <cellStyle name="40% - Accent2 22 4 2 5 2" xfId="7869" xr:uid="{D2DE2790-8ED3-4578-91F0-C6EE82B1232E}"/>
    <cellStyle name="40% - Accent2 22 4 2 5 2 2" xfId="15376" xr:uid="{02358B41-C8E1-4611-A41B-D72165761C32}"/>
    <cellStyle name="40% - Accent2 22 4 2 5 2 2 2" xfId="31580" xr:uid="{70136792-86EA-4457-86CD-D96F935461EC}"/>
    <cellStyle name="40% - Accent2 22 4 2 5 2 3" xfId="24073" xr:uid="{33470B21-AD03-4DA4-AABA-03B46B8B728A}"/>
    <cellStyle name="40% - Accent2 22 4 2 5 3" xfId="11762" xr:uid="{8D10BEEF-42EF-4B7A-A6F4-EF00E10CE06C}"/>
    <cellStyle name="40% - Accent2 22 4 2 5 3 2" xfId="27966" xr:uid="{8C268274-C51B-4C4D-B531-DF1BD50323F7}"/>
    <cellStyle name="40% - Accent2 22 4 2 5 4" xfId="20403" xr:uid="{34AB3851-02FA-4E61-BF8E-2D4DC2FB6084}"/>
    <cellStyle name="40% - Accent2 22 4 2 6" xfId="4624" xr:uid="{1CB12F53-1101-47FA-81F9-D1703B3D786B}"/>
    <cellStyle name="40% - Accent2 22 4 2 6 2" xfId="8294" xr:uid="{397E251A-7FD8-4370-8336-AA6FDB62AF18}"/>
    <cellStyle name="40% - Accent2 22 4 2 6 2 2" xfId="15801" xr:uid="{264954EC-9F6C-4D6F-BE54-14DFF6BBF561}"/>
    <cellStyle name="40% - Accent2 22 4 2 6 2 2 2" xfId="32005" xr:uid="{21939A62-FA64-4295-96A4-31A89FFEA159}"/>
    <cellStyle name="40% - Accent2 22 4 2 6 2 3" xfId="24498" xr:uid="{C932D36A-5F59-4D4E-85E7-F01A627E477F}"/>
    <cellStyle name="40% - Accent2 22 4 2 6 3" xfId="12187" xr:uid="{8B8BE62A-0464-45D8-8160-99695374D1CA}"/>
    <cellStyle name="40% - Accent2 22 4 2 6 3 2" xfId="28391" xr:uid="{64CE7712-43E1-4BE8-8AB3-3A402185FC6A}"/>
    <cellStyle name="40% - Accent2 22 4 2 6 4" xfId="20828" xr:uid="{0828DB2E-B094-4CD2-9B77-5BCD496F2DD5}"/>
    <cellStyle name="40% - Accent2 22 4 2 7" xfId="5051" xr:uid="{BDF20BC4-1036-4048-81BC-0158D5F06F92}"/>
    <cellStyle name="40% - Accent2 22 4 2 7 2" xfId="8717" xr:uid="{3B089354-EDD4-4AC1-ACA7-4C187018AC1E}"/>
    <cellStyle name="40% - Accent2 22 4 2 7 2 2" xfId="16224" xr:uid="{8A9E0CD0-D822-4394-9CEB-872116532EA6}"/>
    <cellStyle name="40% - Accent2 22 4 2 7 2 2 2" xfId="32428" xr:uid="{1EBC7A8E-16AF-48D3-8C3C-39029E8459C2}"/>
    <cellStyle name="40% - Accent2 22 4 2 7 2 3" xfId="24921" xr:uid="{A2D3938F-6DDE-471B-951A-4E1AFC44F76B}"/>
    <cellStyle name="40% - Accent2 22 4 2 7 3" xfId="12609" xr:uid="{AE6CA4A2-967C-4183-A714-CD2BD44D5048}"/>
    <cellStyle name="40% - Accent2 22 4 2 7 3 2" xfId="28813" xr:uid="{81F6AC27-EE8C-4682-9CE1-B07B3FFAD216}"/>
    <cellStyle name="40% - Accent2 22 4 2 7 4" xfId="21255" xr:uid="{06C0797E-F654-4396-A25E-89B6E4EA743D}"/>
    <cellStyle name="40% - Accent2 22 4 2 8" xfId="5723" xr:uid="{F05F9777-9478-4D14-8FE0-EBE30B2A87DF}"/>
    <cellStyle name="40% - Accent2 22 4 2 8 2" xfId="13238" xr:uid="{6BF1EF27-E24B-43C1-A2A9-88081DBE43BB}"/>
    <cellStyle name="40% - Accent2 22 4 2 8 2 2" xfId="29442" xr:uid="{7F54C56D-D314-4A1C-9ED5-0E8ABCAE38D0}"/>
    <cellStyle name="40% - Accent2 22 4 2 8 3" xfId="21927" xr:uid="{3903CF7B-D382-4F06-A9F0-BA192DA5716A}"/>
    <cellStyle name="40% - Accent2 22 4 2 9" xfId="9650" xr:uid="{D9E9930E-609C-4216-9F81-1B46C2E8B0D0}"/>
    <cellStyle name="40% - Accent2 22 4 2 9 2" xfId="25854" xr:uid="{014804CE-183F-4939-BD1A-431F4EE804B1}"/>
    <cellStyle name="40% - Accent2 22 4 3" xfId="2122" xr:uid="{25BB62AF-3E0E-46BF-9B29-64751ACD2357}"/>
    <cellStyle name="40% - Accent2 22 4 3 2" xfId="3035" xr:uid="{57C5C385-3759-4913-AFA1-DB6EAACA402A}"/>
    <cellStyle name="40% - Accent2 22 4 3 2 2" xfId="6817" xr:uid="{8A745370-DF23-40CE-A0E9-E547BA5A8FFD}"/>
    <cellStyle name="40% - Accent2 22 4 3 2 2 2" xfId="14328" xr:uid="{18179B29-528F-466A-A3CD-E9E6F2004C35}"/>
    <cellStyle name="40% - Accent2 22 4 3 2 2 2 2" xfId="30532" xr:uid="{BD14B1AE-6030-4E8E-84FE-DD533A81277C}"/>
    <cellStyle name="40% - Accent2 22 4 3 2 2 3" xfId="23021" xr:uid="{ED3B24A1-83C3-40A2-B517-31D87E0E4926}"/>
    <cellStyle name="40% - Accent2 22 4 3 2 3" xfId="10728" xr:uid="{824FFCAD-8DB2-4A56-B9E0-AE2DE49AB909}"/>
    <cellStyle name="40% - Accent2 22 4 3 2 3 2" xfId="26932" xr:uid="{370C84AE-87A7-4366-86BF-060B7BEF44FD}"/>
    <cellStyle name="40% - Accent2 22 4 3 2 4" xfId="19255" xr:uid="{B5C55BC4-196B-405E-95EA-C0C4F7583DBE}"/>
    <cellStyle name="40% - Accent2 22 4 3 3" xfId="5961" xr:uid="{D104CD62-E833-4FB0-9FA0-266D4B715220}"/>
    <cellStyle name="40% - Accent2 22 4 3 3 2" xfId="13475" xr:uid="{A7CB0C40-2F7D-4242-BB78-488C27A58865}"/>
    <cellStyle name="40% - Accent2 22 4 3 3 2 2" xfId="29679" xr:uid="{E26CF536-8FC2-4316-8B88-F6559863BE47}"/>
    <cellStyle name="40% - Accent2 22 4 3 3 3" xfId="22165" xr:uid="{DCC0B2DC-2A61-48B2-B041-A394227E3ECE}"/>
    <cellStyle name="40% - Accent2 22 4 3 4" xfId="9884" xr:uid="{77416B06-95C3-4977-ABFB-760CF35E9F36}"/>
    <cellStyle name="40% - Accent2 22 4 3 4 2" xfId="26088" xr:uid="{11C1DF76-FE31-47BB-8AE3-C3B98938DFE5}"/>
    <cellStyle name="40% - Accent2 22 4 3 5" xfId="18409" xr:uid="{D02CD306-BE2A-4EB8-8470-F9A8E8547EC3}"/>
    <cellStyle name="40% - Accent2 22 4 4" xfId="2610" xr:uid="{858A16EB-3E45-4586-BD9A-46888E289B0D}"/>
    <cellStyle name="40% - Accent2 22 4 4 2" xfId="6394" xr:uid="{54B16ADB-89E0-4958-9338-6828DDA0B47F}"/>
    <cellStyle name="40% - Accent2 22 4 4 2 2" xfId="13906" xr:uid="{99E0E9E3-A262-4891-B43A-3EDC6CB02B1A}"/>
    <cellStyle name="40% - Accent2 22 4 4 2 2 2" xfId="30110" xr:uid="{A847FC2A-918E-4EF1-B6CB-AF74403E380E}"/>
    <cellStyle name="40% - Accent2 22 4 4 2 3" xfId="22598" xr:uid="{E908DFBE-3BB0-4E78-8940-DAE2BE85A553}"/>
    <cellStyle name="40% - Accent2 22 4 4 3" xfId="10306" xr:uid="{A94AC412-46A7-4903-8E86-C9453941F063}"/>
    <cellStyle name="40% - Accent2 22 4 4 3 2" xfId="26510" xr:uid="{66C2E476-162E-4E59-8850-AE585868F0E8}"/>
    <cellStyle name="40% - Accent2 22 4 4 4" xfId="18832" xr:uid="{B2A3BC7C-B19F-4593-9C97-A87746197B51}"/>
    <cellStyle name="40% - Accent2 22 4 5" xfId="3486" xr:uid="{585DF26D-3B69-4A9E-9E68-8E923C73503C}"/>
    <cellStyle name="40% - Accent2 22 4 5 2" xfId="7244" xr:uid="{D0F3FA4E-3AA0-4AEE-9877-5E7159FAEB44}"/>
    <cellStyle name="40% - Accent2 22 4 5 2 2" xfId="14754" xr:uid="{CC626FC3-DB3A-4B2E-A0C7-FD54083F08C8}"/>
    <cellStyle name="40% - Accent2 22 4 5 2 2 2" xfId="30958" xr:uid="{89A8D4CB-8A7A-4EE3-81DE-AC4880DAA1CE}"/>
    <cellStyle name="40% - Accent2 22 4 5 2 3" xfId="23448" xr:uid="{C13E83EA-0D2B-42E7-818C-D60B7706CBA5}"/>
    <cellStyle name="40% - Accent2 22 4 5 3" xfId="11151" xr:uid="{A70E9534-E70E-41DE-B96B-0DF0E72C7CB0}"/>
    <cellStyle name="40% - Accent2 22 4 5 3 2" xfId="27355" xr:uid="{D51C3E20-4E81-4B1E-B8F5-520B65AC9EB6}"/>
    <cellStyle name="40% - Accent2 22 4 5 4" xfId="19702" xr:uid="{B9726628-0C47-458F-A327-99D6B12BA003}"/>
    <cellStyle name="40% - Accent2 22 4 6" xfId="4010" xr:uid="{CE7DAE82-0162-4398-AA05-0CB91C41B9FB}"/>
    <cellStyle name="40% - Accent2 22 4 6 2" xfId="7680" xr:uid="{DAB018E1-438E-4F20-8D92-DBBDFECDB537}"/>
    <cellStyle name="40% - Accent2 22 4 6 2 2" xfId="15187" xr:uid="{35618677-B2D6-47B5-A2C2-A0CA54BE6876}"/>
    <cellStyle name="40% - Accent2 22 4 6 2 2 2" xfId="31391" xr:uid="{265F1A33-33C1-4C4C-8BD3-167954881835}"/>
    <cellStyle name="40% - Accent2 22 4 6 2 3" xfId="23884" xr:uid="{3375F332-B73A-4ECE-AEB0-E846760EE99E}"/>
    <cellStyle name="40% - Accent2 22 4 6 3" xfId="11573" xr:uid="{5FCD30A2-2E41-4575-8176-E9F3499A97E7}"/>
    <cellStyle name="40% - Accent2 22 4 6 3 2" xfId="27777" xr:uid="{884F3A8E-C321-428A-BFAC-5004224817E1}"/>
    <cellStyle name="40% - Accent2 22 4 6 4" xfId="20214" xr:uid="{8F1930AC-3821-4120-9172-4A845EC04C30}"/>
    <cellStyle name="40% - Accent2 22 4 7" xfId="4435" xr:uid="{06CD6E28-36BF-4A1F-AD22-611CA59C8576}"/>
    <cellStyle name="40% - Accent2 22 4 7 2" xfId="8105" xr:uid="{D8A822D8-0288-4569-9B5A-7B14C08385B0}"/>
    <cellStyle name="40% - Accent2 22 4 7 2 2" xfId="15612" xr:uid="{E537B7A2-A2EB-4674-B179-A70EB075218F}"/>
    <cellStyle name="40% - Accent2 22 4 7 2 2 2" xfId="31816" xr:uid="{6F9C08C4-21A6-4DA6-868A-94A6221BB999}"/>
    <cellStyle name="40% - Accent2 22 4 7 2 3" xfId="24309" xr:uid="{C6B05306-D8D3-4B69-ACAC-3A0CE89C16D1}"/>
    <cellStyle name="40% - Accent2 22 4 7 3" xfId="11998" xr:uid="{CED29E5D-ABFF-44BC-BD35-0160AACEA0E3}"/>
    <cellStyle name="40% - Accent2 22 4 7 3 2" xfId="28202" xr:uid="{D4C32BA7-7669-439D-BE6F-2E951182E00C}"/>
    <cellStyle name="40% - Accent2 22 4 7 4" xfId="20639" xr:uid="{579C0582-2114-4834-9C0E-FFC2AB48B392}"/>
    <cellStyle name="40% - Accent2 22 4 8" xfId="4860" xr:uid="{7E03A77B-D7C9-4B65-B77C-94AD025EDABE}"/>
    <cellStyle name="40% - Accent2 22 4 8 2" xfId="8528" xr:uid="{AC56E410-EAEE-4CE4-A532-177ACEADD236}"/>
    <cellStyle name="40% - Accent2 22 4 8 2 2" xfId="16035" xr:uid="{1AC26AD9-5793-4E7B-954B-636C36F0E71C}"/>
    <cellStyle name="40% - Accent2 22 4 8 2 2 2" xfId="32239" xr:uid="{43F8F2A1-FA0F-4A64-8416-193CDACA4BE4}"/>
    <cellStyle name="40% - Accent2 22 4 8 2 3" xfId="24732" xr:uid="{9BAA8F83-A898-4991-8ED9-DC3AC2BB48F2}"/>
    <cellStyle name="40% - Accent2 22 4 8 3" xfId="12420" xr:uid="{3501CADD-4413-48E8-A2DB-A0743B8D1220}"/>
    <cellStyle name="40% - Accent2 22 4 8 3 2" xfId="28624" xr:uid="{09F05CBC-07D0-4441-8C27-D49583F8584F}"/>
    <cellStyle name="40% - Accent2 22 4 8 4" xfId="21064" xr:uid="{B86CC7FD-3FEB-416E-B110-973AAF90BBE3}"/>
    <cellStyle name="40% - Accent2 22 4 9" xfId="5346" xr:uid="{EBB4326D-3A7D-45B3-96AC-E9BD9A56A870}"/>
    <cellStyle name="40% - Accent2 22 4 9 2" xfId="12895" xr:uid="{9B173921-8C0D-475D-B1DF-052A963D9F04}"/>
    <cellStyle name="40% - Accent2 22 4 9 2 2" xfId="29099" xr:uid="{BBAAEE94-6B15-4E82-902E-FE856A448307}"/>
    <cellStyle name="40% - Accent2 22 4 9 3" xfId="21550" xr:uid="{EFC2C38E-853D-4912-A60B-16DB9C147F8F}"/>
    <cellStyle name="40% - Accent2 22 5" xfId="1388" xr:uid="{4B323D4A-16FD-4B3F-BCE9-76D5005AE292}"/>
    <cellStyle name="40% - Accent2 22 6" xfId="1869" xr:uid="{44D900F1-C073-4D03-9EFA-36BEE0BA1F3F}"/>
    <cellStyle name="40% - Accent2 22 6 10" xfId="18174" xr:uid="{4691D753-65D0-4CC9-A255-CD35FB5920E4}"/>
    <cellStyle name="40% - Accent2 22 6 2" xfId="2378" xr:uid="{E69B1908-54B3-4D9D-A325-0E5B16FF54E0}"/>
    <cellStyle name="40% - Accent2 22 6 2 2" xfId="3225" xr:uid="{43A18FC8-A121-4723-8698-A828D384D874}"/>
    <cellStyle name="40% - Accent2 22 6 2 2 2" xfId="7007" xr:uid="{DDB05690-F44F-40FC-97C4-E4C71E427C75}"/>
    <cellStyle name="40% - Accent2 22 6 2 2 2 2" xfId="14518" xr:uid="{99479CE6-F4D7-402E-B014-8D2B30FC9360}"/>
    <cellStyle name="40% - Accent2 22 6 2 2 2 2 2" xfId="30722" xr:uid="{BEBC4ED9-896D-449C-96ED-7A428CC3B5BA}"/>
    <cellStyle name="40% - Accent2 22 6 2 2 2 3" xfId="23211" xr:uid="{13E5C350-FBA7-4F4E-833B-B5FA3BD4A64F}"/>
    <cellStyle name="40% - Accent2 22 6 2 2 3" xfId="10918" xr:uid="{CC749CA2-F432-465C-8FBC-4E032CCE4B90}"/>
    <cellStyle name="40% - Accent2 22 6 2 2 3 2" xfId="27122" xr:uid="{5B26D483-EB1A-4249-A76E-83A66E5DB322}"/>
    <cellStyle name="40% - Accent2 22 6 2 2 4" xfId="19445" xr:uid="{249BE00D-3CD5-4E6A-83D2-AAD52E9A96B1}"/>
    <cellStyle name="40% - Accent2 22 6 2 3" xfId="6162" xr:uid="{941B2F90-DECE-473A-81D0-05D901D0EFB4}"/>
    <cellStyle name="40% - Accent2 22 6 2 3 2" xfId="13674" xr:uid="{7F8348F4-8F73-4DDD-AC3A-66794FE8E725}"/>
    <cellStyle name="40% - Accent2 22 6 2 3 2 2" xfId="29878" xr:uid="{1925E69D-467A-4EC5-83DC-CE276CF6D5CB}"/>
    <cellStyle name="40% - Accent2 22 6 2 3 3" xfId="22366" xr:uid="{3A6372B9-E701-491B-AAE0-A47FF4A26F48}"/>
    <cellStyle name="40% - Accent2 22 6 2 4" xfId="10074" xr:uid="{630E6E06-0FF4-4407-B0AE-5321552A8899}"/>
    <cellStyle name="40% - Accent2 22 6 2 4 2" xfId="26278" xr:uid="{8E4111F5-E939-4637-A04B-3A2E5ED61F6D}"/>
    <cellStyle name="40% - Accent2 22 6 2 5" xfId="18600" xr:uid="{2A9575D4-05C4-49D5-9F8A-F8575E14A451}"/>
    <cellStyle name="40% - Accent2 22 6 3" xfId="2800" xr:uid="{B70E1E11-77A8-4EDF-A3D3-F13754B2A022}"/>
    <cellStyle name="40% - Accent2 22 6 3 2" xfId="6584" xr:uid="{F3713ED7-2194-4EA9-9814-E2FC97D7364B}"/>
    <cellStyle name="40% - Accent2 22 6 3 2 2" xfId="14096" xr:uid="{BFDC9CEF-F33B-4388-976C-1C4C0FF8D68D}"/>
    <cellStyle name="40% - Accent2 22 6 3 2 2 2" xfId="30300" xr:uid="{1FE95D0E-CD21-4C9C-8B9C-0211E11B748D}"/>
    <cellStyle name="40% - Accent2 22 6 3 2 3" xfId="22788" xr:uid="{4C253766-9C67-4F50-B3AD-CE4BFC9DE947}"/>
    <cellStyle name="40% - Accent2 22 6 3 3" xfId="10496" xr:uid="{C726381A-AB95-483C-98FA-DF48CCB5DF28}"/>
    <cellStyle name="40% - Accent2 22 6 3 3 2" xfId="26700" xr:uid="{86C0B852-B966-4C38-A247-B0E588861E30}"/>
    <cellStyle name="40% - Accent2 22 6 3 4" xfId="19022" xr:uid="{7E223240-4DD5-4741-B070-2DCF30CB96C9}"/>
    <cellStyle name="40% - Accent2 22 6 4" xfId="3731" xr:uid="{3C562C37-40AE-45F9-BE7D-E0D16AE0A79D}"/>
    <cellStyle name="40% - Accent2 22 6 4 2" xfId="7441" xr:uid="{F18D15DC-AFC8-4276-88B0-B202FDB7D4EF}"/>
    <cellStyle name="40% - Accent2 22 6 4 2 2" xfId="14950" xr:uid="{03CF20CE-7E03-4FBE-B594-78F5DA1B7EBE}"/>
    <cellStyle name="40% - Accent2 22 6 4 2 2 2" xfId="31154" xr:uid="{5022D1F6-F0DC-4E19-B7D1-6761FEAEA0FE}"/>
    <cellStyle name="40% - Accent2 22 6 4 2 3" xfId="23645" xr:uid="{55B7067C-E35D-43E6-9ED9-433748F32667}"/>
    <cellStyle name="40% - Accent2 22 6 4 3" xfId="11341" xr:uid="{4AD567A6-7B44-4930-A7FD-E01EAC48F08E}"/>
    <cellStyle name="40% - Accent2 22 6 4 3 2" xfId="27545" xr:uid="{8B0CA776-8A1E-46E6-95D9-D507B0BBB92C}"/>
    <cellStyle name="40% - Accent2 22 6 4 4" xfId="19940" xr:uid="{31A74467-089E-4267-95FE-05BB5AFAC6FD}"/>
    <cellStyle name="40% - Accent2 22 6 5" xfId="4200" xr:uid="{F8A6391D-B927-4ED5-8CFE-80A8C053F4C3}"/>
    <cellStyle name="40% - Accent2 22 6 5 2" xfId="7870" xr:uid="{F4CEF649-DD8C-4AC3-B01C-BE5EA900AFCB}"/>
    <cellStyle name="40% - Accent2 22 6 5 2 2" xfId="15377" xr:uid="{406DF56A-F549-4936-925F-94957EFACEDF}"/>
    <cellStyle name="40% - Accent2 22 6 5 2 2 2" xfId="31581" xr:uid="{632B2732-77A7-4E47-918E-6ABFFF97A987}"/>
    <cellStyle name="40% - Accent2 22 6 5 2 3" xfId="24074" xr:uid="{DF5A8CCB-523E-4A0B-B6E9-567E92A4F819}"/>
    <cellStyle name="40% - Accent2 22 6 5 3" xfId="11763" xr:uid="{9C64D399-B577-400C-9548-3AB9D3FF3BE7}"/>
    <cellStyle name="40% - Accent2 22 6 5 3 2" xfId="27967" xr:uid="{B6181446-108A-4F11-9FFA-F18CB2EEECCF}"/>
    <cellStyle name="40% - Accent2 22 6 5 4" xfId="20404" xr:uid="{E97CBA14-3F4C-440E-AE6D-6EBDEF589CD2}"/>
    <cellStyle name="40% - Accent2 22 6 6" xfId="4625" xr:uid="{006038BC-03C8-4EE4-94D5-EDDF89E5528D}"/>
    <cellStyle name="40% - Accent2 22 6 6 2" xfId="8295" xr:uid="{D2F32A35-872A-47CF-B052-06A1A33A1563}"/>
    <cellStyle name="40% - Accent2 22 6 6 2 2" xfId="15802" xr:uid="{A44805F9-0991-44C3-BD3C-DB975CAD5FC0}"/>
    <cellStyle name="40% - Accent2 22 6 6 2 2 2" xfId="32006" xr:uid="{0530626B-4157-4BBC-94C1-E3DD8CCE4395}"/>
    <cellStyle name="40% - Accent2 22 6 6 2 3" xfId="24499" xr:uid="{7B4F111A-B673-4C43-8A15-5EB1AC1623AC}"/>
    <cellStyle name="40% - Accent2 22 6 6 3" xfId="12188" xr:uid="{6E1B173E-076D-48B5-8BDB-419B12948A29}"/>
    <cellStyle name="40% - Accent2 22 6 6 3 2" xfId="28392" xr:uid="{6F661307-A9E8-4C41-BDA7-7A8BD55E840B}"/>
    <cellStyle name="40% - Accent2 22 6 6 4" xfId="20829" xr:uid="{07AA5710-8BFF-41AC-B0DE-56644809F5D3}"/>
    <cellStyle name="40% - Accent2 22 6 7" xfId="5052" xr:uid="{EA2FE642-3E8E-4934-BD26-9A3DDFBB4794}"/>
    <cellStyle name="40% - Accent2 22 6 7 2" xfId="8718" xr:uid="{DC8F5F4C-7A84-402E-A638-D8918CDD9BAC}"/>
    <cellStyle name="40% - Accent2 22 6 7 2 2" xfId="16225" xr:uid="{99B46DAC-E9C4-442B-B1CB-A1DE37BB97A9}"/>
    <cellStyle name="40% - Accent2 22 6 7 2 2 2" xfId="32429" xr:uid="{ACBD3F5C-B2FE-4590-A3D7-92E37607EE47}"/>
    <cellStyle name="40% - Accent2 22 6 7 2 3" xfId="24922" xr:uid="{413A5220-D418-41D0-9C3F-624BCC8E66C3}"/>
    <cellStyle name="40% - Accent2 22 6 7 3" xfId="12610" xr:uid="{51B820EF-FE3F-4CE0-B635-2268AF5DEED1}"/>
    <cellStyle name="40% - Accent2 22 6 7 3 2" xfId="28814" xr:uid="{8D5436E5-7E2F-4ECB-BA62-51AF740532C8}"/>
    <cellStyle name="40% - Accent2 22 6 7 4" xfId="21256" xr:uid="{230C2363-7E74-4C8D-BE03-7BA9C4699F44}"/>
    <cellStyle name="40% - Accent2 22 6 8" xfId="5724" xr:uid="{DE8FE820-F711-48C8-8EFB-8A530DC1F56A}"/>
    <cellStyle name="40% - Accent2 22 6 8 2" xfId="13239" xr:uid="{6BDB751D-D4A2-40F3-B178-DEDD2E456BC5}"/>
    <cellStyle name="40% - Accent2 22 6 8 2 2" xfId="29443" xr:uid="{D64A8BE3-A0FC-4CE2-BA69-7D8CB0A37826}"/>
    <cellStyle name="40% - Accent2 22 6 8 3" xfId="21928" xr:uid="{536C8044-69BD-4BEF-8552-0FF9AEDBF595}"/>
    <cellStyle name="40% - Accent2 22 6 9" xfId="9651" xr:uid="{07423F66-A715-4DD9-B82F-A2E79C27F9EA}"/>
    <cellStyle name="40% - Accent2 22 6 9 2" xfId="25855" xr:uid="{DC1E4E91-EA4B-446B-88D3-9B3D7A8F23DB}"/>
    <cellStyle name="40% - Accent2 22 7" xfId="2055" xr:uid="{9957E9B6-0242-4ADA-B5F3-555032BA7B1E}"/>
    <cellStyle name="40% - Accent2 22 7 2" xfId="2968" xr:uid="{FF362D7D-F131-47BF-BABD-2AF4D6BAD87D}"/>
    <cellStyle name="40% - Accent2 22 7 2 2" xfId="6750" xr:uid="{B3CB382E-336C-4CF6-853A-CAE4BB1B017F}"/>
    <cellStyle name="40% - Accent2 22 7 2 2 2" xfId="14261" xr:uid="{6C619A7A-F905-40BD-A113-129DEE308656}"/>
    <cellStyle name="40% - Accent2 22 7 2 2 2 2" xfId="30465" xr:uid="{4B5E114A-D4BE-43B8-989E-253179D44C2B}"/>
    <cellStyle name="40% - Accent2 22 7 2 2 3" xfId="22954" xr:uid="{6B4AF40A-CB0D-49B5-8811-13D2833662FF}"/>
    <cellStyle name="40% - Accent2 22 7 2 3" xfId="10661" xr:uid="{7AAAE1D2-82F7-48EB-8887-DF2CD47B5E30}"/>
    <cellStyle name="40% - Accent2 22 7 2 3 2" xfId="26865" xr:uid="{DC28D9F8-8D1D-415F-9556-63740DDA4943}"/>
    <cellStyle name="40% - Accent2 22 7 2 4" xfId="19188" xr:uid="{A17A97CE-B8CE-4478-B448-4AC51711FD21}"/>
    <cellStyle name="40% - Accent2 22 7 3" xfId="5894" xr:uid="{57BD115C-26DB-4FF3-9A55-DC4C2C5F7E2F}"/>
    <cellStyle name="40% - Accent2 22 7 3 2" xfId="13408" xr:uid="{97588FD5-E357-4131-BE14-A7218257F973}"/>
    <cellStyle name="40% - Accent2 22 7 3 2 2" xfId="29612" xr:uid="{06B6FD84-00BC-42BB-B8E0-1EE7100A8B77}"/>
    <cellStyle name="40% - Accent2 22 7 3 3" xfId="22098" xr:uid="{B6CD58F4-BB61-4047-8EE0-4D75B6E4C47C}"/>
    <cellStyle name="40% - Accent2 22 7 4" xfId="9817" xr:uid="{2DB253E9-B148-4230-AAEA-EF9FEA55992B}"/>
    <cellStyle name="40% - Accent2 22 7 4 2" xfId="26021" xr:uid="{15427ADA-3909-4A4C-AF50-2CD0C5704741}"/>
    <cellStyle name="40% - Accent2 22 7 5" xfId="18342" xr:uid="{B5A6E8CC-03AC-4DD4-8B5D-2B69560760DF}"/>
    <cellStyle name="40% - Accent2 22 8" xfId="2543" xr:uid="{0B9CFCDF-9138-4C4B-934B-EDA78AC43CFC}"/>
    <cellStyle name="40% - Accent2 22 8 2" xfId="6327" xr:uid="{61109B88-C53F-4E94-AF39-B89AF4ECDC43}"/>
    <cellStyle name="40% - Accent2 22 8 2 2" xfId="13839" xr:uid="{1B50022A-AB35-4A84-B64B-A59A02C1EFF1}"/>
    <cellStyle name="40% - Accent2 22 8 2 2 2" xfId="30043" xr:uid="{899A752A-7355-45FC-87ED-C290714A0CC1}"/>
    <cellStyle name="40% - Accent2 22 8 2 3" xfId="22531" xr:uid="{E07636FF-EFA6-4A23-A80A-2E10A75DC353}"/>
    <cellStyle name="40% - Accent2 22 8 3" xfId="10239" xr:uid="{E45B91AD-2499-4DF9-A1F3-20835D0C20DB}"/>
    <cellStyle name="40% - Accent2 22 8 3 2" xfId="26443" xr:uid="{FB0B346D-9A70-4395-8FB5-F6F4312398B4}"/>
    <cellStyle name="40% - Accent2 22 8 4" xfId="18765" xr:uid="{AAAFF4C9-658C-4DBC-A334-3449EF57ADF2}"/>
    <cellStyle name="40% - Accent2 22 9" xfId="3419" xr:uid="{3406EFEC-E6D3-415C-B7E1-27BBD3AC1480}"/>
    <cellStyle name="40% - Accent2 22 9 2" xfId="7177" xr:uid="{F00F9ABE-C2EC-404E-AAA4-AE043BE72560}"/>
    <cellStyle name="40% - Accent2 22 9 2 2" xfId="14687" xr:uid="{28CF8BA5-FB0D-44A4-B7A8-9DC07D8E8A74}"/>
    <cellStyle name="40% - Accent2 22 9 2 2 2" xfId="30891" xr:uid="{4B80124F-FB89-45EC-B7D1-622EC3054F44}"/>
    <cellStyle name="40% - Accent2 22 9 2 3" xfId="23381" xr:uid="{783CB0AC-91BC-46F0-9ED6-0BF7789039AC}"/>
    <cellStyle name="40% - Accent2 22 9 3" xfId="11084" xr:uid="{E5FCA358-A3C8-4B87-9A24-D2771F5F93CD}"/>
    <cellStyle name="40% - Accent2 22 9 3 2" xfId="27288" xr:uid="{B2CD714C-92E1-44B4-9AA7-075ED758353D}"/>
    <cellStyle name="40% - Accent2 22 9 4" xfId="19635" xr:uid="{0011A13C-F58A-4499-8C05-8CE7721F9A88}"/>
    <cellStyle name="40% - Accent2 23" xfId="864" xr:uid="{30890D6A-0F76-4960-B43F-F86768FA478A}"/>
    <cellStyle name="40% - Accent2 24" xfId="1811" xr:uid="{B5F64068-1C63-4A39-8AB2-8B900FBC4AA9}"/>
    <cellStyle name="40% - Accent2 24 10" xfId="18116" xr:uid="{2A1308F0-6C44-4961-8063-6E83082BC48B}"/>
    <cellStyle name="40% - Accent2 24 2" xfId="2320" xr:uid="{F6C39422-58B0-46D9-AE89-407630F2F8BB}"/>
    <cellStyle name="40% - Accent2 24 2 2" xfId="3167" xr:uid="{BE292A89-E39F-4880-9AA7-F8B5DB343F63}"/>
    <cellStyle name="40% - Accent2 24 2 2 2" xfId="6949" xr:uid="{6780C7C4-5531-4193-B8D4-B1669DC89FD3}"/>
    <cellStyle name="40% - Accent2 24 2 2 2 2" xfId="14460" xr:uid="{995513C6-0EFF-44D2-BC88-245055FE24FF}"/>
    <cellStyle name="40% - Accent2 24 2 2 2 2 2" xfId="30664" xr:uid="{EA426EE2-F317-4218-BE39-2851F4635FB6}"/>
    <cellStyle name="40% - Accent2 24 2 2 2 3" xfId="23153" xr:uid="{BB575A30-61DC-4F66-9961-351F919686F3}"/>
    <cellStyle name="40% - Accent2 24 2 2 3" xfId="10860" xr:uid="{29B5F0FF-11C1-4CB6-8E46-B25C66FFD94A}"/>
    <cellStyle name="40% - Accent2 24 2 2 3 2" xfId="27064" xr:uid="{3AA51A6F-03CA-405A-AC88-72C349CA2FFD}"/>
    <cellStyle name="40% - Accent2 24 2 2 4" xfId="19387" xr:uid="{93D7EEE0-55B7-44D5-A5A7-14197B9BC915}"/>
    <cellStyle name="40% - Accent2 24 2 3" xfId="6104" xr:uid="{22D41DAA-9DAD-4F6E-99FF-7536A3923D1E}"/>
    <cellStyle name="40% - Accent2 24 2 3 2" xfId="13616" xr:uid="{4EE2233B-F48D-4234-ACF5-B5DF313104DE}"/>
    <cellStyle name="40% - Accent2 24 2 3 2 2" xfId="29820" xr:uid="{53B8A6AA-7DAF-42C2-B9BD-B02F0D03503C}"/>
    <cellStyle name="40% - Accent2 24 2 3 3" xfId="22308" xr:uid="{41D56AB5-03B4-4A44-8DDB-D7A4A04A7CE9}"/>
    <cellStyle name="40% - Accent2 24 2 4" xfId="10016" xr:uid="{FA0179C1-1E73-4E3B-A790-5D565F9B1DCB}"/>
    <cellStyle name="40% - Accent2 24 2 4 2" xfId="26220" xr:uid="{25657E1C-7BDF-464F-8F33-B2D1257441A1}"/>
    <cellStyle name="40% - Accent2 24 2 5" xfId="18542" xr:uid="{F350FFEA-C75D-4E9E-A423-0C683E749566}"/>
    <cellStyle name="40% - Accent2 24 3" xfId="2742" xr:uid="{B9E2A9A0-33F8-4C6C-A2D8-AAF07993A61F}"/>
    <cellStyle name="40% - Accent2 24 3 2" xfId="6526" xr:uid="{0F7D82A9-E3EE-44C0-A133-F723E5E72A60}"/>
    <cellStyle name="40% - Accent2 24 3 2 2" xfId="14038" xr:uid="{483D1709-0D0B-4CB8-9418-5E743A5206FA}"/>
    <cellStyle name="40% - Accent2 24 3 2 2 2" xfId="30242" xr:uid="{252E1E96-01A3-4261-AF1F-5177C5D0EA44}"/>
    <cellStyle name="40% - Accent2 24 3 2 3" xfId="22730" xr:uid="{171A3350-FE04-4F8E-B4BA-95CA3A3C6F2E}"/>
    <cellStyle name="40% - Accent2 24 3 3" xfId="10438" xr:uid="{CC78FD1B-7156-4566-96FF-BA05E5943160}"/>
    <cellStyle name="40% - Accent2 24 3 3 2" xfId="26642" xr:uid="{DDF43ACE-0C40-46D1-AB67-8D240457395A}"/>
    <cellStyle name="40% - Accent2 24 3 4" xfId="18964" xr:uid="{FD348046-792B-4ED9-939E-FF1369D1E153}"/>
    <cellStyle name="40% - Accent2 24 4" xfId="3673" xr:uid="{26321876-2174-413B-A563-8ED2FDBDF245}"/>
    <cellStyle name="40% - Accent2 24 4 2" xfId="7383" xr:uid="{E642C026-7973-4276-9647-038D57C9DB35}"/>
    <cellStyle name="40% - Accent2 24 4 2 2" xfId="14892" xr:uid="{41638494-00C2-48FE-AEDF-3ACB2A66BD4B}"/>
    <cellStyle name="40% - Accent2 24 4 2 2 2" xfId="31096" xr:uid="{BD52A5DD-8769-4945-AF24-3696B2352D37}"/>
    <cellStyle name="40% - Accent2 24 4 2 3" xfId="23587" xr:uid="{FCF0A3E5-7442-4B7B-90F7-AF0B1E91420D}"/>
    <cellStyle name="40% - Accent2 24 4 3" xfId="11283" xr:uid="{799DA40A-C2D1-4629-BFAC-12F63344E8E3}"/>
    <cellStyle name="40% - Accent2 24 4 3 2" xfId="27487" xr:uid="{5DFAFF9A-A9D4-4B95-8763-DEE39F379DE7}"/>
    <cellStyle name="40% - Accent2 24 4 4" xfId="19882" xr:uid="{9DC2D8F0-9593-4EE8-A42F-3AD1CCC6C4F4}"/>
    <cellStyle name="40% - Accent2 24 5" xfId="4142" xr:uid="{689F5FFF-AB73-49D5-B509-30B748F7D237}"/>
    <cellStyle name="40% - Accent2 24 5 2" xfId="7812" xr:uid="{A376B210-6E95-44F3-946B-491C268331C5}"/>
    <cellStyle name="40% - Accent2 24 5 2 2" xfId="15319" xr:uid="{EDEFD55A-9B65-4022-BB14-A4BAA573F08F}"/>
    <cellStyle name="40% - Accent2 24 5 2 2 2" xfId="31523" xr:uid="{124805B8-1D45-42B2-B30B-83EDD87FA00C}"/>
    <cellStyle name="40% - Accent2 24 5 2 3" xfId="24016" xr:uid="{B46B0261-5558-4935-82DE-B3992070F3D1}"/>
    <cellStyle name="40% - Accent2 24 5 3" xfId="11705" xr:uid="{0BDC48EE-77F4-4CA9-8B67-2C4B17DBE1A1}"/>
    <cellStyle name="40% - Accent2 24 5 3 2" xfId="27909" xr:uid="{83F523BF-2BF6-45F4-8786-DBC827D436DF}"/>
    <cellStyle name="40% - Accent2 24 5 4" xfId="20346" xr:uid="{8754378A-75C3-468A-A715-A342801E12CF}"/>
    <cellStyle name="40% - Accent2 24 6" xfId="4567" xr:uid="{49003D9F-A18E-43CD-95EB-0A6B854079B7}"/>
    <cellStyle name="40% - Accent2 24 6 2" xfId="8237" xr:uid="{1B917EC1-4E6C-4354-8836-B2A3C22DFA5B}"/>
    <cellStyle name="40% - Accent2 24 6 2 2" xfId="15744" xr:uid="{C627477E-770F-487A-B928-14C9D425E0FA}"/>
    <cellStyle name="40% - Accent2 24 6 2 2 2" xfId="31948" xr:uid="{347D3155-9572-4BC1-9055-0DA73016DE46}"/>
    <cellStyle name="40% - Accent2 24 6 2 3" xfId="24441" xr:uid="{3E0F9BDA-431B-4D9F-A86D-8510493B9217}"/>
    <cellStyle name="40% - Accent2 24 6 3" xfId="12130" xr:uid="{5490E3E6-B282-4833-913A-DD61E1395F59}"/>
    <cellStyle name="40% - Accent2 24 6 3 2" xfId="28334" xr:uid="{FE12314F-961F-4413-9420-55D41EAA6CCF}"/>
    <cellStyle name="40% - Accent2 24 6 4" xfId="20771" xr:uid="{C649BC88-CB23-457F-B507-7561B6801365}"/>
    <cellStyle name="40% - Accent2 24 7" xfId="4994" xr:uid="{9FE3C236-38B8-49A8-A7DF-34B1179D150E}"/>
    <cellStyle name="40% - Accent2 24 7 2" xfId="8660" xr:uid="{7211CD35-F15F-4A63-BDC6-C5A3F4059E4D}"/>
    <cellStyle name="40% - Accent2 24 7 2 2" xfId="16167" xr:uid="{DB7C1FF3-70F6-436F-9406-4ED145038A5C}"/>
    <cellStyle name="40% - Accent2 24 7 2 2 2" xfId="32371" xr:uid="{CB99D86E-7370-48AC-81D7-2412584EC3A3}"/>
    <cellStyle name="40% - Accent2 24 7 2 3" xfId="24864" xr:uid="{174B896B-BA3F-4811-957C-9F4FD7C1B303}"/>
    <cellStyle name="40% - Accent2 24 7 3" xfId="12552" xr:uid="{B3B0EF2A-F330-414C-98AA-78CFA7CC232B}"/>
    <cellStyle name="40% - Accent2 24 7 3 2" xfId="28756" xr:uid="{62BCC6A4-17AB-4D4E-9285-4CCE050F443B}"/>
    <cellStyle name="40% - Accent2 24 7 4" xfId="21198" xr:uid="{CE0FB4DC-21B2-4755-901B-3A2483F628C5}"/>
    <cellStyle name="40% - Accent2 24 8" xfId="5666" xr:uid="{8FE2D69B-DAA4-4CDC-AE93-D6E45E0434AA}"/>
    <cellStyle name="40% - Accent2 24 8 2" xfId="13181" xr:uid="{EBA24610-CBBD-45C1-92AC-FD0D829EABE5}"/>
    <cellStyle name="40% - Accent2 24 8 2 2" xfId="29385" xr:uid="{5721E755-47A3-46E2-8DF3-40B95BE02B53}"/>
    <cellStyle name="40% - Accent2 24 8 3" xfId="21870" xr:uid="{CF888E6C-CF10-4018-9BAF-C293C1FF7730}"/>
    <cellStyle name="40% - Accent2 24 9" xfId="9593" xr:uid="{9744EB9A-4D3C-4BBE-87AD-8A26014B7379}"/>
    <cellStyle name="40% - Accent2 24 9 2" xfId="25797" xr:uid="{4D459FFE-4F18-43C8-A31D-DBF7580B860B}"/>
    <cellStyle name="40% - Accent2 25" xfId="156" xr:uid="{42B7BE35-2883-4643-A7DA-939CBF523BBA}"/>
    <cellStyle name="40% - Accent2 26" xfId="16848" xr:uid="{6CA5C072-5FFE-436E-BFD5-3646B6FB9A9C}"/>
    <cellStyle name="40% - Accent2 3" xfId="169" xr:uid="{DBEB2D2A-7BDF-478A-9080-E44FB63C917E}"/>
    <cellStyle name="40% - Accent2 3 2" xfId="1401" xr:uid="{4ADE3E1D-9E40-4963-BCAB-692B2453A6DE}"/>
    <cellStyle name="40% - Accent2 3 3" xfId="851" xr:uid="{F7B95874-BA2A-40E7-819D-B1A003E6AB59}"/>
    <cellStyle name="40% - Accent2 4" xfId="170" xr:uid="{6AF757B3-39BB-4444-A546-A0ADD1087A83}"/>
    <cellStyle name="40% - Accent2 4 2" xfId="1402" xr:uid="{5F28C3CB-E2CB-4E46-B031-2EDBC67C468E}"/>
    <cellStyle name="40% - Accent2 4 3" xfId="850" xr:uid="{89E345CB-D987-419C-B58C-2E1C260AB9C0}"/>
    <cellStyle name="40% - Accent2 5" xfId="171" xr:uid="{C0AA19FD-B109-4677-9889-AF518251C456}"/>
    <cellStyle name="40% - Accent2 5 2" xfId="1403" xr:uid="{145E465C-79CF-41D2-871D-D24AEC2C33E6}"/>
    <cellStyle name="40% - Accent2 5 3" xfId="849" xr:uid="{8B3100A6-B94F-4F84-94DF-A0795B1167A5}"/>
    <cellStyle name="40% - Accent2 6" xfId="172" xr:uid="{6C5D74B1-613D-4546-97E0-1E6468AF4B54}"/>
    <cellStyle name="40% - Accent2 6 2" xfId="1404" xr:uid="{CD29C8CF-3432-4D26-A9CE-295A8F0FFB88}"/>
    <cellStyle name="40% - Accent2 6 3" xfId="848" xr:uid="{E736CA0A-179C-4CBA-9998-55ADCE67A1EF}"/>
    <cellStyle name="40% - Accent2 7" xfId="173" xr:uid="{0934D43E-6B6A-40B7-A428-27C0484FA9FA}"/>
    <cellStyle name="40% - Accent2 7 2" xfId="1405" xr:uid="{DBABD0FF-8D3F-4787-8247-4B45212945E8}"/>
    <cellStyle name="40% - Accent2 7 3" xfId="847" xr:uid="{F1163B53-B628-4167-A4BC-D365535737D0}"/>
    <cellStyle name="40% - Accent2 8" xfId="174" xr:uid="{7B934958-6DAC-4FF3-898B-A85DADB583C1}"/>
    <cellStyle name="40% - Accent2 8 2" xfId="1406" xr:uid="{5F8E4FF1-E273-4365-A628-B71285C41D8C}"/>
    <cellStyle name="40% - Accent2 8 3" xfId="846" xr:uid="{38BFB1D5-80E4-4B77-A1F9-F30C35AE80B0}"/>
    <cellStyle name="40% - Accent2 9" xfId="175" xr:uid="{0D097CFC-B32C-4228-821E-1E51885B61DB}"/>
    <cellStyle name="40% - Accent2 9 2" xfId="1407" xr:uid="{31D9D297-F198-4BED-A9AD-D31B5E80C9CD}"/>
    <cellStyle name="40% - Accent2 9 3" xfId="845" xr:uid="{FD316A52-CE1D-4E45-852A-28C6854F0AF8}"/>
    <cellStyle name="40% - Accent3 10" xfId="177" xr:uid="{D4F3D53C-21E8-4140-82BA-1D1D7678B1D2}"/>
    <cellStyle name="40% - Accent3 10 2" xfId="1409" xr:uid="{1969A499-4CA3-4807-90C0-C67465FCE250}"/>
    <cellStyle name="40% - Accent3 10 3" xfId="843" xr:uid="{8E4FF041-5444-46ED-BD06-0C297D776BB8}"/>
    <cellStyle name="40% - Accent3 11" xfId="178" xr:uid="{2B415F18-8886-4353-BB49-97A255B06683}"/>
    <cellStyle name="40% - Accent3 11 2" xfId="1410" xr:uid="{93BA4377-074D-4913-A437-8BE8756844A3}"/>
    <cellStyle name="40% - Accent3 11 3" xfId="842" xr:uid="{9D57CAB7-10D0-45E1-A704-7A9AD6CE0ED7}"/>
    <cellStyle name="40% - Accent3 12" xfId="179" xr:uid="{572187BB-3EF6-4F9D-B62D-58ED8391C381}"/>
    <cellStyle name="40% - Accent3 12 2" xfId="1411" xr:uid="{1F432D55-6B66-40B4-B516-84502B3832CA}"/>
    <cellStyle name="40% - Accent3 12 3" xfId="841" xr:uid="{C23D5747-B10C-49A9-9E9E-47226759F171}"/>
    <cellStyle name="40% - Accent3 13" xfId="180" xr:uid="{6AAF3666-D0E1-497D-9077-94DA335ED246}"/>
    <cellStyle name="40% - Accent3 13 2" xfId="1412" xr:uid="{00F02D6F-243D-4B13-9883-0A29FB1A66FE}"/>
    <cellStyle name="40% - Accent3 13 3" xfId="840" xr:uid="{BED8601A-9F3A-4D4C-B21D-755F40725ADD}"/>
    <cellStyle name="40% - Accent3 14" xfId="181" xr:uid="{E377EA24-CF32-42C4-87C5-C1A32435E3FB}"/>
    <cellStyle name="40% - Accent3 14 2" xfId="1413" xr:uid="{6D3ECC91-E277-46E0-9857-1E783E17E389}"/>
    <cellStyle name="40% - Accent3 14 3" xfId="839" xr:uid="{D8373F18-0507-4874-8BEB-7216B7206313}"/>
    <cellStyle name="40% - Accent3 15" xfId="182" xr:uid="{0626662D-5258-406D-BF71-7C166A1BDCF1}"/>
    <cellStyle name="40% - Accent3 15 2" xfId="1414" xr:uid="{3EC6B666-EBB3-4774-8067-635A8476DAD1}"/>
    <cellStyle name="40% - Accent3 15 3" xfId="838" xr:uid="{C3BB8805-D9E4-490D-A8A9-7C0BE5407CCE}"/>
    <cellStyle name="40% - Accent3 16" xfId="183" xr:uid="{DD4CFB2E-DC65-4B9A-B41B-558DE19628F0}"/>
    <cellStyle name="40% - Accent3 16 2" xfId="1415" xr:uid="{E590C0F0-CFAD-447A-A7DD-80FD08712326}"/>
    <cellStyle name="40% - Accent3 16 3" xfId="837" xr:uid="{AC9AA6E0-C45C-47A8-863B-822CBA94EDBD}"/>
    <cellStyle name="40% - Accent3 17" xfId="184" xr:uid="{00124CC3-E0D5-4B4F-9E19-DFB6EEB0696F}"/>
    <cellStyle name="40% - Accent3 17 2" xfId="1416" xr:uid="{D034E31D-7757-402B-86C9-5A41C1E345B7}"/>
    <cellStyle name="40% - Accent3 17 3" xfId="836" xr:uid="{72E14B1B-A581-475D-8C87-23A17933A6BD}"/>
    <cellStyle name="40% - Accent3 18" xfId="185" xr:uid="{22AF250C-90E9-48C3-A1D5-883624761A3E}"/>
    <cellStyle name="40% - Accent3 18 2" xfId="1417" xr:uid="{1AA9348F-D1C4-47E8-8778-D01FE7E8E7AF}"/>
    <cellStyle name="40% - Accent3 18 3" xfId="835" xr:uid="{F79F5DA9-ACF8-43CE-89F0-758778707B61}"/>
    <cellStyle name="40% - Accent3 19" xfId="186" xr:uid="{700192C4-9BAE-45BD-951B-4461AE06BB04}"/>
    <cellStyle name="40% - Accent3 19 2" xfId="1418" xr:uid="{CF11DFAD-E5A7-41F3-8EAB-398721EEF798}"/>
    <cellStyle name="40% - Accent3 19 3" xfId="834" xr:uid="{528987EB-5DD7-43D7-9227-FC6EC22DC995}"/>
    <cellStyle name="40% - Accent3 2" xfId="187" xr:uid="{58558B78-00B9-4192-A22E-9861F8CF26E4}"/>
    <cellStyle name="40% - Accent3 2 2" xfId="1419" xr:uid="{00E76A84-FDD9-4734-8E5D-462D4334C415}"/>
    <cellStyle name="40% - Accent3 2 3" xfId="833" xr:uid="{5F4CA3DA-F611-454F-A64D-3A1A3E960AAF}"/>
    <cellStyle name="40% - Accent3 20" xfId="188" xr:uid="{C607174F-7ECA-4901-8D9D-3F4FFE1C3548}"/>
    <cellStyle name="40% - Accent3 20 2" xfId="1420" xr:uid="{D1CB5CCC-F13C-4497-AFDF-978AD5F750E7}"/>
    <cellStyle name="40% - Accent3 20 3" xfId="832" xr:uid="{A0676E95-4387-417D-8F27-E10E9F3CD774}"/>
    <cellStyle name="40% - Accent3 21" xfId="410" xr:uid="{1525641C-5DE6-4EE1-812C-249CD409A970}"/>
    <cellStyle name="40% - Accent3 21 2" xfId="677" xr:uid="{23E68FEC-8435-4417-9412-31EB7A22D9C7}"/>
    <cellStyle name="40% - Accent3 22" xfId="475" xr:uid="{718BD3A6-CB96-40CD-8778-525D15711DBC}"/>
    <cellStyle name="40% - Accent3 22 10" xfId="3945" xr:uid="{0928A0F5-1902-4E6B-802F-83B9588A6EA3}"/>
    <cellStyle name="40% - Accent3 22 10 2" xfId="7615" xr:uid="{A306542C-9935-4F6B-BC61-F955F692706B}"/>
    <cellStyle name="40% - Accent3 22 10 2 2" xfId="15122" xr:uid="{A8540677-A7A3-4EB8-876E-11E14149645C}"/>
    <cellStyle name="40% - Accent3 22 10 2 2 2" xfId="31326" xr:uid="{39D32FE8-6115-4683-BB47-AA1992F28877}"/>
    <cellStyle name="40% - Accent3 22 10 2 3" xfId="23819" xr:uid="{1278EC99-8409-49D5-AA05-B4AC7E6F3DBD}"/>
    <cellStyle name="40% - Accent3 22 10 3" xfId="11508" xr:uid="{894321F6-1D82-4C88-8956-91656A57A2FA}"/>
    <cellStyle name="40% - Accent3 22 10 3 2" xfId="27712" xr:uid="{A5F7AA66-5D33-4E61-8544-CD6921A562BA}"/>
    <cellStyle name="40% - Accent3 22 10 4" xfId="20149" xr:uid="{EE340C37-CFA7-42C6-8AD8-55FA31230AD9}"/>
    <cellStyle name="40% - Accent3 22 11" xfId="4370" xr:uid="{64641C70-356A-49A9-B6B9-EC82E9A54979}"/>
    <cellStyle name="40% - Accent3 22 11 2" xfId="8040" xr:uid="{DF3D435F-40C6-449A-91CA-86BF9F2603BB}"/>
    <cellStyle name="40% - Accent3 22 11 2 2" xfId="15547" xr:uid="{44664FCF-4594-4BEA-99A7-EB215692CEB0}"/>
    <cellStyle name="40% - Accent3 22 11 2 2 2" xfId="31751" xr:uid="{2B0302E8-73AB-4D76-84D2-FBF4D8FA1972}"/>
    <cellStyle name="40% - Accent3 22 11 2 3" xfId="24244" xr:uid="{DE56CC60-A3A3-45FC-B296-4AD38E4C7015}"/>
    <cellStyle name="40% - Accent3 22 11 3" xfId="11933" xr:uid="{59A527E0-794C-4A21-8260-9922A2F30819}"/>
    <cellStyle name="40% - Accent3 22 11 3 2" xfId="28137" xr:uid="{44433AE1-22D0-449F-91F1-F395F25E6630}"/>
    <cellStyle name="40% - Accent3 22 11 4" xfId="20574" xr:uid="{39105B89-6AC1-4AAF-B8D3-FD7EF7C67D3D}"/>
    <cellStyle name="40% - Accent3 22 12" xfId="4793" xr:uid="{61C01303-2601-469D-9FB1-BD41FFC28876}"/>
    <cellStyle name="40% - Accent3 22 12 2" xfId="8462" xr:uid="{4FF7EDC0-D819-4288-BD96-8DF8E20397C4}"/>
    <cellStyle name="40% - Accent3 22 12 2 2" xfId="15969" xr:uid="{8CE7949A-87BE-4B13-9D4F-FFCAFCD9322D}"/>
    <cellStyle name="40% - Accent3 22 12 2 2 2" xfId="32173" xr:uid="{02C8F439-7B13-427F-ADB1-87834CFEFE5F}"/>
    <cellStyle name="40% - Accent3 22 12 2 3" xfId="24666" xr:uid="{E5B18F46-3ED9-4B49-98F7-6F84D16590D8}"/>
    <cellStyle name="40% - Accent3 22 12 3" xfId="12355" xr:uid="{4BBBE284-906E-4C99-8AB3-B66FEF85BAE9}"/>
    <cellStyle name="40% - Accent3 22 12 3 2" xfId="28559" xr:uid="{3B73EAE9-201A-466F-A09D-DE37BDC3772A}"/>
    <cellStyle name="40% - Accent3 22 12 4" xfId="20997" xr:uid="{33D02976-00D2-4E49-85F8-C3FF917DDFE5}"/>
    <cellStyle name="40% - Accent3 22 13" xfId="5280" xr:uid="{BA0ABD53-FC6B-42C8-8728-1C8EF608C352}"/>
    <cellStyle name="40% - Accent3 22 13 2" xfId="12829" xr:uid="{A2C6BEB1-A481-48F3-972D-FE7CE215AD45}"/>
    <cellStyle name="40% - Accent3 22 13 2 2" xfId="29033" xr:uid="{833BAD7E-A535-4101-9AB5-98D79AE2EBCA}"/>
    <cellStyle name="40% - Accent3 22 13 3" xfId="21484" xr:uid="{A54676A7-0380-435F-83D7-5400FF7E8867}"/>
    <cellStyle name="40% - Accent3 22 14" xfId="9396" xr:uid="{0A0E3B8D-FB2C-4D2B-91CF-ADF085E282BF}"/>
    <cellStyle name="40% - Accent3 22 14 2" xfId="25600" xr:uid="{0648FB34-5FA2-4738-8E03-DCF81CC757DE}"/>
    <cellStyle name="40% - Accent3 22 15" xfId="17910" xr:uid="{291D7E8C-A3B1-4C59-B03C-9FF854AE003D}"/>
    <cellStyle name="40% - Accent3 22 2" xfId="506" xr:uid="{263D2788-17E9-4937-BCCD-434919C2D608}"/>
    <cellStyle name="40% - Accent3 22 2 10" xfId="5303" xr:uid="{772DF474-F662-48E9-B859-7230B6E4677B}"/>
    <cellStyle name="40% - Accent3 22 2 10 2" xfId="12852" xr:uid="{6F2A2670-4406-485D-9C54-51682139DEC5}"/>
    <cellStyle name="40% - Accent3 22 2 10 2 2" xfId="29056" xr:uid="{B61043CE-E1FD-4021-8AE3-3C0D25B5BD6C}"/>
    <cellStyle name="40% - Accent3 22 2 10 3" xfId="21507" xr:uid="{0AAAEEE9-DDFB-4758-BB98-FFC31AFC0D5E}"/>
    <cellStyle name="40% - Accent3 22 2 11" xfId="9418" xr:uid="{04BAAA0F-EBAB-4BAF-B7A2-01B5903FAD95}"/>
    <cellStyle name="40% - Accent3 22 2 11 2" xfId="25622" xr:uid="{BD46116F-D2EE-48CC-87F6-FAD1EC5FFC49}"/>
    <cellStyle name="40% - Accent3 22 2 12" xfId="17933" xr:uid="{9FB4D907-01F2-4C9D-A238-3E9181C79504}"/>
    <cellStyle name="40% - Accent3 22 2 2" xfId="577" xr:uid="{BA9A8174-C6F7-45E0-B8EE-2213413AB966}"/>
    <cellStyle name="40% - Accent3 22 2 2 10" xfId="9485" xr:uid="{50EA31E8-CC99-4EF0-B1C7-5F0B909AA36C}"/>
    <cellStyle name="40% - Accent3 22 2 2 10 2" xfId="25689" xr:uid="{0E55127D-A035-4D40-8F8E-896FB5290AA1}"/>
    <cellStyle name="40% - Accent3 22 2 2 11" xfId="18001" xr:uid="{4B31E22F-6D87-49AE-AA52-99F803CDAD39}"/>
    <cellStyle name="40% - Accent3 22 2 2 2" xfId="1870" xr:uid="{83F6253C-BE8A-49BD-A919-2FEDEAADE509}"/>
    <cellStyle name="40% - Accent3 22 2 2 2 10" xfId="18175" xr:uid="{5778A513-DF8B-488B-B8BA-798A429AEE3B}"/>
    <cellStyle name="40% - Accent3 22 2 2 2 2" xfId="2379" xr:uid="{856E61E7-74EB-497A-AACA-41CA9938D64F}"/>
    <cellStyle name="40% - Accent3 22 2 2 2 2 2" xfId="3226" xr:uid="{C32C790D-6E09-448F-80FA-747BFDDEAC63}"/>
    <cellStyle name="40% - Accent3 22 2 2 2 2 2 2" xfId="7008" xr:uid="{8719E1D4-2B15-4D0E-A2EA-FD3A6CDBCF41}"/>
    <cellStyle name="40% - Accent3 22 2 2 2 2 2 2 2" xfId="14519" xr:uid="{20400C48-C76D-4FCD-8745-32489C95B9E2}"/>
    <cellStyle name="40% - Accent3 22 2 2 2 2 2 2 2 2" xfId="30723" xr:uid="{A6DE28CF-4893-46DF-9ABD-02086A1C5111}"/>
    <cellStyle name="40% - Accent3 22 2 2 2 2 2 2 3" xfId="23212" xr:uid="{F357545C-11CC-4536-838F-5654A2BE7453}"/>
    <cellStyle name="40% - Accent3 22 2 2 2 2 2 3" xfId="10919" xr:uid="{8D279912-393E-45D1-B975-8DE9CB7D7565}"/>
    <cellStyle name="40% - Accent3 22 2 2 2 2 2 3 2" xfId="27123" xr:uid="{84125091-1CCC-4E2D-8B8F-AC0160285504}"/>
    <cellStyle name="40% - Accent3 22 2 2 2 2 2 4" xfId="19446" xr:uid="{5E70C3F3-071E-47CF-B2A2-66D2079BE487}"/>
    <cellStyle name="40% - Accent3 22 2 2 2 2 3" xfId="6163" xr:uid="{8F57D3A6-F7C0-4A95-A812-2370FE2925D7}"/>
    <cellStyle name="40% - Accent3 22 2 2 2 2 3 2" xfId="13675" xr:uid="{ECCCC5A7-D673-4396-92C7-2A16074F98E3}"/>
    <cellStyle name="40% - Accent3 22 2 2 2 2 3 2 2" xfId="29879" xr:uid="{773F0C22-1CCA-4163-A2B8-437328CF1854}"/>
    <cellStyle name="40% - Accent3 22 2 2 2 2 3 3" xfId="22367" xr:uid="{3A4283F7-DFDA-420F-A6A6-DC5544A29207}"/>
    <cellStyle name="40% - Accent3 22 2 2 2 2 4" xfId="10075" xr:uid="{10B29BC3-28B4-4AC6-BC24-FCD8401A1B54}"/>
    <cellStyle name="40% - Accent3 22 2 2 2 2 4 2" xfId="26279" xr:uid="{FD852130-C6F3-4424-81AE-A2FD19315DEE}"/>
    <cellStyle name="40% - Accent3 22 2 2 2 2 5" xfId="18601" xr:uid="{5BFBBE32-2810-4DE7-A688-687DCD99D1C6}"/>
    <cellStyle name="40% - Accent3 22 2 2 2 3" xfId="2801" xr:uid="{3C593E77-1985-42BE-95B8-A983CC8BC706}"/>
    <cellStyle name="40% - Accent3 22 2 2 2 3 2" xfId="6585" xr:uid="{3BFEE664-E7BE-4EC7-9557-EAAC121C48B7}"/>
    <cellStyle name="40% - Accent3 22 2 2 2 3 2 2" xfId="14097" xr:uid="{6B81A658-8FEE-45CE-9C9C-FA3ED056DC4A}"/>
    <cellStyle name="40% - Accent3 22 2 2 2 3 2 2 2" xfId="30301" xr:uid="{64EAE51B-D187-43B2-B3CB-FA4B9D4AB3BD}"/>
    <cellStyle name="40% - Accent3 22 2 2 2 3 2 3" xfId="22789" xr:uid="{77AA8BD9-5D75-499B-AE27-BF9FD271BAD9}"/>
    <cellStyle name="40% - Accent3 22 2 2 2 3 3" xfId="10497" xr:uid="{7CBF5DEB-2D20-42B6-BEE1-A25B7F83516F}"/>
    <cellStyle name="40% - Accent3 22 2 2 2 3 3 2" xfId="26701" xr:uid="{335D29F8-C1F2-4FED-A658-FB81A71F2370}"/>
    <cellStyle name="40% - Accent3 22 2 2 2 3 4" xfId="19023" xr:uid="{A98BF9A0-BE98-4047-AE58-D8C055044936}"/>
    <cellStyle name="40% - Accent3 22 2 2 2 4" xfId="3732" xr:uid="{E9437583-1194-41FA-B4E9-F8021319E027}"/>
    <cellStyle name="40% - Accent3 22 2 2 2 4 2" xfId="7442" xr:uid="{5F2FC688-3153-41E5-93C8-28D366EE17EA}"/>
    <cellStyle name="40% - Accent3 22 2 2 2 4 2 2" xfId="14951" xr:uid="{9A2C5C6C-E96D-427E-BA31-CFF385490B10}"/>
    <cellStyle name="40% - Accent3 22 2 2 2 4 2 2 2" xfId="31155" xr:uid="{0EC09339-2AD9-4965-B39C-83C07C040615}"/>
    <cellStyle name="40% - Accent3 22 2 2 2 4 2 3" xfId="23646" xr:uid="{685B5834-DFCA-4ACC-B28A-C3482BA227AC}"/>
    <cellStyle name="40% - Accent3 22 2 2 2 4 3" xfId="11342" xr:uid="{FA762021-4E21-45AF-9B4A-D5971E563603}"/>
    <cellStyle name="40% - Accent3 22 2 2 2 4 3 2" xfId="27546" xr:uid="{337D8E77-0786-4ABD-96C7-B3326D497955}"/>
    <cellStyle name="40% - Accent3 22 2 2 2 4 4" xfId="19941" xr:uid="{43E55754-2E67-4D61-B1FE-D8D7FE847241}"/>
    <cellStyle name="40% - Accent3 22 2 2 2 5" xfId="4201" xr:uid="{CFB440A6-EF17-427B-AAD6-D79B1FA6D2D6}"/>
    <cellStyle name="40% - Accent3 22 2 2 2 5 2" xfId="7871" xr:uid="{17109943-A8D0-4EDA-89D0-F25A66480E23}"/>
    <cellStyle name="40% - Accent3 22 2 2 2 5 2 2" xfId="15378" xr:uid="{251726FD-2E8E-4829-BCF9-05D52B942046}"/>
    <cellStyle name="40% - Accent3 22 2 2 2 5 2 2 2" xfId="31582" xr:uid="{C38DD976-630B-4723-AB5E-83AF48C2041F}"/>
    <cellStyle name="40% - Accent3 22 2 2 2 5 2 3" xfId="24075" xr:uid="{8D11AA3C-8744-4226-A572-E4DBFC619954}"/>
    <cellStyle name="40% - Accent3 22 2 2 2 5 3" xfId="11764" xr:uid="{EB7655AD-7516-4D55-A424-80F64C4BFCE7}"/>
    <cellStyle name="40% - Accent3 22 2 2 2 5 3 2" xfId="27968" xr:uid="{1A5DE943-A9B3-4D3D-AB16-45E4150B62E9}"/>
    <cellStyle name="40% - Accent3 22 2 2 2 5 4" xfId="20405" xr:uid="{32336C42-4AB2-4378-BA05-D4DD75BCD515}"/>
    <cellStyle name="40% - Accent3 22 2 2 2 6" xfId="4626" xr:uid="{30BA6009-5663-4209-B030-E1F17EF1C53A}"/>
    <cellStyle name="40% - Accent3 22 2 2 2 6 2" xfId="8296" xr:uid="{4FF67348-F4A9-42BD-87F7-47D892F9C4F2}"/>
    <cellStyle name="40% - Accent3 22 2 2 2 6 2 2" xfId="15803" xr:uid="{98B1CC91-813C-4D1C-B494-7B16318CCCAC}"/>
    <cellStyle name="40% - Accent3 22 2 2 2 6 2 2 2" xfId="32007" xr:uid="{31E0523F-EBA0-4816-8375-FCFC85286B54}"/>
    <cellStyle name="40% - Accent3 22 2 2 2 6 2 3" xfId="24500" xr:uid="{2C1D09F2-0680-4A5F-B57B-12A30EF82802}"/>
    <cellStyle name="40% - Accent3 22 2 2 2 6 3" xfId="12189" xr:uid="{BB650413-7A04-4B58-81CC-B6F5ADA5FDF5}"/>
    <cellStyle name="40% - Accent3 22 2 2 2 6 3 2" xfId="28393" xr:uid="{678BFCB9-11FF-41AD-A0E4-C986ACE67668}"/>
    <cellStyle name="40% - Accent3 22 2 2 2 6 4" xfId="20830" xr:uid="{761E6E04-4E15-4B4E-B0D1-CF5F8A8CB55A}"/>
    <cellStyle name="40% - Accent3 22 2 2 2 7" xfId="5053" xr:uid="{42A9B70E-AEA8-471E-991E-B48A0E392171}"/>
    <cellStyle name="40% - Accent3 22 2 2 2 7 2" xfId="8719" xr:uid="{B9468D34-1F34-444A-A891-52C2C20EA245}"/>
    <cellStyle name="40% - Accent3 22 2 2 2 7 2 2" xfId="16226" xr:uid="{975F02EA-880C-4FAF-8AE1-6A261C7CDD15}"/>
    <cellStyle name="40% - Accent3 22 2 2 2 7 2 2 2" xfId="32430" xr:uid="{3D482D90-D81E-448C-993C-C7E9C444CB6D}"/>
    <cellStyle name="40% - Accent3 22 2 2 2 7 2 3" xfId="24923" xr:uid="{43304495-5650-4961-B63F-21C3383DDBDF}"/>
    <cellStyle name="40% - Accent3 22 2 2 2 7 3" xfId="12611" xr:uid="{2E7E4AEF-13C3-442F-ABEE-EC7B65068115}"/>
    <cellStyle name="40% - Accent3 22 2 2 2 7 3 2" xfId="28815" xr:uid="{0F0DC0D4-1662-4731-BBDA-85701204BA90}"/>
    <cellStyle name="40% - Accent3 22 2 2 2 7 4" xfId="21257" xr:uid="{DF5C5182-C9C5-43C0-A25E-BB95853586A2}"/>
    <cellStyle name="40% - Accent3 22 2 2 2 8" xfId="5725" xr:uid="{FC19E015-68A2-4415-BB51-B916B7B3B329}"/>
    <cellStyle name="40% - Accent3 22 2 2 2 8 2" xfId="13240" xr:uid="{1BBFFC60-61C2-47B6-83F9-614CF878454F}"/>
    <cellStyle name="40% - Accent3 22 2 2 2 8 2 2" xfId="29444" xr:uid="{0068E647-CBDA-43BA-940C-B19BF2A90179}"/>
    <cellStyle name="40% - Accent3 22 2 2 2 8 3" xfId="21929" xr:uid="{1881F889-958F-4D94-AE6B-F966651E4ED7}"/>
    <cellStyle name="40% - Accent3 22 2 2 2 9" xfId="9652" xr:uid="{6E76C0BD-DFBD-43BA-AD94-2C901B96FDB5}"/>
    <cellStyle name="40% - Accent3 22 2 2 2 9 2" xfId="25856" xr:uid="{CF736B24-C3F2-4BF5-9AAF-BE589ACB6685}"/>
    <cellStyle name="40% - Accent3 22 2 2 3" xfId="2146" xr:uid="{331B16A2-4C3A-4BCA-B9C3-A1A91FD0B645}"/>
    <cellStyle name="40% - Accent3 22 2 2 3 2" xfId="3059" xr:uid="{AB084314-487B-4983-BBD4-4CC0026D5100}"/>
    <cellStyle name="40% - Accent3 22 2 2 3 2 2" xfId="6841" xr:uid="{28021FAE-0FF8-405B-BA7D-912B90810745}"/>
    <cellStyle name="40% - Accent3 22 2 2 3 2 2 2" xfId="14352" xr:uid="{E5F9C678-EA0C-4C0C-A05F-10DE2A3E48BF}"/>
    <cellStyle name="40% - Accent3 22 2 2 3 2 2 2 2" xfId="30556" xr:uid="{55E59A5A-989F-40ED-AEBA-FC93C5D5672B}"/>
    <cellStyle name="40% - Accent3 22 2 2 3 2 2 3" xfId="23045" xr:uid="{C5611DA3-D99C-488D-9F26-720621E11D44}"/>
    <cellStyle name="40% - Accent3 22 2 2 3 2 3" xfId="10752" xr:uid="{F68A156E-0D2C-47FC-A7C3-D305A36D36BE}"/>
    <cellStyle name="40% - Accent3 22 2 2 3 2 3 2" xfId="26956" xr:uid="{BD618F96-9524-47F5-8A98-25D3CAA7D9E2}"/>
    <cellStyle name="40% - Accent3 22 2 2 3 2 4" xfId="19279" xr:uid="{826441BC-B721-41A3-BAB7-F01928B39ECF}"/>
    <cellStyle name="40% - Accent3 22 2 2 3 3" xfId="5985" xr:uid="{D2A6505D-5186-4DBA-BD6D-4FEC9FF023F7}"/>
    <cellStyle name="40% - Accent3 22 2 2 3 3 2" xfId="13499" xr:uid="{A64462A6-5980-47F4-ACFA-D4B6D8274435}"/>
    <cellStyle name="40% - Accent3 22 2 2 3 3 2 2" xfId="29703" xr:uid="{B8CCAAC3-592F-4F93-94E4-66E9BAE975A2}"/>
    <cellStyle name="40% - Accent3 22 2 2 3 3 3" xfId="22189" xr:uid="{53E991D0-7FCC-414F-B8B0-A51C9C02EF3A}"/>
    <cellStyle name="40% - Accent3 22 2 2 3 4" xfId="9908" xr:uid="{3ABE4D6E-AB7C-42BC-A67A-F9E763D06E2B}"/>
    <cellStyle name="40% - Accent3 22 2 2 3 4 2" xfId="26112" xr:uid="{7E6AE838-DA23-4199-9B59-BDA6BBBC718B}"/>
    <cellStyle name="40% - Accent3 22 2 2 3 5" xfId="18433" xr:uid="{D8306488-9386-4144-964E-9BB93F3AE050}"/>
    <cellStyle name="40% - Accent3 22 2 2 4" xfId="2634" xr:uid="{076CAEB1-EC21-4C53-A376-545FDC88F30E}"/>
    <cellStyle name="40% - Accent3 22 2 2 4 2" xfId="6418" xr:uid="{F9610A43-5E5B-4227-8C34-01F447905DDA}"/>
    <cellStyle name="40% - Accent3 22 2 2 4 2 2" xfId="13930" xr:uid="{FE859142-57B3-4C0B-81AE-51EB92A058DD}"/>
    <cellStyle name="40% - Accent3 22 2 2 4 2 2 2" xfId="30134" xr:uid="{A3ED69E3-91FE-45DD-B155-8D7AD5F01691}"/>
    <cellStyle name="40% - Accent3 22 2 2 4 2 3" xfId="22622" xr:uid="{31EC93AA-026D-415C-B6AF-0EBB855D4F4A}"/>
    <cellStyle name="40% - Accent3 22 2 2 4 3" xfId="10330" xr:uid="{F1100C1C-7664-4E13-98EF-0CFA6D5BDFDA}"/>
    <cellStyle name="40% - Accent3 22 2 2 4 3 2" xfId="26534" xr:uid="{90308ADB-76E2-415F-9BD3-CAFA0E290078}"/>
    <cellStyle name="40% - Accent3 22 2 2 4 4" xfId="18856" xr:uid="{E173639F-3EE7-42BB-9B5F-F57149A51DE3}"/>
    <cellStyle name="40% - Accent3 22 2 2 5" xfId="3510" xr:uid="{8C59B8D3-2E86-4A48-89B3-FAC8D898B7B9}"/>
    <cellStyle name="40% - Accent3 22 2 2 5 2" xfId="7268" xr:uid="{B4B28BFB-E985-4FC8-BDC6-7B3CC0B75315}"/>
    <cellStyle name="40% - Accent3 22 2 2 5 2 2" xfId="14778" xr:uid="{075695EC-0956-486F-A9EE-B674A8646BA8}"/>
    <cellStyle name="40% - Accent3 22 2 2 5 2 2 2" xfId="30982" xr:uid="{59F90A29-491D-4FE1-9856-391A0FC89864}"/>
    <cellStyle name="40% - Accent3 22 2 2 5 2 3" xfId="23472" xr:uid="{B7875CE9-B724-470C-9499-C00C8BFDB650}"/>
    <cellStyle name="40% - Accent3 22 2 2 5 3" xfId="11175" xr:uid="{F6C6FCD4-8BCE-41C3-9835-613608F8B00E}"/>
    <cellStyle name="40% - Accent3 22 2 2 5 3 2" xfId="27379" xr:uid="{6A3BD636-059C-4887-A43F-EBED5FD17610}"/>
    <cellStyle name="40% - Accent3 22 2 2 5 4" xfId="19726" xr:uid="{61FBC65F-2067-419D-BF69-3A8CBD76D636}"/>
    <cellStyle name="40% - Accent3 22 2 2 6" xfId="4034" xr:uid="{DF5E2EB1-C8FB-4206-B2EC-321897AB3DAC}"/>
    <cellStyle name="40% - Accent3 22 2 2 6 2" xfId="7704" xr:uid="{EF5BF3A7-A79F-4FE5-A6CB-0557B78E57E0}"/>
    <cellStyle name="40% - Accent3 22 2 2 6 2 2" xfId="15211" xr:uid="{BC598F71-E012-4F22-B7D2-EA272434CF41}"/>
    <cellStyle name="40% - Accent3 22 2 2 6 2 2 2" xfId="31415" xr:uid="{886BC456-CC7B-428C-80A0-951B5272AB24}"/>
    <cellStyle name="40% - Accent3 22 2 2 6 2 3" xfId="23908" xr:uid="{A0231863-BBB8-4E80-B87B-35F8EAC9B2C1}"/>
    <cellStyle name="40% - Accent3 22 2 2 6 3" xfId="11597" xr:uid="{3C6DA0FC-612B-46FA-95A2-B9ED98F82BA1}"/>
    <cellStyle name="40% - Accent3 22 2 2 6 3 2" xfId="27801" xr:uid="{5EE5E47D-ED9D-40B7-BCD1-2BEE2E8AED69}"/>
    <cellStyle name="40% - Accent3 22 2 2 6 4" xfId="20238" xr:uid="{0195C940-87CA-4C49-BFE3-534238FF59C8}"/>
    <cellStyle name="40% - Accent3 22 2 2 7" xfId="4459" xr:uid="{D3FFD5E8-4C9D-4F89-B2BB-DC514AB880CB}"/>
    <cellStyle name="40% - Accent3 22 2 2 7 2" xfId="8129" xr:uid="{98FCEBA8-D05B-4ACF-ABA1-7227278572B9}"/>
    <cellStyle name="40% - Accent3 22 2 2 7 2 2" xfId="15636" xr:uid="{A27A2042-77F2-42B9-B047-569075E3F72C}"/>
    <cellStyle name="40% - Accent3 22 2 2 7 2 2 2" xfId="31840" xr:uid="{C85C7DE0-9848-400F-951B-363E6E8E9D22}"/>
    <cellStyle name="40% - Accent3 22 2 2 7 2 3" xfId="24333" xr:uid="{1B71FF47-A816-49D3-8E0E-FFD0BD1AEC95}"/>
    <cellStyle name="40% - Accent3 22 2 2 7 3" xfId="12022" xr:uid="{4EB9D928-8A6F-4375-AD9A-14B5923FE5E7}"/>
    <cellStyle name="40% - Accent3 22 2 2 7 3 2" xfId="28226" xr:uid="{27BE8CC8-A98A-4709-B336-09F5B80AC739}"/>
    <cellStyle name="40% - Accent3 22 2 2 7 4" xfId="20663" xr:uid="{5F279DAC-FF4B-42D1-9472-8C3D4F966A5A}"/>
    <cellStyle name="40% - Accent3 22 2 2 8" xfId="4884" xr:uid="{AF807A9B-C334-4432-89EA-C0E777A97294}"/>
    <cellStyle name="40% - Accent3 22 2 2 8 2" xfId="8552" xr:uid="{2148C6D0-A41E-4191-A13A-BB297DE517B2}"/>
    <cellStyle name="40% - Accent3 22 2 2 8 2 2" xfId="16059" xr:uid="{66721607-D950-4C65-ADB4-EB4C4615FFB7}"/>
    <cellStyle name="40% - Accent3 22 2 2 8 2 2 2" xfId="32263" xr:uid="{B362A4A6-E41E-45D8-AFDB-E34C1A965DC7}"/>
    <cellStyle name="40% - Accent3 22 2 2 8 2 3" xfId="24756" xr:uid="{3B9F780F-26D1-4BF4-B291-A003624AC411}"/>
    <cellStyle name="40% - Accent3 22 2 2 8 3" xfId="12444" xr:uid="{85D7197F-4F56-47E5-B2FE-F58CF6F7B1DE}"/>
    <cellStyle name="40% - Accent3 22 2 2 8 3 2" xfId="28648" xr:uid="{E01B55ED-DAC1-4B8B-9BDD-3F1F4FE64E14}"/>
    <cellStyle name="40% - Accent3 22 2 2 8 4" xfId="21088" xr:uid="{7EAD461A-FD54-472C-A9AF-49D4A0B5CB53}"/>
    <cellStyle name="40% - Accent3 22 2 2 9" xfId="5370" xr:uid="{42CFC169-58FD-4FD7-A156-FD0327A83C03}"/>
    <cellStyle name="40% - Accent3 22 2 2 9 2" xfId="12919" xr:uid="{DDEE1AF5-C907-4818-9A85-72DB34336704}"/>
    <cellStyle name="40% - Accent3 22 2 2 9 2 2" xfId="29123" xr:uid="{9D9F702B-62B9-41FB-B3DA-A7B746529769}"/>
    <cellStyle name="40% - Accent3 22 2 2 9 3" xfId="21574" xr:uid="{6609435A-B960-4E38-8658-09D6B984CD33}"/>
    <cellStyle name="40% - Accent3 22 2 3" xfId="1871" xr:uid="{EA6FDC8E-B33B-4712-8915-A3211F334B40}"/>
    <cellStyle name="40% - Accent3 22 2 3 10" xfId="18176" xr:uid="{DFCBF49F-0715-4F95-847B-1A394029C2E8}"/>
    <cellStyle name="40% - Accent3 22 2 3 2" xfId="2380" xr:uid="{5D560DC9-FB5D-40BE-A718-C5CDEA9A7537}"/>
    <cellStyle name="40% - Accent3 22 2 3 2 2" xfId="3227" xr:uid="{59C46F2B-C180-45B1-BF7E-B1A1F7E1EBC0}"/>
    <cellStyle name="40% - Accent3 22 2 3 2 2 2" xfId="7009" xr:uid="{DD897758-E68A-41F5-B3FB-010536A8DB39}"/>
    <cellStyle name="40% - Accent3 22 2 3 2 2 2 2" xfId="14520" xr:uid="{6297D669-05E8-4B1F-B6FD-C29AA108D747}"/>
    <cellStyle name="40% - Accent3 22 2 3 2 2 2 2 2" xfId="30724" xr:uid="{B5FA1C5A-9130-46C4-BA03-8A632961255B}"/>
    <cellStyle name="40% - Accent3 22 2 3 2 2 2 3" xfId="23213" xr:uid="{3E3422B6-EC4C-450B-9BB2-0A386F6D2F43}"/>
    <cellStyle name="40% - Accent3 22 2 3 2 2 3" xfId="10920" xr:uid="{F7158301-30A4-46DE-887F-6737DF7E8413}"/>
    <cellStyle name="40% - Accent3 22 2 3 2 2 3 2" xfId="27124" xr:uid="{CB04A74C-C22E-4679-84F7-40484556EBBC}"/>
    <cellStyle name="40% - Accent3 22 2 3 2 2 4" xfId="19447" xr:uid="{A73494BE-B6C1-4E79-9B29-065D63FF7804}"/>
    <cellStyle name="40% - Accent3 22 2 3 2 3" xfId="6164" xr:uid="{6D2C0140-77BC-49DB-9EE9-F773F9D1A046}"/>
    <cellStyle name="40% - Accent3 22 2 3 2 3 2" xfId="13676" xr:uid="{64F09534-411A-40B5-B61F-C6926A639223}"/>
    <cellStyle name="40% - Accent3 22 2 3 2 3 2 2" xfId="29880" xr:uid="{C402EFAB-5AD1-43DA-8440-138FC218B172}"/>
    <cellStyle name="40% - Accent3 22 2 3 2 3 3" xfId="22368" xr:uid="{05474CA1-A100-46AC-A2B7-80DFACEFAB72}"/>
    <cellStyle name="40% - Accent3 22 2 3 2 4" xfId="10076" xr:uid="{0CD09E09-CE6B-4450-84CF-91A97F33FCCD}"/>
    <cellStyle name="40% - Accent3 22 2 3 2 4 2" xfId="26280" xr:uid="{62D04167-B36C-43F0-BA3E-524A70CDDE73}"/>
    <cellStyle name="40% - Accent3 22 2 3 2 5" xfId="18602" xr:uid="{369D9970-0D70-4330-AA81-E7D6AAA5F9EC}"/>
    <cellStyle name="40% - Accent3 22 2 3 3" xfId="2802" xr:uid="{0D1FB5CD-7059-4195-991B-DD2B5BE7CD35}"/>
    <cellStyle name="40% - Accent3 22 2 3 3 2" xfId="6586" xr:uid="{11EDB689-AE1E-4665-8091-4C49E6F5C5CC}"/>
    <cellStyle name="40% - Accent3 22 2 3 3 2 2" xfId="14098" xr:uid="{97A3601E-E74D-4F61-AF30-1FF29A503D7D}"/>
    <cellStyle name="40% - Accent3 22 2 3 3 2 2 2" xfId="30302" xr:uid="{B560434B-43E5-418E-8F49-1C923B9EB528}"/>
    <cellStyle name="40% - Accent3 22 2 3 3 2 3" xfId="22790" xr:uid="{E0C375A2-611F-4280-9083-AEE6B97FB735}"/>
    <cellStyle name="40% - Accent3 22 2 3 3 3" xfId="10498" xr:uid="{CCF8D8A7-5A84-4C0E-81FD-7BD1BCBED480}"/>
    <cellStyle name="40% - Accent3 22 2 3 3 3 2" xfId="26702" xr:uid="{4D6B692F-961D-43D9-BFE5-E15C7D048306}"/>
    <cellStyle name="40% - Accent3 22 2 3 3 4" xfId="19024" xr:uid="{1DD2F314-78DE-496F-903E-1FDA74DBF230}"/>
    <cellStyle name="40% - Accent3 22 2 3 4" xfId="3733" xr:uid="{D1BA276B-F9C9-4C74-A81F-3135FEEDCD1E}"/>
    <cellStyle name="40% - Accent3 22 2 3 4 2" xfId="7443" xr:uid="{ED27DC48-97B4-4276-8D55-7D04000A4B35}"/>
    <cellStyle name="40% - Accent3 22 2 3 4 2 2" xfId="14952" xr:uid="{F527EC3B-6EFB-4C18-830D-834E825C4205}"/>
    <cellStyle name="40% - Accent3 22 2 3 4 2 2 2" xfId="31156" xr:uid="{329BD5EF-A73E-4EF3-929E-F443EF056DA4}"/>
    <cellStyle name="40% - Accent3 22 2 3 4 2 3" xfId="23647" xr:uid="{7ABB41BD-1049-40FB-BEBD-8DF99590DAC6}"/>
    <cellStyle name="40% - Accent3 22 2 3 4 3" xfId="11343" xr:uid="{B1EB68E2-3285-40B7-919D-0B4FCE480DED}"/>
    <cellStyle name="40% - Accent3 22 2 3 4 3 2" xfId="27547" xr:uid="{3372B73C-1E90-43AF-99C5-CD88F4526B0B}"/>
    <cellStyle name="40% - Accent3 22 2 3 4 4" xfId="19942" xr:uid="{BCF9226E-64F9-4647-AB46-54E618CEF1F6}"/>
    <cellStyle name="40% - Accent3 22 2 3 5" xfId="4202" xr:uid="{06E8A959-6BDA-4AFB-AE92-65D68BEECC22}"/>
    <cellStyle name="40% - Accent3 22 2 3 5 2" xfId="7872" xr:uid="{D93CEBA4-5CF1-4206-9A3D-BEA391C6CF38}"/>
    <cellStyle name="40% - Accent3 22 2 3 5 2 2" xfId="15379" xr:uid="{3AFAD9B2-B646-43FF-8C61-C889DC49119F}"/>
    <cellStyle name="40% - Accent3 22 2 3 5 2 2 2" xfId="31583" xr:uid="{CA5EBAC9-0279-45BD-9CFF-5BB22B540832}"/>
    <cellStyle name="40% - Accent3 22 2 3 5 2 3" xfId="24076" xr:uid="{D1D891D8-6676-4014-8C0B-977B46A4EDF2}"/>
    <cellStyle name="40% - Accent3 22 2 3 5 3" xfId="11765" xr:uid="{73AB23AF-006A-4B9A-93E0-B1583FCA70F4}"/>
    <cellStyle name="40% - Accent3 22 2 3 5 3 2" xfId="27969" xr:uid="{97A1A705-F10C-43D8-97AB-65295B718E6D}"/>
    <cellStyle name="40% - Accent3 22 2 3 5 4" xfId="20406" xr:uid="{B028DAD4-510E-418C-9067-29BFB5A129BA}"/>
    <cellStyle name="40% - Accent3 22 2 3 6" xfId="4627" xr:uid="{262927EE-7773-46E1-8C9E-8DB279FC96A0}"/>
    <cellStyle name="40% - Accent3 22 2 3 6 2" xfId="8297" xr:uid="{F6421823-33E4-45EF-BC23-3936F3FD49C4}"/>
    <cellStyle name="40% - Accent3 22 2 3 6 2 2" xfId="15804" xr:uid="{2784C40B-E744-45E2-8FEF-DDB694524AB5}"/>
    <cellStyle name="40% - Accent3 22 2 3 6 2 2 2" xfId="32008" xr:uid="{276A217D-3AE9-47B9-ABE9-E24F4EDBD646}"/>
    <cellStyle name="40% - Accent3 22 2 3 6 2 3" xfId="24501" xr:uid="{ED66F26A-5B62-45E8-B760-8AC7D991FF88}"/>
    <cellStyle name="40% - Accent3 22 2 3 6 3" xfId="12190" xr:uid="{C4F8DAA6-CFB0-4CFB-A1A9-0BD0F20FC758}"/>
    <cellStyle name="40% - Accent3 22 2 3 6 3 2" xfId="28394" xr:uid="{1A676588-2BAA-4AEA-ADB8-ABDBC4EEC869}"/>
    <cellStyle name="40% - Accent3 22 2 3 6 4" xfId="20831" xr:uid="{80688889-6983-488E-A0EC-BEEA784713E8}"/>
    <cellStyle name="40% - Accent3 22 2 3 7" xfId="5054" xr:uid="{35BE06A8-52BF-490B-A3D4-BCF196298962}"/>
    <cellStyle name="40% - Accent3 22 2 3 7 2" xfId="8720" xr:uid="{6B1F1B6C-3B36-4625-96D2-2635D9D3CA19}"/>
    <cellStyle name="40% - Accent3 22 2 3 7 2 2" xfId="16227" xr:uid="{772983AA-4103-476B-A955-032634AFAAB2}"/>
    <cellStyle name="40% - Accent3 22 2 3 7 2 2 2" xfId="32431" xr:uid="{E0347E84-2B21-4D48-92A2-75C2025E116B}"/>
    <cellStyle name="40% - Accent3 22 2 3 7 2 3" xfId="24924" xr:uid="{79E55E44-8AA0-4A03-A33B-E67ACDF473E2}"/>
    <cellStyle name="40% - Accent3 22 2 3 7 3" xfId="12612" xr:uid="{E5E3E466-7400-4116-AB1B-289E7B37A271}"/>
    <cellStyle name="40% - Accent3 22 2 3 7 3 2" xfId="28816" xr:uid="{ABFE3227-B76C-4CAB-86B0-ECFE81BE5343}"/>
    <cellStyle name="40% - Accent3 22 2 3 7 4" xfId="21258" xr:uid="{45278EC7-1725-4A9D-99B3-9F7F906D8F57}"/>
    <cellStyle name="40% - Accent3 22 2 3 8" xfId="5726" xr:uid="{60127538-0B75-4833-9E34-ADB7228083F5}"/>
    <cellStyle name="40% - Accent3 22 2 3 8 2" xfId="13241" xr:uid="{A22088C1-6E5C-4E4D-8D12-B7C47B510B70}"/>
    <cellStyle name="40% - Accent3 22 2 3 8 2 2" xfId="29445" xr:uid="{D0D449C3-9C03-41C4-AB5B-7C4314CA00B5}"/>
    <cellStyle name="40% - Accent3 22 2 3 8 3" xfId="21930" xr:uid="{30666D85-49A6-4C1A-9095-A0BD248CA9B5}"/>
    <cellStyle name="40% - Accent3 22 2 3 9" xfId="9653" xr:uid="{02B8AE9A-EA05-4FAA-AB6B-99059DC82337}"/>
    <cellStyle name="40% - Accent3 22 2 3 9 2" xfId="25857" xr:uid="{DC1F4C12-29D2-4E17-90A9-2829CEAA62F9}"/>
    <cellStyle name="40% - Accent3 22 2 4" xfId="2079" xr:uid="{587F42CD-7F04-4CFC-B02E-9BD3DE97597A}"/>
    <cellStyle name="40% - Accent3 22 2 4 2" xfId="2992" xr:uid="{2B44DD99-A000-47C2-B4FB-5E0FCE9C66BE}"/>
    <cellStyle name="40% - Accent3 22 2 4 2 2" xfId="6774" xr:uid="{626A4FFB-1E9C-4263-96D7-97617D941DC9}"/>
    <cellStyle name="40% - Accent3 22 2 4 2 2 2" xfId="14285" xr:uid="{B9780610-D87A-4F76-B217-030C34F05A3C}"/>
    <cellStyle name="40% - Accent3 22 2 4 2 2 2 2" xfId="30489" xr:uid="{12A8304C-4EC7-41B5-8E2F-7BE467FB739A}"/>
    <cellStyle name="40% - Accent3 22 2 4 2 2 3" xfId="22978" xr:uid="{173E118D-A8C0-488F-A6DB-1635F482EA4D}"/>
    <cellStyle name="40% - Accent3 22 2 4 2 3" xfId="10685" xr:uid="{32852532-5119-4C1D-8196-4610A4A8FA4F}"/>
    <cellStyle name="40% - Accent3 22 2 4 2 3 2" xfId="26889" xr:uid="{D129E5B8-86F0-4B03-9A79-09BEA6536616}"/>
    <cellStyle name="40% - Accent3 22 2 4 2 4" xfId="19212" xr:uid="{3D043E20-AD2E-4214-B0BC-C9B04A005CA5}"/>
    <cellStyle name="40% - Accent3 22 2 4 3" xfId="5918" xr:uid="{A3A67466-8CDF-4577-99DC-2D94828278C7}"/>
    <cellStyle name="40% - Accent3 22 2 4 3 2" xfId="13432" xr:uid="{07B4285D-FCB7-411D-851F-076B5DD700A1}"/>
    <cellStyle name="40% - Accent3 22 2 4 3 2 2" xfId="29636" xr:uid="{40C3DA62-08DC-4A30-93FF-9A9DC10CAF5A}"/>
    <cellStyle name="40% - Accent3 22 2 4 3 3" xfId="22122" xr:uid="{E25FDB8A-279A-42C8-8E78-3B2805373D97}"/>
    <cellStyle name="40% - Accent3 22 2 4 4" xfId="9841" xr:uid="{7AC99469-D05A-4867-A445-89A245B6765A}"/>
    <cellStyle name="40% - Accent3 22 2 4 4 2" xfId="26045" xr:uid="{986DA06B-C5B9-44E2-BED1-A4D657345092}"/>
    <cellStyle name="40% - Accent3 22 2 4 5" xfId="18366" xr:uid="{2C096031-B752-4C7A-84C8-1FBAAF663B2B}"/>
    <cellStyle name="40% - Accent3 22 2 5" xfId="2567" xr:uid="{736A0099-CA6B-45A2-97DA-E5691EF2A928}"/>
    <cellStyle name="40% - Accent3 22 2 5 2" xfId="6351" xr:uid="{2485D855-D54E-44DF-9776-11297B991BDA}"/>
    <cellStyle name="40% - Accent3 22 2 5 2 2" xfId="13863" xr:uid="{6C5E15C8-AE63-47A7-83ED-CBF36DCFE0FF}"/>
    <cellStyle name="40% - Accent3 22 2 5 2 2 2" xfId="30067" xr:uid="{B4F2127A-D149-41E5-9240-3B8F4344481D}"/>
    <cellStyle name="40% - Accent3 22 2 5 2 3" xfId="22555" xr:uid="{CFB084B0-1B67-4AF9-B211-D31AF75A148D}"/>
    <cellStyle name="40% - Accent3 22 2 5 3" xfId="10263" xr:uid="{805A6784-D48C-4C7A-8D27-262073470CD7}"/>
    <cellStyle name="40% - Accent3 22 2 5 3 2" xfId="26467" xr:uid="{91FEA73F-9261-42F4-B1D4-A852BDD86FE1}"/>
    <cellStyle name="40% - Accent3 22 2 5 4" xfId="18789" xr:uid="{01A348B0-726C-4DB5-A5EE-8C68154FCD88}"/>
    <cellStyle name="40% - Accent3 22 2 6" xfId="3443" xr:uid="{8A8C1783-9535-43DD-B217-334803E3A7DB}"/>
    <cellStyle name="40% - Accent3 22 2 6 2" xfId="7201" xr:uid="{212AB504-EA17-4F5C-8237-A55752D04DFE}"/>
    <cellStyle name="40% - Accent3 22 2 6 2 2" xfId="14711" xr:uid="{6F95121D-8FF8-45E9-B974-8E95A6118AF8}"/>
    <cellStyle name="40% - Accent3 22 2 6 2 2 2" xfId="30915" xr:uid="{6C03D2F8-F072-42E0-9A1F-7864BFD400E9}"/>
    <cellStyle name="40% - Accent3 22 2 6 2 3" xfId="23405" xr:uid="{12B955FA-938D-424E-A15B-90E8FC6F995A}"/>
    <cellStyle name="40% - Accent3 22 2 6 3" xfId="11108" xr:uid="{D102F9F9-EE2B-493B-9557-15F8D0FCCF98}"/>
    <cellStyle name="40% - Accent3 22 2 6 3 2" xfId="27312" xr:uid="{2095247D-0C2F-4307-B6A3-E6C29260E227}"/>
    <cellStyle name="40% - Accent3 22 2 6 4" xfId="19659" xr:uid="{6464BF2B-0C99-4BC2-AC7B-88045FD6A4E1}"/>
    <cellStyle name="40% - Accent3 22 2 7" xfId="3967" xr:uid="{BD36786D-C3FB-411A-96FC-BE3D117C1F81}"/>
    <cellStyle name="40% - Accent3 22 2 7 2" xfId="7637" xr:uid="{EAB81DBA-405D-47EC-9C15-CF65E31D5B13}"/>
    <cellStyle name="40% - Accent3 22 2 7 2 2" xfId="15144" xr:uid="{8D5D6E8C-AADF-4CF0-B47A-7100D55D501B}"/>
    <cellStyle name="40% - Accent3 22 2 7 2 2 2" xfId="31348" xr:uid="{A97F84E8-B8E2-43B3-959D-DAE3242D8A78}"/>
    <cellStyle name="40% - Accent3 22 2 7 2 3" xfId="23841" xr:uid="{507D2F8C-2AE9-4420-9D5D-354353B33399}"/>
    <cellStyle name="40% - Accent3 22 2 7 3" xfId="11530" xr:uid="{8E5D8FB1-064E-4350-8CB6-D4520A177060}"/>
    <cellStyle name="40% - Accent3 22 2 7 3 2" xfId="27734" xr:uid="{32B45C93-5359-413A-B7B2-2B6866629ACA}"/>
    <cellStyle name="40% - Accent3 22 2 7 4" xfId="20171" xr:uid="{4F15F292-A764-4C99-B47B-E83604411358}"/>
    <cellStyle name="40% - Accent3 22 2 8" xfId="4392" xr:uid="{7C8F452C-AC6B-489C-B2F5-821BF5783B6F}"/>
    <cellStyle name="40% - Accent3 22 2 8 2" xfId="8062" xr:uid="{3E5CABC4-218F-413A-91F5-642204BEB043}"/>
    <cellStyle name="40% - Accent3 22 2 8 2 2" xfId="15569" xr:uid="{6AF99FA2-284C-4CAC-A0B1-395D0B4B0D9D}"/>
    <cellStyle name="40% - Accent3 22 2 8 2 2 2" xfId="31773" xr:uid="{64BA0807-578C-40FE-944E-11D1CCBA76E9}"/>
    <cellStyle name="40% - Accent3 22 2 8 2 3" xfId="24266" xr:uid="{D23EA0A0-224D-4307-8A62-E2AACD20A1F9}"/>
    <cellStyle name="40% - Accent3 22 2 8 3" xfId="11955" xr:uid="{F6AFF71D-4583-466F-B858-AD8C16C79BD7}"/>
    <cellStyle name="40% - Accent3 22 2 8 3 2" xfId="28159" xr:uid="{2E6DC658-3F0F-47F5-B111-25AA252CDE64}"/>
    <cellStyle name="40% - Accent3 22 2 8 4" xfId="20596" xr:uid="{07C8BC36-72D3-48ED-91E3-8EACFEE7D256}"/>
    <cellStyle name="40% - Accent3 22 2 9" xfId="4816" xr:uid="{CDEA4017-4B38-4850-B052-6DD8A4DB3A0A}"/>
    <cellStyle name="40% - Accent3 22 2 9 2" xfId="8485" xr:uid="{44C7D64D-CA21-447B-A4AE-439C42DD9B37}"/>
    <cellStyle name="40% - Accent3 22 2 9 2 2" xfId="15992" xr:uid="{3A0911BF-7D64-44C6-A01B-E74E4F204DD0}"/>
    <cellStyle name="40% - Accent3 22 2 9 2 2 2" xfId="32196" xr:uid="{04539E89-A8F6-4142-B30A-443EE0DD7B1F}"/>
    <cellStyle name="40% - Accent3 22 2 9 2 3" xfId="24689" xr:uid="{413FA977-DB2D-46FC-AB82-9390EF4912B6}"/>
    <cellStyle name="40% - Accent3 22 2 9 3" xfId="12377" xr:uid="{52325A09-042B-4E4A-AABF-C32138A40F50}"/>
    <cellStyle name="40% - Accent3 22 2 9 3 2" xfId="28581" xr:uid="{FDF148FF-5877-4F30-8D83-0C2EF8967C7B}"/>
    <cellStyle name="40% - Accent3 22 2 9 4" xfId="21020" xr:uid="{574A1038-210A-41F9-A1C0-A62DAF9AD9B1}"/>
    <cellStyle name="40% - Accent3 22 3" xfId="528" xr:uid="{389C5E50-6973-49E8-AB54-47AE6904028B}"/>
    <cellStyle name="40% - Accent3 22 3 10" xfId="5325" xr:uid="{C0398ADE-3D00-4AA1-96C2-4270DD71F541}"/>
    <cellStyle name="40% - Accent3 22 3 10 2" xfId="12874" xr:uid="{5DEFFC7C-C460-4997-AD9C-0D62BC444ECC}"/>
    <cellStyle name="40% - Accent3 22 3 10 2 2" xfId="29078" xr:uid="{C5F7D9FF-A074-45A9-8F3D-53C99811D9CA}"/>
    <cellStyle name="40% - Accent3 22 3 10 3" xfId="21529" xr:uid="{B02AB7BD-B7D3-4D45-9B64-60B0791714ED}"/>
    <cellStyle name="40% - Accent3 22 3 11" xfId="9440" xr:uid="{4B3DF5D5-A0E4-4FFB-B901-3DE295A40C5A}"/>
    <cellStyle name="40% - Accent3 22 3 11 2" xfId="25644" xr:uid="{79BFD300-2EEA-46EB-AD29-2FC1C0DC7D7F}"/>
    <cellStyle name="40% - Accent3 22 3 12" xfId="17955" xr:uid="{01B9FCC2-626A-401F-879C-224B0B07B980}"/>
    <cellStyle name="40% - Accent3 22 3 2" xfId="599" xr:uid="{BF3DFEC1-AA06-4AE6-ACBE-3919B4680594}"/>
    <cellStyle name="40% - Accent3 22 3 2 10" xfId="9507" xr:uid="{F483B023-89CF-4394-A835-A28EB477B9B9}"/>
    <cellStyle name="40% - Accent3 22 3 2 10 2" xfId="25711" xr:uid="{97ABC3AC-FF9C-4DC5-BC34-BCDD42A72DDF}"/>
    <cellStyle name="40% - Accent3 22 3 2 11" xfId="18023" xr:uid="{D42A42DC-CA86-46B0-BB01-BDBEF56A3566}"/>
    <cellStyle name="40% - Accent3 22 3 2 2" xfId="1872" xr:uid="{525B8CFD-98FC-4404-9983-BB86CF7C29DD}"/>
    <cellStyle name="40% - Accent3 22 3 2 2 10" xfId="18177" xr:uid="{E55C62E4-3837-4A9D-ADEC-D07273606FC7}"/>
    <cellStyle name="40% - Accent3 22 3 2 2 2" xfId="2381" xr:uid="{E6607FB5-9387-43C0-BAB5-9FB35A7CB0C0}"/>
    <cellStyle name="40% - Accent3 22 3 2 2 2 2" xfId="3228" xr:uid="{22A8F994-E8FF-4E7F-BAD4-6801EFEAF6C8}"/>
    <cellStyle name="40% - Accent3 22 3 2 2 2 2 2" xfId="7010" xr:uid="{F8360A08-C695-4BAC-9D32-131671C6F803}"/>
    <cellStyle name="40% - Accent3 22 3 2 2 2 2 2 2" xfId="14521" xr:uid="{AC35C937-6304-4378-BE09-E089576D858C}"/>
    <cellStyle name="40% - Accent3 22 3 2 2 2 2 2 2 2" xfId="30725" xr:uid="{1170E6D9-1DD3-4FB7-ABE0-C59BB3B15436}"/>
    <cellStyle name="40% - Accent3 22 3 2 2 2 2 2 3" xfId="23214" xr:uid="{809FE129-C6B3-4FC6-BAD1-C60B35EF725D}"/>
    <cellStyle name="40% - Accent3 22 3 2 2 2 2 3" xfId="10921" xr:uid="{0B208B54-74C4-4D1B-B93A-690D08BF253B}"/>
    <cellStyle name="40% - Accent3 22 3 2 2 2 2 3 2" xfId="27125" xr:uid="{54E7E5A5-CFD3-4248-9660-5BD05B6EEBF2}"/>
    <cellStyle name="40% - Accent3 22 3 2 2 2 2 4" xfId="19448" xr:uid="{6DC87B22-C70B-42A1-AFB0-D769E3EA0534}"/>
    <cellStyle name="40% - Accent3 22 3 2 2 2 3" xfId="6165" xr:uid="{FE6BEA26-CD1F-4B43-B9C8-88A621CA94D1}"/>
    <cellStyle name="40% - Accent3 22 3 2 2 2 3 2" xfId="13677" xr:uid="{4144D79E-ECF0-4A30-A635-5939B9D36A10}"/>
    <cellStyle name="40% - Accent3 22 3 2 2 2 3 2 2" xfId="29881" xr:uid="{CACDBBEA-8773-4358-99FC-2B156C4D91C4}"/>
    <cellStyle name="40% - Accent3 22 3 2 2 2 3 3" xfId="22369" xr:uid="{2A697158-37CE-41B2-82FC-12F58891B9C5}"/>
    <cellStyle name="40% - Accent3 22 3 2 2 2 4" xfId="10077" xr:uid="{02C3EC19-A6C8-4972-9100-84058C9948B6}"/>
    <cellStyle name="40% - Accent3 22 3 2 2 2 4 2" xfId="26281" xr:uid="{7126BE48-2027-4417-9DC0-7638932FE4F7}"/>
    <cellStyle name="40% - Accent3 22 3 2 2 2 5" xfId="18603" xr:uid="{902F5046-6C8A-45AF-969C-B2A923941E93}"/>
    <cellStyle name="40% - Accent3 22 3 2 2 3" xfId="2803" xr:uid="{A69B6CB4-81BF-47E6-B494-0CECFBDF8646}"/>
    <cellStyle name="40% - Accent3 22 3 2 2 3 2" xfId="6587" xr:uid="{4A7ED8B0-C993-49ED-AF0F-673FBD49C654}"/>
    <cellStyle name="40% - Accent3 22 3 2 2 3 2 2" xfId="14099" xr:uid="{B2F2B047-7FDE-4E3A-B66E-5CF29B7FEFA8}"/>
    <cellStyle name="40% - Accent3 22 3 2 2 3 2 2 2" xfId="30303" xr:uid="{B81B1AC7-7AB9-4273-8DA3-A089DEA5A9CA}"/>
    <cellStyle name="40% - Accent3 22 3 2 2 3 2 3" xfId="22791" xr:uid="{4794E217-CEA3-4AE7-87A3-B09BD3940BB5}"/>
    <cellStyle name="40% - Accent3 22 3 2 2 3 3" xfId="10499" xr:uid="{643EEAB2-4B1E-4E01-A3CE-BC256130B201}"/>
    <cellStyle name="40% - Accent3 22 3 2 2 3 3 2" xfId="26703" xr:uid="{B30432A3-B8C5-4E6F-AB28-F7A8B64A3DE2}"/>
    <cellStyle name="40% - Accent3 22 3 2 2 3 4" xfId="19025" xr:uid="{74D7BFC3-BAE5-44CD-9887-386A02BD397A}"/>
    <cellStyle name="40% - Accent3 22 3 2 2 4" xfId="3734" xr:uid="{129ABFF2-A02D-4E21-83DB-74B5947EEAFF}"/>
    <cellStyle name="40% - Accent3 22 3 2 2 4 2" xfId="7444" xr:uid="{56385000-4AD4-411F-8CE1-72128B85C714}"/>
    <cellStyle name="40% - Accent3 22 3 2 2 4 2 2" xfId="14953" xr:uid="{7B6F775D-52D1-4BB3-836E-84E94F78B926}"/>
    <cellStyle name="40% - Accent3 22 3 2 2 4 2 2 2" xfId="31157" xr:uid="{A2CD5A4A-C8A7-4FCE-A17C-58090F0561D0}"/>
    <cellStyle name="40% - Accent3 22 3 2 2 4 2 3" xfId="23648" xr:uid="{15BA3F7B-E88A-492D-B101-C90656911942}"/>
    <cellStyle name="40% - Accent3 22 3 2 2 4 3" xfId="11344" xr:uid="{0396E3A0-1C1E-49BD-A3E2-69D3010F2A73}"/>
    <cellStyle name="40% - Accent3 22 3 2 2 4 3 2" xfId="27548" xr:uid="{9193A96B-CD3E-4510-B567-0E8F558DF8D1}"/>
    <cellStyle name="40% - Accent3 22 3 2 2 4 4" xfId="19943" xr:uid="{1F98123E-018D-4B67-8863-914210F5F938}"/>
    <cellStyle name="40% - Accent3 22 3 2 2 5" xfId="4203" xr:uid="{77B615CE-B14C-4D8F-A875-F626B1419D7F}"/>
    <cellStyle name="40% - Accent3 22 3 2 2 5 2" xfId="7873" xr:uid="{44286AE4-B80A-4233-B1C5-FEDA35A9335A}"/>
    <cellStyle name="40% - Accent3 22 3 2 2 5 2 2" xfId="15380" xr:uid="{E2487FAF-80FB-43C1-AF9C-95F7052E8411}"/>
    <cellStyle name="40% - Accent3 22 3 2 2 5 2 2 2" xfId="31584" xr:uid="{90C3B6D8-4765-4D5E-BC9A-8B9297765332}"/>
    <cellStyle name="40% - Accent3 22 3 2 2 5 2 3" xfId="24077" xr:uid="{A596BDCF-AF3E-445A-A4A3-391B899E2B08}"/>
    <cellStyle name="40% - Accent3 22 3 2 2 5 3" xfId="11766" xr:uid="{7B3C2500-EEDD-4BE3-9314-1393DA7B3FCA}"/>
    <cellStyle name="40% - Accent3 22 3 2 2 5 3 2" xfId="27970" xr:uid="{5606B562-C73A-4D53-9055-2C91A4C2FA5E}"/>
    <cellStyle name="40% - Accent3 22 3 2 2 5 4" xfId="20407" xr:uid="{90BB8561-601D-4A5F-98F8-001C812E002E}"/>
    <cellStyle name="40% - Accent3 22 3 2 2 6" xfId="4628" xr:uid="{2BF86E1F-20F1-40A3-8BC7-7E7EB3D0A84C}"/>
    <cellStyle name="40% - Accent3 22 3 2 2 6 2" xfId="8298" xr:uid="{B3D4E941-0A4D-4928-B4F6-374709FD04DE}"/>
    <cellStyle name="40% - Accent3 22 3 2 2 6 2 2" xfId="15805" xr:uid="{E4C75B0E-38F6-444D-BB14-E24940E9EBAF}"/>
    <cellStyle name="40% - Accent3 22 3 2 2 6 2 2 2" xfId="32009" xr:uid="{B8F80A5D-B6CD-4B04-B014-9E0056174EA5}"/>
    <cellStyle name="40% - Accent3 22 3 2 2 6 2 3" xfId="24502" xr:uid="{4DB9E0A3-1E74-42F9-AB05-4143309BCFF2}"/>
    <cellStyle name="40% - Accent3 22 3 2 2 6 3" xfId="12191" xr:uid="{BEB7E0B8-1B73-42B5-B4CE-9E3A8E64DEA3}"/>
    <cellStyle name="40% - Accent3 22 3 2 2 6 3 2" xfId="28395" xr:uid="{446FF4F4-759F-42D8-8FBB-B1A541F80608}"/>
    <cellStyle name="40% - Accent3 22 3 2 2 6 4" xfId="20832" xr:uid="{0B8464EE-E939-438D-9C29-1C351DBF9197}"/>
    <cellStyle name="40% - Accent3 22 3 2 2 7" xfId="5055" xr:uid="{AAE0CEB2-C653-48D7-AB10-01F0B0893031}"/>
    <cellStyle name="40% - Accent3 22 3 2 2 7 2" xfId="8721" xr:uid="{D4268D86-BF02-4E03-AA51-AD6F83FC65C4}"/>
    <cellStyle name="40% - Accent3 22 3 2 2 7 2 2" xfId="16228" xr:uid="{77F36BCD-D907-42F1-B3DD-53B4DE7971F1}"/>
    <cellStyle name="40% - Accent3 22 3 2 2 7 2 2 2" xfId="32432" xr:uid="{4BAA26B5-5E5F-49DF-96A4-5DC400E53AC4}"/>
    <cellStyle name="40% - Accent3 22 3 2 2 7 2 3" xfId="24925" xr:uid="{5BA289F6-88FC-4A0C-A9FF-284D76A8B83F}"/>
    <cellStyle name="40% - Accent3 22 3 2 2 7 3" xfId="12613" xr:uid="{8C5C4162-7109-49AA-ADB4-CD4645EB1282}"/>
    <cellStyle name="40% - Accent3 22 3 2 2 7 3 2" xfId="28817" xr:uid="{3706857F-7EBE-40CC-A964-EA639A1C27F8}"/>
    <cellStyle name="40% - Accent3 22 3 2 2 7 4" xfId="21259" xr:uid="{312426F6-1A0D-48AB-BB35-047FF7F90903}"/>
    <cellStyle name="40% - Accent3 22 3 2 2 8" xfId="5727" xr:uid="{8295CD76-6F37-48FB-A7C9-2276B4E58A71}"/>
    <cellStyle name="40% - Accent3 22 3 2 2 8 2" xfId="13242" xr:uid="{7EF01894-3564-4EAB-BF29-D33085C50616}"/>
    <cellStyle name="40% - Accent3 22 3 2 2 8 2 2" xfId="29446" xr:uid="{8EB01EF8-701D-478D-9829-770B8C826002}"/>
    <cellStyle name="40% - Accent3 22 3 2 2 8 3" xfId="21931" xr:uid="{D4FA7831-C7E0-40DD-85B8-C9A90F36113F}"/>
    <cellStyle name="40% - Accent3 22 3 2 2 9" xfId="9654" xr:uid="{54E3BA85-F21D-4118-94C9-AA3790742C85}"/>
    <cellStyle name="40% - Accent3 22 3 2 2 9 2" xfId="25858" xr:uid="{44F0152F-B2B3-437B-AF88-1A5BDD6E0387}"/>
    <cellStyle name="40% - Accent3 22 3 2 3" xfId="2168" xr:uid="{56A5201A-E323-446E-B44B-A6A6875DCB1B}"/>
    <cellStyle name="40% - Accent3 22 3 2 3 2" xfId="3081" xr:uid="{D4336A65-A55C-4151-BA4C-6EDE4B96A70B}"/>
    <cellStyle name="40% - Accent3 22 3 2 3 2 2" xfId="6863" xr:uid="{99A7550D-4008-459A-AE3A-ECC1E715741C}"/>
    <cellStyle name="40% - Accent3 22 3 2 3 2 2 2" xfId="14374" xr:uid="{84523A46-C98D-416D-9F04-A4C10217FB0C}"/>
    <cellStyle name="40% - Accent3 22 3 2 3 2 2 2 2" xfId="30578" xr:uid="{BEA5AF1A-A4C7-4D4B-8F4C-A4C5BB889FFE}"/>
    <cellStyle name="40% - Accent3 22 3 2 3 2 2 3" xfId="23067" xr:uid="{CE5855FD-EA55-4978-917D-D32BE6E899A8}"/>
    <cellStyle name="40% - Accent3 22 3 2 3 2 3" xfId="10774" xr:uid="{35A11836-8021-4BBE-B297-B9DED311C13B}"/>
    <cellStyle name="40% - Accent3 22 3 2 3 2 3 2" xfId="26978" xr:uid="{950D9BD6-5AB3-4212-9C8D-236E628C1B38}"/>
    <cellStyle name="40% - Accent3 22 3 2 3 2 4" xfId="19301" xr:uid="{B30A384E-4A75-4AB3-9D72-5C85184747EC}"/>
    <cellStyle name="40% - Accent3 22 3 2 3 3" xfId="6007" xr:uid="{8D4CF7C3-358E-45A2-9328-920B8B3026E7}"/>
    <cellStyle name="40% - Accent3 22 3 2 3 3 2" xfId="13521" xr:uid="{7443FFAA-8DBB-4487-811E-D3C5C8E242D9}"/>
    <cellStyle name="40% - Accent3 22 3 2 3 3 2 2" xfId="29725" xr:uid="{3F8B3A5B-BC85-4A6E-A2D2-E93F41C951F5}"/>
    <cellStyle name="40% - Accent3 22 3 2 3 3 3" xfId="22211" xr:uid="{A9FF2B64-65AF-46D9-991E-F68E4922338F}"/>
    <cellStyle name="40% - Accent3 22 3 2 3 4" xfId="9930" xr:uid="{DC81EE85-7731-4284-A863-1057B9608053}"/>
    <cellStyle name="40% - Accent3 22 3 2 3 4 2" xfId="26134" xr:uid="{246E734E-13EA-4186-9989-330918211E8A}"/>
    <cellStyle name="40% - Accent3 22 3 2 3 5" xfId="18455" xr:uid="{2FEFA6FF-A61A-4CAD-8BA8-F15F7EE08845}"/>
    <cellStyle name="40% - Accent3 22 3 2 4" xfId="2656" xr:uid="{B5170EFC-157A-43CD-941D-5553FE1F94F6}"/>
    <cellStyle name="40% - Accent3 22 3 2 4 2" xfId="6440" xr:uid="{6A11EF58-5A83-4AC5-8CBE-6E8130610F2D}"/>
    <cellStyle name="40% - Accent3 22 3 2 4 2 2" xfId="13952" xr:uid="{D7051CFD-686A-4F67-9FA7-7116FB1FFD51}"/>
    <cellStyle name="40% - Accent3 22 3 2 4 2 2 2" xfId="30156" xr:uid="{CF3AF7C9-2880-4779-B0EC-931C6FF0D0D2}"/>
    <cellStyle name="40% - Accent3 22 3 2 4 2 3" xfId="22644" xr:uid="{395A7F4E-6A8A-48EA-9F3B-BEB07A7BCACE}"/>
    <cellStyle name="40% - Accent3 22 3 2 4 3" xfId="10352" xr:uid="{AB65B04F-F368-4B9A-B632-F9A2310873B3}"/>
    <cellStyle name="40% - Accent3 22 3 2 4 3 2" xfId="26556" xr:uid="{429F72AA-ECAC-4251-A14A-579EF3E34D36}"/>
    <cellStyle name="40% - Accent3 22 3 2 4 4" xfId="18878" xr:uid="{A2C01EE4-A997-45AA-B98A-3495F174B7B5}"/>
    <cellStyle name="40% - Accent3 22 3 2 5" xfId="3532" xr:uid="{8CF8BCA7-BC37-48A7-A092-A69691AC26D2}"/>
    <cellStyle name="40% - Accent3 22 3 2 5 2" xfId="7290" xr:uid="{27151556-E4FF-4FFB-BDA6-BD0EC012F882}"/>
    <cellStyle name="40% - Accent3 22 3 2 5 2 2" xfId="14800" xr:uid="{61C82AA4-E5D3-47F0-A632-B95CD1D26EF2}"/>
    <cellStyle name="40% - Accent3 22 3 2 5 2 2 2" xfId="31004" xr:uid="{E79ECF8E-97AF-473B-9B9C-4B448595B49A}"/>
    <cellStyle name="40% - Accent3 22 3 2 5 2 3" xfId="23494" xr:uid="{D767055D-75CC-4B04-AA9A-31B1B486CD8B}"/>
    <cellStyle name="40% - Accent3 22 3 2 5 3" xfId="11197" xr:uid="{A649113B-B007-42CB-A138-A17ADA1AE79A}"/>
    <cellStyle name="40% - Accent3 22 3 2 5 3 2" xfId="27401" xr:uid="{62772BD9-ECAD-4575-9467-0F3AAF3C14F4}"/>
    <cellStyle name="40% - Accent3 22 3 2 5 4" xfId="19748" xr:uid="{38851A90-56B4-4CBB-A876-1FEA59B293AE}"/>
    <cellStyle name="40% - Accent3 22 3 2 6" xfId="4056" xr:uid="{037D37F2-7F0E-4CFC-87BD-5FE9D25E3B00}"/>
    <cellStyle name="40% - Accent3 22 3 2 6 2" xfId="7726" xr:uid="{BBE339B5-FFAA-4E34-BEC0-9009071FE9CE}"/>
    <cellStyle name="40% - Accent3 22 3 2 6 2 2" xfId="15233" xr:uid="{643ACE7D-FE6E-4108-86B7-B20C20A8BCF0}"/>
    <cellStyle name="40% - Accent3 22 3 2 6 2 2 2" xfId="31437" xr:uid="{E6610C66-29F1-4546-B6AC-BF9038E674A8}"/>
    <cellStyle name="40% - Accent3 22 3 2 6 2 3" xfId="23930" xr:uid="{FA89E1D8-C102-43F6-B256-D04BD69525B4}"/>
    <cellStyle name="40% - Accent3 22 3 2 6 3" xfId="11619" xr:uid="{D32745D4-8516-49DF-89BD-A7761183B685}"/>
    <cellStyle name="40% - Accent3 22 3 2 6 3 2" xfId="27823" xr:uid="{335F45A2-D000-492B-AD57-B7AA5C813A51}"/>
    <cellStyle name="40% - Accent3 22 3 2 6 4" xfId="20260" xr:uid="{CD17076F-7B4B-450A-A7F6-6923A54E3634}"/>
    <cellStyle name="40% - Accent3 22 3 2 7" xfId="4481" xr:uid="{9B5FB6BB-1552-4FFE-A9EB-D6FD510BBC9E}"/>
    <cellStyle name="40% - Accent3 22 3 2 7 2" xfId="8151" xr:uid="{1334AC12-8003-4CBE-AFD4-E355B1DB4D11}"/>
    <cellStyle name="40% - Accent3 22 3 2 7 2 2" xfId="15658" xr:uid="{60F66CC9-BCDC-49B1-B6ED-7A433C66D3BC}"/>
    <cellStyle name="40% - Accent3 22 3 2 7 2 2 2" xfId="31862" xr:uid="{4530BACC-B828-4CFE-97FD-31E59F5B8A86}"/>
    <cellStyle name="40% - Accent3 22 3 2 7 2 3" xfId="24355" xr:uid="{5AE80C6F-B53E-4233-AFED-2004B8CDDD89}"/>
    <cellStyle name="40% - Accent3 22 3 2 7 3" xfId="12044" xr:uid="{3A6033BE-3F7B-4B36-98E1-D79A3C2932C5}"/>
    <cellStyle name="40% - Accent3 22 3 2 7 3 2" xfId="28248" xr:uid="{6F9ECBCE-E043-4969-ADC0-723B83F5D5BB}"/>
    <cellStyle name="40% - Accent3 22 3 2 7 4" xfId="20685" xr:uid="{895DD372-3571-42F1-BB59-7141275EA906}"/>
    <cellStyle name="40% - Accent3 22 3 2 8" xfId="4906" xr:uid="{B2DEA1C9-1DDA-414D-99F5-CBB0A8A12568}"/>
    <cellStyle name="40% - Accent3 22 3 2 8 2" xfId="8574" xr:uid="{A3BFEEEF-F3E9-4607-8125-DDC3CCBF9651}"/>
    <cellStyle name="40% - Accent3 22 3 2 8 2 2" xfId="16081" xr:uid="{4D42B1FF-50E7-489F-BC3D-A86CEAD35F0C}"/>
    <cellStyle name="40% - Accent3 22 3 2 8 2 2 2" xfId="32285" xr:uid="{5CAC31AA-1D87-44F0-A46E-9F9A87C431E2}"/>
    <cellStyle name="40% - Accent3 22 3 2 8 2 3" xfId="24778" xr:uid="{D28E6508-77D3-4601-B484-F9EA36A8DE88}"/>
    <cellStyle name="40% - Accent3 22 3 2 8 3" xfId="12466" xr:uid="{70C30C82-0CB9-42EE-89D9-D2ED23942EB0}"/>
    <cellStyle name="40% - Accent3 22 3 2 8 3 2" xfId="28670" xr:uid="{4DF6413C-3EED-459A-8379-B4B4F6F08CE8}"/>
    <cellStyle name="40% - Accent3 22 3 2 8 4" xfId="21110" xr:uid="{7D9CE708-69C8-4ADA-98B9-D7316BBF8519}"/>
    <cellStyle name="40% - Accent3 22 3 2 9" xfId="5392" xr:uid="{5E955071-9AB6-41E4-8F42-4DE9E018EF73}"/>
    <cellStyle name="40% - Accent3 22 3 2 9 2" xfId="12941" xr:uid="{9D59C3EA-C1D7-4999-98A9-68EA7F18CB81}"/>
    <cellStyle name="40% - Accent3 22 3 2 9 2 2" xfId="29145" xr:uid="{B5ABFE8D-2AF6-4FAA-A331-CC3BCEB294BE}"/>
    <cellStyle name="40% - Accent3 22 3 2 9 3" xfId="21596" xr:uid="{B43C71CC-2552-476A-89FB-43D974BEBCA2}"/>
    <cellStyle name="40% - Accent3 22 3 3" xfId="1873" xr:uid="{2C07DD1B-E1A6-474F-8C71-E5AA55065A76}"/>
    <cellStyle name="40% - Accent3 22 3 3 10" xfId="18178" xr:uid="{ADB71934-DA4F-4FE2-87BA-5DB77ED6D243}"/>
    <cellStyle name="40% - Accent3 22 3 3 2" xfId="2382" xr:uid="{2CBDECBE-6F24-4A7F-B326-7E830322E3F4}"/>
    <cellStyle name="40% - Accent3 22 3 3 2 2" xfId="3229" xr:uid="{F71895AE-5DE2-4690-A956-CEE7397487C2}"/>
    <cellStyle name="40% - Accent3 22 3 3 2 2 2" xfId="7011" xr:uid="{93CE0B83-1242-4CBA-B620-04FD6395006B}"/>
    <cellStyle name="40% - Accent3 22 3 3 2 2 2 2" xfId="14522" xr:uid="{4914F7EC-925B-4208-8D96-44032DAEAFE8}"/>
    <cellStyle name="40% - Accent3 22 3 3 2 2 2 2 2" xfId="30726" xr:uid="{F1CB9B0C-1100-4425-B71F-8F44D1EDA20D}"/>
    <cellStyle name="40% - Accent3 22 3 3 2 2 2 3" xfId="23215" xr:uid="{E51039B7-3A13-4AF8-B5D8-986F84A79D5D}"/>
    <cellStyle name="40% - Accent3 22 3 3 2 2 3" xfId="10922" xr:uid="{ACAB76FC-C190-4984-8D39-3777D0829928}"/>
    <cellStyle name="40% - Accent3 22 3 3 2 2 3 2" xfId="27126" xr:uid="{6F047740-3BA5-4984-820A-554B687994E3}"/>
    <cellStyle name="40% - Accent3 22 3 3 2 2 4" xfId="19449" xr:uid="{3E63F9C8-114D-49E1-A30F-40132596FE2E}"/>
    <cellStyle name="40% - Accent3 22 3 3 2 3" xfId="6166" xr:uid="{472F0855-ABE3-4794-ABD2-EAB791A4C4F3}"/>
    <cellStyle name="40% - Accent3 22 3 3 2 3 2" xfId="13678" xr:uid="{EAB3FC1B-148D-418E-AC24-0D80A08A54C8}"/>
    <cellStyle name="40% - Accent3 22 3 3 2 3 2 2" xfId="29882" xr:uid="{E6D17F2B-EF93-4A57-93E7-A02FDD7E38FB}"/>
    <cellStyle name="40% - Accent3 22 3 3 2 3 3" xfId="22370" xr:uid="{D567C197-0D85-43AB-8731-6A5CC7314264}"/>
    <cellStyle name="40% - Accent3 22 3 3 2 4" xfId="10078" xr:uid="{7A45AFAC-54A0-45F7-BB69-BF89B53F40AD}"/>
    <cellStyle name="40% - Accent3 22 3 3 2 4 2" xfId="26282" xr:uid="{0F6328C5-D776-4CAC-A71F-D16D1E1286ED}"/>
    <cellStyle name="40% - Accent3 22 3 3 2 5" xfId="18604" xr:uid="{8B23CC5D-21C2-44AB-B4CD-A8012D5A1FE8}"/>
    <cellStyle name="40% - Accent3 22 3 3 3" xfId="2804" xr:uid="{7193FB74-36F1-4C46-B8FE-C45E6B4A5712}"/>
    <cellStyle name="40% - Accent3 22 3 3 3 2" xfId="6588" xr:uid="{6F6EC1C9-A94F-4876-9B63-412C0F80EAFE}"/>
    <cellStyle name="40% - Accent3 22 3 3 3 2 2" xfId="14100" xr:uid="{C49AD4AF-BAF3-4584-8EBD-92EC1424EB55}"/>
    <cellStyle name="40% - Accent3 22 3 3 3 2 2 2" xfId="30304" xr:uid="{F3BF812D-6352-4F1B-B397-E26129BFD139}"/>
    <cellStyle name="40% - Accent3 22 3 3 3 2 3" xfId="22792" xr:uid="{1B4FCB18-AEDE-404E-97E8-70AE67973A70}"/>
    <cellStyle name="40% - Accent3 22 3 3 3 3" xfId="10500" xr:uid="{474ADBAA-BECC-4788-8139-A59E08094003}"/>
    <cellStyle name="40% - Accent3 22 3 3 3 3 2" xfId="26704" xr:uid="{7A2F6816-4D33-45CB-BECA-EED3F03F6EB8}"/>
    <cellStyle name="40% - Accent3 22 3 3 3 4" xfId="19026" xr:uid="{C3988398-5AC8-45F0-BAA4-8D4696494107}"/>
    <cellStyle name="40% - Accent3 22 3 3 4" xfId="3735" xr:uid="{EB5411F6-AD40-488D-B4E8-E76ACBBDC06D}"/>
    <cellStyle name="40% - Accent3 22 3 3 4 2" xfId="7445" xr:uid="{8403A12C-AEA8-4FD4-AD04-2A5FDBBE5856}"/>
    <cellStyle name="40% - Accent3 22 3 3 4 2 2" xfId="14954" xr:uid="{11C4BE99-1321-47C8-A85D-AEDAC3A8856C}"/>
    <cellStyle name="40% - Accent3 22 3 3 4 2 2 2" xfId="31158" xr:uid="{EFFA126D-BBD1-4FFC-9DE8-EB90FDE409FF}"/>
    <cellStyle name="40% - Accent3 22 3 3 4 2 3" xfId="23649" xr:uid="{5A317258-42CF-42FD-A257-1C081A572B0D}"/>
    <cellStyle name="40% - Accent3 22 3 3 4 3" xfId="11345" xr:uid="{B0524805-9496-4A4D-BBA3-F0C5F9B661F2}"/>
    <cellStyle name="40% - Accent3 22 3 3 4 3 2" xfId="27549" xr:uid="{8A6B88BA-D6AB-4FCE-B1DB-D1F665461609}"/>
    <cellStyle name="40% - Accent3 22 3 3 4 4" xfId="19944" xr:uid="{712A4624-3FC9-4313-9A0A-9AAC195AE6AF}"/>
    <cellStyle name="40% - Accent3 22 3 3 5" xfId="4204" xr:uid="{04FF8B2F-3A89-466B-9215-AE0FE6785D1D}"/>
    <cellStyle name="40% - Accent3 22 3 3 5 2" xfId="7874" xr:uid="{9C91F649-52E6-4F08-92D7-2BF669E8C24C}"/>
    <cellStyle name="40% - Accent3 22 3 3 5 2 2" xfId="15381" xr:uid="{D8198CC2-34AD-4697-976F-7AB3F064EA2D}"/>
    <cellStyle name="40% - Accent3 22 3 3 5 2 2 2" xfId="31585" xr:uid="{7DFE0855-CB4C-4E36-8829-9CDD1957C487}"/>
    <cellStyle name="40% - Accent3 22 3 3 5 2 3" xfId="24078" xr:uid="{C999A1E6-08D2-4D9A-830E-1C38BFEDBFD3}"/>
    <cellStyle name="40% - Accent3 22 3 3 5 3" xfId="11767" xr:uid="{4D17613C-6943-4C4A-BF67-87508EEF47C5}"/>
    <cellStyle name="40% - Accent3 22 3 3 5 3 2" xfId="27971" xr:uid="{82CFC175-E4D3-49C4-A00C-341B5CA6093C}"/>
    <cellStyle name="40% - Accent3 22 3 3 5 4" xfId="20408" xr:uid="{1F163DC5-DDEA-436A-BE97-A21178B2F19F}"/>
    <cellStyle name="40% - Accent3 22 3 3 6" xfId="4629" xr:uid="{9C2E7504-DEDC-4007-B0F8-417EC678361C}"/>
    <cellStyle name="40% - Accent3 22 3 3 6 2" xfId="8299" xr:uid="{352A57FB-36A5-4A18-B294-1580041A1F20}"/>
    <cellStyle name="40% - Accent3 22 3 3 6 2 2" xfId="15806" xr:uid="{87947918-885C-4E4A-8557-0FD48B765FD3}"/>
    <cellStyle name="40% - Accent3 22 3 3 6 2 2 2" xfId="32010" xr:uid="{30219B3B-7E56-44B7-BC5A-1DEF3ECA17E7}"/>
    <cellStyle name="40% - Accent3 22 3 3 6 2 3" xfId="24503" xr:uid="{BAA4189E-20D7-42FB-9E43-A35CF89E548C}"/>
    <cellStyle name="40% - Accent3 22 3 3 6 3" xfId="12192" xr:uid="{DB8C0B9A-2A53-47E1-881C-DB51825041F0}"/>
    <cellStyle name="40% - Accent3 22 3 3 6 3 2" xfId="28396" xr:uid="{13A519B8-96A1-40EE-80FE-4BFADB7833E9}"/>
    <cellStyle name="40% - Accent3 22 3 3 6 4" xfId="20833" xr:uid="{940F15C7-6AFE-4141-AF47-A4CC985C169F}"/>
    <cellStyle name="40% - Accent3 22 3 3 7" xfId="5056" xr:uid="{A7E2D254-ECCB-4676-9C1E-5EC6D09636F7}"/>
    <cellStyle name="40% - Accent3 22 3 3 7 2" xfId="8722" xr:uid="{86F939D6-A0F8-44F3-B100-EF1B52546920}"/>
    <cellStyle name="40% - Accent3 22 3 3 7 2 2" xfId="16229" xr:uid="{7CCA04BA-A9BD-4AB5-BD9D-5B924D40CCA9}"/>
    <cellStyle name="40% - Accent3 22 3 3 7 2 2 2" xfId="32433" xr:uid="{A825242E-02AA-45DD-86C6-A1EF0FFEFFF5}"/>
    <cellStyle name="40% - Accent3 22 3 3 7 2 3" xfId="24926" xr:uid="{1464BA4A-F66D-4936-B1B2-DB4604B0B9D0}"/>
    <cellStyle name="40% - Accent3 22 3 3 7 3" xfId="12614" xr:uid="{06B88D4B-B743-4E45-9E4F-DFE488BC2508}"/>
    <cellStyle name="40% - Accent3 22 3 3 7 3 2" xfId="28818" xr:uid="{756C7222-895A-4862-A2A2-5A7789B926DC}"/>
    <cellStyle name="40% - Accent3 22 3 3 7 4" xfId="21260" xr:uid="{EF8DBADB-4EAD-4040-840D-810C44BF6FD5}"/>
    <cellStyle name="40% - Accent3 22 3 3 8" xfId="5728" xr:uid="{4BF129E5-6030-431B-AC77-F32A0B8C3C0B}"/>
    <cellStyle name="40% - Accent3 22 3 3 8 2" xfId="13243" xr:uid="{548E046E-3E52-4202-803C-DAF7AC837F3F}"/>
    <cellStyle name="40% - Accent3 22 3 3 8 2 2" xfId="29447" xr:uid="{886C998F-E9B8-4E2F-B88D-F5FB0573C680}"/>
    <cellStyle name="40% - Accent3 22 3 3 8 3" xfId="21932" xr:uid="{58DE459A-C5DB-4249-A79B-A5B893146E98}"/>
    <cellStyle name="40% - Accent3 22 3 3 9" xfId="9655" xr:uid="{5CFC652B-AD32-4766-9626-03FA8790C6B9}"/>
    <cellStyle name="40% - Accent3 22 3 3 9 2" xfId="25859" xr:uid="{1C2F1EF7-7E07-4492-984C-02490A81351D}"/>
    <cellStyle name="40% - Accent3 22 3 4" xfId="2101" xr:uid="{9AD670F7-F3DC-49C8-B84A-0B31DBA339D5}"/>
    <cellStyle name="40% - Accent3 22 3 4 2" xfId="3014" xr:uid="{80E06FAA-D575-4760-B60A-2DA40D138E8E}"/>
    <cellStyle name="40% - Accent3 22 3 4 2 2" xfId="6796" xr:uid="{D9A64574-40ED-4264-8202-D868E33C704A}"/>
    <cellStyle name="40% - Accent3 22 3 4 2 2 2" xfId="14307" xr:uid="{A67BA829-EB07-48B2-A0E3-FB0764E83291}"/>
    <cellStyle name="40% - Accent3 22 3 4 2 2 2 2" xfId="30511" xr:uid="{50F9AE46-E5DC-4E81-A741-BE3573AABE43}"/>
    <cellStyle name="40% - Accent3 22 3 4 2 2 3" xfId="23000" xr:uid="{275046A3-99F2-4D4F-A746-724876CE3B0D}"/>
    <cellStyle name="40% - Accent3 22 3 4 2 3" xfId="10707" xr:uid="{C13250A2-A57C-485D-956B-1464F0C0942D}"/>
    <cellStyle name="40% - Accent3 22 3 4 2 3 2" xfId="26911" xr:uid="{C5740695-06C9-4A18-8110-2F7F6D9C3BEB}"/>
    <cellStyle name="40% - Accent3 22 3 4 2 4" xfId="19234" xr:uid="{2D94BCAA-0467-46B5-9558-09CD3F34544B}"/>
    <cellStyle name="40% - Accent3 22 3 4 3" xfId="5940" xr:uid="{A2CD01C1-E3D4-40B4-8D92-1687D62D78B3}"/>
    <cellStyle name="40% - Accent3 22 3 4 3 2" xfId="13454" xr:uid="{44D62B20-90FF-456E-BAA0-0E91574A7B5C}"/>
    <cellStyle name="40% - Accent3 22 3 4 3 2 2" xfId="29658" xr:uid="{1D3534FD-0E8F-4BDC-97A5-CD47BF9127E9}"/>
    <cellStyle name="40% - Accent3 22 3 4 3 3" xfId="22144" xr:uid="{63F601F9-5F08-43E3-B068-23769F00C900}"/>
    <cellStyle name="40% - Accent3 22 3 4 4" xfId="9863" xr:uid="{9AA1DD08-3BF0-40BA-A396-E158206436DC}"/>
    <cellStyle name="40% - Accent3 22 3 4 4 2" xfId="26067" xr:uid="{A56336F8-82D5-4773-8FB0-9606AF3B7DBA}"/>
    <cellStyle name="40% - Accent3 22 3 4 5" xfId="18388" xr:uid="{165638C5-D279-4A00-8178-BDC2B3471996}"/>
    <cellStyle name="40% - Accent3 22 3 5" xfId="2589" xr:uid="{A8B354BA-EA09-4EB4-8902-42A0F0E65087}"/>
    <cellStyle name="40% - Accent3 22 3 5 2" xfId="6373" xr:uid="{02B32978-3E52-4205-9A40-463DC0B7B6CA}"/>
    <cellStyle name="40% - Accent3 22 3 5 2 2" xfId="13885" xr:uid="{FD9AAABD-FA7D-4FBF-B102-8C340B07EDC4}"/>
    <cellStyle name="40% - Accent3 22 3 5 2 2 2" xfId="30089" xr:uid="{6A427127-6C33-4B04-9258-5417FE7A4393}"/>
    <cellStyle name="40% - Accent3 22 3 5 2 3" xfId="22577" xr:uid="{46BD7728-A86A-4F9E-8813-C93C5600F7FA}"/>
    <cellStyle name="40% - Accent3 22 3 5 3" xfId="10285" xr:uid="{B635B76B-7DF5-46D3-B736-7408158D190E}"/>
    <cellStyle name="40% - Accent3 22 3 5 3 2" xfId="26489" xr:uid="{94C36425-2EE6-4D63-9063-BC07B203E71D}"/>
    <cellStyle name="40% - Accent3 22 3 5 4" xfId="18811" xr:uid="{4C08D85E-B095-46B3-A2B3-7E41F614A504}"/>
    <cellStyle name="40% - Accent3 22 3 6" xfId="3465" xr:uid="{D1C0E62B-9247-4602-83AD-D31B8E7784F5}"/>
    <cellStyle name="40% - Accent3 22 3 6 2" xfId="7223" xr:uid="{90698EAB-14E4-48C5-A54F-B6E898CB785B}"/>
    <cellStyle name="40% - Accent3 22 3 6 2 2" xfId="14733" xr:uid="{A4853AE4-48B4-4686-84D5-157EBD49B799}"/>
    <cellStyle name="40% - Accent3 22 3 6 2 2 2" xfId="30937" xr:uid="{CFD3FE37-3074-4337-8B4C-1D8E6BAE1A7A}"/>
    <cellStyle name="40% - Accent3 22 3 6 2 3" xfId="23427" xr:uid="{325A2AF1-506B-445F-AB4C-15FA4368E182}"/>
    <cellStyle name="40% - Accent3 22 3 6 3" xfId="11130" xr:uid="{98BF91B3-45AA-442E-8BB2-80A95F10AE41}"/>
    <cellStyle name="40% - Accent3 22 3 6 3 2" xfId="27334" xr:uid="{7D297A6F-6FCE-4C85-8C07-00F22A861BB2}"/>
    <cellStyle name="40% - Accent3 22 3 6 4" xfId="19681" xr:uid="{14C8B0F8-986B-488B-A3D7-DEFE2A2D42BA}"/>
    <cellStyle name="40% - Accent3 22 3 7" xfId="3989" xr:uid="{72D4FCE5-3331-4CD0-9D08-27DFFB2B0F43}"/>
    <cellStyle name="40% - Accent3 22 3 7 2" xfId="7659" xr:uid="{15958837-347C-4091-961A-DF7A698C811D}"/>
    <cellStyle name="40% - Accent3 22 3 7 2 2" xfId="15166" xr:uid="{4525626A-488D-4EAF-85C9-CE2B90DB28DA}"/>
    <cellStyle name="40% - Accent3 22 3 7 2 2 2" xfId="31370" xr:uid="{E469D94F-E45A-448B-AA72-005F8157ED01}"/>
    <cellStyle name="40% - Accent3 22 3 7 2 3" xfId="23863" xr:uid="{B0B11134-AB7E-43F6-B73C-67A0781145DB}"/>
    <cellStyle name="40% - Accent3 22 3 7 3" xfId="11552" xr:uid="{A1B66D62-05F8-4801-82BA-6738160C4BB4}"/>
    <cellStyle name="40% - Accent3 22 3 7 3 2" xfId="27756" xr:uid="{F8E9BBDE-6F23-486B-B698-48849FE9F5EB}"/>
    <cellStyle name="40% - Accent3 22 3 7 4" xfId="20193" xr:uid="{53F50692-B221-4C2A-8FF3-1AA02EDC572E}"/>
    <cellStyle name="40% - Accent3 22 3 8" xfId="4414" xr:uid="{699B3D2C-371E-4C79-B907-D1006BAFE753}"/>
    <cellStyle name="40% - Accent3 22 3 8 2" xfId="8084" xr:uid="{8B0415F2-B4D7-4589-B656-EB88E1CF3291}"/>
    <cellStyle name="40% - Accent3 22 3 8 2 2" xfId="15591" xr:uid="{1536826C-39E3-410C-A1C7-D92B03132E57}"/>
    <cellStyle name="40% - Accent3 22 3 8 2 2 2" xfId="31795" xr:uid="{7B6A9388-1A76-4133-9471-4B8810364097}"/>
    <cellStyle name="40% - Accent3 22 3 8 2 3" xfId="24288" xr:uid="{33A1ED8D-794A-4449-9500-A7F1747B932A}"/>
    <cellStyle name="40% - Accent3 22 3 8 3" xfId="11977" xr:uid="{84EDFD73-437D-4BF0-BD1D-80BD0BD12156}"/>
    <cellStyle name="40% - Accent3 22 3 8 3 2" xfId="28181" xr:uid="{91F12575-4F05-4009-9380-69692E3561B8}"/>
    <cellStyle name="40% - Accent3 22 3 8 4" xfId="20618" xr:uid="{23C6FBD4-E39C-4162-AF84-6A610C191A2D}"/>
    <cellStyle name="40% - Accent3 22 3 9" xfId="4838" xr:uid="{D7E7AD17-200A-4666-9B50-05B90C5BE38D}"/>
    <cellStyle name="40% - Accent3 22 3 9 2" xfId="8507" xr:uid="{27A78B64-D839-44DE-99EE-2B15B7BAACD7}"/>
    <cellStyle name="40% - Accent3 22 3 9 2 2" xfId="16014" xr:uid="{F1B4A6A2-A3AF-4B92-857E-BE20748ED65A}"/>
    <cellStyle name="40% - Accent3 22 3 9 2 2 2" xfId="32218" xr:uid="{29BD52D5-A7A0-473B-8DB4-EE1D133DBCE1}"/>
    <cellStyle name="40% - Accent3 22 3 9 2 3" xfId="24711" xr:uid="{C8B1D513-C7E1-4E72-A26F-39911A47E9C8}"/>
    <cellStyle name="40% - Accent3 22 3 9 3" xfId="12399" xr:uid="{28E80B76-A753-4E72-A80E-AE4E86042654}"/>
    <cellStyle name="40% - Accent3 22 3 9 3 2" xfId="28603" xr:uid="{C3F49E87-BA04-4712-BBE3-7164F5037630}"/>
    <cellStyle name="40% - Accent3 22 3 9 4" xfId="21042" xr:uid="{40124DE2-7C6A-44AD-BC90-FEB117563D7C}"/>
    <cellStyle name="40% - Accent3 22 4" xfId="555" xr:uid="{262B8378-E7E2-478D-97FC-D7C9BE40D564}"/>
    <cellStyle name="40% - Accent3 22 4 10" xfId="9463" xr:uid="{706A4554-B142-4F1F-80E5-7F4B30EC16D8}"/>
    <cellStyle name="40% - Accent3 22 4 10 2" xfId="25667" xr:uid="{D8124D0F-ED94-4DED-8C3A-9297032B1916}"/>
    <cellStyle name="40% - Accent3 22 4 11" xfId="17979" xr:uid="{F0CC6BE5-6E6A-4062-B847-388E0D29B5F5}"/>
    <cellStyle name="40% - Accent3 22 4 2" xfId="1874" xr:uid="{B6246EE6-0E30-4A6D-A687-D1694C2DC40B}"/>
    <cellStyle name="40% - Accent3 22 4 2 10" xfId="18179" xr:uid="{FD88C6F4-4437-49A1-BA22-E03769F4618E}"/>
    <cellStyle name="40% - Accent3 22 4 2 2" xfId="2383" xr:uid="{7DDBFB43-3F80-4E85-872B-AAC5369CC255}"/>
    <cellStyle name="40% - Accent3 22 4 2 2 2" xfId="3230" xr:uid="{C46DEC45-2E9B-498B-ADA9-131B10C74B05}"/>
    <cellStyle name="40% - Accent3 22 4 2 2 2 2" xfId="7012" xr:uid="{92A19332-2495-4073-9F0C-194E1424D457}"/>
    <cellStyle name="40% - Accent3 22 4 2 2 2 2 2" xfId="14523" xr:uid="{0ED29A49-1450-4A64-BF39-7ABEDB6AE4E5}"/>
    <cellStyle name="40% - Accent3 22 4 2 2 2 2 2 2" xfId="30727" xr:uid="{15DC2D81-92DC-4214-BDEF-BBF28B0119C3}"/>
    <cellStyle name="40% - Accent3 22 4 2 2 2 2 3" xfId="23216" xr:uid="{47E1ADA5-592F-4580-AB50-E61A425F73A1}"/>
    <cellStyle name="40% - Accent3 22 4 2 2 2 3" xfId="10923" xr:uid="{999186FA-6E69-408A-965A-8C768A2818A7}"/>
    <cellStyle name="40% - Accent3 22 4 2 2 2 3 2" xfId="27127" xr:uid="{B414650F-657E-406B-BDB7-58405EE9FAE1}"/>
    <cellStyle name="40% - Accent3 22 4 2 2 2 4" xfId="19450" xr:uid="{B95C008C-D9CD-4CC1-94EA-5EC581EDA386}"/>
    <cellStyle name="40% - Accent3 22 4 2 2 3" xfId="6167" xr:uid="{CBC7602C-F005-4414-B10D-558CD9ACCEC1}"/>
    <cellStyle name="40% - Accent3 22 4 2 2 3 2" xfId="13679" xr:uid="{46B4A06D-B1F8-4F51-B138-990D5879EF5B}"/>
    <cellStyle name="40% - Accent3 22 4 2 2 3 2 2" xfId="29883" xr:uid="{C7961DB5-7AA9-4CEE-821C-3255900A80DB}"/>
    <cellStyle name="40% - Accent3 22 4 2 2 3 3" xfId="22371" xr:uid="{EA1B151E-975A-4E8F-AABA-7B09ED863B42}"/>
    <cellStyle name="40% - Accent3 22 4 2 2 4" xfId="10079" xr:uid="{553F4B23-59D3-42AC-9EC7-B0496216D9E2}"/>
    <cellStyle name="40% - Accent3 22 4 2 2 4 2" xfId="26283" xr:uid="{F91F4872-BC5B-482F-8AEE-8B5BF468B295}"/>
    <cellStyle name="40% - Accent3 22 4 2 2 5" xfId="18605" xr:uid="{C20321BF-2766-477C-9301-8B919CE5D29B}"/>
    <cellStyle name="40% - Accent3 22 4 2 3" xfId="2805" xr:uid="{796189C7-16E8-4F24-819B-98A6C6A8FCE1}"/>
    <cellStyle name="40% - Accent3 22 4 2 3 2" xfId="6589" xr:uid="{42E9A0B0-EB30-4064-9EAF-AD5B1A39DB87}"/>
    <cellStyle name="40% - Accent3 22 4 2 3 2 2" xfId="14101" xr:uid="{BE8E9BA8-8408-40A9-8C15-DEC43440E2F4}"/>
    <cellStyle name="40% - Accent3 22 4 2 3 2 2 2" xfId="30305" xr:uid="{DCFF007B-0648-4C30-A4CF-245B32AFCC91}"/>
    <cellStyle name="40% - Accent3 22 4 2 3 2 3" xfId="22793" xr:uid="{480DD4DE-F5B7-461A-87AF-3C9CC2BA086F}"/>
    <cellStyle name="40% - Accent3 22 4 2 3 3" xfId="10501" xr:uid="{13F77AA1-6D6F-49E9-BE75-9D0258AD4F81}"/>
    <cellStyle name="40% - Accent3 22 4 2 3 3 2" xfId="26705" xr:uid="{8FA5AD13-58D3-4EA7-B250-CACD3055E6D0}"/>
    <cellStyle name="40% - Accent3 22 4 2 3 4" xfId="19027" xr:uid="{96678B6E-9E21-468C-AB26-714E1019535F}"/>
    <cellStyle name="40% - Accent3 22 4 2 4" xfId="3736" xr:uid="{F6AA657F-8284-4A73-A7CC-F19DA8C21BAB}"/>
    <cellStyle name="40% - Accent3 22 4 2 4 2" xfId="7446" xr:uid="{81EC8017-D409-482D-8E94-BFDD1CA3F3EE}"/>
    <cellStyle name="40% - Accent3 22 4 2 4 2 2" xfId="14955" xr:uid="{B1C1DFA0-BE75-4EEB-8C76-192F2B8D7481}"/>
    <cellStyle name="40% - Accent3 22 4 2 4 2 2 2" xfId="31159" xr:uid="{1A0A3926-EF2B-4AE5-BC53-05FBCFA63195}"/>
    <cellStyle name="40% - Accent3 22 4 2 4 2 3" xfId="23650" xr:uid="{70ED153C-E67A-4B92-8335-865D818BAAFF}"/>
    <cellStyle name="40% - Accent3 22 4 2 4 3" xfId="11346" xr:uid="{B9EFAF8A-E680-44C8-82E4-6F9207533264}"/>
    <cellStyle name="40% - Accent3 22 4 2 4 3 2" xfId="27550" xr:uid="{3066DE44-7BBF-4783-9C2B-6CC08F2DDAC9}"/>
    <cellStyle name="40% - Accent3 22 4 2 4 4" xfId="19945" xr:uid="{4EE17E37-D1E4-4A67-9411-D6A415339FAC}"/>
    <cellStyle name="40% - Accent3 22 4 2 5" xfId="4205" xr:uid="{66D8A5CC-CBD6-49A9-84F5-3E474D539123}"/>
    <cellStyle name="40% - Accent3 22 4 2 5 2" xfId="7875" xr:uid="{F3B2C977-3FFD-4E0A-B456-0D0FEAF0E506}"/>
    <cellStyle name="40% - Accent3 22 4 2 5 2 2" xfId="15382" xr:uid="{3F6C9D0B-2B30-4B13-AEA1-E2F926F7B996}"/>
    <cellStyle name="40% - Accent3 22 4 2 5 2 2 2" xfId="31586" xr:uid="{66B47C2A-DBC1-4CC5-B082-925C5112B62D}"/>
    <cellStyle name="40% - Accent3 22 4 2 5 2 3" xfId="24079" xr:uid="{008C9260-0A98-42BC-90AA-790D05A3FBBB}"/>
    <cellStyle name="40% - Accent3 22 4 2 5 3" xfId="11768" xr:uid="{FF6F72DA-C8FB-426E-8603-B6D81C608C92}"/>
    <cellStyle name="40% - Accent3 22 4 2 5 3 2" xfId="27972" xr:uid="{5EF9B864-3E52-4B26-AFC0-A8FE1B673636}"/>
    <cellStyle name="40% - Accent3 22 4 2 5 4" xfId="20409" xr:uid="{C9D609E9-2F6A-4FC3-B51F-B26E6BF49ADB}"/>
    <cellStyle name="40% - Accent3 22 4 2 6" xfId="4630" xr:uid="{CD4FEEB1-E906-482A-9630-A2D82EA90D5D}"/>
    <cellStyle name="40% - Accent3 22 4 2 6 2" xfId="8300" xr:uid="{9E41F18B-043C-41A3-ACCE-D12C11999300}"/>
    <cellStyle name="40% - Accent3 22 4 2 6 2 2" xfId="15807" xr:uid="{CACB3701-4B9F-4794-B34A-226EE3F52796}"/>
    <cellStyle name="40% - Accent3 22 4 2 6 2 2 2" xfId="32011" xr:uid="{0104EF36-97B2-43CB-A406-EEEBC2640781}"/>
    <cellStyle name="40% - Accent3 22 4 2 6 2 3" xfId="24504" xr:uid="{9ADECBA2-8752-40AF-B735-BCC4FAD0773F}"/>
    <cellStyle name="40% - Accent3 22 4 2 6 3" xfId="12193" xr:uid="{6D5A02FD-3434-4BE8-A469-A8FA42413BCF}"/>
    <cellStyle name="40% - Accent3 22 4 2 6 3 2" xfId="28397" xr:uid="{6C8A465C-3D89-4BEE-8CC9-E36DD5123E6C}"/>
    <cellStyle name="40% - Accent3 22 4 2 6 4" xfId="20834" xr:uid="{EB2471F0-67B0-4EC1-93BC-94CB17AFF749}"/>
    <cellStyle name="40% - Accent3 22 4 2 7" xfId="5057" xr:uid="{2B4E0386-76F6-4AAA-90B9-5633F3568B13}"/>
    <cellStyle name="40% - Accent3 22 4 2 7 2" xfId="8723" xr:uid="{03BFD09B-A92A-4AFB-834D-E7EE2F5A557B}"/>
    <cellStyle name="40% - Accent3 22 4 2 7 2 2" xfId="16230" xr:uid="{9EF31BD4-889D-4211-8DAD-65AC07FC2D29}"/>
    <cellStyle name="40% - Accent3 22 4 2 7 2 2 2" xfId="32434" xr:uid="{830D2D28-F1EB-41F5-A189-CF5F8C1F0F1C}"/>
    <cellStyle name="40% - Accent3 22 4 2 7 2 3" xfId="24927" xr:uid="{4D11DADC-37A5-4D00-AB03-DF293FC71355}"/>
    <cellStyle name="40% - Accent3 22 4 2 7 3" xfId="12615" xr:uid="{68746147-26CB-49C4-A8AE-BE48BDC57F61}"/>
    <cellStyle name="40% - Accent3 22 4 2 7 3 2" xfId="28819" xr:uid="{36B141C0-735D-45F1-81FA-FD39018A83D2}"/>
    <cellStyle name="40% - Accent3 22 4 2 7 4" xfId="21261" xr:uid="{0718B096-C8B9-45DB-B567-D9087D916101}"/>
    <cellStyle name="40% - Accent3 22 4 2 8" xfId="5729" xr:uid="{29511C16-142A-4DFD-A470-A4D0CA2F46A4}"/>
    <cellStyle name="40% - Accent3 22 4 2 8 2" xfId="13244" xr:uid="{A0EF8922-C0A2-4A32-B451-E4F2E385C331}"/>
    <cellStyle name="40% - Accent3 22 4 2 8 2 2" xfId="29448" xr:uid="{F7AF1534-1E81-4B14-AFBD-2F68A4B4C83B}"/>
    <cellStyle name="40% - Accent3 22 4 2 8 3" xfId="21933" xr:uid="{FE0F8B69-D661-40CF-90D8-F81791F3293E}"/>
    <cellStyle name="40% - Accent3 22 4 2 9" xfId="9656" xr:uid="{50168C58-54B7-4C87-B9DC-366B3CB403CA}"/>
    <cellStyle name="40% - Accent3 22 4 2 9 2" xfId="25860" xr:uid="{BAF0FB08-2041-4CFC-8358-E8B57C3F2274}"/>
    <cellStyle name="40% - Accent3 22 4 3" xfId="2124" xr:uid="{77164578-77ED-4918-A19A-D62652A0DE0E}"/>
    <cellStyle name="40% - Accent3 22 4 3 2" xfId="3037" xr:uid="{E78049E0-78AE-49B4-A5F7-2040109B7BBD}"/>
    <cellStyle name="40% - Accent3 22 4 3 2 2" xfId="6819" xr:uid="{C51BDAA4-F662-4B88-AE70-E15EA537BEC8}"/>
    <cellStyle name="40% - Accent3 22 4 3 2 2 2" xfId="14330" xr:uid="{C7AF1A58-A84A-474B-AA63-AFC8678E48E3}"/>
    <cellStyle name="40% - Accent3 22 4 3 2 2 2 2" xfId="30534" xr:uid="{D033972A-1674-4257-B8FA-48C85C5DB08F}"/>
    <cellStyle name="40% - Accent3 22 4 3 2 2 3" xfId="23023" xr:uid="{80E67C8B-7EE7-4A2A-B09B-DE5FDB68FE80}"/>
    <cellStyle name="40% - Accent3 22 4 3 2 3" xfId="10730" xr:uid="{C4DE6CCA-F35C-4F55-BAC6-D93C5EDC5772}"/>
    <cellStyle name="40% - Accent3 22 4 3 2 3 2" xfId="26934" xr:uid="{C2A8ED40-563C-41DD-A0D0-7CFE78D8CAAD}"/>
    <cellStyle name="40% - Accent3 22 4 3 2 4" xfId="19257" xr:uid="{25C5A74B-75C0-42E3-BEC0-B371A7A7EC1B}"/>
    <cellStyle name="40% - Accent3 22 4 3 3" xfId="5963" xr:uid="{CB8F7220-3919-4905-93DA-A9746AFA7BC1}"/>
    <cellStyle name="40% - Accent3 22 4 3 3 2" xfId="13477" xr:uid="{F530FA91-6669-4F11-8092-C51C2CD1B1FC}"/>
    <cellStyle name="40% - Accent3 22 4 3 3 2 2" xfId="29681" xr:uid="{C31517AA-4F0D-44EF-8F53-8DF437B25133}"/>
    <cellStyle name="40% - Accent3 22 4 3 3 3" xfId="22167" xr:uid="{08D73B4E-1F62-4994-AAA8-F481403C55EB}"/>
    <cellStyle name="40% - Accent3 22 4 3 4" xfId="9886" xr:uid="{C3058385-670C-4BCA-8E3F-2159CE430AA5}"/>
    <cellStyle name="40% - Accent3 22 4 3 4 2" xfId="26090" xr:uid="{B3E2950D-90C4-4EA5-82C8-076009670F69}"/>
    <cellStyle name="40% - Accent3 22 4 3 5" xfId="18411" xr:uid="{7EBDA8BE-4A73-4543-B785-13F01C30753B}"/>
    <cellStyle name="40% - Accent3 22 4 4" xfId="2612" xr:uid="{BECBDC2D-7FFD-49BE-B16C-18CA6D78147B}"/>
    <cellStyle name="40% - Accent3 22 4 4 2" xfId="6396" xr:uid="{050D2980-FB7B-4086-A6C3-DE14DD62B111}"/>
    <cellStyle name="40% - Accent3 22 4 4 2 2" xfId="13908" xr:uid="{DF16FB8F-A618-494E-8673-CA4C25964248}"/>
    <cellStyle name="40% - Accent3 22 4 4 2 2 2" xfId="30112" xr:uid="{2294779F-9B04-4732-9A1A-D0C307E84E96}"/>
    <cellStyle name="40% - Accent3 22 4 4 2 3" xfId="22600" xr:uid="{9049C6BF-2C20-4AC6-B3BF-3EDED9540583}"/>
    <cellStyle name="40% - Accent3 22 4 4 3" xfId="10308" xr:uid="{97068999-11DF-49B6-A2F4-7E780515F8AC}"/>
    <cellStyle name="40% - Accent3 22 4 4 3 2" xfId="26512" xr:uid="{E4217E67-B47C-4B6D-9ECB-21D577B7D0D0}"/>
    <cellStyle name="40% - Accent3 22 4 4 4" xfId="18834" xr:uid="{28B8396B-B16E-4676-9C80-DB3C8FF5BAD5}"/>
    <cellStyle name="40% - Accent3 22 4 5" xfId="3488" xr:uid="{9C8D8EC4-0A78-40C1-944A-9C4E7793350E}"/>
    <cellStyle name="40% - Accent3 22 4 5 2" xfId="7246" xr:uid="{D453CEAE-5785-4DA8-ADCC-0F42993DA6BF}"/>
    <cellStyle name="40% - Accent3 22 4 5 2 2" xfId="14756" xr:uid="{BB607199-18C3-4DC0-BD9E-836BF56EE6E3}"/>
    <cellStyle name="40% - Accent3 22 4 5 2 2 2" xfId="30960" xr:uid="{D650FF86-3671-498C-BEC7-8F84138846D5}"/>
    <cellStyle name="40% - Accent3 22 4 5 2 3" xfId="23450" xr:uid="{14FD6F5E-8AF2-44F5-9CDC-8F943CB9B797}"/>
    <cellStyle name="40% - Accent3 22 4 5 3" xfId="11153" xr:uid="{A948BDB5-265F-4052-A5A2-7EA8853FBC30}"/>
    <cellStyle name="40% - Accent3 22 4 5 3 2" xfId="27357" xr:uid="{865EE397-F95E-4CAD-929E-19D95E7C375E}"/>
    <cellStyle name="40% - Accent3 22 4 5 4" xfId="19704" xr:uid="{6AC07345-D0DF-4423-B783-9B3B5187093C}"/>
    <cellStyle name="40% - Accent3 22 4 6" xfId="4012" xr:uid="{2AF1AA0D-9516-4258-A378-D06F28DB4AE4}"/>
    <cellStyle name="40% - Accent3 22 4 6 2" xfId="7682" xr:uid="{E069F850-8F9D-41C3-9242-75B9269171FE}"/>
    <cellStyle name="40% - Accent3 22 4 6 2 2" xfId="15189" xr:uid="{24D5E0B1-AC2A-4879-B74A-90F36864A50F}"/>
    <cellStyle name="40% - Accent3 22 4 6 2 2 2" xfId="31393" xr:uid="{43EAFFC2-6080-4621-97AA-2212D6A57455}"/>
    <cellStyle name="40% - Accent3 22 4 6 2 3" xfId="23886" xr:uid="{8ACEE7E2-F27B-4F58-AD8D-3424C3FD75AD}"/>
    <cellStyle name="40% - Accent3 22 4 6 3" xfId="11575" xr:uid="{25FF538B-2AD5-4AD3-9C11-E1E0388EA0D9}"/>
    <cellStyle name="40% - Accent3 22 4 6 3 2" xfId="27779" xr:uid="{1F443DD1-FDC2-4AB3-A95B-56186D5B1F58}"/>
    <cellStyle name="40% - Accent3 22 4 6 4" xfId="20216" xr:uid="{83448CBE-26F1-4EDF-A8BD-3EA46B80BD97}"/>
    <cellStyle name="40% - Accent3 22 4 7" xfId="4437" xr:uid="{6A0E184E-50B9-4E2A-854C-EAD43EE3E0B6}"/>
    <cellStyle name="40% - Accent3 22 4 7 2" xfId="8107" xr:uid="{35202331-7D26-4828-A5CA-B9964AFC0936}"/>
    <cellStyle name="40% - Accent3 22 4 7 2 2" xfId="15614" xr:uid="{770FF772-9CB8-4EC7-B52D-9E6CB8E41162}"/>
    <cellStyle name="40% - Accent3 22 4 7 2 2 2" xfId="31818" xr:uid="{DCAF3823-5520-47C1-B0AE-9921FDF9A6DD}"/>
    <cellStyle name="40% - Accent3 22 4 7 2 3" xfId="24311" xr:uid="{4EB7FEDD-2023-4472-A817-B129DF33F4D6}"/>
    <cellStyle name="40% - Accent3 22 4 7 3" xfId="12000" xr:uid="{CA71DE3E-EBAC-437A-9FC3-C0F8B60725C3}"/>
    <cellStyle name="40% - Accent3 22 4 7 3 2" xfId="28204" xr:uid="{A81BA061-664E-4A68-9370-F1CDDDB6B965}"/>
    <cellStyle name="40% - Accent3 22 4 7 4" xfId="20641" xr:uid="{35673E9C-EF50-476C-9F8A-474A4C826ED6}"/>
    <cellStyle name="40% - Accent3 22 4 8" xfId="4862" xr:uid="{9B93E365-FE9C-46FF-9F85-A1136CF01CF0}"/>
    <cellStyle name="40% - Accent3 22 4 8 2" xfId="8530" xr:uid="{256C6DB6-906B-45CC-BB1C-BEE17AAECA0D}"/>
    <cellStyle name="40% - Accent3 22 4 8 2 2" xfId="16037" xr:uid="{04C96BF0-2513-41D0-94EE-C63C9BE0E7F7}"/>
    <cellStyle name="40% - Accent3 22 4 8 2 2 2" xfId="32241" xr:uid="{7FE2FBE3-54C7-4246-956B-BECC84F9ED06}"/>
    <cellStyle name="40% - Accent3 22 4 8 2 3" xfId="24734" xr:uid="{48D20762-2CDF-452B-809B-8BB17A17BB83}"/>
    <cellStyle name="40% - Accent3 22 4 8 3" xfId="12422" xr:uid="{8FA12411-589D-4B13-B497-0BF47153C3A9}"/>
    <cellStyle name="40% - Accent3 22 4 8 3 2" xfId="28626" xr:uid="{9C9930C9-0D1F-42C7-9576-598C86181526}"/>
    <cellStyle name="40% - Accent3 22 4 8 4" xfId="21066" xr:uid="{39AC1FB4-8577-4A1D-9806-F61C396E6775}"/>
    <cellStyle name="40% - Accent3 22 4 9" xfId="5348" xr:uid="{E2964CC1-BB3F-462D-8534-9A0B92472158}"/>
    <cellStyle name="40% - Accent3 22 4 9 2" xfId="12897" xr:uid="{D16D1BD2-E056-4D92-962E-CCD992B7C635}"/>
    <cellStyle name="40% - Accent3 22 4 9 2 2" xfId="29101" xr:uid="{71211541-AB43-4AB9-96BB-A3E8E635BA8D}"/>
    <cellStyle name="40% - Accent3 22 4 9 3" xfId="21552" xr:uid="{9C30C89B-F0C8-4D91-AF86-B72C339A59D6}"/>
    <cellStyle name="40% - Accent3 22 5" xfId="1408" xr:uid="{FE668816-BA63-46A7-BEF7-E8F631C37246}"/>
    <cellStyle name="40% - Accent3 22 6" xfId="1875" xr:uid="{0E8FCB5C-E20A-4867-A6B6-36D3EF5895BB}"/>
    <cellStyle name="40% - Accent3 22 6 10" xfId="18180" xr:uid="{AEDE1B02-D1D9-4DB5-A6C5-51AE207DC653}"/>
    <cellStyle name="40% - Accent3 22 6 2" xfId="2384" xr:uid="{1A9E5B01-FC49-4D3B-8075-AB202E5B1593}"/>
    <cellStyle name="40% - Accent3 22 6 2 2" xfId="3231" xr:uid="{CDC1AB93-75C6-42DB-B669-C720D1EE4974}"/>
    <cellStyle name="40% - Accent3 22 6 2 2 2" xfId="7013" xr:uid="{4FE5882C-FC1C-4A13-808A-4DE9CBC6CF9F}"/>
    <cellStyle name="40% - Accent3 22 6 2 2 2 2" xfId="14524" xr:uid="{F9F42588-DBFA-4D91-9311-A9B94D970369}"/>
    <cellStyle name="40% - Accent3 22 6 2 2 2 2 2" xfId="30728" xr:uid="{A2FEBB58-E6B4-4EC3-BB03-3895538F1D52}"/>
    <cellStyle name="40% - Accent3 22 6 2 2 2 3" xfId="23217" xr:uid="{D8499422-6ACA-40AE-8B0D-83DEB0F9CDE3}"/>
    <cellStyle name="40% - Accent3 22 6 2 2 3" xfId="10924" xr:uid="{22C481D1-5114-4219-8C20-67D2E4E5D2A8}"/>
    <cellStyle name="40% - Accent3 22 6 2 2 3 2" xfId="27128" xr:uid="{30031B9B-4320-4B43-B863-70B3423F1438}"/>
    <cellStyle name="40% - Accent3 22 6 2 2 4" xfId="19451" xr:uid="{37569AB4-2312-4B9F-8364-FBEF15EBC2DB}"/>
    <cellStyle name="40% - Accent3 22 6 2 3" xfId="6168" xr:uid="{2F57E4E1-F57D-4262-8A54-ABE8F1B667C3}"/>
    <cellStyle name="40% - Accent3 22 6 2 3 2" xfId="13680" xr:uid="{7BE545A3-92C6-439F-88FA-0F0B7B214829}"/>
    <cellStyle name="40% - Accent3 22 6 2 3 2 2" xfId="29884" xr:uid="{D3B6132C-A027-4AF9-A95B-AB85B1A2F1E8}"/>
    <cellStyle name="40% - Accent3 22 6 2 3 3" xfId="22372" xr:uid="{7EE4C9E3-0140-45F5-97C5-C0D45970A5B3}"/>
    <cellStyle name="40% - Accent3 22 6 2 4" xfId="10080" xr:uid="{2B8F63B8-F20F-4A88-B1D4-CA25C2D926B8}"/>
    <cellStyle name="40% - Accent3 22 6 2 4 2" xfId="26284" xr:uid="{C909251F-CCCA-44CA-9390-FB418120B060}"/>
    <cellStyle name="40% - Accent3 22 6 2 5" xfId="18606" xr:uid="{C9F695E9-FA27-44B1-9ACE-3A6E2E7252F4}"/>
    <cellStyle name="40% - Accent3 22 6 3" xfId="2806" xr:uid="{FAD13A8D-DCD9-4572-80A6-7BF8730DD568}"/>
    <cellStyle name="40% - Accent3 22 6 3 2" xfId="6590" xr:uid="{07997CD8-2494-4E10-9BE2-BBA64113B1DE}"/>
    <cellStyle name="40% - Accent3 22 6 3 2 2" xfId="14102" xr:uid="{9D4B581A-A805-47CA-9F83-4F78FE6F43FE}"/>
    <cellStyle name="40% - Accent3 22 6 3 2 2 2" xfId="30306" xr:uid="{2A6C6FEE-C3FC-4163-A4DB-B2A6ECCF540C}"/>
    <cellStyle name="40% - Accent3 22 6 3 2 3" xfId="22794" xr:uid="{B7F5761D-6929-4FC8-84F7-425601F77F22}"/>
    <cellStyle name="40% - Accent3 22 6 3 3" xfId="10502" xr:uid="{CF967BDE-656C-4206-82E7-53BDD6343EF9}"/>
    <cellStyle name="40% - Accent3 22 6 3 3 2" xfId="26706" xr:uid="{68DEBD2D-B0BE-41D6-A01B-4852ADD6A628}"/>
    <cellStyle name="40% - Accent3 22 6 3 4" xfId="19028" xr:uid="{5178749D-9EE2-4F38-B277-D1ACED891E37}"/>
    <cellStyle name="40% - Accent3 22 6 4" xfId="3737" xr:uid="{39EA88B4-73FD-42C7-89D4-FF5E5DEF29A7}"/>
    <cellStyle name="40% - Accent3 22 6 4 2" xfId="7447" xr:uid="{37BB18A6-3E1E-4295-91BB-9E32F28C28B0}"/>
    <cellStyle name="40% - Accent3 22 6 4 2 2" xfId="14956" xr:uid="{C2BDEEE3-36E8-49D0-B4CF-BF18727AF4F9}"/>
    <cellStyle name="40% - Accent3 22 6 4 2 2 2" xfId="31160" xr:uid="{660BD30D-D227-48A5-9759-FD9A31D0D6BB}"/>
    <cellStyle name="40% - Accent3 22 6 4 2 3" xfId="23651" xr:uid="{7352AA11-677D-4085-9AAD-30B8E33D3CD5}"/>
    <cellStyle name="40% - Accent3 22 6 4 3" xfId="11347" xr:uid="{99311E3F-8B99-4A4D-8929-37199553335C}"/>
    <cellStyle name="40% - Accent3 22 6 4 3 2" xfId="27551" xr:uid="{30F74DBD-39EE-4827-938F-9FC1F515429E}"/>
    <cellStyle name="40% - Accent3 22 6 4 4" xfId="19946" xr:uid="{3002003D-7EE7-4904-AAEC-AB80C76FC534}"/>
    <cellStyle name="40% - Accent3 22 6 5" xfId="4206" xr:uid="{F3473928-102E-46EB-9E0D-C1E33D62FF3A}"/>
    <cellStyle name="40% - Accent3 22 6 5 2" xfId="7876" xr:uid="{3106E55C-004D-4F5F-A1FB-625799E602BF}"/>
    <cellStyle name="40% - Accent3 22 6 5 2 2" xfId="15383" xr:uid="{BC497BD3-CA4A-4147-9C66-3C19437E712B}"/>
    <cellStyle name="40% - Accent3 22 6 5 2 2 2" xfId="31587" xr:uid="{89E5ECD5-CBB8-42DA-ACEC-91ACBD6024E8}"/>
    <cellStyle name="40% - Accent3 22 6 5 2 3" xfId="24080" xr:uid="{628C03E4-3C4A-4DF9-B838-5B18AA1AF4E3}"/>
    <cellStyle name="40% - Accent3 22 6 5 3" xfId="11769" xr:uid="{91CF45C0-B97C-459A-AB1C-42A857B7E280}"/>
    <cellStyle name="40% - Accent3 22 6 5 3 2" xfId="27973" xr:uid="{D71B7505-66D3-4DAB-B5BD-8DC0998CDF47}"/>
    <cellStyle name="40% - Accent3 22 6 5 4" xfId="20410" xr:uid="{34CAE6A2-B6F3-443A-9A68-0B54A4813EE2}"/>
    <cellStyle name="40% - Accent3 22 6 6" xfId="4631" xr:uid="{A28D59D7-9FD3-4DD9-ACCE-54BD7376AF2F}"/>
    <cellStyle name="40% - Accent3 22 6 6 2" xfId="8301" xr:uid="{EE333BE6-89AD-4112-A311-966D96567B33}"/>
    <cellStyle name="40% - Accent3 22 6 6 2 2" xfId="15808" xr:uid="{459E19BA-6CD7-40DC-BF44-8F91C3CCC3A4}"/>
    <cellStyle name="40% - Accent3 22 6 6 2 2 2" xfId="32012" xr:uid="{3ADFECE4-889B-4035-B9B9-CE56EF4E5D39}"/>
    <cellStyle name="40% - Accent3 22 6 6 2 3" xfId="24505" xr:uid="{635DC416-CC2D-48E4-9226-9AA2B7A04BEB}"/>
    <cellStyle name="40% - Accent3 22 6 6 3" xfId="12194" xr:uid="{05C0CF56-146A-45B4-91D5-A04755C13A47}"/>
    <cellStyle name="40% - Accent3 22 6 6 3 2" xfId="28398" xr:uid="{AC148E03-1479-4F10-99A1-36AB7B866AAF}"/>
    <cellStyle name="40% - Accent3 22 6 6 4" xfId="20835" xr:uid="{43DD0A58-8665-4FC5-9B9F-076165D66404}"/>
    <cellStyle name="40% - Accent3 22 6 7" xfId="5058" xr:uid="{A951E801-95B1-466C-A649-A6CA53F6B535}"/>
    <cellStyle name="40% - Accent3 22 6 7 2" xfId="8724" xr:uid="{2547FC2D-873B-42CA-9734-D8F974F0F68C}"/>
    <cellStyle name="40% - Accent3 22 6 7 2 2" xfId="16231" xr:uid="{BD96DD91-DECC-47A1-AF1B-B722F2C8B552}"/>
    <cellStyle name="40% - Accent3 22 6 7 2 2 2" xfId="32435" xr:uid="{E711FED0-299D-401E-961E-11B630A528EE}"/>
    <cellStyle name="40% - Accent3 22 6 7 2 3" xfId="24928" xr:uid="{A93BC9C9-C8A3-412F-A734-48AE716EB970}"/>
    <cellStyle name="40% - Accent3 22 6 7 3" xfId="12616" xr:uid="{E795E69F-CEAD-4292-8AF8-2F50BD55FBAC}"/>
    <cellStyle name="40% - Accent3 22 6 7 3 2" xfId="28820" xr:uid="{127AD559-4532-4A1E-9544-5C0487D6377A}"/>
    <cellStyle name="40% - Accent3 22 6 7 4" xfId="21262" xr:uid="{2BE4F383-4805-4F52-A1BB-16AF872A3E8F}"/>
    <cellStyle name="40% - Accent3 22 6 8" xfId="5730" xr:uid="{DEB4D63D-28D3-4B05-81C1-33064E69BE80}"/>
    <cellStyle name="40% - Accent3 22 6 8 2" xfId="13245" xr:uid="{F64ABE5E-5F59-400F-984A-2EE64BD63BE4}"/>
    <cellStyle name="40% - Accent3 22 6 8 2 2" xfId="29449" xr:uid="{3F668A7F-E744-4180-B12E-03BB64D2B180}"/>
    <cellStyle name="40% - Accent3 22 6 8 3" xfId="21934" xr:uid="{104CF27C-74A1-43BA-ADB9-86FD40E496BC}"/>
    <cellStyle name="40% - Accent3 22 6 9" xfId="9657" xr:uid="{887FD411-EC04-4BCC-8C99-7D7C379C3C46}"/>
    <cellStyle name="40% - Accent3 22 6 9 2" xfId="25861" xr:uid="{593DB2DA-D6B0-4593-A94F-BD3E6365279C}"/>
    <cellStyle name="40% - Accent3 22 7" xfId="2057" xr:uid="{8227F64E-37BA-49DA-87C6-E9293FDE197D}"/>
    <cellStyle name="40% - Accent3 22 7 2" xfId="2970" xr:uid="{B1DE75A3-6A12-4A01-A72A-16609D5BC18C}"/>
    <cellStyle name="40% - Accent3 22 7 2 2" xfId="6752" xr:uid="{20EF8DD9-F2BA-49B9-BF24-CBFC13B98CC4}"/>
    <cellStyle name="40% - Accent3 22 7 2 2 2" xfId="14263" xr:uid="{3BAB80E4-2437-40BF-A1C6-B957F4BA2668}"/>
    <cellStyle name="40% - Accent3 22 7 2 2 2 2" xfId="30467" xr:uid="{55509B68-0FE2-4D17-85EF-E5D8C1DF9F3C}"/>
    <cellStyle name="40% - Accent3 22 7 2 2 3" xfId="22956" xr:uid="{AE3EB779-38D5-411E-9D6C-E47C6DF83BCD}"/>
    <cellStyle name="40% - Accent3 22 7 2 3" xfId="10663" xr:uid="{81110191-84FB-4E4F-BB38-F65D0AD64537}"/>
    <cellStyle name="40% - Accent3 22 7 2 3 2" xfId="26867" xr:uid="{D2669B11-961D-40CD-8E1E-6E82FD31A325}"/>
    <cellStyle name="40% - Accent3 22 7 2 4" xfId="19190" xr:uid="{BC0AFE9C-C5F5-4E22-83FA-FDE28F2F3514}"/>
    <cellStyle name="40% - Accent3 22 7 3" xfId="5896" xr:uid="{0A3F33D0-4818-4F26-A216-1854080BE534}"/>
    <cellStyle name="40% - Accent3 22 7 3 2" xfId="13410" xr:uid="{491213AE-C346-4AEE-928C-310628C7AEBD}"/>
    <cellStyle name="40% - Accent3 22 7 3 2 2" xfId="29614" xr:uid="{E3948798-A5EA-49BE-88A8-243FC7A7B61F}"/>
    <cellStyle name="40% - Accent3 22 7 3 3" xfId="22100" xr:uid="{942B0BCA-BA95-4982-975A-03F678CABF4D}"/>
    <cellStyle name="40% - Accent3 22 7 4" xfId="9819" xr:uid="{8DEAB9F7-B7B0-4B64-9430-A6945D6DB05A}"/>
    <cellStyle name="40% - Accent3 22 7 4 2" xfId="26023" xr:uid="{1B0E97DD-2D01-4B51-86D4-165A75982A94}"/>
    <cellStyle name="40% - Accent3 22 7 5" xfId="18344" xr:uid="{E319ACA7-47F3-466F-9681-5E2AD403D143}"/>
    <cellStyle name="40% - Accent3 22 8" xfId="2545" xr:uid="{B85CD976-7DA3-400C-A2EE-0270FC1F54CC}"/>
    <cellStyle name="40% - Accent3 22 8 2" xfId="6329" xr:uid="{34C1278A-D921-4773-9AC5-6DDB4F0E1F1E}"/>
    <cellStyle name="40% - Accent3 22 8 2 2" xfId="13841" xr:uid="{FBCF0B3B-AB97-472F-A116-027724FA55CE}"/>
    <cellStyle name="40% - Accent3 22 8 2 2 2" xfId="30045" xr:uid="{A50A823B-CE19-48D6-990E-F2B5A1488E28}"/>
    <cellStyle name="40% - Accent3 22 8 2 3" xfId="22533" xr:uid="{06B7571A-B55E-4995-BDE4-627A126F6F47}"/>
    <cellStyle name="40% - Accent3 22 8 3" xfId="10241" xr:uid="{B662F12F-8442-4130-A0D0-DCD4990B3D22}"/>
    <cellStyle name="40% - Accent3 22 8 3 2" xfId="26445" xr:uid="{C22EA182-C660-4792-A856-C8EB81A07025}"/>
    <cellStyle name="40% - Accent3 22 8 4" xfId="18767" xr:uid="{74F1FBC7-CA04-4264-BF81-2C382F32ED4F}"/>
    <cellStyle name="40% - Accent3 22 9" xfId="3421" xr:uid="{0A7E9644-466F-48C2-83DC-E5DD122AB202}"/>
    <cellStyle name="40% - Accent3 22 9 2" xfId="7179" xr:uid="{8053FA1F-FC5C-4CB2-BA31-BAB65846A097}"/>
    <cellStyle name="40% - Accent3 22 9 2 2" xfId="14689" xr:uid="{EF3F6EAE-310C-4848-B7E5-7A9445B98AFC}"/>
    <cellStyle name="40% - Accent3 22 9 2 2 2" xfId="30893" xr:uid="{2704E997-6670-4770-AC6B-9C2BC2FE097B}"/>
    <cellStyle name="40% - Accent3 22 9 2 3" xfId="23383" xr:uid="{2E8B4070-3144-4D99-878F-02FB261FCF20}"/>
    <cellStyle name="40% - Accent3 22 9 3" xfId="11086" xr:uid="{C9036545-BA96-4859-9EB2-7BB8C9A0794C}"/>
    <cellStyle name="40% - Accent3 22 9 3 2" xfId="27290" xr:uid="{20CB3A2A-8202-4C6B-A9FB-17BD041C6DAE}"/>
    <cellStyle name="40% - Accent3 22 9 4" xfId="19637" xr:uid="{20034820-8A36-4A29-A36F-ABF59D46F80B}"/>
    <cellStyle name="40% - Accent3 23" xfId="844" xr:uid="{058095F1-62AE-4813-80D6-04B5D4AF6D7F}"/>
    <cellStyle name="40% - Accent3 24" xfId="1813" xr:uid="{01C64209-11F4-47F3-BC79-AF3F8F549886}"/>
    <cellStyle name="40% - Accent3 24 10" xfId="18118" xr:uid="{413DEBA3-0F90-4186-B9A7-E1908D92750E}"/>
    <cellStyle name="40% - Accent3 24 2" xfId="2322" xr:uid="{ED057181-01BB-4E49-B7AC-900B1DBC3C27}"/>
    <cellStyle name="40% - Accent3 24 2 2" xfId="3169" xr:uid="{BB5E904C-E3C6-4F60-B766-E3D847EF5C02}"/>
    <cellStyle name="40% - Accent3 24 2 2 2" xfId="6951" xr:uid="{20B28821-D7AA-4C01-BF2A-8CC44B2CDFE1}"/>
    <cellStyle name="40% - Accent3 24 2 2 2 2" xfId="14462" xr:uid="{76D0110F-F47A-48D7-AB46-2FC201EE5191}"/>
    <cellStyle name="40% - Accent3 24 2 2 2 2 2" xfId="30666" xr:uid="{20AB206F-C69A-4354-BC12-62BFB03D5806}"/>
    <cellStyle name="40% - Accent3 24 2 2 2 3" xfId="23155" xr:uid="{AE42B7AE-FD95-4146-B567-69442B6662B3}"/>
    <cellStyle name="40% - Accent3 24 2 2 3" xfId="10862" xr:uid="{54A72254-C511-42BE-B3E4-413F92615719}"/>
    <cellStyle name="40% - Accent3 24 2 2 3 2" xfId="27066" xr:uid="{CCFC5B9B-7C30-4A89-87FE-E27C78148AE2}"/>
    <cellStyle name="40% - Accent3 24 2 2 4" xfId="19389" xr:uid="{EB84A5B5-EF4C-46C3-A12B-EA80A3D92D07}"/>
    <cellStyle name="40% - Accent3 24 2 3" xfId="6106" xr:uid="{28F83973-F193-4715-A82F-2E330E413EA9}"/>
    <cellStyle name="40% - Accent3 24 2 3 2" xfId="13618" xr:uid="{70043B29-DC4B-4FB5-9D9F-B7AFC321AA91}"/>
    <cellStyle name="40% - Accent3 24 2 3 2 2" xfId="29822" xr:uid="{9A944A5C-F5D1-4FE0-A19A-A28B35A19DE1}"/>
    <cellStyle name="40% - Accent3 24 2 3 3" xfId="22310" xr:uid="{FE759815-B7BC-4889-9BB5-ED58524B628D}"/>
    <cellStyle name="40% - Accent3 24 2 4" xfId="10018" xr:uid="{7C895ECE-2822-402B-B2F0-C9676D4EDB88}"/>
    <cellStyle name="40% - Accent3 24 2 4 2" xfId="26222" xr:uid="{E0CFECAD-3DE2-4843-A469-965CF08466DF}"/>
    <cellStyle name="40% - Accent3 24 2 5" xfId="18544" xr:uid="{7646B4B4-76A2-4DAE-9AB8-5E43D43FE9A9}"/>
    <cellStyle name="40% - Accent3 24 3" xfId="2744" xr:uid="{69F8EE96-9C4D-42CF-B39F-ECC2B6AB8ABD}"/>
    <cellStyle name="40% - Accent3 24 3 2" xfId="6528" xr:uid="{39CF6D39-8BA0-4D81-8BDD-B94602F68631}"/>
    <cellStyle name="40% - Accent3 24 3 2 2" xfId="14040" xr:uid="{082BD8E1-F7CB-4065-B57A-7253D97C1D40}"/>
    <cellStyle name="40% - Accent3 24 3 2 2 2" xfId="30244" xr:uid="{D32424E6-3CE1-43B0-AA6E-C916688EED83}"/>
    <cellStyle name="40% - Accent3 24 3 2 3" xfId="22732" xr:uid="{95FBCE6E-41B1-49F8-AC24-082386C5ACF4}"/>
    <cellStyle name="40% - Accent3 24 3 3" xfId="10440" xr:uid="{CF06C7D7-E684-4A8B-9CC4-E9ADE4C683F0}"/>
    <cellStyle name="40% - Accent3 24 3 3 2" xfId="26644" xr:uid="{A8DD4561-3A8C-4342-8E4D-81F2D805BF34}"/>
    <cellStyle name="40% - Accent3 24 3 4" xfId="18966" xr:uid="{1C2AB2A9-17F6-44E1-B1F9-95F15C5DB49B}"/>
    <cellStyle name="40% - Accent3 24 4" xfId="3675" xr:uid="{0298662F-3652-491A-B32B-D8481A397C43}"/>
    <cellStyle name="40% - Accent3 24 4 2" xfId="7385" xr:uid="{386F8BA1-9DEB-41CA-9CAF-31D69352C897}"/>
    <cellStyle name="40% - Accent3 24 4 2 2" xfId="14894" xr:uid="{4B850051-6FEF-43BF-BE51-720582280FE8}"/>
    <cellStyle name="40% - Accent3 24 4 2 2 2" xfId="31098" xr:uid="{FDCBC523-8358-43A1-83D8-E6820B3AE04A}"/>
    <cellStyle name="40% - Accent3 24 4 2 3" xfId="23589" xr:uid="{076DE7AB-608F-44A6-B201-9D9DD6118FAF}"/>
    <cellStyle name="40% - Accent3 24 4 3" xfId="11285" xr:uid="{B2F555A1-48FD-4C26-9A1C-86D34811C4B9}"/>
    <cellStyle name="40% - Accent3 24 4 3 2" xfId="27489" xr:uid="{9D127885-9DE9-4507-97BD-BF5F2A106C21}"/>
    <cellStyle name="40% - Accent3 24 4 4" xfId="19884" xr:uid="{4EC956B0-AFB4-44AC-80C6-FC148553C2EA}"/>
    <cellStyle name="40% - Accent3 24 5" xfId="4144" xr:uid="{732515B2-FF3C-45B2-938E-13C674C7C171}"/>
    <cellStyle name="40% - Accent3 24 5 2" xfId="7814" xr:uid="{30F0FBF1-FE9C-4967-9685-1F1FDC89E94C}"/>
    <cellStyle name="40% - Accent3 24 5 2 2" xfId="15321" xr:uid="{CCADB97A-6A50-457D-9933-A82D6154DACB}"/>
    <cellStyle name="40% - Accent3 24 5 2 2 2" xfId="31525" xr:uid="{CAEADD03-6025-4B92-ACEB-C7E9B7DEB875}"/>
    <cellStyle name="40% - Accent3 24 5 2 3" xfId="24018" xr:uid="{AFF0603F-336F-4889-B490-A9EEB2A5EF6D}"/>
    <cellStyle name="40% - Accent3 24 5 3" xfId="11707" xr:uid="{93374CBC-19D0-4F20-81D5-E2ED19962AF0}"/>
    <cellStyle name="40% - Accent3 24 5 3 2" xfId="27911" xr:uid="{E385B391-79FA-4AA3-8A34-9B27F882B244}"/>
    <cellStyle name="40% - Accent3 24 5 4" xfId="20348" xr:uid="{196D8946-256D-4FA8-BD53-A989B1BBB6BF}"/>
    <cellStyle name="40% - Accent3 24 6" xfId="4569" xr:uid="{E39D8920-58A6-45B8-A324-FCB6BBE18A6E}"/>
    <cellStyle name="40% - Accent3 24 6 2" xfId="8239" xr:uid="{72743DFD-DD98-4922-9F45-C0A36606FAC5}"/>
    <cellStyle name="40% - Accent3 24 6 2 2" xfId="15746" xr:uid="{57A6E6F4-19CD-46C4-9901-5766F87874CF}"/>
    <cellStyle name="40% - Accent3 24 6 2 2 2" xfId="31950" xr:uid="{1E45DFDA-4DE3-4AD4-BD2B-6FBC03CB44B8}"/>
    <cellStyle name="40% - Accent3 24 6 2 3" xfId="24443" xr:uid="{2B7675B4-E755-4A52-B5EA-F92F555731A0}"/>
    <cellStyle name="40% - Accent3 24 6 3" xfId="12132" xr:uid="{381DAD27-5AC9-4A6C-9BD0-F978943AD27F}"/>
    <cellStyle name="40% - Accent3 24 6 3 2" xfId="28336" xr:uid="{0438A560-3454-4DF4-B4E7-6E711EC9C9B2}"/>
    <cellStyle name="40% - Accent3 24 6 4" xfId="20773" xr:uid="{E9DB21C7-9B55-4FFC-9681-02537071003B}"/>
    <cellStyle name="40% - Accent3 24 7" xfId="4996" xr:uid="{09CC5101-C2FC-4D23-A5BA-246835DAF5B3}"/>
    <cellStyle name="40% - Accent3 24 7 2" xfId="8662" xr:uid="{18FA9427-9E33-4D91-A36C-66C408F05BDD}"/>
    <cellStyle name="40% - Accent3 24 7 2 2" xfId="16169" xr:uid="{7B9C7351-E225-454C-962D-1BD989B316C2}"/>
    <cellStyle name="40% - Accent3 24 7 2 2 2" xfId="32373" xr:uid="{883CBFAB-F522-4493-980B-7940F31ECC80}"/>
    <cellStyle name="40% - Accent3 24 7 2 3" xfId="24866" xr:uid="{C23008F9-64C9-400C-A1B9-F75604DC877F}"/>
    <cellStyle name="40% - Accent3 24 7 3" xfId="12554" xr:uid="{048023C1-3A90-42A2-8DF6-8B6C5BDE17C4}"/>
    <cellStyle name="40% - Accent3 24 7 3 2" xfId="28758" xr:uid="{13B9CC31-C485-4CAD-A1C5-5D81C5585F2C}"/>
    <cellStyle name="40% - Accent3 24 7 4" xfId="21200" xr:uid="{83305F2F-8772-44F5-9878-C663F07F9CEE}"/>
    <cellStyle name="40% - Accent3 24 8" xfId="5668" xr:uid="{349EDC1E-4948-44FB-A12A-2E3DDFAF5383}"/>
    <cellStyle name="40% - Accent3 24 8 2" xfId="13183" xr:uid="{59C1A6FA-D76E-4739-B9B2-75087109237E}"/>
    <cellStyle name="40% - Accent3 24 8 2 2" xfId="29387" xr:uid="{64180B36-CACF-4F26-BACB-5B627EA25C64}"/>
    <cellStyle name="40% - Accent3 24 8 3" xfId="21872" xr:uid="{E448D39F-6142-4809-88B7-7024CB06E63A}"/>
    <cellStyle name="40% - Accent3 24 9" xfId="9595" xr:uid="{3EDCE45F-134A-441C-AD70-FFD423672BB7}"/>
    <cellStyle name="40% - Accent3 24 9 2" xfId="25799" xr:uid="{D3E9910B-001E-49A0-90D8-EB3447932F8E}"/>
    <cellStyle name="40% - Accent3 25" xfId="176" xr:uid="{6944A8D0-6AE9-4F6B-B97B-699A3CB590F9}"/>
    <cellStyle name="40% - Accent3 26" xfId="16852" xr:uid="{160DE030-A4AA-4038-A07E-4B07A5AB4542}"/>
    <cellStyle name="40% - Accent3 3" xfId="189" xr:uid="{7FA8C773-B456-4C98-99E7-5F4330C2617E}"/>
    <cellStyle name="40% - Accent3 3 2" xfId="1421" xr:uid="{04B58910-BCCA-4684-B55B-FC1B032BC32A}"/>
    <cellStyle name="40% - Accent3 3 3" xfId="831" xr:uid="{E5A64E88-C23A-4433-8DAC-D77A0CB44A99}"/>
    <cellStyle name="40% - Accent3 4" xfId="190" xr:uid="{FBF39706-A659-4A16-AED5-2DB644B23208}"/>
    <cellStyle name="40% - Accent3 4 2" xfId="1422" xr:uid="{7FFC04ED-FFEC-4F29-A1C0-54F25C53A8CA}"/>
    <cellStyle name="40% - Accent3 4 3" xfId="830" xr:uid="{76D3754F-39DA-44A3-B31C-3FEDFE4D75B4}"/>
    <cellStyle name="40% - Accent3 5" xfId="191" xr:uid="{921B27F4-A5D5-45DD-AD0F-6BA959B9D495}"/>
    <cellStyle name="40% - Accent3 5 2" xfId="1423" xr:uid="{85C2C648-DE7E-438D-90BF-0AA549FEA443}"/>
    <cellStyle name="40% - Accent3 5 3" xfId="829" xr:uid="{88EA2D27-5A96-4D54-98C7-2493C34924D1}"/>
    <cellStyle name="40% - Accent3 6" xfId="192" xr:uid="{E250026E-704B-4036-85BF-775DB3267F86}"/>
    <cellStyle name="40% - Accent3 6 2" xfId="1424" xr:uid="{A757DE0C-1BDC-4A6E-8ECF-83EBC9B5B996}"/>
    <cellStyle name="40% - Accent3 6 3" xfId="828" xr:uid="{443C492D-3BEE-4501-B9C6-A6A86E4A9829}"/>
    <cellStyle name="40% - Accent3 7" xfId="193" xr:uid="{B0BB0ABE-FC15-487C-B2FA-565D1A7DE442}"/>
    <cellStyle name="40% - Accent3 7 2" xfId="1425" xr:uid="{1FC90A80-90B7-4A6D-8696-88CF5B3A333D}"/>
    <cellStyle name="40% - Accent3 7 3" xfId="827" xr:uid="{A7BF1608-8276-4356-A520-32694C229D3C}"/>
    <cellStyle name="40% - Accent3 8" xfId="194" xr:uid="{697F7113-9F45-4CCF-9BD3-BE6234CA061F}"/>
    <cellStyle name="40% - Accent3 8 2" xfId="1426" xr:uid="{23C8C333-6047-4920-ACD5-FE0C5EC8B386}"/>
    <cellStyle name="40% - Accent3 8 3" xfId="826" xr:uid="{0C90A14B-488D-4AA7-8C48-907DF2404B52}"/>
    <cellStyle name="40% - Accent3 9" xfId="195" xr:uid="{3C8EB6F9-3AE9-480D-BC10-ABDC022C3438}"/>
    <cellStyle name="40% - Accent3 9 2" xfId="1427" xr:uid="{DE523C9F-7A92-4DFA-B91C-5AED93D53245}"/>
    <cellStyle name="40% - Accent3 9 3" xfId="825" xr:uid="{CF865410-83A5-43A2-B4D7-D1F0F61D2016}"/>
    <cellStyle name="40% - Accent4 10" xfId="197" xr:uid="{12A04A8E-277D-475C-9C5C-785BB7E4735F}"/>
    <cellStyle name="40% - Accent4 10 2" xfId="1429" xr:uid="{4B9CEF7B-A2D0-4665-8596-9B1582F65EFE}"/>
    <cellStyle name="40% - Accent4 10 3" xfId="823" xr:uid="{E511BAD3-621D-4D87-A6E3-3A52D413F6DF}"/>
    <cellStyle name="40% - Accent4 11" xfId="198" xr:uid="{4B47456F-DE2B-4377-9453-214A28AE859D}"/>
    <cellStyle name="40% - Accent4 11 2" xfId="1430" xr:uid="{E0CB819C-E6D7-4039-9052-F8D274E92BA1}"/>
    <cellStyle name="40% - Accent4 11 3" xfId="822" xr:uid="{256E26E0-DA9D-4F39-A7AB-D050F566DA4A}"/>
    <cellStyle name="40% - Accent4 12" xfId="199" xr:uid="{46C0F747-D267-40FE-A83D-795D2A8BCCC7}"/>
    <cellStyle name="40% - Accent4 12 2" xfId="1431" xr:uid="{2B48979B-2123-46FB-AA50-3166D205E55C}"/>
    <cellStyle name="40% - Accent4 12 3" xfId="821" xr:uid="{083F742D-F19B-42AA-9079-257A9A01B6E0}"/>
    <cellStyle name="40% - Accent4 13" xfId="200" xr:uid="{226E20C8-5C67-4EE5-8809-A45904AE1547}"/>
    <cellStyle name="40% - Accent4 13 2" xfId="1432" xr:uid="{B5D1D15E-98B3-4A3D-BA66-41D992E02A7E}"/>
    <cellStyle name="40% - Accent4 13 3" xfId="820" xr:uid="{A7CCF1B7-1535-48F3-9B88-C156766F82D5}"/>
    <cellStyle name="40% - Accent4 14" xfId="201" xr:uid="{64FE95E5-BCA1-4A39-8CF4-4F1D8AF367BB}"/>
    <cellStyle name="40% - Accent4 14 2" xfId="1433" xr:uid="{C4731B28-7E80-4708-A8E2-8D8EC0E0750E}"/>
    <cellStyle name="40% - Accent4 14 3" xfId="819" xr:uid="{75378CFC-08C5-4228-ABB6-57E1D398ABE3}"/>
    <cellStyle name="40% - Accent4 15" xfId="202" xr:uid="{E6D4DC82-B59A-4870-8D12-AB6FA7A35A04}"/>
    <cellStyle name="40% - Accent4 15 2" xfId="1434" xr:uid="{B5EB606A-E05B-4159-9D55-4C9F7D6E34AA}"/>
    <cellStyle name="40% - Accent4 15 3" xfId="818" xr:uid="{243FE0AE-18B1-4950-BDA4-DE29105F1892}"/>
    <cellStyle name="40% - Accent4 16" xfId="203" xr:uid="{037B9F43-A82C-47DC-A2E9-D2B4961D728F}"/>
    <cellStyle name="40% - Accent4 16 2" xfId="1435" xr:uid="{4B87562E-76C4-4394-8C6C-D8CB8249BA12}"/>
    <cellStyle name="40% - Accent4 16 3" xfId="817" xr:uid="{E40EB28D-57DF-49F3-A524-AEB496985AD3}"/>
    <cellStyle name="40% - Accent4 17" xfId="204" xr:uid="{CDD9AD53-616E-418B-BF3E-BFEE82CBF99E}"/>
    <cellStyle name="40% - Accent4 17 2" xfId="1436" xr:uid="{545BEC83-B86F-4020-9F2D-88831B7EF0BD}"/>
    <cellStyle name="40% - Accent4 17 3" xfId="816" xr:uid="{0086BCF2-2C8E-46BC-9F59-3168C38BF225}"/>
    <cellStyle name="40% - Accent4 18" xfId="205" xr:uid="{BF74C1BE-F690-4CB9-854D-BF2B1A893144}"/>
    <cellStyle name="40% - Accent4 18 2" xfId="1437" xr:uid="{19E60918-D28F-4047-925C-3C89B99A4B41}"/>
    <cellStyle name="40% - Accent4 18 3" xfId="815" xr:uid="{02E9E06A-3B2A-47D2-9168-99F7D97AA84A}"/>
    <cellStyle name="40% - Accent4 19" xfId="206" xr:uid="{00961F6E-7826-4326-BC1B-69FFF4BF1A8B}"/>
    <cellStyle name="40% - Accent4 19 2" xfId="1438" xr:uid="{A686E126-5636-4A4A-928C-22A7768BF463}"/>
    <cellStyle name="40% - Accent4 19 3" xfId="814" xr:uid="{0A241833-FBE7-4C3A-84E2-33CE5C4A8BA0}"/>
    <cellStyle name="40% - Accent4 2" xfId="207" xr:uid="{C856D840-674E-46D2-9DA7-E0C5EF3BA592}"/>
    <cellStyle name="40% - Accent4 2 2" xfId="1439" xr:uid="{C0A88776-44EE-462D-B92D-AD1A8265DAC4}"/>
    <cellStyle name="40% - Accent4 2 3" xfId="813" xr:uid="{3FA4318F-2C72-4A53-B1ED-661AF1BBA59A}"/>
    <cellStyle name="40% - Accent4 20" xfId="208" xr:uid="{5487203A-5D63-4345-B005-C854449DB6E2}"/>
    <cellStyle name="40% - Accent4 20 2" xfId="1440" xr:uid="{7C74A709-D774-4E62-AF5B-CE8CB40A6683}"/>
    <cellStyle name="40% - Accent4 20 3" xfId="812" xr:uid="{34030D2A-0D6F-45CE-9B80-00B2CF49F933}"/>
    <cellStyle name="40% - Accent4 21" xfId="411" xr:uid="{54C4954A-5C5B-4DCA-9686-1B24A26D9F3D}"/>
    <cellStyle name="40% - Accent4 21 2" xfId="676" xr:uid="{700F1089-BC64-4311-B7EA-01147EDE1379}"/>
    <cellStyle name="40% - Accent4 22" xfId="479" xr:uid="{19B41D22-6176-4216-A5A5-97C2CE969362}"/>
    <cellStyle name="40% - Accent4 22 10" xfId="3947" xr:uid="{B6675B97-5048-482A-BFAA-84776AE45ECE}"/>
    <cellStyle name="40% - Accent4 22 10 2" xfId="7617" xr:uid="{D5E16464-87A2-45F4-A71B-D4C99453A6B5}"/>
    <cellStyle name="40% - Accent4 22 10 2 2" xfId="15124" xr:uid="{FB373405-8F3F-4929-8CD1-CE14B26294D2}"/>
    <cellStyle name="40% - Accent4 22 10 2 2 2" xfId="31328" xr:uid="{DFB2A12A-8C42-4F44-89E5-EF9D2D834004}"/>
    <cellStyle name="40% - Accent4 22 10 2 3" xfId="23821" xr:uid="{765CD2C9-3A6D-439D-AE77-09B34471519D}"/>
    <cellStyle name="40% - Accent4 22 10 3" xfId="11510" xr:uid="{5C37DC72-0764-4F30-B902-ED21BCB6D9AE}"/>
    <cellStyle name="40% - Accent4 22 10 3 2" xfId="27714" xr:uid="{DE45500B-6D7B-4B83-B5A8-9014C3C170E8}"/>
    <cellStyle name="40% - Accent4 22 10 4" xfId="20151" xr:uid="{06CDFF3E-869B-4B4D-A1D6-89C8AD16E365}"/>
    <cellStyle name="40% - Accent4 22 11" xfId="4372" xr:uid="{928BAADE-F07F-415F-9A8E-6DEFB7B1C5FE}"/>
    <cellStyle name="40% - Accent4 22 11 2" xfId="8042" xr:uid="{9BF0B6D3-7140-4C13-8940-D56C870A9989}"/>
    <cellStyle name="40% - Accent4 22 11 2 2" xfId="15549" xr:uid="{18183B34-9F4D-491D-8806-D95D2F39B701}"/>
    <cellStyle name="40% - Accent4 22 11 2 2 2" xfId="31753" xr:uid="{4B043E4C-1832-41F0-B574-1721ACD35CA7}"/>
    <cellStyle name="40% - Accent4 22 11 2 3" xfId="24246" xr:uid="{7B8022E4-78AF-4848-85E4-7E175C9D90C8}"/>
    <cellStyle name="40% - Accent4 22 11 3" xfId="11935" xr:uid="{4E336CC8-EBEF-4DBC-B740-E422EE9F4E91}"/>
    <cellStyle name="40% - Accent4 22 11 3 2" xfId="28139" xr:uid="{8E1D8E87-1200-4108-9344-7E63D25E8CB8}"/>
    <cellStyle name="40% - Accent4 22 11 4" xfId="20576" xr:uid="{81459CB8-20E0-4D28-A09B-135A2AA1A90A}"/>
    <cellStyle name="40% - Accent4 22 12" xfId="4795" xr:uid="{7AD85747-1CDB-4B35-9147-6DAA30904799}"/>
    <cellStyle name="40% - Accent4 22 12 2" xfId="8464" xr:uid="{42F3E199-4403-401A-9B4A-AA05B11E61BC}"/>
    <cellStyle name="40% - Accent4 22 12 2 2" xfId="15971" xr:uid="{0F70DB43-26A1-481B-8346-69AC30096250}"/>
    <cellStyle name="40% - Accent4 22 12 2 2 2" xfId="32175" xr:uid="{696553EB-EF15-46A7-943A-E5671C5A10B6}"/>
    <cellStyle name="40% - Accent4 22 12 2 3" xfId="24668" xr:uid="{53BBC8AA-618A-4950-B6F2-8F88D53BA7E0}"/>
    <cellStyle name="40% - Accent4 22 12 3" xfId="12357" xr:uid="{A990B1DE-899F-44AA-B5DE-9892830D75F2}"/>
    <cellStyle name="40% - Accent4 22 12 3 2" xfId="28561" xr:uid="{D75993ED-BFB8-4F29-8173-3C5F6290FE3B}"/>
    <cellStyle name="40% - Accent4 22 12 4" xfId="20999" xr:uid="{3EED25C9-1CA2-42AB-8893-EFCE9552D053}"/>
    <cellStyle name="40% - Accent4 22 13" xfId="5282" xr:uid="{10F18806-2AB1-4604-A213-D9AE2FD958A0}"/>
    <cellStyle name="40% - Accent4 22 13 2" xfId="12831" xr:uid="{EE32A070-B86E-45B6-B124-1F6DB19FCB0A}"/>
    <cellStyle name="40% - Accent4 22 13 2 2" xfId="29035" xr:uid="{53E53FB8-D537-422C-BB09-A785709ED869}"/>
    <cellStyle name="40% - Accent4 22 13 3" xfId="21486" xr:uid="{B32CF0C7-6ED3-42E9-933D-7AF27052A545}"/>
    <cellStyle name="40% - Accent4 22 14" xfId="9398" xr:uid="{0D7BACFD-8083-4B57-9F14-7DE5998CFE0C}"/>
    <cellStyle name="40% - Accent4 22 14 2" xfId="25602" xr:uid="{F40BFB84-640D-46B5-AB2F-6E8A29AEB54D}"/>
    <cellStyle name="40% - Accent4 22 15" xfId="17912" xr:uid="{30C6C01C-A496-4530-A683-9B8CD5A6F3EA}"/>
    <cellStyle name="40% - Accent4 22 2" xfId="508" xr:uid="{DD6C24B5-53BD-488D-9836-50A87856FC17}"/>
    <cellStyle name="40% - Accent4 22 2 10" xfId="5305" xr:uid="{5D0D8733-1AAE-4D45-8DC1-8494F5C15CBB}"/>
    <cellStyle name="40% - Accent4 22 2 10 2" xfId="12854" xr:uid="{F10AECC1-D331-4F5B-A38E-652DC00D7B82}"/>
    <cellStyle name="40% - Accent4 22 2 10 2 2" xfId="29058" xr:uid="{05B3BBC2-3761-4946-8557-9E4B7A8E6076}"/>
    <cellStyle name="40% - Accent4 22 2 10 3" xfId="21509" xr:uid="{D769F0FD-70EE-489A-8348-7066C38725DE}"/>
    <cellStyle name="40% - Accent4 22 2 11" xfId="9420" xr:uid="{42B27073-185A-486B-A356-705862DB842D}"/>
    <cellStyle name="40% - Accent4 22 2 11 2" xfId="25624" xr:uid="{807BA807-4720-44B7-BE0C-FAF5A7C0733A}"/>
    <cellStyle name="40% - Accent4 22 2 12" xfId="17935" xr:uid="{C8679ED0-3BBA-46D5-96B6-5AB3061E224B}"/>
    <cellStyle name="40% - Accent4 22 2 2" xfId="579" xr:uid="{4A118392-FCBF-4BF1-B93B-3744F9CBF3C6}"/>
    <cellStyle name="40% - Accent4 22 2 2 10" xfId="9487" xr:uid="{884F9150-0989-4789-8165-E040BBDA3E70}"/>
    <cellStyle name="40% - Accent4 22 2 2 10 2" xfId="25691" xr:uid="{A5951747-49BD-4C5B-8BCE-4D364BAF31CE}"/>
    <cellStyle name="40% - Accent4 22 2 2 11" xfId="18003" xr:uid="{9022AEE3-B6C8-4D77-BF4E-A5C3FE3A3E55}"/>
    <cellStyle name="40% - Accent4 22 2 2 2" xfId="1876" xr:uid="{1A2ED5FE-6F95-442A-8DCC-4D92CFC9C659}"/>
    <cellStyle name="40% - Accent4 22 2 2 2 10" xfId="18181" xr:uid="{4DF724A3-B5D0-47B2-9525-B9B861D26C2B}"/>
    <cellStyle name="40% - Accent4 22 2 2 2 2" xfId="2385" xr:uid="{56987C6E-A421-449D-A514-D855F293876C}"/>
    <cellStyle name="40% - Accent4 22 2 2 2 2 2" xfId="3232" xr:uid="{893A5DCE-76EF-47CA-8474-31260D4296D5}"/>
    <cellStyle name="40% - Accent4 22 2 2 2 2 2 2" xfId="7014" xr:uid="{F619CDFC-98CE-4BC7-9824-5DFBD39F0FC0}"/>
    <cellStyle name="40% - Accent4 22 2 2 2 2 2 2 2" xfId="14525" xr:uid="{1F31E53F-8F13-4463-B37B-41EAE28371A1}"/>
    <cellStyle name="40% - Accent4 22 2 2 2 2 2 2 2 2" xfId="30729" xr:uid="{6713A7CD-197D-4ED6-AD28-B91B4852EB29}"/>
    <cellStyle name="40% - Accent4 22 2 2 2 2 2 2 3" xfId="23218" xr:uid="{C5111654-2E09-431C-9387-A5F7B32CB525}"/>
    <cellStyle name="40% - Accent4 22 2 2 2 2 2 3" xfId="10925" xr:uid="{D4912E1A-E3E9-4282-B794-B155FBBE31F6}"/>
    <cellStyle name="40% - Accent4 22 2 2 2 2 2 3 2" xfId="27129" xr:uid="{FD6DDA23-5030-45A2-B819-67E2DD200306}"/>
    <cellStyle name="40% - Accent4 22 2 2 2 2 2 4" xfId="19452" xr:uid="{0A77B93F-2BAE-4386-B6B4-04A8136F6421}"/>
    <cellStyle name="40% - Accent4 22 2 2 2 2 3" xfId="6169" xr:uid="{5F9DA7ED-87DB-459D-A317-947319F56F7E}"/>
    <cellStyle name="40% - Accent4 22 2 2 2 2 3 2" xfId="13681" xr:uid="{C26153AF-559A-4F8D-BFD1-3BBAB123C1CC}"/>
    <cellStyle name="40% - Accent4 22 2 2 2 2 3 2 2" xfId="29885" xr:uid="{B7E543FD-289C-4298-B96C-3F305AAF1996}"/>
    <cellStyle name="40% - Accent4 22 2 2 2 2 3 3" xfId="22373" xr:uid="{FFB9D572-8E24-4A92-B950-8E78203C9DBE}"/>
    <cellStyle name="40% - Accent4 22 2 2 2 2 4" xfId="10081" xr:uid="{C233F857-CFD1-4EDF-AAE1-7D49397F8512}"/>
    <cellStyle name="40% - Accent4 22 2 2 2 2 4 2" xfId="26285" xr:uid="{24A8C777-6E87-4823-8422-AEA8689711BC}"/>
    <cellStyle name="40% - Accent4 22 2 2 2 2 5" xfId="18607" xr:uid="{D6DD2FBE-B4CE-43A5-8035-9F6A357305EB}"/>
    <cellStyle name="40% - Accent4 22 2 2 2 3" xfId="2807" xr:uid="{56EA2F75-650C-42B1-BB96-996196995BA3}"/>
    <cellStyle name="40% - Accent4 22 2 2 2 3 2" xfId="6591" xr:uid="{4DFD2E73-52FD-4023-BE7C-FE245AA75B4E}"/>
    <cellStyle name="40% - Accent4 22 2 2 2 3 2 2" xfId="14103" xr:uid="{9C0AF5B7-AD23-4355-919F-AD4C2A9E88E6}"/>
    <cellStyle name="40% - Accent4 22 2 2 2 3 2 2 2" xfId="30307" xr:uid="{424B6A46-5512-4A14-A84D-841F5243D344}"/>
    <cellStyle name="40% - Accent4 22 2 2 2 3 2 3" xfId="22795" xr:uid="{1F5504B9-B552-4ECD-A901-92B0C62805B1}"/>
    <cellStyle name="40% - Accent4 22 2 2 2 3 3" xfId="10503" xr:uid="{551986F8-02F7-4D50-837F-9D87BC001C9E}"/>
    <cellStyle name="40% - Accent4 22 2 2 2 3 3 2" xfId="26707" xr:uid="{6936A6A8-026A-44B1-9A26-6EADEC176E15}"/>
    <cellStyle name="40% - Accent4 22 2 2 2 3 4" xfId="19029" xr:uid="{3EBDFF42-228F-42F9-96C3-AA66802C0DD1}"/>
    <cellStyle name="40% - Accent4 22 2 2 2 4" xfId="3738" xr:uid="{D6F1DD84-9A44-4C96-9A49-E64D7D9A521A}"/>
    <cellStyle name="40% - Accent4 22 2 2 2 4 2" xfId="7448" xr:uid="{E93FF7CA-ED8E-4AB1-A624-26D24E7E14D5}"/>
    <cellStyle name="40% - Accent4 22 2 2 2 4 2 2" xfId="14957" xr:uid="{BACE18C5-FA76-4205-A57D-6DF8031770CE}"/>
    <cellStyle name="40% - Accent4 22 2 2 2 4 2 2 2" xfId="31161" xr:uid="{C4435423-FF9F-4C79-B7E4-31AAF7076527}"/>
    <cellStyle name="40% - Accent4 22 2 2 2 4 2 3" xfId="23652" xr:uid="{4FDF540E-92AA-4709-B892-5F7EA14BCD82}"/>
    <cellStyle name="40% - Accent4 22 2 2 2 4 3" xfId="11348" xr:uid="{CE7F9214-C2CC-490F-820F-3C1382E104A0}"/>
    <cellStyle name="40% - Accent4 22 2 2 2 4 3 2" xfId="27552" xr:uid="{924FB0D9-1EA1-407F-8F04-43495C929A0C}"/>
    <cellStyle name="40% - Accent4 22 2 2 2 4 4" xfId="19947" xr:uid="{DC3F8511-46EC-4DC5-9032-A7294E8B145F}"/>
    <cellStyle name="40% - Accent4 22 2 2 2 5" xfId="4207" xr:uid="{98F9246A-6E76-4BA3-9F90-B807D47EE09B}"/>
    <cellStyle name="40% - Accent4 22 2 2 2 5 2" xfId="7877" xr:uid="{6F55A83C-F949-4D23-B087-980755508D0D}"/>
    <cellStyle name="40% - Accent4 22 2 2 2 5 2 2" xfId="15384" xr:uid="{F1A50037-B6E5-42FC-98AB-8A057BCD2307}"/>
    <cellStyle name="40% - Accent4 22 2 2 2 5 2 2 2" xfId="31588" xr:uid="{F500134E-77A8-42D3-9F7A-2DD1E080B160}"/>
    <cellStyle name="40% - Accent4 22 2 2 2 5 2 3" xfId="24081" xr:uid="{4B14F10F-A172-4BC5-8851-D706FE22ED35}"/>
    <cellStyle name="40% - Accent4 22 2 2 2 5 3" xfId="11770" xr:uid="{B40FBD5A-9336-4735-ABCA-F8F2AA4F2D3E}"/>
    <cellStyle name="40% - Accent4 22 2 2 2 5 3 2" xfId="27974" xr:uid="{9C470081-147E-437F-9C31-19DAF92BAC3A}"/>
    <cellStyle name="40% - Accent4 22 2 2 2 5 4" xfId="20411" xr:uid="{CD21851B-78E6-43DD-BA52-71484826B086}"/>
    <cellStyle name="40% - Accent4 22 2 2 2 6" xfId="4632" xr:uid="{39CE2FDF-9A79-486E-B15F-3280209E332F}"/>
    <cellStyle name="40% - Accent4 22 2 2 2 6 2" xfId="8302" xr:uid="{81655797-0BBE-43A3-8E8A-90A3EFE08A29}"/>
    <cellStyle name="40% - Accent4 22 2 2 2 6 2 2" xfId="15809" xr:uid="{47F1637F-332C-401E-814C-91D2A751D133}"/>
    <cellStyle name="40% - Accent4 22 2 2 2 6 2 2 2" xfId="32013" xr:uid="{0F150A0D-2280-4743-9FD2-44A259F1A0B1}"/>
    <cellStyle name="40% - Accent4 22 2 2 2 6 2 3" xfId="24506" xr:uid="{E7FDAD0E-91FC-4F67-8EAE-FF4A502179D0}"/>
    <cellStyle name="40% - Accent4 22 2 2 2 6 3" xfId="12195" xr:uid="{4683D210-41DE-4F1D-A120-309890DE1D15}"/>
    <cellStyle name="40% - Accent4 22 2 2 2 6 3 2" xfId="28399" xr:uid="{14125DBA-C766-4D99-981F-7653156A1BC2}"/>
    <cellStyle name="40% - Accent4 22 2 2 2 6 4" xfId="20836" xr:uid="{52603872-69C6-47F0-B762-A10048611D58}"/>
    <cellStyle name="40% - Accent4 22 2 2 2 7" xfId="5059" xr:uid="{8211DD7A-EC5B-4AA7-AA40-5C398C8ACACB}"/>
    <cellStyle name="40% - Accent4 22 2 2 2 7 2" xfId="8725" xr:uid="{AED813E9-9F57-4411-A9F0-B042B0D73F32}"/>
    <cellStyle name="40% - Accent4 22 2 2 2 7 2 2" xfId="16232" xr:uid="{FFFA9B35-A662-44CB-BC24-0D9E9A8BACE8}"/>
    <cellStyle name="40% - Accent4 22 2 2 2 7 2 2 2" xfId="32436" xr:uid="{8ADE639A-6A12-4778-AC9A-9F0A96DD79E9}"/>
    <cellStyle name="40% - Accent4 22 2 2 2 7 2 3" xfId="24929" xr:uid="{102D2D2D-903D-4AED-A96A-99A6C161D236}"/>
    <cellStyle name="40% - Accent4 22 2 2 2 7 3" xfId="12617" xr:uid="{DF88CA34-59AF-4F84-991B-7DD0B58B58A0}"/>
    <cellStyle name="40% - Accent4 22 2 2 2 7 3 2" xfId="28821" xr:uid="{3480C075-4807-4D81-89CB-E710EE53F11D}"/>
    <cellStyle name="40% - Accent4 22 2 2 2 7 4" xfId="21263" xr:uid="{EB1A149E-ECB5-45A3-8B6C-E3116EDA9605}"/>
    <cellStyle name="40% - Accent4 22 2 2 2 8" xfId="5731" xr:uid="{7165AE63-D0D8-4081-AC42-50BC65E5E949}"/>
    <cellStyle name="40% - Accent4 22 2 2 2 8 2" xfId="13246" xr:uid="{AC0DA818-F630-4A60-BB13-E44BE757934B}"/>
    <cellStyle name="40% - Accent4 22 2 2 2 8 2 2" xfId="29450" xr:uid="{D4FBD63F-DC4C-472B-BEDF-C4D4F9BDC2B4}"/>
    <cellStyle name="40% - Accent4 22 2 2 2 8 3" xfId="21935" xr:uid="{DFE057A9-BD4C-4F15-BD15-BBF6D1B55903}"/>
    <cellStyle name="40% - Accent4 22 2 2 2 9" xfId="9658" xr:uid="{2B0FF9E7-429A-42EC-ACE4-00CC7E2429C8}"/>
    <cellStyle name="40% - Accent4 22 2 2 2 9 2" xfId="25862" xr:uid="{95F5DCE3-665F-477E-893D-99AC8DFAC2F2}"/>
    <cellStyle name="40% - Accent4 22 2 2 3" xfId="2148" xr:uid="{E2B345E6-F72B-42BA-B150-7326E7C20880}"/>
    <cellStyle name="40% - Accent4 22 2 2 3 2" xfId="3061" xr:uid="{582ECFDF-6B66-4E3D-9914-95FA29353744}"/>
    <cellStyle name="40% - Accent4 22 2 2 3 2 2" xfId="6843" xr:uid="{E40088AE-D2FF-43E1-BAEE-A85138DCB230}"/>
    <cellStyle name="40% - Accent4 22 2 2 3 2 2 2" xfId="14354" xr:uid="{35A1E7D0-81E8-4F1B-AEAB-62FECB300437}"/>
    <cellStyle name="40% - Accent4 22 2 2 3 2 2 2 2" xfId="30558" xr:uid="{00FC35EB-D6BC-4EC3-86B6-77919BF0407E}"/>
    <cellStyle name="40% - Accent4 22 2 2 3 2 2 3" xfId="23047" xr:uid="{E3356617-B168-4316-8DCE-C7F021F9EBF2}"/>
    <cellStyle name="40% - Accent4 22 2 2 3 2 3" xfId="10754" xr:uid="{3C2435F7-76D6-4ED0-9B96-FBEF22DE7D30}"/>
    <cellStyle name="40% - Accent4 22 2 2 3 2 3 2" xfId="26958" xr:uid="{9F96B1BD-B803-4683-8508-4389BEB045D1}"/>
    <cellStyle name="40% - Accent4 22 2 2 3 2 4" xfId="19281" xr:uid="{A5235A41-6A75-49F7-BE88-AA70F38862F7}"/>
    <cellStyle name="40% - Accent4 22 2 2 3 3" xfId="5987" xr:uid="{27B81017-E8D4-41BA-BBDA-A50AEF856BA0}"/>
    <cellStyle name="40% - Accent4 22 2 2 3 3 2" xfId="13501" xr:uid="{28B77503-DB60-466C-B95A-05F1ED4933C4}"/>
    <cellStyle name="40% - Accent4 22 2 2 3 3 2 2" xfId="29705" xr:uid="{9FB01AF4-E594-4E3D-8CA6-1AAF1F47B95F}"/>
    <cellStyle name="40% - Accent4 22 2 2 3 3 3" xfId="22191" xr:uid="{52DB1D2D-28B8-4157-8722-5245ACC45777}"/>
    <cellStyle name="40% - Accent4 22 2 2 3 4" xfId="9910" xr:uid="{7AF1BF07-640A-4918-8F1A-FA1943262047}"/>
    <cellStyle name="40% - Accent4 22 2 2 3 4 2" xfId="26114" xr:uid="{A99A067E-48D8-4111-8C57-F935C862635A}"/>
    <cellStyle name="40% - Accent4 22 2 2 3 5" xfId="18435" xr:uid="{9B33A25E-87C0-4DA7-BCD5-55A4933A6C30}"/>
    <cellStyle name="40% - Accent4 22 2 2 4" xfId="2636" xr:uid="{E81E0E9E-D315-4D0E-B076-E90A2DC3BABD}"/>
    <cellStyle name="40% - Accent4 22 2 2 4 2" xfId="6420" xr:uid="{F784440A-9DD6-41F1-94F8-F996A92B6AF3}"/>
    <cellStyle name="40% - Accent4 22 2 2 4 2 2" xfId="13932" xr:uid="{9817DEFC-BCA5-401E-A930-152D5A9910A4}"/>
    <cellStyle name="40% - Accent4 22 2 2 4 2 2 2" xfId="30136" xr:uid="{433AE1E4-B813-44CA-B48C-5C51B650789B}"/>
    <cellStyle name="40% - Accent4 22 2 2 4 2 3" xfId="22624" xr:uid="{937E3140-31C4-48BD-8AAB-6A4F32433EB6}"/>
    <cellStyle name="40% - Accent4 22 2 2 4 3" xfId="10332" xr:uid="{094CF7B7-05B7-44DA-A6BC-71ED68C1324C}"/>
    <cellStyle name="40% - Accent4 22 2 2 4 3 2" xfId="26536" xr:uid="{B793A421-F088-445F-AF15-BCD9F2ACD0C3}"/>
    <cellStyle name="40% - Accent4 22 2 2 4 4" xfId="18858" xr:uid="{75222DFC-3EEE-4734-AB43-B7970A0684F6}"/>
    <cellStyle name="40% - Accent4 22 2 2 5" xfId="3512" xr:uid="{54E84E4F-2295-4E93-AC88-D0895BEABD73}"/>
    <cellStyle name="40% - Accent4 22 2 2 5 2" xfId="7270" xr:uid="{835F48D0-3EA0-4680-B221-A4C2693B7BB9}"/>
    <cellStyle name="40% - Accent4 22 2 2 5 2 2" xfId="14780" xr:uid="{CD2F9718-F9FA-4315-8432-D870E8E1A256}"/>
    <cellStyle name="40% - Accent4 22 2 2 5 2 2 2" xfId="30984" xr:uid="{CBE013AE-D7FD-4435-A849-A193D5357C2B}"/>
    <cellStyle name="40% - Accent4 22 2 2 5 2 3" xfId="23474" xr:uid="{9DAE0044-79D5-4A89-A508-1ED2D83726FD}"/>
    <cellStyle name="40% - Accent4 22 2 2 5 3" xfId="11177" xr:uid="{04198148-85FC-4901-BAA5-0458C46017BD}"/>
    <cellStyle name="40% - Accent4 22 2 2 5 3 2" xfId="27381" xr:uid="{CF2CFC2B-FD65-4B31-AE63-19E351E7370D}"/>
    <cellStyle name="40% - Accent4 22 2 2 5 4" xfId="19728" xr:uid="{78160BA0-76D1-4348-856F-4EAB617FFBFE}"/>
    <cellStyle name="40% - Accent4 22 2 2 6" xfId="4036" xr:uid="{0550BF5B-EABA-4284-A1B8-55D777BFBBE9}"/>
    <cellStyle name="40% - Accent4 22 2 2 6 2" xfId="7706" xr:uid="{0F289A24-8CBB-418D-9478-B839F7027A69}"/>
    <cellStyle name="40% - Accent4 22 2 2 6 2 2" xfId="15213" xr:uid="{A8DF5503-F8F4-4BA3-89F6-A75417B7536D}"/>
    <cellStyle name="40% - Accent4 22 2 2 6 2 2 2" xfId="31417" xr:uid="{42D9356B-0628-48E6-855F-80F2260354D4}"/>
    <cellStyle name="40% - Accent4 22 2 2 6 2 3" xfId="23910" xr:uid="{CFE85671-FECC-45FC-BC2C-C0B8B0FF7DB6}"/>
    <cellStyle name="40% - Accent4 22 2 2 6 3" xfId="11599" xr:uid="{CA1135D9-E102-4C53-87C2-0AD88BB9C2A8}"/>
    <cellStyle name="40% - Accent4 22 2 2 6 3 2" xfId="27803" xr:uid="{5D195D3D-29C0-4263-B861-93652F9CE548}"/>
    <cellStyle name="40% - Accent4 22 2 2 6 4" xfId="20240" xr:uid="{66A4FD46-F78D-4145-AE5F-161BF01D91BF}"/>
    <cellStyle name="40% - Accent4 22 2 2 7" xfId="4461" xr:uid="{7466C8A4-F150-4F41-B617-EA58EA46450C}"/>
    <cellStyle name="40% - Accent4 22 2 2 7 2" xfId="8131" xr:uid="{B8FB6E5D-6210-43C8-A70B-B4146E0ACD5E}"/>
    <cellStyle name="40% - Accent4 22 2 2 7 2 2" xfId="15638" xr:uid="{DD1BF631-E773-4612-851B-1D0E85F0BD97}"/>
    <cellStyle name="40% - Accent4 22 2 2 7 2 2 2" xfId="31842" xr:uid="{9C9F2FC6-B82F-4BD6-B61C-7C3127129B42}"/>
    <cellStyle name="40% - Accent4 22 2 2 7 2 3" xfId="24335" xr:uid="{58CA39A2-9205-4DA1-AE85-4F5CC9CFBB75}"/>
    <cellStyle name="40% - Accent4 22 2 2 7 3" xfId="12024" xr:uid="{08FDAEF2-293E-4B3D-AA1A-BB59BEB59D6A}"/>
    <cellStyle name="40% - Accent4 22 2 2 7 3 2" xfId="28228" xr:uid="{C6389AA2-22D9-416F-850A-0FD2632343EE}"/>
    <cellStyle name="40% - Accent4 22 2 2 7 4" xfId="20665" xr:uid="{7F8B3EB4-928E-4C32-BB2C-9303E2338B38}"/>
    <cellStyle name="40% - Accent4 22 2 2 8" xfId="4886" xr:uid="{B26C4E3A-1BDF-4124-B3A6-4C48347F5F6D}"/>
    <cellStyle name="40% - Accent4 22 2 2 8 2" xfId="8554" xr:uid="{C5BDF0A4-9BE6-48F2-8D0D-1AA479E67FE0}"/>
    <cellStyle name="40% - Accent4 22 2 2 8 2 2" xfId="16061" xr:uid="{35F295ED-F266-4E8F-AB7B-170596B8FE2F}"/>
    <cellStyle name="40% - Accent4 22 2 2 8 2 2 2" xfId="32265" xr:uid="{2ADD3543-ABAE-4989-AD2E-E4B2A5BCB787}"/>
    <cellStyle name="40% - Accent4 22 2 2 8 2 3" xfId="24758" xr:uid="{12C4125A-F20B-42C9-B457-20CED931A14E}"/>
    <cellStyle name="40% - Accent4 22 2 2 8 3" xfId="12446" xr:uid="{C80095FE-1E19-4F8B-AA6B-AD26D3E0C1ED}"/>
    <cellStyle name="40% - Accent4 22 2 2 8 3 2" xfId="28650" xr:uid="{643184F7-4882-4A16-BDF0-4C29B78B7C06}"/>
    <cellStyle name="40% - Accent4 22 2 2 8 4" xfId="21090" xr:uid="{26DE777C-1560-4C2D-9B5B-11955FAB60F3}"/>
    <cellStyle name="40% - Accent4 22 2 2 9" xfId="5372" xr:uid="{D41F30CA-946B-4812-8BD8-9466C66F7869}"/>
    <cellStyle name="40% - Accent4 22 2 2 9 2" xfId="12921" xr:uid="{15351AB1-7A00-45AA-A8D5-85CA279FEDBA}"/>
    <cellStyle name="40% - Accent4 22 2 2 9 2 2" xfId="29125" xr:uid="{07FBAF73-CECF-4D53-9F5F-D42EEC4349F3}"/>
    <cellStyle name="40% - Accent4 22 2 2 9 3" xfId="21576" xr:uid="{D0231A39-B103-4753-A0D7-C4FA17787F40}"/>
    <cellStyle name="40% - Accent4 22 2 3" xfId="1877" xr:uid="{841D8B52-E104-49F1-AB38-143A31F4689B}"/>
    <cellStyle name="40% - Accent4 22 2 3 10" xfId="18182" xr:uid="{ED57F7E8-142D-41C7-B40D-C38D8B3E4505}"/>
    <cellStyle name="40% - Accent4 22 2 3 2" xfId="2386" xr:uid="{9459B0DE-5B7B-4683-BF87-4B0160F1D9C7}"/>
    <cellStyle name="40% - Accent4 22 2 3 2 2" xfId="3233" xr:uid="{D5C9080D-1C0E-4426-BFFC-CB54E98FA44A}"/>
    <cellStyle name="40% - Accent4 22 2 3 2 2 2" xfId="7015" xr:uid="{7211A301-9059-49B5-985C-236EAB315FC8}"/>
    <cellStyle name="40% - Accent4 22 2 3 2 2 2 2" xfId="14526" xr:uid="{FC9EECEE-9660-417C-8873-F75071A1D95F}"/>
    <cellStyle name="40% - Accent4 22 2 3 2 2 2 2 2" xfId="30730" xr:uid="{1BD5C893-EB2F-4C19-8F89-106496E6E409}"/>
    <cellStyle name="40% - Accent4 22 2 3 2 2 2 3" xfId="23219" xr:uid="{DAEA63DB-7C83-437D-A0FA-B142487D16E4}"/>
    <cellStyle name="40% - Accent4 22 2 3 2 2 3" xfId="10926" xr:uid="{E38FC02C-1131-4A7E-AA3D-45192B6E268A}"/>
    <cellStyle name="40% - Accent4 22 2 3 2 2 3 2" xfId="27130" xr:uid="{760BE515-EC40-4253-9864-B79BC6EE5EF2}"/>
    <cellStyle name="40% - Accent4 22 2 3 2 2 4" xfId="19453" xr:uid="{62C8EB51-6F90-4C65-9F38-C4A2536203CA}"/>
    <cellStyle name="40% - Accent4 22 2 3 2 3" xfId="6170" xr:uid="{ED19BC56-79AF-4B6E-8754-8DDD447CD825}"/>
    <cellStyle name="40% - Accent4 22 2 3 2 3 2" xfId="13682" xr:uid="{903326BD-BCA2-44AE-ADE7-81D44450ED21}"/>
    <cellStyle name="40% - Accent4 22 2 3 2 3 2 2" xfId="29886" xr:uid="{AE4072E4-58F4-4248-81F5-0BCA2B59C8A9}"/>
    <cellStyle name="40% - Accent4 22 2 3 2 3 3" xfId="22374" xr:uid="{B7008331-F2B2-4721-9169-47A16B76A355}"/>
    <cellStyle name="40% - Accent4 22 2 3 2 4" xfId="10082" xr:uid="{A7D877EA-EBC1-4825-9496-D1FE992777CB}"/>
    <cellStyle name="40% - Accent4 22 2 3 2 4 2" xfId="26286" xr:uid="{5A873E30-F03B-4E72-BDA2-BCC142E2773B}"/>
    <cellStyle name="40% - Accent4 22 2 3 2 5" xfId="18608" xr:uid="{13AF12F1-5C51-4942-A29F-B2B9C3113562}"/>
    <cellStyle name="40% - Accent4 22 2 3 3" xfId="2808" xr:uid="{B7395A50-DE35-4E81-92DA-D1197B3496B5}"/>
    <cellStyle name="40% - Accent4 22 2 3 3 2" xfId="6592" xr:uid="{FD3633D4-1428-4F4A-8741-12AFB1A885CC}"/>
    <cellStyle name="40% - Accent4 22 2 3 3 2 2" xfId="14104" xr:uid="{16E4A876-1D95-4D5C-8B2B-CA6EF8AE4DDD}"/>
    <cellStyle name="40% - Accent4 22 2 3 3 2 2 2" xfId="30308" xr:uid="{9B1878AF-2A6F-4C94-8799-68EBF60FCC60}"/>
    <cellStyle name="40% - Accent4 22 2 3 3 2 3" xfId="22796" xr:uid="{A7B69015-59BA-4C02-99E3-F46F1A6A9A40}"/>
    <cellStyle name="40% - Accent4 22 2 3 3 3" xfId="10504" xr:uid="{83EC8BAE-1AA3-480A-AD5F-B8DC739A7553}"/>
    <cellStyle name="40% - Accent4 22 2 3 3 3 2" xfId="26708" xr:uid="{793319B7-C594-4AD9-A7A3-7D901B98D228}"/>
    <cellStyle name="40% - Accent4 22 2 3 3 4" xfId="19030" xr:uid="{6879A9C4-29AC-4D1F-9D84-F19059A3F430}"/>
    <cellStyle name="40% - Accent4 22 2 3 4" xfId="3739" xr:uid="{94CBFF68-503B-4FAF-A7BA-4844EA56EABB}"/>
    <cellStyle name="40% - Accent4 22 2 3 4 2" xfId="7449" xr:uid="{594AB434-7F39-446E-8AD4-677CED9A4C2F}"/>
    <cellStyle name="40% - Accent4 22 2 3 4 2 2" xfId="14958" xr:uid="{B3C5A269-3AB5-4C78-BFD2-EE24645B5A6F}"/>
    <cellStyle name="40% - Accent4 22 2 3 4 2 2 2" xfId="31162" xr:uid="{0B95E192-8C06-41F5-9C3E-BE35C60245FB}"/>
    <cellStyle name="40% - Accent4 22 2 3 4 2 3" xfId="23653" xr:uid="{91A4F395-1F2C-4245-A9BA-CF4D69D4344A}"/>
    <cellStyle name="40% - Accent4 22 2 3 4 3" xfId="11349" xr:uid="{748EA4DE-8052-4439-A291-758A35827868}"/>
    <cellStyle name="40% - Accent4 22 2 3 4 3 2" xfId="27553" xr:uid="{0924CD89-D128-417F-BC1F-450AEDAAB3B2}"/>
    <cellStyle name="40% - Accent4 22 2 3 4 4" xfId="19948" xr:uid="{B70B2E46-B840-4C09-9764-B84643AB0372}"/>
    <cellStyle name="40% - Accent4 22 2 3 5" xfId="4208" xr:uid="{8A375805-3F2A-4232-99C8-A7A83C183530}"/>
    <cellStyle name="40% - Accent4 22 2 3 5 2" xfId="7878" xr:uid="{9173FA97-5AB2-4F5D-BF69-C5C0B6622839}"/>
    <cellStyle name="40% - Accent4 22 2 3 5 2 2" xfId="15385" xr:uid="{C309AC87-98B7-461E-ADAD-0795CAB997FA}"/>
    <cellStyle name="40% - Accent4 22 2 3 5 2 2 2" xfId="31589" xr:uid="{6D7B24EE-5332-4907-937B-57FEA5837767}"/>
    <cellStyle name="40% - Accent4 22 2 3 5 2 3" xfId="24082" xr:uid="{935457FD-05B5-4A03-8360-F8F4151AF50E}"/>
    <cellStyle name="40% - Accent4 22 2 3 5 3" xfId="11771" xr:uid="{7E9868D9-90AB-4786-A269-A94A75780E1A}"/>
    <cellStyle name="40% - Accent4 22 2 3 5 3 2" xfId="27975" xr:uid="{A125531F-AA1D-4549-A558-45353BEA0BA6}"/>
    <cellStyle name="40% - Accent4 22 2 3 5 4" xfId="20412" xr:uid="{35158227-0EC4-4433-8FFA-A68784117E4D}"/>
    <cellStyle name="40% - Accent4 22 2 3 6" xfId="4633" xr:uid="{4F6BE76C-C6F5-4C36-92A7-05CE2B4C539B}"/>
    <cellStyle name="40% - Accent4 22 2 3 6 2" xfId="8303" xr:uid="{E081B054-6515-4F93-86D2-4679B03C1539}"/>
    <cellStyle name="40% - Accent4 22 2 3 6 2 2" xfId="15810" xr:uid="{0F7EB2C6-5499-47E6-9D7F-9FFD845C108A}"/>
    <cellStyle name="40% - Accent4 22 2 3 6 2 2 2" xfId="32014" xr:uid="{A6A67CC6-5179-434D-81E5-B97DDEC12EF5}"/>
    <cellStyle name="40% - Accent4 22 2 3 6 2 3" xfId="24507" xr:uid="{1F8DEF9B-1DF3-4B7F-B3CF-A4253FD12F43}"/>
    <cellStyle name="40% - Accent4 22 2 3 6 3" xfId="12196" xr:uid="{B5CA301E-F064-4FA7-9188-D033611CC333}"/>
    <cellStyle name="40% - Accent4 22 2 3 6 3 2" xfId="28400" xr:uid="{1828615E-3F1F-4186-894B-471EAFA431AB}"/>
    <cellStyle name="40% - Accent4 22 2 3 6 4" xfId="20837" xr:uid="{D958882D-04F0-4C81-A152-5BF8EA2873D4}"/>
    <cellStyle name="40% - Accent4 22 2 3 7" xfId="5060" xr:uid="{6A307227-CF2E-4114-9A80-20EB6B67E8FA}"/>
    <cellStyle name="40% - Accent4 22 2 3 7 2" xfId="8726" xr:uid="{53A9DEFF-95A2-4621-8FBD-4D701FE193F1}"/>
    <cellStyle name="40% - Accent4 22 2 3 7 2 2" xfId="16233" xr:uid="{A2BFC472-7E76-4570-AB06-6835D304BDE6}"/>
    <cellStyle name="40% - Accent4 22 2 3 7 2 2 2" xfId="32437" xr:uid="{6A2575F7-CDF8-4BEF-A0FE-0AB0DED99F91}"/>
    <cellStyle name="40% - Accent4 22 2 3 7 2 3" xfId="24930" xr:uid="{2E69630A-6B1F-448D-9D61-915A050E7625}"/>
    <cellStyle name="40% - Accent4 22 2 3 7 3" xfId="12618" xr:uid="{583CF3B4-2C13-49AB-BDDB-80A155735CC6}"/>
    <cellStyle name="40% - Accent4 22 2 3 7 3 2" xfId="28822" xr:uid="{82D7E79B-B241-4717-A214-E65EAA8347FF}"/>
    <cellStyle name="40% - Accent4 22 2 3 7 4" xfId="21264" xr:uid="{BFB77710-A080-4DAF-BE05-1BAB6A460840}"/>
    <cellStyle name="40% - Accent4 22 2 3 8" xfId="5732" xr:uid="{BB01FFF4-97FE-4D17-A702-031402DFAD46}"/>
    <cellStyle name="40% - Accent4 22 2 3 8 2" xfId="13247" xr:uid="{21F1AF77-FB45-4329-AA49-2D7FF8F56519}"/>
    <cellStyle name="40% - Accent4 22 2 3 8 2 2" xfId="29451" xr:uid="{076BAA6C-F7C6-401C-B49A-3AAE02731DCB}"/>
    <cellStyle name="40% - Accent4 22 2 3 8 3" xfId="21936" xr:uid="{2E9B0325-49E9-449F-A1D8-EAF54DEA1D18}"/>
    <cellStyle name="40% - Accent4 22 2 3 9" xfId="9659" xr:uid="{EBAE12D3-F8DC-4286-B3A5-861B9E188CF9}"/>
    <cellStyle name="40% - Accent4 22 2 3 9 2" xfId="25863" xr:uid="{2B673A67-329E-4BFB-AAB3-665DA66FEDBA}"/>
    <cellStyle name="40% - Accent4 22 2 4" xfId="2081" xr:uid="{E9774FC9-969D-4DD7-9128-4A7DBBD5D73C}"/>
    <cellStyle name="40% - Accent4 22 2 4 2" xfId="2994" xr:uid="{7625964F-3391-4D7D-B80B-409A56F918BA}"/>
    <cellStyle name="40% - Accent4 22 2 4 2 2" xfId="6776" xr:uid="{D4191C5A-641A-4E06-8F95-6754B21E10C8}"/>
    <cellStyle name="40% - Accent4 22 2 4 2 2 2" xfId="14287" xr:uid="{48231445-E2C7-4C4E-A0C3-A05C600911C4}"/>
    <cellStyle name="40% - Accent4 22 2 4 2 2 2 2" xfId="30491" xr:uid="{A1040A79-0D6C-410A-AA1A-07A4BCF7791A}"/>
    <cellStyle name="40% - Accent4 22 2 4 2 2 3" xfId="22980" xr:uid="{EA471804-DBEC-4C42-8EC5-7D3707E79F5E}"/>
    <cellStyle name="40% - Accent4 22 2 4 2 3" xfId="10687" xr:uid="{D34565BA-F4BC-43A3-9200-39229111B293}"/>
    <cellStyle name="40% - Accent4 22 2 4 2 3 2" xfId="26891" xr:uid="{C30BAFAE-47F9-4480-BA54-B18772FAB116}"/>
    <cellStyle name="40% - Accent4 22 2 4 2 4" xfId="19214" xr:uid="{88DC1DBF-0B71-4885-B240-8965EA0DDF98}"/>
    <cellStyle name="40% - Accent4 22 2 4 3" xfId="5920" xr:uid="{F707D277-89FD-4028-BB00-410963BD30D5}"/>
    <cellStyle name="40% - Accent4 22 2 4 3 2" xfId="13434" xr:uid="{293D5D08-9D33-4777-BCC2-24F82EA7663F}"/>
    <cellStyle name="40% - Accent4 22 2 4 3 2 2" xfId="29638" xr:uid="{EA5BB89C-ACCB-4828-9999-0D562781FE84}"/>
    <cellStyle name="40% - Accent4 22 2 4 3 3" xfId="22124" xr:uid="{A9A9C69A-D6C0-4FF2-A090-C0E7213DEE43}"/>
    <cellStyle name="40% - Accent4 22 2 4 4" xfId="9843" xr:uid="{870DE3F3-46E5-4AA7-B90D-CB82F54FD04D}"/>
    <cellStyle name="40% - Accent4 22 2 4 4 2" xfId="26047" xr:uid="{FAFA712E-9D46-4FE9-81C7-CF33011D288A}"/>
    <cellStyle name="40% - Accent4 22 2 4 5" xfId="18368" xr:uid="{B19E7A40-C663-4506-9078-3223629961A3}"/>
    <cellStyle name="40% - Accent4 22 2 5" xfId="2569" xr:uid="{5A91F9E0-BA19-44A8-8E38-C0D070D16639}"/>
    <cellStyle name="40% - Accent4 22 2 5 2" xfId="6353" xr:uid="{754939BD-8DC6-490D-9EC5-FD34DD16FDC8}"/>
    <cellStyle name="40% - Accent4 22 2 5 2 2" xfId="13865" xr:uid="{9729929D-A363-493D-BAE0-1020848DFFAB}"/>
    <cellStyle name="40% - Accent4 22 2 5 2 2 2" xfId="30069" xr:uid="{94966734-8DF0-408F-AD9E-1B5D2158C07B}"/>
    <cellStyle name="40% - Accent4 22 2 5 2 3" xfId="22557" xr:uid="{BF1FC56A-FBDB-4FD0-A845-5FB44FAAFD37}"/>
    <cellStyle name="40% - Accent4 22 2 5 3" xfId="10265" xr:uid="{625A78D3-B0FA-4AB0-A7C1-E6559247258B}"/>
    <cellStyle name="40% - Accent4 22 2 5 3 2" xfId="26469" xr:uid="{E5CF61AD-FB7D-44AE-BD10-CE6885A75340}"/>
    <cellStyle name="40% - Accent4 22 2 5 4" xfId="18791" xr:uid="{C9FBF152-CE4F-4975-B320-F60CA0C207E3}"/>
    <cellStyle name="40% - Accent4 22 2 6" xfId="3445" xr:uid="{614CA3CF-7938-4482-88D0-B2BBD3AD261F}"/>
    <cellStyle name="40% - Accent4 22 2 6 2" xfId="7203" xr:uid="{40DC2583-0ED2-4502-9BA1-38775A28BEB3}"/>
    <cellStyle name="40% - Accent4 22 2 6 2 2" xfId="14713" xr:uid="{42542FDD-181D-4B1A-994F-9E9497493AB1}"/>
    <cellStyle name="40% - Accent4 22 2 6 2 2 2" xfId="30917" xr:uid="{286DC7B7-B24C-4EF6-929D-B00036AAA941}"/>
    <cellStyle name="40% - Accent4 22 2 6 2 3" xfId="23407" xr:uid="{EF1A54C1-19F2-4520-BA56-67219753AF14}"/>
    <cellStyle name="40% - Accent4 22 2 6 3" xfId="11110" xr:uid="{13952B58-E25E-4EA1-9568-00CCB09DDB61}"/>
    <cellStyle name="40% - Accent4 22 2 6 3 2" xfId="27314" xr:uid="{6F53011A-584E-4223-B0B8-762CD973A094}"/>
    <cellStyle name="40% - Accent4 22 2 6 4" xfId="19661" xr:uid="{49C085BA-2917-421D-A623-DDEDBD90E0E6}"/>
    <cellStyle name="40% - Accent4 22 2 7" xfId="3969" xr:uid="{4E2646B6-51DB-456E-A725-84B2CAF57CB4}"/>
    <cellStyle name="40% - Accent4 22 2 7 2" xfId="7639" xr:uid="{3A0C1714-2E7C-4D7E-BFC1-DFEF31F092D9}"/>
    <cellStyle name="40% - Accent4 22 2 7 2 2" xfId="15146" xr:uid="{620D1F25-5201-41BC-81FC-CEC4EB108E1C}"/>
    <cellStyle name="40% - Accent4 22 2 7 2 2 2" xfId="31350" xr:uid="{0E8BBA52-DDFE-48A4-9AEE-7D3758B2B5BC}"/>
    <cellStyle name="40% - Accent4 22 2 7 2 3" xfId="23843" xr:uid="{054DDB9E-05E7-4942-A5CD-A076031C4B55}"/>
    <cellStyle name="40% - Accent4 22 2 7 3" xfId="11532" xr:uid="{1AC37BCC-A64E-40E4-B671-E377F077521C}"/>
    <cellStyle name="40% - Accent4 22 2 7 3 2" xfId="27736" xr:uid="{7C32BDA6-40CA-4749-91DD-CC891E8E967E}"/>
    <cellStyle name="40% - Accent4 22 2 7 4" xfId="20173" xr:uid="{9CC75E9A-D440-4570-9A65-B4287829F6DB}"/>
    <cellStyle name="40% - Accent4 22 2 8" xfId="4394" xr:uid="{8C342BA6-9CEB-4160-854E-FCB0A2DCC145}"/>
    <cellStyle name="40% - Accent4 22 2 8 2" xfId="8064" xr:uid="{32AB9B7D-530C-4A38-86A4-24E14102682E}"/>
    <cellStyle name="40% - Accent4 22 2 8 2 2" xfId="15571" xr:uid="{36ED0230-7DC9-43D4-B1FB-E3723FE149A0}"/>
    <cellStyle name="40% - Accent4 22 2 8 2 2 2" xfId="31775" xr:uid="{C6592D15-F199-4656-B8E9-4C3B96BBB63B}"/>
    <cellStyle name="40% - Accent4 22 2 8 2 3" xfId="24268" xr:uid="{7BB3285E-9778-4487-9411-AF19CDAA5779}"/>
    <cellStyle name="40% - Accent4 22 2 8 3" xfId="11957" xr:uid="{F7CC05AE-DD92-46C7-8911-F84CCAB9541F}"/>
    <cellStyle name="40% - Accent4 22 2 8 3 2" xfId="28161" xr:uid="{63AFEE65-5D41-4EB7-AFE8-66A81716DFFF}"/>
    <cellStyle name="40% - Accent4 22 2 8 4" xfId="20598" xr:uid="{F2880F3D-4B5B-4D3F-946D-FA2B6C74489B}"/>
    <cellStyle name="40% - Accent4 22 2 9" xfId="4818" xr:uid="{8277A93B-ABBA-48A8-9366-03C6FCFDBF3B}"/>
    <cellStyle name="40% - Accent4 22 2 9 2" xfId="8487" xr:uid="{94C42977-7361-4517-B0B5-513CB579F382}"/>
    <cellStyle name="40% - Accent4 22 2 9 2 2" xfId="15994" xr:uid="{C403E9A1-DE63-435B-9A47-549D8F5442AC}"/>
    <cellStyle name="40% - Accent4 22 2 9 2 2 2" xfId="32198" xr:uid="{7DD08603-37D1-4427-B39A-38164E8A3835}"/>
    <cellStyle name="40% - Accent4 22 2 9 2 3" xfId="24691" xr:uid="{307D9E69-777B-4135-83A9-523CAE784389}"/>
    <cellStyle name="40% - Accent4 22 2 9 3" xfId="12379" xr:uid="{43B3297A-7649-442A-8E84-28DF1E264BBB}"/>
    <cellStyle name="40% - Accent4 22 2 9 3 2" xfId="28583" xr:uid="{D3FDBFED-A524-4991-83C9-8207BDAE3C28}"/>
    <cellStyle name="40% - Accent4 22 2 9 4" xfId="21022" xr:uid="{7B210622-58A1-4778-88B4-CE43479328AC}"/>
    <cellStyle name="40% - Accent4 22 3" xfId="530" xr:uid="{8297CA40-3DE9-49F1-BEAB-30D2AE2BCA75}"/>
    <cellStyle name="40% - Accent4 22 3 10" xfId="5327" xr:uid="{331136A4-6FED-4F56-B42C-8B2CF2413DA7}"/>
    <cellStyle name="40% - Accent4 22 3 10 2" xfId="12876" xr:uid="{C968C3C6-3D6C-42A7-8266-7C98BEC4C08E}"/>
    <cellStyle name="40% - Accent4 22 3 10 2 2" xfId="29080" xr:uid="{3C4EA539-8090-481C-97D7-053ABE4CC497}"/>
    <cellStyle name="40% - Accent4 22 3 10 3" xfId="21531" xr:uid="{69152852-CCB1-49BB-91B4-AC24A2C35297}"/>
    <cellStyle name="40% - Accent4 22 3 11" xfId="9442" xr:uid="{13B09F02-795F-49C9-9883-6FCD5BF78594}"/>
    <cellStyle name="40% - Accent4 22 3 11 2" xfId="25646" xr:uid="{7C3892EC-9EEC-47DE-B2C9-C0C8C093A9F0}"/>
    <cellStyle name="40% - Accent4 22 3 12" xfId="17957" xr:uid="{351898F3-7957-4F68-8608-4CF05848D2FA}"/>
    <cellStyle name="40% - Accent4 22 3 2" xfId="601" xr:uid="{E18024D7-92B2-40A9-86E5-AB2F5C4CB50D}"/>
    <cellStyle name="40% - Accent4 22 3 2 10" xfId="9509" xr:uid="{B7C3B5EC-763C-4980-B630-C23619D7D275}"/>
    <cellStyle name="40% - Accent4 22 3 2 10 2" xfId="25713" xr:uid="{F053E5D6-0859-471C-9E62-558D03BA89E2}"/>
    <cellStyle name="40% - Accent4 22 3 2 11" xfId="18025" xr:uid="{89AE2193-895D-48D2-8097-28D564C0F6BD}"/>
    <cellStyle name="40% - Accent4 22 3 2 2" xfId="1878" xr:uid="{24569802-95B9-4752-9485-545B005F0132}"/>
    <cellStyle name="40% - Accent4 22 3 2 2 10" xfId="18183" xr:uid="{CA3B3E8B-1E5F-4FC6-A5DC-B373BF695A21}"/>
    <cellStyle name="40% - Accent4 22 3 2 2 2" xfId="2387" xr:uid="{06A79EB1-B9CC-40CC-ACEA-1BD833DA3F39}"/>
    <cellStyle name="40% - Accent4 22 3 2 2 2 2" xfId="3234" xr:uid="{4CEF3539-C61F-4084-9820-67F74D219A32}"/>
    <cellStyle name="40% - Accent4 22 3 2 2 2 2 2" xfId="7016" xr:uid="{BE84387E-363A-4BB1-9F8A-9125A51E2975}"/>
    <cellStyle name="40% - Accent4 22 3 2 2 2 2 2 2" xfId="14527" xr:uid="{855563EA-D4E6-4D98-9BF9-B0A2DBDE08D2}"/>
    <cellStyle name="40% - Accent4 22 3 2 2 2 2 2 2 2" xfId="30731" xr:uid="{37E573BE-0223-4115-9A7C-C9C163C3FE0B}"/>
    <cellStyle name="40% - Accent4 22 3 2 2 2 2 2 3" xfId="23220" xr:uid="{04DB6061-BF3A-4D70-BB4E-80EB85015DD4}"/>
    <cellStyle name="40% - Accent4 22 3 2 2 2 2 3" xfId="10927" xr:uid="{051D12C8-B2F6-42DC-BF99-BEB17CF8846F}"/>
    <cellStyle name="40% - Accent4 22 3 2 2 2 2 3 2" xfId="27131" xr:uid="{2110F47A-2F89-427A-8475-6DF892E61B48}"/>
    <cellStyle name="40% - Accent4 22 3 2 2 2 2 4" xfId="19454" xr:uid="{C6A8614A-C68D-420A-A843-A4FDD2EE93B4}"/>
    <cellStyle name="40% - Accent4 22 3 2 2 2 3" xfId="6171" xr:uid="{12BD91FF-46EA-40DC-A96C-7864827F774B}"/>
    <cellStyle name="40% - Accent4 22 3 2 2 2 3 2" xfId="13683" xr:uid="{2F181ED3-DEC0-4F43-BBB8-22540CC6A4B3}"/>
    <cellStyle name="40% - Accent4 22 3 2 2 2 3 2 2" xfId="29887" xr:uid="{9BB52D40-8E3F-4B29-9728-EE05E54FA0C8}"/>
    <cellStyle name="40% - Accent4 22 3 2 2 2 3 3" xfId="22375" xr:uid="{0BF4333D-A0B2-4A71-AE13-CB9871CD8CB1}"/>
    <cellStyle name="40% - Accent4 22 3 2 2 2 4" xfId="10083" xr:uid="{EE687E1B-DA6B-4DD9-9D6E-A3FF5CD96787}"/>
    <cellStyle name="40% - Accent4 22 3 2 2 2 4 2" xfId="26287" xr:uid="{CB1BA5DF-7EDB-48A2-A5E1-6593DA8C4482}"/>
    <cellStyle name="40% - Accent4 22 3 2 2 2 5" xfId="18609" xr:uid="{D80C6D79-E162-4767-A82A-896CADA3BE63}"/>
    <cellStyle name="40% - Accent4 22 3 2 2 3" xfId="2809" xr:uid="{425395AB-9DCF-4426-84DA-B06859F4339B}"/>
    <cellStyle name="40% - Accent4 22 3 2 2 3 2" xfId="6593" xr:uid="{9C968189-35F7-4C5A-9A99-4DA36F402129}"/>
    <cellStyle name="40% - Accent4 22 3 2 2 3 2 2" xfId="14105" xr:uid="{7ABCFD91-06D2-4B10-9873-D171ED563812}"/>
    <cellStyle name="40% - Accent4 22 3 2 2 3 2 2 2" xfId="30309" xr:uid="{76353405-EACF-4FDC-B3E2-CE2880456AB1}"/>
    <cellStyle name="40% - Accent4 22 3 2 2 3 2 3" xfId="22797" xr:uid="{BD461881-5BFA-4464-A4B4-EAEC2441F79A}"/>
    <cellStyle name="40% - Accent4 22 3 2 2 3 3" xfId="10505" xr:uid="{9790827A-AAF4-4773-8D9B-04F597635591}"/>
    <cellStyle name="40% - Accent4 22 3 2 2 3 3 2" xfId="26709" xr:uid="{6AB721A6-D45C-48FB-A0AD-3DD7E071B83B}"/>
    <cellStyle name="40% - Accent4 22 3 2 2 3 4" xfId="19031" xr:uid="{81E568E2-92F6-43B5-942A-3E371F299995}"/>
    <cellStyle name="40% - Accent4 22 3 2 2 4" xfId="3740" xr:uid="{ECE41F27-A353-4DBA-AA9F-731F44D3600B}"/>
    <cellStyle name="40% - Accent4 22 3 2 2 4 2" xfId="7450" xr:uid="{BEC8D3AB-E241-4A99-A398-8671D57812F7}"/>
    <cellStyle name="40% - Accent4 22 3 2 2 4 2 2" xfId="14959" xr:uid="{6242B850-39C9-43D9-8DF0-5DC632964CAC}"/>
    <cellStyle name="40% - Accent4 22 3 2 2 4 2 2 2" xfId="31163" xr:uid="{11D550F0-A808-4504-87B2-92CD41FC7DFE}"/>
    <cellStyle name="40% - Accent4 22 3 2 2 4 2 3" xfId="23654" xr:uid="{153F3A28-CAC7-4EE5-8139-BC039EC8FEC7}"/>
    <cellStyle name="40% - Accent4 22 3 2 2 4 3" xfId="11350" xr:uid="{B1EF5C7A-2D76-4321-B0DA-F58804501193}"/>
    <cellStyle name="40% - Accent4 22 3 2 2 4 3 2" xfId="27554" xr:uid="{181D298C-EA69-4854-BEC2-53F92206316E}"/>
    <cellStyle name="40% - Accent4 22 3 2 2 4 4" xfId="19949" xr:uid="{3AF7721C-8B3F-443F-AC8B-C9A8D05FB3B8}"/>
    <cellStyle name="40% - Accent4 22 3 2 2 5" xfId="4209" xr:uid="{AFBB7189-EBF9-4BC8-8BC1-00FFECFDA031}"/>
    <cellStyle name="40% - Accent4 22 3 2 2 5 2" xfId="7879" xr:uid="{9DED2DE6-E8A3-4652-A3AD-B72FB31CC1EE}"/>
    <cellStyle name="40% - Accent4 22 3 2 2 5 2 2" xfId="15386" xr:uid="{C409B322-5C8E-4050-BB61-E804D268BEA3}"/>
    <cellStyle name="40% - Accent4 22 3 2 2 5 2 2 2" xfId="31590" xr:uid="{D5A52891-5430-4B15-ADFC-F331B1ECF48F}"/>
    <cellStyle name="40% - Accent4 22 3 2 2 5 2 3" xfId="24083" xr:uid="{D9FD0CB3-EE6E-4CD9-B34B-5E93569A5A19}"/>
    <cellStyle name="40% - Accent4 22 3 2 2 5 3" xfId="11772" xr:uid="{C2D04E2E-57A6-4717-9D61-B2DA8D9BF88F}"/>
    <cellStyle name="40% - Accent4 22 3 2 2 5 3 2" xfId="27976" xr:uid="{A9BAD3EA-556A-4956-A7EF-F233D594A88F}"/>
    <cellStyle name="40% - Accent4 22 3 2 2 5 4" xfId="20413" xr:uid="{5A26A6B6-6198-4E4A-B746-4EB8B39499A5}"/>
    <cellStyle name="40% - Accent4 22 3 2 2 6" xfId="4634" xr:uid="{9622DD49-468D-4CB3-9FCC-C5096E575B60}"/>
    <cellStyle name="40% - Accent4 22 3 2 2 6 2" xfId="8304" xr:uid="{0EF62FD2-920D-46E6-B126-B60BA0C03D29}"/>
    <cellStyle name="40% - Accent4 22 3 2 2 6 2 2" xfId="15811" xr:uid="{23332EBC-7E3A-4DB5-BF95-57A2F7901C1B}"/>
    <cellStyle name="40% - Accent4 22 3 2 2 6 2 2 2" xfId="32015" xr:uid="{EB0AB25F-8216-4673-A8DC-95FDED5BBDD6}"/>
    <cellStyle name="40% - Accent4 22 3 2 2 6 2 3" xfId="24508" xr:uid="{D8B65954-75A1-49B1-8668-7AC4CF3FD428}"/>
    <cellStyle name="40% - Accent4 22 3 2 2 6 3" xfId="12197" xr:uid="{D34659F7-A2C6-4F44-803A-8B6BC14D88DD}"/>
    <cellStyle name="40% - Accent4 22 3 2 2 6 3 2" xfId="28401" xr:uid="{AB8BCF78-E372-4BF6-B982-09C9C1FB5A97}"/>
    <cellStyle name="40% - Accent4 22 3 2 2 6 4" xfId="20838" xr:uid="{3038B2C8-7277-4747-A741-9B97AC7C45D3}"/>
    <cellStyle name="40% - Accent4 22 3 2 2 7" xfId="5061" xr:uid="{C325B770-8A51-46DC-84F6-06447A61F043}"/>
    <cellStyle name="40% - Accent4 22 3 2 2 7 2" xfId="8727" xr:uid="{39B0CC3D-D534-4EDE-B0BB-087A072D3757}"/>
    <cellStyle name="40% - Accent4 22 3 2 2 7 2 2" xfId="16234" xr:uid="{17559183-3EE4-49BA-88B1-21D2BC04F7E5}"/>
    <cellStyle name="40% - Accent4 22 3 2 2 7 2 2 2" xfId="32438" xr:uid="{3B25CC98-AB1C-4214-A129-655BC51659C0}"/>
    <cellStyle name="40% - Accent4 22 3 2 2 7 2 3" xfId="24931" xr:uid="{6B60D497-D46B-45E6-80F4-8F27190C04B4}"/>
    <cellStyle name="40% - Accent4 22 3 2 2 7 3" xfId="12619" xr:uid="{DE59AF67-9ABC-42C1-A48C-330621FA6803}"/>
    <cellStyle name="40% - Accent4 22 3 2 2 7 3 2" xfId="28823" xr:uid="{9DF89145-3673-4ED7-8E44-58EFA6A82F53}"/>
    <cellStyle name="40% - Accent4 22 3 2 2 7 4" xfId="21265" xr:uid="{348F876B-6D8A-4D69-971D-93EB724458BE}"/>
    <cellStyle name="40% - Accent4 22 3 2 2 8" xfId="5733" xr:uid="{CB260697-A3D4-4E48-A2EC-A48792E86055}"/>
    <cellStyle name="40% - Accent4 22 3 2 2 8 2" xfId="13248" xr:uid="{154ACFA8-F426-4047-87B9-A0D6DFED9A6C}"/>
    <cellStyle name="40% - Accent4 22 3 2 2 8 2 2" xfId="29452" xr:uid="{ED1BCB34-83F8-4E56-BB31-1E92C0567883}"/>
    <cellStyle name="40% - Accent4 22 3 2 2 8 3" xfId="21937" xr:uid="{726185EA-21D8-46F2-9C80-9C6143F555D4}"/>
    <cellStyle name="40% - Accent4 22 3 2 2 9" xfId="9660" xr:uid="{1F3685B2-C444-45A9-BF03-CB45B158F849}"/>
    <cellStyle name="40% - Accent4 22 3 2 2 9 2" xfId="25864" xr:uid="{B340F2E6-E986-41D9-9C20-40C386D9EE72}"/>
    <cellStyle name="40% - Accent4 22 3 2 3" xfId="2170" xr:uid="{341E4B1E-17A7-45BA-A39C-F758A0DCC283}"/>
    <cellStyle name="40% - Accent4 22 3 2 3 2" xfId="3083" xr:uid="{AAB378DB-3895-464B-9726-92AA0463C125}"/>
    <cellStyle name="40% - Accent4 22 3 2 3 2 2" xfId="6865" xr:uid="{BD528867-8FA9-4441-99D4-11CD874FC887}"/>
    <cellStyle name="40% - Accent4 22 3 2 3 2 2 2" xfId="14376" xr:uid="{82F0B3F0-4A52-4E47-B869-55594CF2C96D}"/>
    <cellStyle name="40% - Accent4 22 3 2 3 2 2 2 2" xfId="30580" xr:uid="{CFB83FFC-7334-47AA-B925-FD9B29741ACF}"/>
    <cellStyle name="40% - Accent4 22 3 2 3 2 2 3" xfId="23069" xr:uid="{FEFD31A5-7DE2-4F39-83DB-CF6769EA8D88}"/>
    <cellStyle name="40% - Accent4 22 3 2 3 2 3" xfId="10776" xr:uid="{C81C8448-CDE8-418E-80A7-E3826360B2DC}"/>
    <cellStyle name="40% - Accent4 22 3 2 3 2 3 2" xfId="26980" xr:uid="{B214E956-27F7-45D5-9AED-1FC4A51A038E}"/>
    <cellStyle name="40% - Accent4 22 3 2 3 2 4" xfId="19303" xr:uid="{3282DF36-B91B-4B75-8DE8-8B42E726FCFE}"/>
    <cellStyle name="40% - Accent4 22 3 2 3 3" xfId="6009" xr:uid="{7A5FD7F7-C40C-45BD-BE6E-00F0FD37D495}"/>
    <cellStyle name="40% - Accent4 22 3 2 3 3 2" xfId="13523" xr:uid="{7289D427-9020-4C0F-A1EC-D505B9B36DFE}"/>
    <cellStyle name="40% - Accent4 22 3 2 3 3 2 2" xfId="29727" xr:uid="{04ED9A43-21BF-4218-AC18-E126AE8BDF40}"/>
    <cellStyle name="40% - Accent4 22 3 2 3 3 3" xfId="22213" xr:uid="{1E72BCB2-577D-4598-A2A0-6CE68D8B828C}"/>
    <cellStyle name="40% - Accent4 22 3 2 3 4" xfId="9932" xr:uid="{732A6681-EE35-4479-8737-8D49E0CAEF36}"/>
    <cellStyle name="40% - Accent4 22 3 2 3 4 2" xfId="26136" xr:uid="{336A1A6D-3EAB-4CA4-B7E5-12F5389C3618}"/>
    <cellStyle name="40% - Accent4 22 3 2 3 5" xfId="18457" xr:uid="{B208E454-C3F0-428D-8A92-2694970332E9}"/>
    <cellStyle name="40% - Accent4 22 3 2 4" xfId="2658" xr:uid="{7546B244-55F5-4266-89F2-C7ACDBDFF9DE}"/>
    <cellStyle name="40% - Accent4 22 3 2 4 2" xfId="6442" xr:uid="{96FD43D2-EC75-43C4-A174-DAAF1922885C}"/>
    <cellStyle name="40% - Accent4 22 3 2 4 2 2" xfId="13954" xr:uid="{3A7B8E93-0F4D-481E-B16A-6E295A9AD4A9}"/>
    <cellStyle name="40% - Accent4 22 3 2 4 2 2 2" xfId="30158" xr:uid="{8B12878F-C8E6-4918-8458-DD8979D751E3}"/>
    <cellStyle name="40% - Accent4 22 3 2 4 2 3" xfId="22646" xr:uid="{63625515-737D-4353-BBE2-E83FB12A3E91}"/>
    <cellStyle name="40% - Accent4 22 3 2 4 3" xfId="10354" xr:uid="{E47A1BE9-03DE-4CE2-B440-16B707A46285}"/>
    <cellStyle name="40% - Accent4 22 3 2 4 3 2" xfId="26558" xr:uid="{5718EF79-E06E-4D9B-97D9-C23FFE2342D4}"/>
    <cellStyle name="40% - Accent4 22 3 2 4 4" xfId="18880" xr:uid="{E72974AD-1688-4F0F-AD14-1CEC7A208F47}"/>
    <cellStyle name="40% - Accent4 22 3 2 5" xfId="3534" xr:uid="{2CFB1D8E-3803-459D-AEC2-820F99871425}"/>
    <cellStyle name="40% - Accent4 22 3 2 5 2" xfId="7292" xr:uid="{03A9BE87-C422-4FED-BF32-15CFB3915614}"/>
    <cellStyle name="40% - Accent4 22 3 2 5 2 2" xfId="14802" xr:uid="{6F3BDD30-EE1D-423D-96C0-A1A56F7F40D0}"/>
    <cellStyle name="40% - Accent4 22 3 2 5 2 2 2" xfId="31006" xr:uid="{834F533D-3B85-4B38-AFBC-80A2C4F6EFD5}"/>
    <cellStyle name="40% - Accent4 22 3 2 5 2 3" xfId="23496" xr:uid="{5A8C8503-3C96-4974-ACAB-1555AE9F21AC}"/>
    <cellStyle name="40% - Accent4 22 3 2 5 3" xfId="11199" xr:uid="{573BE7CF-55C2-402B-8A27-913FA8C17215}"/>
    <cellStyle name="40% - Accent4 22 3 2 5 3 2" xfId="27403" xr:uid="{3019040D-9CD6-4CE5-9F68-57CF36E70277}"/>
    <cellStyle name="40% - Accent4 22 3 2 5 4" xfId="19750" xr:uid="{2896D5EE-8941-4B2A-940E-0E266C083808}"/>
    <cellStyle name="40% - Accent4 22 3 2 6" xfId="4058" xr:uid="{72FE0488-345C-4233-8C46-C4956771D861}"/>
    <cellStyle name="40% - Accent4 22 3 2 6 2" xfId="7728" xr:uid="{8E7B0938-D0A8-4143-A5D2-ED96FA08C088}"/>
    <cellStyle name="40% - Accent4 22 3 2 6 2 2" xfId="15235" xr:uid="{A902136D-B7F2-40E8-8509-07B65E23012A}"/>
    <cellStyle name="40% - Accent4 22 3 2 6 2 2 2" xfId="31439" xr:uid="{E9F6E3B8-1DCC-4CB7-AC81-FDD887233DC8}"/>
    <cellStyle name="40% - Accent4 22 3 2 6 2 3" xfId="23932" xr:uid="{0D066A76-45F8-407B-B9E5-6094513B9936}"/>
    <cellStyle name="40% - Accent4 22 3 2 6 3" xfId="11621" xr:uid="{C1F39BA1-9066-480D-9F5E-F1D01F0AC5A5}"/>
    <cellStyle name="40% - Accent4 22 3 2 6 3 2" xfId="27825" xr:uid="{1B204415-5479-43FF-A59F-1EC0309DB93B}"/>
    <cellStyle name="40% - Accent4 22 3 2 6 4" xfId="20262" xr:uid="{AA9B6B46-C9EE-41D6-A048-F8451A306037}"/>
    <cellStyle name="40% - Accent4 22 3 2 7" xfId="4483" xr:uid="{2C7AFD89-CDD1-4574-9E45-2EAB5DEAE567}"/>
    <cellStyle name="40% - Accent4 22 3 2 7 2" xfId="8153" xr:uid="{43934D51-91BF-48EE-BE79-825FA8DF1C76}"/>
    <cellStyle name="40% - Accent4 22 3 2 7 2 2" xfId="15660" xr:uid="{6FAFAB45-B769-4CBE-98EF-FF3F36752D13}"/>
    <cellStyle name="40% - Accent4 22 3 2 7 2 2 2" xfId="31864" xr:uid="{35013591-9497-4AF4-A87A-1E3D62BD55AB}"/>
    <cellStyle name="40% - Accent4 22 3 2 7 2 3" xfId="24357" xr:uid="{2EC096A7-29D5-4A16-84CA-44AF81990D3A}"/>
    <cellStyle name="40% - Accent4 22 3 2 7 3" xfId="12046" xr:uid="{A78156A8-E98B-4222-A112-2F354CB80DEB}"/>
    <cellStyle name="40% - Accent4 22 3 2 7 3 2" xfId="28250" xr:uid="{28245104-D9B7-4C00-91FD-E58FFED9FDE7}"/>
    <cellStyle name="40% - Accent4 22 3 2 7 4" xfId="20687" xr:uid="{2D7DA366-6488-459D-9BA2-C89BF3CE1C6D}"/>
    <cellStyle name="40% - Accent4 22 3 2 8" xfId="4908" xr:uid="{6A6B2599-46CE-4743-9B61-67D56058EA9C}"/>
    <cellStyle name="40% - Accent4 22 3 2 8 2" xfId="8576" xr:uid="{02DF273A-3C1D-41CC-81A5-59B4606B5655}"/>
    <cellStyle name="40% - Accent4 22 3 2 8 2 2" xfId="16083" xr:uid="{B10C8073-8310-4D54-833A-2179E519B07E}"/>
    <cellStyle name="40% - Accent4 22 3 2 8 2 2 2" xfId="32287" xr:uid="{A5558721-A71A-4840-B502-CE334E21D24E}"/>
    <cellStyle name="40% - Accent4 22 3 2 8 2 3" xfId="24780" xr:uid="{E8883E8D-603B-4F2C-AAA3-8D7E664E2307}"/>
    <cellStyle name="40% - Accent4 22 3 2 8 3" xfId="12468" xr:uid="{8E2874CC-7401-4493-9D83-E42C8347CBB1}"/>
    <cellStyle name="40% - Accent4 22 3 2 8 3 2" xfId="28672" xr:uid="{559488FF-7E04-49BA-9FEE-19E47F701B2A}"/>
    <cellStyle name="40% - Accent4 22 3 2 8 4" xfId="21112" xr:uid="{873FA61A-4E71-4AA3-A934-0AA64E363F2C}"/>
    <cellStyle name="40% - Accent4 22 3 2 9" xfId="5394" xr:uid="{31B6E5F7-F06A-4DEF-94D1-3DBC576FC8F6}"/>
    <cellStyle name="40% - Accent4 22 3 2 9 2" xfId="12943" xr:uid="{417864EC-5918-4B0B-9027-AC0DAF9E46E6}"/>
    <cellStyle name="40% - Accent4 22 3 2 9 2 2" xfId="29147" xr:uid="{55112927-13BD-44E3-A03D-CFE4C2F11460}"/>
    <cellStyle name="40% - Accent4 22 3 2 9 3" xfId="21598" xr:uid="{828998DD-E686-43D5-8F06-DFA9FED7C4E8}"/>
    <cellStyle name="40% - Accent4 22 3 3" xfId="1879" xr:uid="{6754BAAF-6D7C-4C9A-A366-32604900B51D}"/>
    <cellStyle name="40% - Accent4 22 3 3 10" xfId="18184" xr:uid="{AE995F9D-2EE8-4AB0-AD81-E283A96E905E}"/>
    <cellStyle name="40% - Accent4 22 3 3 2" xfId="2388" xr:uid="{32C0CE5B-3FE4-496E-96E1-DC7EA0474520}"/>
    <cellStyle name="40% - Accent4 22 3 3 2 2" xfId="3235" xr:uid="{2575BBE8-BA11-4E1D-A3A9-FF7E6A1549EE}"/>
    <cellStyle name="40% - Accent4 22 3 3 2 2 2" xfId="7017" xr:uid="{E77C87B6-F7DE-46C7-A2AA-51C3ADBAA9EC}"/>
    <cellStyle name="40% - Accent4 22 3 3 2 2 2 2" xfId="14528" xr:uid="{5F314393-D366-409B-8C32-F047FD142FB2}"/>
    <cellStyle name="40% - Accent4 22 3 3 2 2 2 2 2" xfId="30732" xr:uid="{B381F753-148F-4086-A9B7-0BA2C3A8ACF7}"/>
    <cellStyle name="40% - Accent4 22 3 3 2 2 2 3" xfId="23221" xr:uid="{091CD588-8088-4299-9D94-E7411BD83D7B}"/>
    <cellStyle name="40% - Accent4 22 3 3 2 2 3" xfId="10928" xr:uid="{70AB1DC0-06E7-44A3-80FF-7D34922E968D}"/>
    <cellStyle name="40% - Accent4 22 3 3 2 2 3 2" xfId="27132" xr:uid="{BAB70FF2-E6E3-4814-861A-171802237189}"/>
    <cellStyle name="40% - Accent4 22 3 3 2 2 4" xfId="19455" xr:uid="{C0447CB2-E9D4-4962-B256-E0124036357F}"/>
    <cellStyle name="40% - Accent4 22 3 3 2 3" xfId="6172" xr:uid="{CBA92E99-CFD6-4EA4-B942-0C1D5CD3D27B}"/>
    <cellStyle name="40% - Accent4 22 3 3 2 3 2" xfId="13684" xr:uid="{51F83D71-BF82-4054-A67B-88779DB7B4DE}"/>
    <cellStyle name="40% - Accent4 22 3 3 2 3 2 2" xfId="29888" xr:uid="{F13DFED0-C60B-47EB-8675-4A1E6C9C9772}"/>
    <cellStyle name="40% - Accent4 22 3 3 2 3 3" xfId="22376" xr:uid="{5FB9A5D2-90D5-480E-A882-423C2D9214CD}"/>
    <cellStyle name="40% - Accent4 22 3 3 2 4" xfId="10084" xr:uid="{E6FB28AB-C66D-4429-AE87-19E24C098875}"/>
    <cellStyle name="40% - Accent4 22 3 3 2 4 2" xfId="26288" xr:uid="{EB26E719-D3F5-44C1-AF73-C142E0E1F48E}"/>
    <cellStyle name="40% - Accent4 22 3 3 2 5" xfId="18610" xr:uid="{D2F93972-3CF6-4345-8AAD-2672E76FE935}"/>
    <cellStyle name="40% - Accent4 22 3 3 3" xfId="2810" xr:uid="{C11AAF84-9C44-4A89-8EFD-732ABDCD3B22}"/>
    <cellStyle name="40% - Accent4 22 3 3 3 2" xfId="6594" xr:uid="{2C09F175-0318-4E18-BD85-4C21CFB5035C}"/>
    <cellStyle name="40% - Accent4 22 3 3 3 2 2" xfId="14106" xr:uid="{0D61C96A-98C2-4AB5-991B-3AE9A089C79E}"/>
    <cellStyle name="40% - Accent4 22 3 3 3 2 2 2" xfId="30310" xr:uid="{97539AC3-9D6E-4B92-9CAA-ADA35B6636FF}"/>
    <cellStyle name="40% - Accent4 22 3 3 3 2 3" xfId="22798" xr:uid="{60F321F4-6282-4E8F-A55C-902BB67FE892}"/>
    <cellStyle name="40% - Accent4 22 3 3 3 3" xfId="10506" xr:uid="{07C426A2-6160-47FC-A3C3-DA33D2796D20}"/>
    <cellStyle name="40% - Accent4 22 3 3 3 3 2" xfId="26710" xr:uid="{86621E08-FA76-49C9-B61E-042D916FA6F8}"/>
    <cellStyle name="40% - Accent4 22 3 3 3 4" xfId="19032" xr:uid="{98A77334-D191-472E-B1E5-D532EDC659FB}"/>
    <cellStyle name="40% - Accent4 22 3 3 4" xfId="3741" xr:uid="{26C20E4B-CBE0-44ED-902E-6E2E4A374049}"/>
    <cellStyle name="40% - Accent4 22 3 3 4 2" xfId="7451" xr:uid="{3895CE9C-99A7-4D66-98C0-6654CC7CF49B}"/>
    <cellStyle name="40% - Accent4 22 3 3 4 2 2" xfId="14960" xr:uid="{B46E613C-D94E-458B-9EB3-B9AB6701B723}"/>
    <cellStyle name="40% - Accent4 22 3 3 4 2 2 2" xfId="31164" xr:uid="{7C7B7656-75FA-4EA8-B4EF-2AB2C0A7DCF1}"/>
    <cellStyle name="40% - Accent4 22 3 3 4 2 3" xfId="23655" xr:uid="{E9A31ECF-6BD9-460D-844C-DC79425FA14C}"/>
    <cellStyle name="40% - Accent4 22 3 3 4 3" xfId="11351" xr:uid="{830942DD-4CB9-4830-A55A-5A83486D0471}"/>
    <cellStyle name="40% - Accent4 22 3 3 4 3 2" xfId="27555" xr:uid="{FFE71B26-C2D9-498D-9855-3D9C27114FAC}"/>
    <cellStyle name="40% - Accent4 22 3 3 4 4" xfId="19950" xr:uid="{536A3FF7-E8C4-4507-BEB7-C04B9D4E3AF6}"/>
    <cellStyle name="40% - Accent4 22 3 3 5" xfId="4210" xr:uid="{7AF07A24-3D75-46A8-80C4-930EBEF382F5}"/>
    <cellStyle name="40% - Accent4 22 3 3 5 2" xfId="7880" xr:uid="{D3699B24-3667-4B14-9C66-BA0DB2B5D917}"/>
    <cellStyle name="40% - Accent4 22 3 3 5 2 2" xfId="15387" xr:uid="{22A5CC62-4345-4F89-ACA2-9D7F4618C718}"/>
    <cellStyle name="40% - Accent4 22 3 3 5 2 2 2" xfId="31591" xr:uid="{00333444-FB5F-46A4-B036-56F8C204E4DD}"/>
    <cellStyle name="40% - Accent4 22 3 3 5 2 3" xfId="24084" xr:uid="{67A9E0BA-D372-4EBC-9B4A-97DDF868EA14}"/>
    <cellStyle name="40% - Accent4 22 3 3 5 3" xfId="11773" xr:uid="{D62FEBA5-CD50-4FF5-A78D-6D2CE8488813}"/>
    <cellStyle name="40% - Accent4 22 3 3 5 3 2" xfId="27977" xr:uid="{07D552F4-8D34-4577-B05F-736622AFED02}"/>
    <cellStyle name="40% - Accent4 22 3 3 5 4" xfId="20414" xr:uid="{D0DAA625-CDF9-4819-9A98-97C9A803EEB0}"/>
    <cellStyle name="40% - Accent4 22 3 3 6" xfId="4635" xr:uid="{F1B08DCB-328B-4173-B174-DBC368821ADB}"/>
    <cellStyle name="40% - Accent4 22 3 3 6 2" xfId="8305" xr:uid="{78A74DD1-17F9-4F8C-9AE8-A740053CCC6A}"/>
    <cellStyle name="40% - Accent4 22 3 3 6 2 2" xfId="15812" xr:uid="{78DC7D0D-C75D-42E0-A43C-B3A91F573596}"/>
    <cellStyle name="40% - Accent4 22 3 3 6 2 2 2" xfId="32016" xr:uid="{F0C2C60E-6F92-4073-951D-1CD6C159055D}"/>
    <cellStyle name="40% - Accent4 22 3 3 6 2 3" xfId="24509" xr:uid="{68A70205-A5DD-4C43-BD22-20FEF7AE3B9C}"/>
    <cellStyle name="40% - Accent4 22 3 3 6 3" xfId="12198" xr:uid="{BCBC6227-D33C-45C5-B807-F0A4303C512E}"/>
    <cellStyle name="40% - Accent4 22 3 3 6 3 2" xfId="28402" xr:uid="{5D5EDF31-5653-4FAF-ACE5-59C6DC80EC7A}"/>
    <cellStyle name="40% - Accent4 22 3 3 6 4" xfId="20839" xr:uid="{D5879D62-4804-4C08-9C64-EBA20E489123}"/>
    <cellStyle name="40% - Accent4 22 3 3 7" xfId="5062" xr:uid="{E30D0DE4-E518-4F8E-9366-A4887E98AAFE}"/>
    <cellStyle name="40% - Accent4 22 3 3 7 2" xfId="8728" xr:uid="{DA60F6B6-6EB0-4EF3-8781-88E9D083D5E2}"/>
    <cellStyle name="40% - Accent4 22 3 3 7 2 2" xfId="16235" xr:uid="{BF89CD73-DE80-4055-9DC4-3AA5B53FE9DC}"/>
    <cellStyle name="40% - Accent4 22 3 3 7 2 2 2" xfId="32439" xr:uid="{58521A5E-D856-4211-8A88-C182E5460A61}"/>
    <cellStyle name="40% - Accent4 22 3 3 7 2 3" xfId="24932" xr:uid="{A3092D03-E347-4E20-84F2-6019A2DE87E4}"/>
    <cellStyle name="40% - Accent4 22 3 3 7 3" xfId="12620" xr:uid="{CBE3FD6E-D74B-44C5-9CD1-E3F1869E343B}"/>
    <cellStyle name="40% - Accent4 22 3 3 7 3 2" xfId="28824" xr:uid="{6070B9CE-C611-43A0-83AA-CA6C75DA3F85}"/>
    <cellStyle name="40% - Accent4 22 3 3 7 4" xfId="21266" xr:uid="{17A86125-1624-4DE6-BC71-D74FCADA4EB2}"/>
    <cellStyle name="40% - Accent4 22 3 3 8" xfId="5734" xr:uid="{4F039BFC-BD4E-40CD-A35C-AA0E3332D07C}"/>
    <cellStyle name="40% - Accent4 22 3 3 8 2" xfId="13249" xr:uid="{040A0D72-82A7-4419-9B41-CECF8E37AE00}"/>
    <cellStyle name="40% - Accent4 22 3 3 8 2 2" xfId="29453" xr:uid="{F6945217-831E-43CA-9564-ED8F34D2C8AC}"/>
    <cellStyle name="40% - Accent4 22 3 3 8 3" xfId="21938" xr:uid="{4AB65DC3-E846-419B-896E-048F2B6E787B}"/>
    <cellStyle name="40% - Accent4 22 3 3 9" xfId="9661" xr:uid="{7920CE01-4518-4AA5-97B3-3D859EA7818F}"/>
    <cellStyle name="40% - Accent4 22 3 3 9 2" xfId="25865" xr:uid="{50B882B1-CA90-43D4-8ED3-152CFF935FFB}"/>
    <cellStyle name="40% - Accent4 22 3 4" xfId="2103" xr:uid="{C4503505-A537-4157-9D5D-ABEE4049C138}"/>
    <cellStyle name="40% - Accent4 22 3 4 2" xfId="3016" xr:uid="{A6573E8C-8ECD-4EEE-8F33-FF7D0CE97EB0}"/>
    <cellStyle name="40% - Accent4 22 3 4 2 2" xfId="6798" xr:uid="{7CB21A25-5058-45FD-B61B-2AF66CB96AD0}"/>
    <cellStyle name="40% - Accent4 22 3 4 2 2 2" xfId="14309" xr:uid="{C7E8395F-CCA1-4F70-AA89-41E996421CF8}"/>
    <cellStyle name="40% - Accent4 22 3 4 2 2 2 2" xfId="30513" xr:uid="{F0BF3068-5C2C-4983-94AD-0081A456C31D}"/>
    <cellStyle name="40% - Accent4 22 3 4 2 2 3" xfId="23002" xr:uid="{6535082D-277D-4858-9371-57E0DFEB664A}"/>
    <cellStyle name="40% - Accent4 22 3 4 2 3" xfId="10709" xr:uid="{37B8FCA5-66C8-461A-9142-C4ED3C0C2CCF}"/>
    <cellStyle name="40% - Accent4 22 3 4 2 3 2" xfId="26913" xr:uid="{EF969A0E-0E0B-4F51-8711-F80EE2030802}"/>
    <cellStyle name="40% - Accent4 22 3 4 2 4" xfId="19236" xr:uid="{D3A316D8-9108-4448-B686-76E66845ADC0}"/>
    <cellStyle name="40% - Accent4 22 3 4 3" xfId="5942" xr:uid="{444E1248-D7D3-4662-8B7B-68915364DFFC}"/>
    <cellStyle name="40% - Accent4 22 3 4 3 2" xfId="13456" xr:uid="{0A614752-F053-46BE-A2DF-063070C85127}"/>
    <cellStyle name="40% - Accent4 22 3 4 3 2 2" xfId="29660" xr:uid="{280BB120-7750-4DD7-81D0-C25F6A54E4E2}"/>
    <cellStyle name="40% - Accent4 22 3 4 3 3" xfId="22146" xr:uid="{764CB9FE-E3EB-4C05-84F5-164631AD3888}"/>
    <cellStyle name="40% - Accent4 22 3 4 4" xfId="9865" xr:uid="{891A18A0-F2ED-4F03-9B28-A7C2E51F7E68}"/>
    <cellStyle name="40% - Accent4 22 3 4 4 2" xfId="26069" xr:uid="{CF3B671D-BDA4-4FF9-8211-EB94C4C8AA6C}"/>
    <cellStyle name="40% - Accent4 22 3 4 5" xfId="18390" xr:uid="{966149BF-71E6-4ABC-9340-F23372094097}"/>
    <cellStyle name="40% - Accent4 22 3 5" xfId="2591" xr:uid="{9D3BBCA1-A182-4777-B6EF-B5D20A61061D}"/>
    <cellStyle name="40% - Accent4 22 3 5 2" xfId="6375" xr:uid="{62BBCCD8-7D8C-424C-90BE-63A794FD5F04}"/>
    <cellStyle name="40% - Accent4 22 3 5 2 2" xfId="13887" xr:uid="{2492A98F-E419-4488-9D17-25521B035874}"/>
    <cellStyle name="40% - Accent4 22 3 5 2 2 2" xfId="30091" xr:uid="{2472F476-8DC4-474A-8DF9-8C267DCA5F1B}"/>
    <cellStyle name="40% - Accent4 22 3 5 2 3" xfId="22579" xr:uid="{D1CA75BA-688C-4823-983A-85BB51C0A457}"/>
    <cellStyle name="40% - Accent4 22 3 5 3" xfId="10287" xr:uid="{CEF429B8-9448-49D9-8352-9BE49431A293}"/>
    <cellStyle name="40% - Accent4 22 3 5 3 2" xfId="26491" xr:uid="{9BDB2FB0-729E-4433-BCE3-505C8E652F16}"/>
    <cellStyle name="40% - Accent4 22 3 5 4" xfId="18813" xr:uid="{69252211-DA81-4BFF-B3E5-3C3AA9CA26B4}"/>
    <cellStyle name="40% - Accent4 22 3 6" xfId="3467" xr:uid="{C19FEDCF-C291-433F-9BD0-23D27BEDB878}"/>
    <cellStyle name="40% - Accent4 22 3 6 2" xfId="7225" xr:uid="{F88C9A0C-32A7-49B8-99BE-F17EC4C94979}"/>
    <cellStyle name="40% - Accent4 22 3 6 2 2" xfId="14735" xr:uid="{DBBFFA38-77A8-4F0F-B09D-E5763EF31E91}"/>
    <cellStyle name="40% - Accent4 22 3 6 2 2 2" xfId="30939" xr:uid="{B45FFDEE-F3C5-456A-A3B0-984A9337074A}"/>
    <cellStyle name="40% - Accent4 22 3 6 2 3" xfId="23429" xr:uid="{D4D01D28-AE93-41FA-99A2-05FEEB93DE1C}"/>
    <cellStyle name="40% - Accent4 22 3 6 3" xfId="11132" xr:uid="{F50E6EA7-D6FB-4687-82CC-983B170359B0}"/>
    <cellStyle name="40% - Accent4 22 3 6 3 2" xfId="27336" xr:uid="{754C786B-2AA4-48CE-B000-8B6A3B0F3FA7}"/>
    <cellStyle name="40% - Accent4 22 3 6 4" xfId="19683" xr:uid="{16198A74-87E8-42FC-91A5-2EBC60CC8653}"/>
    <cellStyle name="40% - Accent4 22 3 7" xfId="3991" xr:uid="{B2948FBB-480B-476A-B73C-830A06728890}"/>
    <cellStyle name="40% - Accent4 22 3 7 2" xfId="7661" xr:uid="{C386E97F-2D93-4BD6-8377-13315D361EFB}"/>
    <cellStyle name="40% - Accent4 22 3 7 2 2" xfId="15168" xr:uid="{30C47FE2-BBCA-440B-B826-A8FA87B1DD1F}"/>
    <cellStyle name="40% - Accent4 22 3 7 2 2 2" xfId="31372" xr:uid="{31A52340-0DF4-4E92-961E-D3DB7198CEC5}"/>
    <cellStyle name="40% - Accent4 22 3 7 2 3" xfId="23865" xr:uid="{D8A2C58A-FB7F-420D-8C00-49850C5B752A}"/>
    <cellStyle name="40% - Accent4 22 3 7 3" xfId="11554" xr:uid="{E734B3F8-7586-4314-B4BA-3F8860FF2662}"/>
    <cellStyle name="40% - Accent4 22 3 7 3 2" xfId="27758" xr:uid="{0D86BA1A-C755-4D59-8DC9-72A135B8641D}"/>
    <cellStyle name="40% - Accent4 22 3 7 4" xfId="20195" xr:uid="{B224EC5D-86A0-44DB-9B7E-F957817E41CB}"/>
    <cellStyle name="40% - Accent4 22 3 8" xfId="4416" xr:uid="{A1A8173C-A6E6-4BBF-9BF9-E3A37C0CD816}"/>
    <cellStyle name="40% - Accent4 22 3 8 2" xfId="8086" xr:uid="{76513B60-F538-4C14-A7F4-CFF5646F67AA}"/>
    <cellStyle name="40% - Accent4 22 3 8 2 2" xfId="15593" xr:uid="{96F078FF-BEF4-4F32-B1E5-6714CDA1BEBE}"/>
    <cellStyle name="40% - Accent4 22 3 8 2 2 2" xfId="31797" xr:uid="{849D07E5-40E6-4C2A-A804-6E902A08843F}"/>
    <cellStyle name="40% - Accent4 22 3 8 2 3" xfId="24290" xr:uid="{DC70009F-73E3-4FAA-80D3-E306811FD9A1}"/>
    <cellStyle name="40% - Accent4 22 3 8 3" xfId="11979" xr:uid="{42762AC9-4B3D-4D12-8E88-78935433F3DF}"/>
    <cellStyle name="40% - Accent4 22 3 8 3 2" xfId="28183" xr:uid="{338D8D46-1A2D-4414-94B8-A78E14ECB8CE}"/>
    <cellStyle name="40% - Accent4 22 3 8 4" xfId="20620" xr:uid="{B0857161-7641-4FDC-AE8D-8D627FB1CF6E}"/>
    <cellStyle name="40% - Accent4 22 3 9" xfId="4840" xr:uid="{3973313D-8299-4FAE-9C52-A49EF51CDAA6}"/>
    <cellStyle name="40% - Accent4 22 3 9 2" xfId="8509" xr:uid="{7B30FC59-EA2F-4D46-BE0F-CB43539657EF}"/>
    <cellStyle name="40% - Accent4 22 3 9 2 2" xfId="16016" xr:uid="{D31BA90A-4654-4026-8BFC-81C1AA3B5747}"/>
    <cellStyle name="40% - Accent4 22 3 9 2 2 2" xfId="32220" xr:uid="{79544F75-5B2C-4D2A-9208-AB23AC8FA28F}"/>
    <cellStyle name="40% - Accent4 22 3 9 2 3" xfId="24713" xr:uid="{8319798D-91EA-4C57-85BA-201B72296223}"/>
    <cellStyle name="40% - Accent4 22 3 9 3" xfId="12401" xr:uid="{8E02B4E4-6BF7-4B6B-8D03-3115EA4620AA}"/>
    <cellStyle name="40% - Accent4 22 3 9 3 2" xfId="28605" xr:uid="{7D1B38C6-15D8-4EF0-A718-18F43B597657}"/>
    <cellStyle name="40% - Accent4 22 3 9 4" xfId="21044" xr:uid="{614784A8-3662-4678-8A99-161446A6E2BB}"/>
    <cellStyle name="40% - Accent4 22 4" xfId="557" xr:uid="{9B2A7887-BE64-4646-9A08-CDA96B5F73E9}"/>
    <cellStyle name="40% - Accent4 22 4 10" xfId="9465" xr:uid="{6E546A2D-98F6-4F24-8AB5-64F29C3D3853}"/>
    <cellStyle name="40% - Accent4 22 4 10 2" xfId="25669" xr:uid="{FF2883DD-2695-46D9-AEB6-433309B8E235}"/>
    <cellStyle name="40% - Accent4 22 4 11" xfId="17981" xr:uid="{94CA0E90-999C-40FE-B31F-500E373A71A7}"/>
    <cellStyle name="40% - Accent4 22 4 2" xfId="1880" xr:uid="{50509340-A4C6-4AA1-8EA4-8B4F23B497C6}"/>
    <cellStyle name="40% - Accent4 22 4 2 10" xfId="18185" xr:uid="{84025251-59A9-4B32-9691-C19647318BE4}"/>
    <cellStyle name="40% - Accent4 22 4 2 2" xfId="2389" xr:uid="{DBA86236-2948-45C5-9092-B333A2AC15EE}"/>
    <cellStyle name="40% - Accent4 22 4 2 2 2" xfId="3236" xr:uid="{3541FC45-A233-4DAA-9EC2-A3A47B90B747}"/>
    <cellStyle name="40% - Accent4 22 4 2 2 2 2" xfId="7018" xr:uid="{1D355FDD-16B3-473B-8592-3469CC3A0671}"/>
    <cellStyle name="40% - Accent4 22 4 2 2 2 2 2" xfId="14529" xr:uid="{04BB35D7-582E-425D-A03F-249F6E9C10F3}"/>
    <cellStyle name="40% - Accent4 22 4 2 2 2 2 2 2" xfId="30733" xr:uid="{8E6C752B-B5D7-4818-B04A-C79E53E02999}"/>
    <cellStyle name="40% - Accent4 22 4 2 2 2 2 3" xfId="23222" xr:uid="{759B6F2D-E630-4875-8E1A-E99A1DCA7BB0}"/>
    <cellStyle name="40% - Accent4 22 4 2 2 2 3" xfId="10929" xr:uid="{AF9CF82C-33F0-4D18-8725-F124897CA394}"/>
    <cellStyle name="40% - Accent4 22 4 2 2 2 3 2" xfId="27133" xr:uid="{99A0673B-DB2F-4FBF-9833-E3AD23C172E9}"/>
    <cellStyle name="40% - Accent4 22 4 2 2 2 4" xfId="19456" xr:uid="{5D6DC7B9-0AF5-4F5C-898A-7589B4B4A05B}"/>
    <cellStyle name="40% - Accent4 22 4 2 2 3" xfId="6173" xr:uid="{464B8155-CC0B-4D6E-AC84-DCB275529ABD}"/>
    <cellStyle name="40% - Accent4 22 4 2 2 3 2" xfId="13685" xr:uid="{20A758AD-9FE5-413D-A225-E3FFD1273793}"/>
    <cellStyle name="40% - Accent4 22 4 2 2 3 2 2" xfId="29889" xr:uid="{EEAE486E-448F-427B-98C2-92B880B93221}"/>
    <cellStyle name="40% - Accent4 22 4 2 2 3 3" xfId="22377" xr:uid="{2A5B4C1F-48A0-4BF1-B92C-130D021622C6}"/>
    <cellStyle name="40% - Accent4 22 4 2 2 4" xfId="10085" xr:uid="{412F136A-E9EF-4365-BD01-2690BC285E68}"/>
    <cellStyle name="40% - Accent4 22 4 2 2 4 2" xfId="26289" xr:uid="{70147AC2-5891-4D5C-AC17-D229B6AE4731}"/>
    <cellStyle name="40% - Accent4 22 4 2 2 5" xfId="18611" xr:uid="{B3855691-B898-4169-8D94-F5E30B4A3174}"/>
    <cellStyle name="40% - Accent4 22 4 2 3" xfId="2811" xr:uid="{749276BC-D9A1-4ADA-9067-FCF8521FA70D}"/>
    <cellStyle name="40% - Accent4 22 4 2 3 2" xfId="6595" xr:uid="{AFF02B69-8DCE-40A1-89F2-B6E706369706}"/>
    <cellStyle name="40% - Accent4 22 4 2 3 2 2" xfId="14107" xr:uid="{38EECB3B-0D3D-44AF-9923-100F04EAEF67}"/>
    <cellStyle name="40% - Accent4 22 4 2 3 2 2 2" xfId="30311" xr:uid="{B7B00FC7-31E2-462A-94C6-648A122373CC}"/>
    <cellStyle name="40% - Accent4 22 4 2 3 2 3" xfId="22799" xr:uid="{5E3133B8-F432-4334-9A74-CA13C2F9DFD2}"/>
    <cellStyle name="40% - Accent4 22 4 2 3 3" xfId="10507" xr:uid="{AB77B394-46BF-4B28-9275-943A36900C0A}"/>
    <cellStyle name="40% - Accent4 22 4 2 3 3 2" xfId="26711" xr:uid="{36B0C9A8-3B1E-45A4-98E4-4A724AA1F9C5}"/>
    <cellStyle name="40% - Accent4 22 4 2 3 4" xfId="19033" xr:uid="{CE62955B-1DC3-402D-BBA8-B36171266BB8}"/>
    <cellStyle name="40% - Accent4 22 4 2 4" xfId="3742" xr:uid="{5434B34F-CDB0-460F-84FF-A99A90FE0AB1}"/>
    <cellStyle name="40% - Accent4 22 4 2 4 2" xfId="7452" xr:uid="{BCF80013-B96A-4D44-A090-073047701FE6}"/>
    <cellStyle name="40% - Accent4 22 4 2 4 2 2" xfId="14961" xr:uid="{B22FDA0E-1075-4080-8DB0-010158F206ED}"/>
    <cellStyle name="40% - Accent4 22 4 2 4 2 2 2" xfId="31165" xr:uid="{56D42A79-3434-4129-80C1-DE25E9A72FE0}"/>
    <cellStyle name="40% - Accent4 22 4 2 4 2 3" xfId="23656" xr:uid="{96830E01-0DAC-433F-A2F1-000ABC0B67AE}"/>
    <cellStyle name="40% - Accent4 22 4 2 4 3" xfId="11352" xr:uid="{58AC6C9B-8F5B-4A8A-84FC-BE406E51BC92}"/>
    <cellStyle name="40% - Accent4 22 4 2 4 3 2" xfId="27556" xr:uid="{F8EA2730-5F27-412B-BC75-1A85527CE3D9}"/>
    <cellStyle name="40% - Accent4 22 4 2 4 4" xfId="19951" xr:uid="{A8972BD3-D09B-492C-BD8A-F06AC3690888}"/>
    <cellStyle name="40% - Accent4 22 4 2 5" xfId="4211" xr:uid="{BE523CAB-C421-440E-95DD-8990DAAD824A}"/>
    <cellStyle name="40% - Accent4 22 4 2 5 2" xfId="7881" xr:uid="{FA324FF8-D07E-4873-888B-9D96A2142738}"/>
    <cellStyle name="40% - Accent4 22 4 2 5 2 2" xfId="15388" xr:uid="{ED1288E3-9E14-4186-B9C7-B164FD03DC59}"/>
    <cellStyle name="40% - Accent4 22 4 2 5 2 2 2" xfId="31592" xr:uid="{9BDD25C1-CF47-48D9-82BD-300500178E82}"/>
    <cellStyle name="40% - Accent4 22 4 2 5 2 3" xfId="24085" xr:uid="{F09889B4-F233-4F1A-A213-CBD36FCF1001}"/>
    <cellStyle name="40% - Accent4 22 4 2 5 3" xfId="11774" xr:uid="{137BB182-C908-442E-ABB9-FB23B5D266AB}"/>
    <cellStyle name="40% - Accent4 22 4 2 5 3 2" xfId="27978" xr:uid="{CD1A693C-AD85-4A8B-AC47-35863F1FB4A5}"/>
    <cellStyle name="40% - Accent4 22 4 2 5 4" xfId="20415" xr:uid="{9A605771-10DC-4043-95E6-0308BFD0BA41}"/>
    <cellStyle name="40% - Accent4 22 4 2 6" xfId="4636" xr:uid="{822AC0E5-7741-4EC3-A179-9C491C445E9C}"/>
    <cellStyle name="40% - Accent4 22 4 2 6 2" xfId="8306" xr:uid="{383A8D7F-18F8-4B64-A41C-79B113B0E735}"/>
    <cellStyle name="40% - Accent4 22 4 2 6 2 2" xfId="15813" xr:uid="{D849B2B1-EF6B-42A3-A57D-5BF6B992FB6C}"/>
    <cellStyle name="40% - Accent4 22 4 2 6 2 2 2" xfId="32017" xr:uid="{4E0F6E77-B8D1-48EA-A074-AA42FA66352D}"/>
    <cellStyle name="40% - Accent4 22 4 2 6 2 3" xfId="24510" xr:uid="{7BBDB7B5-8920-4E2C-AF16-1657F7BC5523}"/>
    <cellStyle name="40% - Accent4 22 4 2 6 3" xfId="12199" xr:uid="{34DF2893-B634-476A-AD76-EF60435928FA}"/>
    <cellStyle name="40% - Accent4 22 4 2 6 3 2" xfId="28403" xr:uid="{0DC4D514-D88D-434A-AE1C-53F955D6F7B9}"/>
    <cellStyle name="40% - Accent4 22 4 2 6 4" xfId="20840" xr:uid="{F3B3509B-5C9D-4262-A77B-C08E8DDF0B1A}"/>
    <cellStyle name="40% - Accent4 22 4 2 7" xfId="5063" xr:uid="{C2595F76-0CFC-453F-AA40-E54510EF177A}"/>
    <cellStyle name="40% - Accent4 22 4 2 7 2" xfId="8729" xr:uid="{8B10CAAA-3BB0-4DCA-860A-D69591C147A4}"/>
    <cellStyle name="40% - Accent4 22 4 2 7 2 2" xfId="16236" xr:uid="{BE2577F9-70C8-4A27-BDF3-539F6E18F46B}"/>
    <cellStyle name="40% - Accent4 22 4 2 7 2 2 2" xfId="32440" xr:uid="{09692896-9366-49CD-A8FB-90336D9A17B5}"/>
    <cellStyle name="40% - Accent4 22 4 2 7 2 3" xfId="24933" xr:uid="{F1165B19-2A67-46D6-B09E-56DE33BACC62}"/>
    <cellStyle name="40% - Accent4 22 4 2 7 3" xfId="12621" xr:uid="{960729BE-26DF-4B06-AF85-EEFF70BCC8A0}"/>
    <cellStyle name="40% - Accent4 22 4 2 7 3 2" xfId="28825" xr:uid="{8111C97F-A76B-4DBA-88F5-F78FA95E4AB2}"/>
    <cellStyle name="40% - Accent4 22 4 2 7 4" xfId="21267" xr:uid="{41D3DFD6-45A4-4A23-A87A-E561123A4031}"/>
    <cellStyle name="40% - Accent4 22 4 2 8" xfId="5735" xr:uid="{D7296E02-5D9F-4ED9-A8DD-2740256C0679}"/>
    <cellStyle name="40% - Accent4 22 4 2 8 2" xfId="13250" xr:uid="{155261AB-A7C6-4EB8-91E4-7D9787BCB914}"/>
    <cellStyle name="40% - Accent4 22 4 2 8 2 2" xfId="29454" xr:uid="{2627D1BA-FE67-4B14-81F0-DC98D5B6076F}"/>
    <cellStyle name="40% - Accent4 22 4 2 8 3" xfId="21939" xr:uid="{7F1DC28A-0382-4999-A08D-155F557ED6E0}"/>
    <cellStyle name="40% - Accent4 22 4 2 9" xfId="9662" xr:uid="{EE445A45-9B7B-4339-811D-AAC79DD76E27}"/>
    <cellStyle name="40% - Accent4 22 4 2 9 2" xfId="25866" xr:uid="{76E28700-216A-47B5-99CB-0D2EEE6A7E2E}"/>
    <cellStyle name="40% - Accent4 22 4 3" xfId="2126" xr:uid="{69AD2502-5DF2-4E27-A99B-A0ABAFCF11B4}"/>
    <cellStyle name="40% - Accent4 22 4 3 2" xfId="3039" xr:uid="{2BD15C1C-FA46-4AE9-ABC3-DA4165D8FF89}"/>
    <cellStyle name="40% - Accent4 22 4 3 2 2" xfId="6821" xr:uid="{4201F7AA-B444-4D51-99CA-C52B16C5C126}"/>
    <cellStyle name="40% - Accent4 22 4 3 2 2 2" xfId="14332" xr:uid="{5B6CA875-ECA7-4656-8305-4AB00C562203}"/>
    <cellStyle name="40% - Accent4 22 4 3 2 2 2 2" xfId="30536" xr:uid="{2A56AB84-6824-4818-BA33-D7585587EEAD}"/>
    <cellStyle name="40% - Accent4 22 4 3 2 2 3" xfId="23025" xr:uid="{F98F31BB-3AC3-4EE8-BA49-1B8132E672CB}"/>
    <cellStyle name="40% - Accent4 22 4 3 2 3" xfId="10732" xr:uid="{343CA457-ACF0-45C9-9DA3-D188727F02C1}"/>
    <cellStyle name="40% - Accent4 22 4 3 2 3 2" xfId="26936" xr:uid="{1EB928C9-C6E8-471B-AD1A-743A2386AF32}"/>
    <cellStyle name="40% - Accent4 22 4 3 2 4" xfId="19259" xr:uid="{57BAC14D-8835-42A7-9384-DE9C5FFAF8AF}"/>
    <cellStyle name="40% - Accent4 22 4 3 3" xfId="5965" xr:uid="{26050ACA-A2C2-4AD1-AF2C-11D2ED49830E}"/>
    <cellStyle name="40% - Accent4 22 4 3 3 2" xfId="13479" xr:uid="{D15725D6-17CC-4689-A698-F3B97FAEFE65}"/>
    <cellStyle name="40% - Accent4 22 4 3 3 2 2" xfId="29683" xr:uid="{0728209C-449B-4B97-863D-8B734C4C9A93}"/>
    <cellStyle name="40% - Accent4 22 4 3 3 3" xfId="22169" xr:uid="{3E091F0A-CFE4-4347-8718-79122BF73F97}"/>
    <cellStyle name="40% - Accent4 22 4 3 4" xfId="9888" xr:uid="{FD8B601F-E330-47F1-BD94-FDBEFEC9C590}"/>
    <cellStyle name="40% - Accent4 22 4 3 4 2" xfId="26092" xr:uid="{EBD7758E-3811-4A14-A1F4-881443CF2FB6}"/>
    <cellStyle name="40% - Accent4 22 4 3 5" xfId="18413" xr:uid="{E6D5DDBB-E042-43B7-B1AE-68978D792EC3}"/>
    <cellStyle name="40% - Accent4 22 4 4" xfId="2614" xr:uid="{3B7696B4-7288-4492-89F3-FCE03D1A180B}"/>
    <cellStyle name="40% - Accent4 22 4 4 2" xfId="6398" xr:uid="{75DC006A-F80A-4839-8225-626550AB310A}"/>
    <cellStyle name="40% - Accent4 22 4 4 2 2" xfId="13910" xr:uid="{0E7715CD-7C37-4E5D-A026-1A30BF225CCE}"/>
    <cellStyle name="40% - Accent4 22 4 4 2 2 2" xfId="30114" xr:uid="{D7EF896A-08E8-4AEA-98AE-E23E4B5B7723}"/>
    <cellStyle name="40% - Accent4 22 4 4 2 3" xfId="22602" xr:uid="{3D84751C-7573-43ED-87E2-3AB4B709C767}"/>
    <cellStyle name="40% - Accent4 22 4 4 3" xfId="10310" xr:uid="{F2367164-C9A8-453A-920B-BAA89F4015CE}"/>
    <cellStyle name="40% - Accent4 22 4 4 3 2" xfId="26514" xr:uid="{FCDEC976-0F82-45B1-8DF2-D79B2B695DB7}"/>
    <cellStyle name="40% - Accent4 22 4 4 4" xfId="18836" xr:uid="{0B3FC3F0-5E2E-4627-8143-4496A79DDFFC}"/>
    <cellStyle name="40% - Accent4 22 4 5" xfId="3490" xr:uid="{719F23C8-2AB4-4367-86EF-9705E8D8A0BD}"/>
    <cellStyle name="40% - Accent4 22 4 5 2" xfId="7248" xr:uid="{A3757282-BB95-4B31-BE65-C47F27CA37CB}"/>
    <cellStyle name="40% - Accent4 22 4 5 2 2" xfId="14758" xr:uid="{54587D0C-6ACF-47C7-84F7-AD65FEFEC2DC}"/>
    <cellStyle name="40% - Accent4 22 4 5 2 2 2" xfId="30962" xr:uid="{77ED5A7D-F36F-4683-9EB1-6CA423D7F928}"/>
    <cellStyle name="40% - Accent4 22 4 5 2 3" xfId="23452" xr:uid="{BBE796CE-55CB-471F-AD78-391791E55A03}"/>
    <cellStyle name="40% - Accent4 22 4 5 3" xfId="11155" xr:uid="{D4AEE707-F35F-4478-9D74-14BA32F53625}"/>
    <cellStyle name="40% - Accent4 22 4 5 3 2" xfId="27359" xr:uid="{76304B2D-483E-4DA5-8431-C57E707974D6}"/>
    <cellStyle name="40% - Accent4 22 4 5 4" xfId="19706" xr:uid="{6CF913AE-3F8D-43BB-A050-7DDFB217AD97}"/>
    <cellStyle name="40% - Accent4 22 4 6" xfId="4014" xr:uid="{1099CFF1-8B46-4A9E-BB00-EC11B3CA2CA7}"/>
    <cellStyle name="40% - Accent4 22 4 6 2" xfId="7684" xr:uid="{94E60FB2-D26C-456A-9139-B6AD2362D726}"/>
    <cellStyle name="40% - Accent4 22 4 6 2 2" xfId="15191" xr:uid="{FD233EF6-75CF-4B97-8722-FAC77311C216}"/>
    <cellStyle name="40% - Accent4 22 4 6 2 2 2" xfId="31395" xr:uid="{469AFF42-4CDF-4989-B5ED-2D16B8B2D027}"/>
    <cellStyle name="40% - Accent4 22 4 6 2 3" xfId="23888" xr:uid="{0AAE0DDA-E2AA-44EE-9F80-9A25DC529BE0}"/>
    <cellStyle name="40% - Accent4 22 4 6 3" xfId="11577" xr:uid="{C81335F0-4AA1-453D-8390-46143EE1FE33}"/>
    <cellStyle name="40% - Accent4 22 4 6 3 2" xfId="27781" xr:uid="{4CA42596-E5A3-4258-981B-8E118D683258}"/>
    <cellStyle name="40% - Accent4 22 4 6 4" xfId="20218" xr:uid="{6CA7C093-2DED-4BA0-8DE0-22125FE30819}"/>
    <cellStyle name="40% - Accent4 22 4 7" xfId="4439" xr:uid="{32B6DD9A-0A3B-4E06-B02D-58D01562BD25}"/>
    <cellStyle name="40% - Accent4 22 4 7 2" xfId="8109" xr:uid="{D75B5D63-3304-4C4F-97E6-FDC3801F0241}"/>
    <cellStyle name="40% - Accent4 22 4 7 2 2" xfId="15616" xr:uid="{4B0519FD-2E26-4633-86CC-D08CD5267794}"/>
    <cellStyle name="40% - Accent4 22 4 7 2 2 2" xfId="31820" xr:uid="{F1D64943-7729-4AD0-A344-DCF49F51C854}"/>
    <cellStyle name="40% - Accent4 22 4 7 2 3" xfId="24313" xr:uid="{641B271B-EBD9-4201-963C-D91E0EA02858}"/>
    <cellStyle name="40% - Accent4 22 4 7 3" xfId="12002" xr:uid="{AA95A0A8-550D-4D6F-9FC0-33393F3BFAA4}"/>
    <cellStyle name="40% - Accent4 22 4 7 3 2" xfId="28206" xr:uid="{AE0D7C1A-B9E8-48AF-9F64-32C30A99D721}"/>
    <cellStyle name="40% - Accent4 22 4 7 4" xfId="20643" xr:uid="{2A3474AE-87E0-45EB-947A-780334FE1D91}"/>
    <cellStyle name="40% - Accent4 22 4 8" xfId="4864" xr:uid="{41A15C8C-C370-4F8B-AB43-5D24B3D274C5}"/>
    <cellStyle name="40% - Accent4 22 4 8 2" xfId="8532" xr:uid="{9E049C77-C868-4DFC-A4D7-8AD4C0D26982}"/>
    <cellStyle name="40% - Accent4 22 4 8 2 2" xfId="16039" xr:uid="{C4F55473-0EF5-4458-8979-ECF5328189CD}"/>
    <cellStyle name="40% - Accent4 22 4 8 2 2 2" xfId="32243" xr:uid="{23DD0FBE-F343-4028-ADCB-B89129D53B9E}"/>
    <cellStyle name="40% - Accent4 22 4 8 2 3" xfId="24736" xr:uid="{02A38E18-3CD7-4654-BB5D-BE0A7651686F}"/>
    <cellStyle name="40% - Accent4 22 4 8 3" xfId="12424" xr:uid="{C9229615-601C-42FD-AF68-9873454207DF}"/>
    <cellStyle name="40% - Accent4 22 4 8 3 2" xfId="28628" xr:uid="{DB566A1F-547F-4D6D-94B0-1F5BDBAF50CF}"/>
    <cellStyle name="40% - Accent4 22 4 8 4" xfId="21068" xr:uid="{B7BBFFA3-C7DE-494F-89F8-06C69CF5B61C}"/>
    <cellStyle name="40% - Accent4 22 4 9" xfId="5350" xr:uid="{51413EBD-3717-4971-8151-7CA8A95E0B46}"/>
    <cellStyle name="40% - Accent4 22 4 9 2" xfId="12899" xr:uid="{04A2B387-B9AD-4AF8-B8E4-47B06F695F14}"/>
    <cellStyle name="40% - Accent4 22 4 9 2 2" xfId="29103" xr:uid="{6746E4CA-F926-46E3-9A6A-704CD531E3A8}"/>
    <cellStyle name="40% - Accent4 22 4 9 3" xfId="21554" xr:uid="{2F8FF6F1-9CB1-4538-9A52-C71DF9902CB9}"/>
    <cellStyle name="40% - Accent4 22 5" xfId="1428" xr:uid="{915BAC38-312A-4AB9-BE6C-CF9FE8C2546B}"/>
    <cellStyle name="40% - Accent4 22 6" xfId="1881" xr:uid="{05565554-9BAE-435A-B728-F9A5563BDA10}"/>
    <cellStyle name="40% - Accent4 22 6 10" xfId="18186" xr:uid="{1E8DAC7F-222F-47FD-B419-26D7B7256965}"/>
    <cellStyle name="40% - Accent4 22 6 2" xfId="2390" xr:uid="{E01E7231-4329-4B30-935C-51FEA9B5DA95}"/>
    <cellStyle name="40% - Accent4 22 6 2 2" xfId="3237" xr:uid="{84DCBD4C-5C52-42E7-84A0-DD151952E3E9}"/>
    <cellStyle name="40% - Accent4 22 6 2 2 2" xfId="7019" xr:uid="{AB3F2A9B-2A0A-4CC6-A326-FAC3DFC24E15}"/>
    <cellStyle name="40% - Accent4 22 6 2 2 2 2" xfId="14530" xr:uid="{92708365-3763-43F3-ABAA-5DD01AB8FC94}"/>
    <cellStyle name="40% - Accent4 22 6 2 2 2 2 2" xfId="30734" xr:uid="{B1DBC82E-7919-482E-B600-A8F2BB32F6C4}"/>
    <cellStyle name="40% - Accent4 22 6 2 2 2 3" xfId="23223" xr:uid="{02BB5646-B071-4919-93B5-9EBC51AD7CBB}"/>
    <cellStyle name="40% - Accent4 22 6 2 2 3" xfId="10930" xr:uid="{000666B7-E319-41E8-BF8C-940FA95B93AD}"/>
    <cellStyle name="40% - Accent4 22 6 2 2 3 2" xfId="27134" xr:uid="{73F91543-3D56-4802-A9D6-FF649E353766}"/>
    <cellStyle name="40% - Accent4 22 6 2 2 4" xfId="19457" xr:uid="{A8510F1A-C460-43CF-AB8D-E110647B27AA}"/>
    <cellStyle name="40% - Accent4 22 6 2 3" xfId="6174" xr:uid="{42DABA86-C66E-4C31-9F3F-7B3FA599CA87}"/>
    <cellStyle name="40% - Accent4 22 6 2 3 2" xfId="13686" xr:uid="{C601686E-749F-4999-930B-1D1730C8B336}"/>
    <cellStyle name="40% - Accent4 22 6 2 3 2 2" xfId="29890" xr:uid="{CA9E5160-26F9-4208-A708-6726B2D6A040}"/>
    <cellStyle name="40% - Accent4 22 6 2 3 3" xfId="22378" xr:uid="{477D09EF-441A-4E1B-BF42-32736C7C6F86}"/>
    <cellStyle name="40% - Accent4 22 6 2 4" xfId="10086" xr:uid="{179FBAC5-3808-48C7-B8C3-B4377CB91150}"/>
    <cellStyle name="40% - Accent4 22 6 2 4 2" xfId="26290" xr:uid="{1C8D18A2-75E6-4D14-BF84-C24522A4D1B4}"/>
    <cellStyle name="40% - Accent4 22 6 2 5" xfId="18612" xr:uid="{02F5B7D1-6D70-421D-9BD3-D1E097C286E6}"/>
    <cellStyle name="40% - Accent4 22 6 3" xfId="2812" xr:uid="{C73277C7-C915-4F58-94DB-DEF5DDC096FD}"/>
    <cellStyle name="40% - Accent4 22 6 3 2" xfId="6596" xr:uid="{8F7E590E-6958-48F6-A016-66C66C958F86}"/>
    <cellStyle name="40% - Accent4 22 6 3 2 2" xfId="14108" xr:uid="{C05A63D9-C8C6-43A2-8A27-252FAEAF18A8}"/>
    <cellStyle name="40% - Accent4 22 6 3 2 2 2" xfId="30312" xr:uid="{D3CFF223-FAD4-4D5C-8EBC-6D98EFE819DE}"/>
    <cellStyle name="40% - Accent4 22 6 3 2 3" xfId="22800" xr:uid="{BFD7A4EA-CA5F-420B-8328-089E5DA4968C}"/>
    <cellStyle name="40% - Accent4 22 6 3 3" xfId="10508" xr:uid="{398A11CA-50CE-4EE2-8E9E-E3AB16C3B121}"/>
    <cellStyle name="40% - Accent4 22 6 3 3 2" xfId="26712" xr:uid="{D7E0DD6D-7927-44E0-996E-4D95220CDF28}"/>
    <cellStyle name="40% - Accent4 22 6 3 4" xfId="19034" xr:uid="{66914232-F86A-41A2-80ED-2F5D5B09EAC7}"/>
    <cellStyle name="40% - Accent4 22 6 4" xfId="3743" xr:uid="{AC161DB1-8F36-4580-8904-92D5F2916460}"/>
    <cellStyle name="40% - Accent4 22 6 4 2" xfId="7453" xr:uid="{3A16D3D3-B624-4CF3-9965-93DE403A14C1}"/>
    <cellStyle name="40% - Accent4 22 6 4 2 2" xfId="14962" xr:uid="{34745C55-6203-4633-A10C-20E0261ED924}"/>
    <cellStyle name="40% - Accent4 22 6 4 2 2 2" xfId="31166" xr:uid="{60CF47F4-DE8A-4D97-ACFE-A889A13C719D}"/>
    <cellStyle name="40% - Accent4 22 6 4 2 3" xfId="23657" xr:uid="{2ADF7BDD-B63A-4079-8310-6850A28CDECA}"/>
    <cellStyle name="40% - Accent4 22 6 4 3" xfId="11353" xr:uid="{C0E45729-5EC8-45B7-A55F-838044E8036F}"/>
    <cellStyle name="40% - Accent4 22 6 4 3 2" xfId="27557" xr:uid="{1F78DF05-7030-443F-A66C-C6531887FB49}"/>
    <cellStyle name="40% - Accent4 22 6 4 4" xfId="19952" xr:uid="{374FB97A-5FF2-4EA5-AF15-1A5555A06F95}"/>
    <cellStyle name="40% - Accent4 22 6 5" xfId="4212" xr:uid="{927966B7-9920-4CEC-AFB3-76CF4248B23F}"/>
    <cellStyle name="40% - Accent4 22 6 5 2" xfId="7882" xr:uid="{F09E4EA4-C8BC-401E-A430-4D2F6AA86BA9}"/>
    <cellStyle name="40% - Accent4 22 6 5 2 2" xfId="15389" xr:uid="{827C4523-D658-4096-8B3D-5647699B4D9A}"/>
    <cellStyle name="40% - Accent4 22 6 5 2 2 2" xfId="31593" xr:uid="{8C962143-AA09-4FB8-8B98-77489AE0CFED}"/>
    <cellStyle name="40% - Accent4 22 6 5 2 3" xfId="24086" xr:uid="{E8D030BF-80F2-4C77-9B47-9983F5F28A83}"/>
    <cellStyle name="40% - Accent4 22 6 5 3" xfId="11775" xr:uid="{592F6AE9-6BB9-455D-AAD9-AA487680B199}"/>
    <cellStyle name="40% - Accent4 22 6 5 3 2" xfId="27979" xr:uid="{0FCF38D9-5417-4B3E-9027-CA80FB980273}"/>
    <cellStyle name="40% - Accent4 22 6 5 4" xfId="20416" xr:uid="{6F34D9AA-1548-435F-BAEB-AC5907E0DEE0}"/>
    <cellStyle name="40% - Accent4 22 6 6" xfId="4637" xr:uid="{24CE8299-86CB-48D4-8730-059E241FB5E2}"/>
    <cellStyle name="40% - Accent4 22 6 6 2" xfId="8307" xr:uid="{5D670041-D467-4F0C-B753-0731FDC28293}"/>
    <cellStyle name="40% - Accent4 22 6 6 2 2" xfId="15814" xr:uid="{3E6FC0E0-0434-4196-8FAD-6DF54B914F61}"/>
    <cellStyle name="40% - Accent4 22 6 6 2 2 2" xfId="32018" xr:uid="{DC272E70-4925-477B-978B-A0B317D57699}"/>
    <cellStyle name="40% - Accent4 22 6 6 2 3" xfId="24511" xr:uid="{6F442CE1-70D6-4333-A115-D938B3020EF5}"/>
    <cellStyle name="40% - Accent4 22 6 6 3" xfId="12200" xr:uid="{8122FC5E-BF68-4872-B157-7DEEFE800DA6}"/>
    <cellStyle name="40% - Accent4 22 6 6 3 2" xfId="28404" xr:uid="{FEDD6E9D-E33D-4128-997E-06C6C6443507}"/>
    <cellStyle name="40% - Accent4 22 6 6 4" xfId="20841" xr:uid="{9A3CA448-2A33-47B9-957D-CE32558B0E9B}"/>
    <cellStyle name="40% - Accent4 22 6 7" xfId="5064" xr:uid="{C2F9B7FE-D8BA-4263-84EF-5950EFFC75DF}"/>
    <cellStyle name="40% - Accent4 22 6 7 2" xfId="8730" xr:uid="{81CB72D9-3C00-4F5A-A033-E7110E029EF0}"/>
    <cellStyle name="40% - Accent4 22 6 7 2 2" xfId="16237" xr:uid="{64D8F15C-0399-4FE5-AF89-BDBAE2D268A6}"/>
    <cellStyle name="40% - Accent4 22 6 7 2 2 2" xfId="32441" xr:uid="{743CB219-4F59-4E24-B2FA-4351DED66F51}"/>
    <cellStyle name="40% - Accent4 22 6 7 2 3" xfId="24934" xr:uid="{97FC4FA8-B9D9-422F-BCB0-9CB42F7C6600}"/>
    <cellStyle name="40% - Accent4 22 6 7 3" xfId="12622" xr:uid="{A6EE5CED-2BC5-4F47-B721-6C62A7AC7543}"/>
    <cellStyle name="40% - Accent4 22 6 7 3 2" xfId="28826" xr:uid="{8B56C7B5-2B1A-4F6A-8638-722D7E5465D9}"/>
    <cellStyle name="40% - Accent4 22 6 7 4" xfId="21268" xr:uid="{86788C5C-113B-498B-B5B7-49DBF3C646E2}"/>
    <cellStyle name="40% - Accent4 22 6 8" xfId="5736" xr:uid="{247D162C-3AC1-4E54-A37E-3F59B91B73A2}"/>
    <cellStyle name="40% - Accent4 22 6 8 2" xfId="13251" xr:uid="{AD4F7ECC-EEA7-45FC-B145-9927939DF598}"/>
    <cellStyle name="40% - Accent4 22 6 8 2 2" xfId="29455" xr:uid="{D2010D83-52EC-497E-8179-89DC81F5C93B}"/>
    <cellStyle name="40% - Accent4 22 6 8 3" xfId="21940" xr:uid="{8A7C8E2B-2FAD-42A3-93DC-5306245DA5D2}"/>
    <cellStyle name="40% - Accent4 22 6 9" xfId="9663" xr:uid="{98037991-8967-4D5D-8AE7-18412C72293F}"/>
    <cellStyle name="40% - Accent4 22 6 9 2" xfId="25867" xr:uid="{3AB55072-936C-4E75-83B7-04C01F0B4244}"/>
    <cellStyle name="40% - Accent4 22 7" xfId="2059" xr:uid="{E2288EBA-8A25-4C0B-8577-0936055727CE}"/>
    <cellStyle name="40% - Accent4 22 7 2" xfId="2972" xr:uid="{658D8882-C3DE-4F8C-AA96-A3A5FAC33609}"/>
    <cellStyle name="40% - Accent4 22 7 2 2" xfId="6754" xr:uid="{D2882127-DF0D-410E-BFA5-8D9A5B0DCE45}"/>
    <cellStyle name="40% - Accent4 22 7 2 2 2" xfId="14265" xr:uid="{4EF8618E-088B-48B5-8F25-3C536DC75FF4}"/>
    <cellStyle name="40% - Accent4 22 7 2 2 2 2" xfId="30469" xr:uid="{E07E0ECE-B3AB-41B7-B226-D85689CB78E1}"/>
    <cellStyle name="40% - Accent4 22 7 2 2 3" xfId="22958" xr:uid="{5FBB7653-9474-46D3-A4E5-7A164377716D}"/>
    <cellStyle name="40% - Accent4 22 7 2 3" xfId="10665" xr:uid="{B3A50ADF-DB63-4DDB-9E99-DA9F52CF047F}"/>
    <cellStyle name="40% - Accent4 22 7 2 3 2" xfId="26869" xr:uid="{A418A7C3-1CE4-4732-B76A-D0B6F87079A4}"/>
    <cellStyle name="40% - Accent4 22 7 2 4" xfId="19192" xr:uid="{532F8CAF-031B-4496-A150-BACB1DF9138E}"/>
    <cellStyle name="40% - Accent4 22 7 3" xfId="5898" xr:uid="{1BD13105-A53D-44E1-ABC0-0CDC4638E8D3}"/>
    <cellStyle name="40% - Accent4 22 7 3 2" xfId="13412" xr:uid="{9C28F2BA-D9B7-46F2-A530-905E6BDE761A}"/>
    <cellStyle name="40% - Accent4 22 7 3 2 2" xfId="29616" xr:uid="{C3541D18-6BC6-470C-9D03-DC29FF3BC3E4}"/>
    <cellStyle name="40% - Accent4 22 7 3 3" xfId="22102" xr:uid="{BD7860BC-3BA4-4F80-AB71-71FC94BA70AA}"/>
    <cellStyle name="40% - Accent4 22 7 4" xfId="9821" xr:uid="{2B35B46B-96F6-4794-8923-2B0088D756CA}"/>
    <cellStyle name="40% - Accent4 22 7 4 2" xfId="26025" xr:uid="{8E322AD6-B003-4176-A96D-04AFD1924DF6}"/>
    <cellStyle name="40% - Accent4 22 7 5" xfId="18346" xr:uid="{76E154FB-E91B-4620-9AB3-3D409CBC289C}"/>
    <cellStyle name="40% - Accent4 22 8" xfId="2547" xr:uid="{701F0652-154B-4997-A510-2E40C04F67A8}"/>
    <cellStyle name="40% - Accent4 22 8 2" xfId="6331" xr:uid="{B3CF75EC-9ADF-4874-861E-B5F9DE5A9DC5}"/>
    <cellStyle name="40% - Accent4 22 8 2 2" xfId="13843" xr:uid="{DADEF018-82F3-4DA5-A5AE-3BA6796500F5}"/>
    <cellStyle name="40% - Accent4 22 8 2 2 2" xfId="30047" xr:uid="{08341650-13AD-4BC0-AF07-FA1D7CDB522E}"/>
    <cellStyle name="40% - Accent4 22 8 2 3" xfId="22535" xr:uid="{1EC9D28F-450F-4309-A17A-6A7D2EB182D1}"/>
    <cellStyle name="40% - Accent4 22 8 3" xfId="10243" xr:uid="{D532A9C0-AFB4-4290-ADB0-D27921C1F0E9}"/>
    <cellStyle name="40% - Accent4 22 8 3 2" xfId="26447" xr:uid="{08959F44-619F-4C52-9F5E-EFB914872D5F}"/>
    <cellStyle name="40% - Accent4 22 8 4" xfId="18769" xr:uid="{9D98D364-6D79-4B35-B921-37735BEE3C1B}"/>
    <cellStyle name="40% - Accent4 22 9" xfId="3423" xr:uid="{2A18FBCA-8CC4-41A2-9272-250182A8E207}"/>
    <cellStyle name="40% - Accent4 22 9 2" xfId="7181" xr:uid="{4E310C7D-A917-4494-AC39-4BD0B597AF83}"/>
    <cellStyle name="40% - Accent4 22 9 2 2" xfId="14691" xr:uid="{D1D7234E-4B58-479F-B6DB-E63C8CC1AB5F}"/>
    <cellStyle name="40% - Accent4 22 9 2 2 2" xfId="30895" xr:uid="{D151502A-A21F-4B53-9D27-7E59AA60D69D}"/>
    <cellStyle name="40% - Accent4 22 9 2 3" xfId="23385" xr:uid="{2C1139FA-43B9-4382-91E3-FD7396DF0835}"/>
    <cellStyle name="40% - Accent4 22 9 3" xfId="11088" xr:uid="{2AF2EDCC-4CFA-4F3C-8EDE-808F88933EF6}"/>
    <cellStyle name="40% - Accent4 22 9 3 2" xfId="27292" xr:uid="{CEBB21AE-C8E7-45F0-95AB-8F3B1C527936}"/>
    <cellStyle name="40% - Accent4 22 9 4" xfId="19639" xr:uid="{4A746716-F492-491C-A895-085CDF270950}"/>
    <cellStyle name="40% - Accent4 23" xfId="824" xr:uid="{E7392817-1A53-4956-8A72-68AD386C68ED}"/>
    <cellStyle name="40% - Accent4 24" xfId="1815" xr:uid="{F50EA990-51DC-4124-9136-845698B5E1F4}"/>
    <cellStyle name="40% - Accent4 24 10" xfId="18120" xr:uid="{A13F1E1C-6BFD-4CA7-85F2-02174B5F1C52}"/>
    <cellStyle name="40% - Accent4 24 2" xfId="2324" xr:uid="{2AFD2C3C-5429-493C-A20F-DB3BA94DB03D}"/>
    <cellStyle name="40% - Accent4 24 2 2" xfId="3171" xr:uid="{4E0A2477-4E64-4AA5-848C-A8E251DBBD1E}"/>
    <cellStyle name="40% - Accent4 24 2 2 2" xfId="6953" xr:uid="{1BE76F86-5438-430A-A948-DD0A7F134AD1}"/>
    <cellStyle name="40% - Accent4 24 2 2 2 2" xfId="14464" xr:uid="{9EEEED57-28E8-423D-966B-08D63644993D}"/>
    <cellStyle name="40% - Accent4 24 2 2 2 2 2" xfId="30668" xr:uid="{466BA506-900E-4EE2-8D1D-66AB6C81CD30}"/>
    <cellStyle name="40% - Accent4 24 2 2 2 3" xfId="23157" xr:uid="{3BF59642-6661-4BCF-9030-EF2720B0646D}"/>
    <cellStyle name="40% - Accent4 24 2 2 3" xfId="10864" xr:uid="{006CA40E-F302-4AB0-903A-943FF364DC25}"/>
    <cellStyle name="40% - Accent4 24 2 2 3 2" xfId="27068" xr:uid="{DF0237DD-F9E4-4708-9BB4-CD19ED553151}"/>
    <cellStyle name="40% - Accent4 24 2 2 4" xfId="19391" xr:uid="{A4A5C8A1-8C64-4A29-AE67-835CB96521E0}"/>
    <cellStyle name="40% - Accent4 24 2 3" xfId="6108" xr:uid="{12E28A61-B7DC-481B-A50D-9F6D13B409CD}"/>
    <cellStyle name="40% - Accent4 24 2 3 2" xfId="13620" xr:uid="{6751159E-CC33-42EB-9D5B-CFB94FE892E4}"/>
    <cellStyle name="40% - Accent4 24 2 3 2 2" xfId="29824" xr:uid="{E2AE2153-EFC6-40B2-9206-192A849B2012}"/>
    <cellStyle name="40% - Accent4 24 2 3 3" xfId="22312" xr:uid="{C84F466B-03EF-4B28-82B8-FEF74D8D9C4A}"/>
    <cellStyle name="40% - Accent4 24 2 4" xfId="10020" xr:uid="{856B2F93-40EC-4BE8-8F15-F55DC506322F}"/>
    <cellStyle name="40% - Accent4 24 2 4 2" xfId="26224" xr:uid="{3DF1BB00-917B-4026-AAA3-97C61562E77F}"/>
    <cellStyle name="40% - Accent4 24 2 5" xfId="18546" xr:uid="{2B28DD62-CDC1-4601-9A98-7ECEEFC736F6}"/>
    <cellStyle name="40% - Accent4 24 3" xfId="2746" xr:uid="{E5FB0912-5016-41F1-8D6E-0CE9F03CAE44}"/>
    <cellStyle name="40% - Accent4 24 3 2" xfId="6530" xr:uid="{8A9C9A0F-B312-4C9D-BCC4-D0EAB01C54FF}"/>
    <cellStyle name="40% - Accent4 24 3 2 2" xfId="14042" xr:uid="{167B640B-CAB7-459E-9998-09D7174168FC}"/>
    <cellStyle name="40% - Accent4 24 3 2 2 2" xfId="30246" xr:uid="{283DEDB6-0167-4724-94F1-8522009877DA}"/>
    <cellStyle name="40% - Accent4 24 3 2 3" xfId="22734" xr:uid="{F0E24123-557A-40B7-9E46-ECB209DF7B2F}"/>
    <cellStyle name="40% - Accent4 24 3 3" xfId="10442" xr:uid="{A517F251-33AB-4834-B896-E45D13880752}"/>
    <cellStyle name="40% - Accent4 24 3 3 2" xfId="26646" xr:uid="{CA961845-E917-4408-A783-EB4DB6082FD4}"/>
    <cellStyle name="40% - Accent4 24 3 4" xfId="18968" xr:uid="{4FF970BA-F8B7-47BA-AA87-5C7F5AE1772B}"/>
    <cellStyle name="40% - Accent4 24 4" xfId="3677" xr:uid="{67E091DE-6602-461B-877F-AC5E76BB5831}"/>
    <cellStyle name="40% - Accent4 24 4 2" xfId="7387" xr:uid="{8F4E7E3B-8B0E-4B1A-8020-B78380AD6B7F}"/>
    <cellStyle name="40% - Accent4 24 4 2 2" xfId="14896" xr:uid="{C4E1C683-A229-4AFD-9BE4-A3C4A973A88F}"/>
    <cellStyle name="40% - Accent4 24 4 2 2 2" xfId="31100" xr:uid="{BEC313FC-5FBD-4C1B-883E-818D50B3583E}"/>
    <cellStyle name="40% - Accent4 24 4 2 3" xfId="23591" xr:uid="{1C3DF2FE-21ED-45C5-A6F7-E15F57875968}"/>
    <cellStyle name="40% - Accent4 24 4 3" xfId="11287" xr:uid="{5E82BB33-BA0B-44FF-A3C5-20CE145B61B9}"/>
    <cellStyle name="40% - Accent4 24 4 3 2" xfId="27491" xr:uid="{93C280F7-F4A8-424D-83FA-84B634742336}"/>
    <cellStyle name="40% - Accent4 24 4 4" xfId="19886" xr:uid="{6DB410A3-3684-45B3-B6E2-828E065091EA}"/>
    <cellStyle name="40% - Accent4 24 5" xfId="4146" xr:uid="{13DD8B67-58BE-4435-A785-B07EB6E70710}"/>
    <cellStyle name="40% - Accent4 24 5 2" xfId="7816" xr:uid="{7AB40A93-5FDD-4A83-816D-F3700CBDBF1C}"/>
    <cellStyle name="40% - Accent4 24 5 2 2" xfId="15323" xr:uid="{D30CBC8E-8C96-463D-B105-F798DE4C19F0}"/>
    <cellStyle name="40% - Accent4 24 5 2 2 2" xfId="31527" xr:uid="{A2C0D9B3-BCD6-4459-8079-1C23878F33D6}"/>
    <cellStyle name="40% - Accent4 24 5 2 3" xfId="24020" xr:uid="{C598882A-78B7-41E5-9E01-22DBCC822C9D}"/>
    <cellStyle name="40% - Accent4 24 5 3" xfId="11709" xr:uid="{964023F2-A9C7-4E3F-A009-426A4B18B6E9}"/>
    <cellStyle name="40% - Accent4 24 5 3 2" xfId="27913" xr:uid="{084A0C63-CE3E-4796-A940-3968384FB8D6}"/>
    <cellStyle name="40% - Accent4 24 5 4" xfId="20350" xr:uid="{6B5FBC0B-0EFE-4410-9E6E-F2FF24A319FF}"/>
    <cellStyle name="40% - Accent4 24 6" xfId="4571" xr:uid="{07F03D39-7B81-4DD8-B5DC-1AA6BBB4AB15}"/>
    <cellStyle name="40% - Accent4 24 6 2" xfId="8241" xr:uid="{E74B7A1A-1763-46C9-8BF7-3C5585BC919D}"/>
    <cellStyle name="40% - Accent4 24 6 2 2" xfId="15748" xr:uid="{26E0E2C4-2C83-4082-A9E2-46819C3DFC4A}"/>
    <cellStyle name="40% - Accent4 24 6 2 2 2" xfId="31952" xr:uid="{3D59FE46-952B-4CA0-83DB-13E6FF8D7EE1}"/>
    <cellStyle name="40% - Accent4 24 6 2 3" xfId="24445" xr:uid="{C663A505-E14D-48CD-BBC7-240FA7B85FA2}"/>
    <cellStyle name="40% - Accent4 24 6 3" xfId="12134" xr:uid="{6D3E3BD7-D0DE-4AA8-A3FC-4AF69CF99EA8}"/>
    <cellStyle name="40% - Accent4 24 6 3 2" xfId="28338" xr:uid="{A3BD97B9-31BB-4421-8631-8828EE13FB09}"/>
    <cellStyle name="40% - Accent4 24 6 4" xfId="20775" xr:uid="{0E7BAFA1-493C-4B8F-95A4-2B78597437E1}"/>
    <cellStyle name="40% - Accent4 24 7" xfId="4998" xr:uid="{AEDF9B9E-AE8E-46D1-A9E3-A5D568DAF551}"/>
    <cellStyle name="40% - Accent4 24 7 2" xfId="8664" xr:uid="{640FA9ED-F9B6-4426-AD43-D97233546EB9}"/>
    <cellStyle name="40% - Accent4 24 7 2 2" xfId="16171" xr:uid="{C3EC41FB-693C-45D0-BDA0-3760071A83DF}"/>
    <cellStyle name="40% - Accent4 24 7 2 2 2" xfId="32375" xr:uid="{5C73082C-EBE4-4C51-BED2-B6ABBBDEB0EB}"/>
    <cellStyle name="40% - Accent4 24 7 2 3" xfId="24868" xr:uid="{E87FA3E1-5EC9-4BDF-9073-43B8245C2220}"/>
    <cellStyle name="40% - Accent4 24 7 3" xfId="12556" xr:uid="{D7D5BE59-30FA-4C93-A377-26D9B674F8A3}"/>
    <cellStyle name="40% - Accent4 24 7 3 2" xfId="28760" xr:uid="{747082BF-455A-4C0F-86AA-A88EC7503628}"/>
    <cellStyle name="40% - Accent4 24 7 4" xfId="21202" xr:uid="{3B5AFE53-9A80-4C4F-86DF-4D18A6A3B3B4}"/>
    <cellStyle name="40% - Accent4 24 8" xfId="5670" xr:uid="{BCB679C8-2FBA-4BE7-9B7A-A46734AD7D25}"/>
    <cellStyle name="40% - Accent4 24 8 2" xfId="13185" xr:uid="{6E3E9CA2-B607-4982-950C-7C6F5CA2D514}"/>
    <cellStyle name="40% - Accent4 24 8 2 2" xfId="29389" xr:uid="{8D6B7550-5F5B-493E-8F81-FB55DA1B808D}"/>
    <cellStyle name="40% - Accent4 24 8 3" xfId="21874" xr:uid="{43F32E6E-E7CE-4559-97EA-613DA4F91C18}"/>
    <cellStyle name="40% - Accent4 24 9" xfId="9597" xr:uid="{794C0AF0-6270-454A-A9FB-73B59F1B1475}"/>
    <cellStyle name="40% - Accent4 24 9 2" xfId="25801" xr:uid="{3EA1160F-FB5C-44EE-9697-15C33A094CEC}"/>
    <cellStyle name="40% - Accent4 25" xfId="196" xr:uid="{99A662ED-2887-451D-AE35-0B517AF8E73A}"/>
    <cellStyle name="40% - Accent4 26" xfId="16856" xr:uid="{7C649C7D-0EBE-4BFD-920E-CF6FFA56A354}"/>
    <cellStyle name="40% - Accent4 3" xfId="209" xr:uid="{F924DA20-0AF6-487E-9D46-EBB374D9A7D4}"/>
    <cellStyle name="40% - Accent4 3 2" xfId="1441" xr:uid="{002E6B19-EA36-43CE-8C33-2F7BD2EC49A4}"/>
    <cellStyle name="40% - Accent4 3 3" xfId="811" xr:uid="{6770D864-B2F0-4753-867C-4A66E38F879A}"/>
    <cellStyle name="40% - Accent4 4" xfId="210" xr:uid="{485F5F16-D4E1-4036-A75B-91E16576AA61}"/>
    <cellStyle name="40% - Accent4 4 2" xfId="1442" xr:uid="{F8B00456-189F-4ED9-B737-D4739EFCD564}"/>
    <cellStyle name="40% - Accent4 4 3" xfId="810" xr:uid="{14040DEE-5A49-419B-BC23-6CDDBC9D4337}"/>
    <cellStyle name="40% - Accent4 5" xfId="211" xr:uid="{D3ED21A6-58A0-4A17-8C43-E6121FBEA0E4}"/>
    <cellStyle name="40% - Accent4 5 2" xfId="1443" xr:uid="{605CD437-7A12-4DB1-93BD-E7420F9F0178}"/>
    <cellStyle name="40% - Accent4 5 3" xfId="809" xr:uid="{DD408B4E-7DA7-48D0-A25B-F7C5F3312618}"/>
    <cellStyle name="40% - Accent4 6" xfId="212" xr:uid="{AFE3C615-89DB-42B2-8A81-5701C920430E}"/>
    <cellStyle name="40% - Accent4 6 2" xfId="1444" xr:uid="{899CD882-9FC4-4466-B4B4-253CDA8BDA99}"/>
    <cellStyle name="40% - Accent4 6 3" xfId="808" xr:uid="{59A55791-108D-428C-9D35-C234A10AD842}"/>
    <cellStyle name="40% - Accent4 7" xfId="213" xr:uid="{9119DA2F-14D7-41B3-BD74-A71645F564DE}"/>
    <cellStyle name="40% - Accent4 7 2" xfId="1445" xr:uid="{D5EA4274-D68E-4219-9ACC-FCFB673DF45E}"/>
    <cellStyle name="40% - Accent4 7 3" xfId="807" xr:uid="{295FE57E-9615-484C-A375-CC97A6419424}"/>
    <cellStyle name="40% - Accent4 8" xfId="214" xr:uid="{7A2F8E0E-1547-4509-9310-612A38A102A4}"/>
    <cellStyle name="40% - Accent4 8 2" xfId="1446" xr:uid="{94924D7D-AF7B-4485-8816-71577F9B7A44}"/>
    <cellStyle name="40% - Accent4 8 3" xfId="806" xr:uid="{ECE06625-FED9-4362-B624-C3D70170D43C}"/>
    <cellStyle name="40% - Accent4 9" xfId="215" xr:uid="{8490F1E4-B8D6-4635-89B2-248B5610AFE7}"/>
    <cellStyle name="40% - Accent4 9 2" xfId="1447" xr:uid="{E6528EE3-4F47-4540-9ADF-B76A7488576A}"/>
    <cellStyle name="40% - Accent4 9 3" xfId="805" xr:uid="{662591F7-ED93-47BE-BED0-BECD3D8EF4F1}"/>
    <cellStyle name="40% - Accent5 10" xfId="217" xr:uid="{EE4A913D-3BBE-4C36-B686-F2C8FEBD9ED1}"/>
    <cellStyle name="40% - Accent5 10 2" xfId="1449" xr:uid="{A08CE3A8-E4F4-47BE-AF1A-8132E10592D4}"/>
    <cellStyle name="40% - Accent5 10 3" xfId="803" xr:uid="{647CFE0A-E7E0-4DC7-841D-23A4B621C724}"/>
    <cellStyle name="40% - Accent5 11" xfId="218" xr:uid="{7B03B73B-A26F-46DB-AEB0-E039BBD1F3AA}"/>
    <cellStyle name="40% - Accent5 11 2" xfId="1450" xr:uid="{ED3A4FA1-5CCB-4730-A7E7-5C82A4023B0B}"/>
    <cellStyle name="40% - Accent5 11 3" xfId="802" xr:uid="{6790977A-2B06-4124-A9B6-4B59A558B091}"/>
    <cellStyle name="40% - Accent5 12" xfId="219" xr:uid="{BA8C812D-8E29-4E3B-B5B4-89A8BC1295B5}"/>
    <cellStyle name="40% - Accent5 12 2" xfId="1451" xr:uid="{658E1BE9-85CF-47BB-A473-89D2CC0DCB73}"/>
    <cellStyle name="40% - Accent5 12 3" xfId="801" xr:uid="{385E151B-714F-4282-9F49-5617C0CE5F08}"/>
    <cellStyle name="40% - Accent5 13" xfId="220" xr:uid="{4E704A7B-2CE3-4D35-81D6-E6DEDCC98863}"/>
    <cellStyle name="40% - Accent5 13 2" xfId="1452" xr:uid="{FF064EFE-4144-4EEE-8A94-30F83EF3900D}"/>
    <cellStyle name="40% - Accent5 13 3" xfId="800" xr:uid="{BC78800F-8616-4EBF-AADE-3EE30F6A3955}"/>
    <cellStyle name="40% - Accent5 14" xfId="221" xr:uid="{19BA2F17-AA50-40BD-885A-F6C41D4A453D}"/>
    <cellStyle name="40% - Accent5 14 2" xfId="1453" xr:uid="{C89E498C-D247-4694-BB27-0FA9400DCE13}"/>
    <cellStyle name="40% - Accent5 14 3" xfId="799" xr:uid="{467C407F-8BB9-45D2-B16E-2B4FB2DA209E}"/>
    <cellStyle name="40% - Accent5 15" xfId="222" xr:uid="{B91776C7-CC1B-4F5D-8D45-6E2BF4060E92}"/>
    <cellStyle name="40% - Accent5 15 2" xfId="1454" xr:uid="{87B89B22-6774-46F2-A9D2-65247C3B83EA}"/>
    <cellStyle name="40% - Accent5 15 3" xfId="798" xr:uid="{36601431-654D-4672-A912-2F605134741D}"/>
    <cellStyle name="40% - Accent5 16" xfId="223" xr:uid="{05E3B7C9-808D-4464-BE76-E07575B43021}"/>
    <cellStyle name="40% - Accent5 16 2" xfId="1455" xr:uid="{FD2DC463-BA0C-4CB2-9B9C-469A8A53B2A4}"/>
    <cellStyle name="40% - Accent5 16 3" xfId="797" xr:uid="{7DAC616C-0B0D-4BDF-9344-490EF70A0B6D}"/>
    <cellStyle name="40% - Accent5 17" xfId="224" xr:uid="{91C81690-2028-4756-AA40-A7C630AD60C7}"/>
    <cellStyle name="40% - Accent5 17 2" xfId="1456" xr:uid="{67475E88-702A-4849-9AA0-9A37163AFF69}"/>
    <cellStyle name="40% - Accent5 17 3" xfId="796" xr:uid="{93E83003-3E82-43AE-B877-FB11530FA363}"/>
    <cellStyle name="40% - Accent5 18" xfId="225" xr:uid="{23A9CC0C-842F-4E0F-9FBF-963AE3D1CBFF}"/>
    <cellStyle name="40% - Accent5 18 2" xfId="1457" xr:uid="{24B66FEA-D316-4071-B192-B94BC414C6A5}"/>
    <cellStyle name="40% - Accent5 18 3" xfId="795" xr:uid="{389488FF-5E91-4D3E-8F77-4250E1C1B3B3}"/>
    <cellStyle name="40% - Accent5 19" xfId="226" xr:uid="{27D1547A-832E-4833-BB70-03EEEE0BAE20}"/>
    <cellStyle name="40% - Accent5 19 2" xfId="1458" xr:uid="{E33DA613-4354-4D00-AC3A-214878BFF8B9}"/>
    <cellStyle name="40% - Accent5 19 3" xfId="794" xr:uid="{EC5DD247-18AE-4B90-98BD-476CF5923CFD}"/>
    <cellStyle name="40% - Accent5 2" xfId="227" xr:uid="{C5335711-AC9C-44AB-B7AF-8C70671F4432}"/>
    <cellStyle name="40% - Accent5 2 2" xfId="1459" xr:uid="{6CE42926-4862-4007-A693-B72130B0D368}"/>
    <cellStyle name="40% - Accent5 2 3" xfId="793" xr:uid="{D08EB455-9382-47F0-9739-96829859A959}"/>
    <cellStyle name="40% - Accent5 20" xfId="228" xr:uid="{3770F602-2DDD-47C1-9E4F-9ED31495530C}"/>
    <cellStyle name="40% - Accent5 20 2" xfId="1460" xr:uid="{810ABC26-BAD1-4BFD-99E2-85D2923AE3A3}"/>
    <cellStyle name="40% - Accent5 20 3" xfId="792" xr:uid="{7734ECB2-78FC-4013-9B0C-174BC8CD3D51}"/>
    <cellStyle name="40% - Accent5 21" xfId="412" xr:uid="{F7FF3D9D-5303-4539-8B25-893442A8FC59}"/>
    <cellStyle name="40% - Accent5 21 2" xfId="675" xr:uid="{C3C98404-7E10-4330-AD5E-FD8D4BC60AFD}"/>
    <cellStyle name="40% - Accent5 22" xfId="483" xr:uid="{BB430261-72AF-4059-872B-FB6F5B90C371}"/>
    <cellStyle name="40% - Accent5 22 10" xfId="3949" xr:uid="{2397D30B-B6A2-4351-9C8C-2864ABC1CDBF}"/>
    <cellStyle name="40% - Accent5 22 10 2" xfId="7619" xr:uid="{35AD2C74-BF82-4AE0-BA41-693B46F260F2}"/>
    <cellStyle name="40% - Accent5 22 10 2 2" xfId="15126" xr:uid="{855D5B1B-8D34-4042-9C5E-0717DA025B44}"/>
    <cellStyle name="40% - Accent5 22 10 2 2 2" xfId="31330" xr:uid="{DF237400-9286-432A-9846-BC33F042A737}"/>
    <cellStyle name="40% - Accent5 22 10 2 3" xfId="23823" xr:uid="{462E5871-0A3B-45DF-94C5-12F85592419B}"/>
    <cellStyle name="40% - Accent5 22 10 3" xfId="11512" xr:uid="{D14870E1-85D4-4B97-9D74-9848B61C95E9}"/>
    <cellStyle name="40% - Accent5 22 10 3 2" xfId="27716" xr:uid="{CFBE2058-ED0B-4825-83CA-0D64F07B43B7}"/>
    <cellStyle name="40% - Accent5 22 10 4" xfId="20153" xr:uid="{14AFC1E7-D03C-477A-A3C8-C9716A015290}"/>
    <cellStyle name="40% - Accent5 22 11" xfId="4374" xr:uid="{1B17FE15-59DA-48D8-9FB9-5D7A5FE7F4B3}"/>
    <cellStyle name="40% - Accent5 22 11 2" xfId="8044" xr:uid="{F47446AD-971D-4F86-AAFC-194227B9EB28}"/>
    <cellStyle name="40% - Accent5 22 11 2 2" xfId="15551" xr:uid="{75C6D3A0-C2AD-46B3-B9FD-F679A266EDAE}"/>
    <cellStyle name="40% - Accent5 22 11 2 2 2" xfId="31755" xr:uid="{53FEB3BD-B291-449C-B9BC-717232682B6C}"/>
    <cellStyle name="40% - Accent5 22 11 2 3" xfId="24248" xr:uid="{DFF2F889-D17A-4052-888A-B385FEE8A72B}"/>
    <cellStyle name="40% - Accent5 22 11 3" xfId="11937" xr:uid="{ACB94FA1-8980-4B66-9D2D-31F398F06A25}"/>
    <cellStyle name="40% - Accent5 22 11 3 2" xfId="28141" xr:uid="{A6E8DE6F-9B42-4215-8054-C2DCFEDD60BE}"/>
    <cellStyle name="40% - Accent5 22 11 4" xfId="20578" xr:uid="{56E704CB-CD30-4A30-A3A4-AB7B4623A972}"/>
    <cellStyle name="40% - Accent5 22 12" xfId="4797" xr:uid="{E9089FB9-F151-4FBC-8473-26C628A6EEB8}"/>
    <cellStyle name="40% - Accent5 22 12 2" xfId="8466" xr:uid="{95B8DF43-471E-4036-9336-311FADA2EFC9}"/>
    <cellStyle name="40% - Accent5 22 12 2 2" xfId="15973" xr:uid="{0F5F389D-4C78-427C-A26F-03D4B8E068E4}"/>
    <cellStyle name="40% - Accent5 22 12 2 2 2" xfId="32177" xr:uid="{768F9BC9-F4B6-44E7-BCEA-B9B6F7F65584}"/>
    <cellStyle name="40% - Accent5 22 12 2 3" xfId="24670" xr:uid="{AD813C60-B0B5-4B4B-9479-65413570C8E4}"/>
    <cellStyle name="40% - Accent5 22 12 3" xfId="12359" xr:uid="{29180377-A7B8-40E2-A970-7289A0A03D01}"/>
    <cellStyle name="40% - Accent5 22 12 3 2" xfId="28563" xr:uid="{B958485E-16FF-4452-B5C0-7C7C2B70E8A0}"/>
    <cellStyle name="40% - Accent5 22 12 4" xfId="21001" xr:uid="{304F58F5-4D53-4D55-86E4-688A49DE5A09}"/>
    <cellStyle name="40% - Accent5 22 13" xfId="5285" xr:uid="{2B009EFB-8329-4632-A1E5-FCFB50E97F84}"/>
    <cellStyle name="40% - Accent5 22 13 2" xfId="12834" xr:uid="{274202E6-A228-4034-B774-DE1E44137FAA}"/>
    <cellStyle name="40% - Accent5 22 13 2 2" xfId="29038" xr:uid="{FEF02740-5DDA-43E2-B1DB-DD5A9D709AAE}"/>
    <cellStyle name="40% - Accent5 22 13 3" xfId="21489" xr:uid="{2E1010B4-D9AE-4A06-B3E6-843AE81AD439}"/>
    <cellStyle name="40% - Accent5 22 14" xfId="9400" xr:uid="{A2BC7A8D-8182-438F-8CE9-45CB447C5412}"/>
    <cellStyle name="40% - Accent5 22 14 2" xfId="25604" xr:uid="{B2206C84-9DF6-4F95-A37B-2B3445F612C5}"/>
    <cellStyle name="40% - Accent5 22 15" xfId="17914" xr:uid="{02305C87-EB9E-4EC7-84A0-622CD446D2C6}"/>
    <cellStyle name="40% - Accent5 22 2" xfId="510" xr:uid="{2C5D71A1-0233-4B72-AB05-EB1E853E18E5}"/>
    <cellStyle name="40% - Accent5 22 2 10" xfId="5307" xr:uid="{195C595D-0E99-47FF-8B31-9798BE448045}"/>
    <cellStyle name="40% - Accent5 22 2 10 2" xfId="12856" xr:uid="{54DF3ED0-245F-4FD5-84E3-E8784A5A7F1F}"/>
    <cellStyle name="40% - Accent5 22 2 10 2 2" xfId="29060" xr:uid="{40CB3B8C-F0E2-45AB-B9B3-F2DC99D612D5}"/>
    <cellStyle name="40% - Accent5 22 2 10 3" xfId="21511" xr:uid="{929330F8-E0EF-441C-BE87-33AC94955DA6}"/>
    <cellStyle name="40% - Accent5 22 2 11" xfId="9422" xr:uid="{612E8B4A-2B03-4942-B6D7-A2ED273BD833}"/>
    <cellStyle name="40% - Accent5 22 2 11 2" xfId="25626" xr:uid="{E4E5AEB7-6F32-430B-A373-8826F6D8B661}"/>
    <cellStyle name="40% - Accent5 22 2 12" xfId="17937" xr:uid="{2F03FA98-5D7B-44CC-8651-CBAAD82BF9C9}"/>
    <cellStyle name="40% - Accent5 22 2 2" xfId="581" xr:uid="{52CADCEF-6184-4996-89B7-0874F9845BF9}"/>
    <cellStyle name="40% - Accent5 22 2 2 10" xfId="9489" xr:uid="{2B438560-016F-4853-9658-372244C445DC}"/>
    <cellStyle name="40% - Accent5 22 2 2 10 2" xfId="25693" xr:uid="{C96AA947-13CE-4AB8-8117-9DCF9995A68F}"/>
    <cellStyle name="40% - Accent5 22 2 2 11" xfId="18005" xr:uid="{1E4C925D-8BED-4818-9F9C-84605DDCE042}"/>
    <cellStyle name="40% - Accent5 22 2 2 2" xfId="1882" xr:uid="{D3CD1342-06CD-4B43-BA08-421414940F1F}"/>
    <cellStyle name="40% - Accent5 22 2 2 2 10" xfId="18187" xr:uid="{6D8155EC-4843-450B-A34D-5E806DBF3791}"/>
    <cellStyle name="40% - Accent5 22 2 2 2 2" xfId="2391" xr:uid="{733363E8-ADF7-42AD-937C-CE349F020A4F}"/>
    <cellStyle name="40% - Accent5 22 2 2 2 2 2" xfId="3238" xr:uid="{59363310-9B36-44DB-A151-3BE43D0F9C57}"/>
    <cellStyle name="40% - Accent5 22 2 2 2 2 2 2" xfId="7020" xr:uid="{85A3E6D3-0445-48BB-991E-BFA3548F1625}"/>
    <cellStyle name="40% - Accent5 22 2 2 2 2 2 2 2" xfId="14531" xr:uid="{0697D125-DFB0-48F9-8F5D-F0947220F891}"/>
    <cellStyle name="40% - Accent5 22 2 2 2 2 2 2 2 2" xfId="30735" xr:uid="{02EC8710-7E28-4AEF-822E-8C0B9003ABF9}"/>
    <cellStyle name="40% - Accent5 22 2 2 2 2 2 2 3" xfId="23224" xr:uid="{5CAD2B44-679E-48E9-967D-1E0680D050C4}"/>
    <cellStyle name="40% - Accent5 22 2 2 2 2 2 3" xfId="10931" xr:uid="{D88D4DB2-B5A1-431D-846B-7B3B44EFBA7E}"/>
    <cellStyle name="40% - Accent5 22 2 2 2 2 2 3 2" xfId="27135" xr:uid="{CDC16AEB-A61C-4E18-8295-867B5B37A46A}"/>
    <cellStyle name="40% - Accent5 22 2 2 2 2 2 4" xfId="19458" xr:uid="{EEA565DF-4076-4FC4-A539-DBDFDD27579D}"/>
    <cellStyle name="40% - Accent5 22 2 2 2 2 3" xfId="6175" xr:uid="{1FEC80F0-2529-48FB-BBE4-DD797A21F164}"/>
    <cellStyle name="40% - Accent5 22 2 2 2 2 3 2" xfId="13687" xr:uid="{335BACA8-0EEA-4F05-928F-70E75C10496A}"/>
    <cellStyle name="40% - Accent5 22 2 2 2 2 3 2 2" xfId="29891" xr:uid="{1396FC97-69CD-430A-B64C-B834B2576CDA}"/>
    <cellStyle name="40% - Accent5 22 2 2 2 2 3 3" xfId="22379" xr:uid="{824DF06D-8C67-47E0-BC0F-CCD0000174CD}"/>
    <cellStyle name="40% - Accent5 22 2 2 2 2 4" xfId="10087" xr:uid="{56D74089-F8CB-4DA3-9419-50C9C4DDC3F5}"/>
    <cellStyle name="40% - Accent5 22 2 2 2 2 4 2" xfId="26291" xr:uid="{52BC7627-B096-494B-BF28-DBBCD672E84D}"/>
    <cellStyle name="40% - Accent5 22 2 2 2 2 5" xfId="18613" xr:uid="{F4CCBBAC-E1B8-43AF-B618-6C17182FF62B}"/>
    <cellStyle name="40% - Accent5 22 2 2 2 3" xfId="2813" xr:uid="{26CE1A96-9EB8-44ED-BB09-9FE7E3C39F11}"/>
    <cellStyle name="40% - Accent5 22 2 2 2 3 2" xfId="6597" xr:uid="{2324A4A8-D929-4B88-BA06-373639C27721}"/>
    <cellStyle name="40% - Accent5 22 2 2 2 3 2 2" xfId="14109" xr:uid="{D1D5591A-35DE-44ED-BB05-520D27713C92}"/>
    <cellStyle name="40% - Accent5 22 2 2 2 3 2 2 2" xfId="30313" xr:uid="{643097F0-349A-48EA-8BE1-2C8F3144F929}"/>
    <cellStyle name="40% - Accent5 22 2 2 2 3 2 3" xfId="22801" xr:uid="{7A0869DE-B250-408E-A440-83A41F8ED95F}"/>
    <cellStyle name="40% - Accent5 22 2 2 2 3 3" xfId="10509" xr:uid="{092F26F4-0481-4ED2-B7AE-D62F7B21703F}"/>
    <cellStyle name="40% - Accent5 22 2 2 2 3 3 2" xfId="26713" xr:uid="{C6DD6B4D-1C4F-4FC0-AB55-3D0E20F025AB}"/>
    <cellStyle name="40% - Accent5 22 2 2 2 3 4" xfId="19035" xr:uid="{20997DB9-6D5E-4387-A91E-CCBF522E99DE}"/>
    <cellStyle name="40% - Accent5 22 2 2 2 4" xfId="3744" xr:uid="{C8D11A0D-37C7-437A-BED7-46DB4D7EC67B}"/>
    <cellStyle name="40% - Accent5 22 2 2 2 4 2" xfId="7454" xr:uid="{7BE0DF71-DBA3-4385-945A-7393B1BC1635}"/>
    <cellStyle name="40% - Accent5 22 2 2 2 4 2 2" xfId="14963" xr:uid="{4488A8E9-2EDF-4581-9F3B-F8BC12FFF5B1}"/>
    <cellStyle name="40% - Accent5 22 2 2 2 4 2 2 2" xfId="31167" xr:uid="{41C5B37D-C5C3-44EA-BF85-B7D57A3F45E9}"/>
    <cellStyle name="40% - Accent5 22 2 2 2 4 2 3" xfId="23658" xr:uid="{6940C5EF-607C-4A2A-9CDC-A201EA77C007}"/>
    <cellStyle name="40% - Accent5 22 2 2 2 4 3" xfId="11354" xr:uid="{AC2031B8-5A88-4D26-A118-DC20E7A4BE5C}"/>
    <cellStyle name="40% - Accent5 22 2 2 2 4 3 2" xfId="27558" xr:uid="{F71F1DEF-6661-4503-9F48-E1D60D4BF09B}"/>
    <cellStyle name="40% - Accent5 22 2 2 2 4 4" xfId="19953" xr:uid="{6D1611E8-88F7-4668-B9B4-D14B6A06DA4B}"/>
    <cellStyle name="40% - Accent5 22 2 2 2 5" xfId="4213" xr:uid="{B6856F78-AA75-4887-9D70-B094AF20EE9B}"/>
    <cellStyle name="40% - Accent5 22 2 2 2 5 2" xfId="7883" xr:uid="{07AD6669-AD57-4742-A82F-ACC00126B479}"/>
    <cellStyle name="40% - Accent5 22 2 2 2 5 2 2" xfId="15390" xr:uid="{ACB25D6A-8387-4D30-8252-32C6A800EDB4}"/>
    <cellStyle name="40% - Accent5 22 2 2 2 5 2 2 2" xfId="31594" xr:uid="{07112AB9-0BD9-464F-B798-0441AC0E5AF0}"/>
    <cellStyle name="40% - Accent5 22 2 2 2 5 2 3" xfId="24087" xr:uid="{38D48E66-8E6A-45E1-B15D-7C7503829E1B}"/>
    <cellStyle name="40% - Accent5 22 2 2 2 5 3" xfId="11776" xr:uid="{002A7B3D-05BC-4EDD-84BA-2020A778BE0F}"/>
    <cellStyle name="40% - Accent5 22 2 2 2 5 3 2" xfId="27980" xr:uid="{5414E32E-4B55-43F4-9089-FD5B7D409C42}"/>
    <cellStyle name="40% - Accent5 22 2 2 2 5 4" xfId="20417" xr:uid="{884CE847-C039-4105-A6E1-E111F4CC0187}"/>
    <cellStyle name="40% - Accent5 22 2 2 2 6" xfId="4638" xr:uid="{9C8BA561-A287-44B4-9AFC-2964F65E7080}"/>
    <cellStyle name="40% - Accent5 22 2 2 2 6 2" xfId="8308" xr:uid="{F7082F5A-46D7-4C7B-ACD9-C78565C08BF4}"/>
    <cellStyle name="40% - Accent5 22 2 2 2 6 2 2" xfId="15815" xr:uid="{9E92AFD7-0DFF-4751-91AB-AB0F78ECB6F1}"/>
    <cellStyle name="40% - Accent5 22 2 2 2 6 2 2 2" xfId="32019" xr:uid="{F317C448-BA67-4897-BF9C-58030D2B651D}"/>
    <cellStyle name="40% - Accent5 22 2 2 2 6 2 3" xfId="24512" xr:uid="{67961D60-E6B0-4CA1-A986-5EDF829E7831}"/>
    <cellStyle name="40% - Accent5 22 2 2 2 6 3" xfId="12201" xr:uid="{EE8D4695-7456-4FEC-BB41-360EF9DA42EC}"/>
    <cellStyle name="40% - Accent5 22 2 2 2 6 3 2" xfId="28405" xr:uid="{15FCB461-A64B-4CA2-AD48-A9CD16B9A87B}"/>
    <cellStyle name="40% - Accent5 22 2 2 2 6 4" xfId="20842" xr:uid="{EA84AA53-14A5-44EA-841F-8B290F26A179}"/>
    <cellStyle name="40% - Accent5 22 2 2 2 7" xfId="5065" xr:uid="{6325EEDC-9C20-40FD-83CA-EA516E174E4A}"/>
    <cellStyle name="40% - Accent5 22 2 2 2 7 2" xfId="8731" xr:uid="{018FCCC6-956C-4A64-9366-19A7E0DF0ABD}"/>
    <cellStyle name="40% - Accent5 22 2 2 2 7 2 2" xfId="16238" xr:uid="{F83FB90D-34B7-48A8-8892-A233E30482ED}"/>
    <cellStyle name="40% - Accent5 22 2 2 2 7 2 2 2" xfId="32442" xr:uid="{93BCADC1-7B67-454A-BA08-F76B1C0B5ED5}"/>
    <cellStyle name="40% - Accent5 22 2 2 2 7 2 3" xfId="24935" xr:uid="{648F4EF5-F187-42E7-AA36-17F769C1970A}"/>
    <cellStyle name="40% - Accent5 22 2 2 2 7 3" xfId="12623" xr:uid="{30D69FC0-B44F-4C6F-909D-01B4516EA8C6}"/>
    <cellStyle name="40% - Accent5 22 2 2 2 7 3 2" xfId="28827" xr:uid="{0C553F63-9A3D-417F-AADD-DD46FB0DE439}"/>
    <cellStyle name="40% - Accent5 22 2 2 2 7 4" xfId="21269" xr:uid="{182A49F2-EDCE-4120-972E-76AAE8BCE2F9}"/>
    <cellStyle name="40% - Accent5 22 2 2 2 8" xfId="5737" xr:uid="{7232E020-9F75-4399-B24A-3645F52CB935}"/>
    <cellStyle name="40% - Accent5 22 2 2 2 8 2" xfId="13252" xr:uid="{47CF9C07-60F9-4798-B59A-FA3F70AA55BB}"/>
    <cellStyle name="40% - Accent5 22 2 2 2 8 2 2" xfId="29456" xr:uid="{7CEC29FE-13AC-4238-A8C5-5D2FD9D694D2}"/>
    <cellStyle name="40% - Accent5 22 2 2 2 8 3" xfId="21941" xr:uid="{A94C907A-AEE6-4798-8920-81CA86FCF609}"/>
    <cellStyle name="40% - Accent5 22 2 2 2 9" xfId="9664" xr:uid="{2829D74F-29C6-4ECB-A1A6-895E11C00D98}"/>
    <cellStyle name="40% - Accent5 22 2 2 2 9 2" xfId="25868" xr:uid="{A66A0068-0F14-4A61-A593-175F12081801}"/>
    <cellStyle name="40% - Accent5 22 2 2 3" xfId="2150" xr:uid="{EF1EF85D-461F-4DBC-9DF2-80682254ED46}"/>
    <cellStyle name="40% - Accent5 22 2 2 3 2" xfId="3063" xr:uid="{0CD4650F-5DF7-44FD-8137-742CC9CC2FC6}"/>
    <cellStyle name="40% - Accent5 22 2 2 3 2 2" xfId="6845" xr:uid="{E11ECB6B-E85E-4D09-B990-1AF1B4F58146}"/>
    <cellStyle name="40% - Accent5 22 2 2 3 2 2 2" xfId="14356" xr:uid="{F03404A1-1D28-4C3F-913E-ECC944EC7920}"/>
    <cellStyle name="40% - Accent5 22 2 2 3 2 2 2 2" xfId="30560" xr:uid="{9D1CC8EB-64C4-4F05-B0BC-196FC51A2698}"/>
    <cellStyle name="40% - Accent5 22 2 2 3 2 2 3" xfId="23049" xr:uid="{413E55F7-24FA-4071-98ED-BDC585883A3E}"/>
    <cellStyle name="40% - Accent5 22 2 2 3 2 3" xfId="10756" xr:uid="{132040D8-DCD9-4175-9709-933467FDD333}"/>
    <cellStyle name="40% - Accent5 22 2 2 3 2 3 2" xfId="26960" xr:uid="{C2AE934C-5451-4543-A0F5-149EA7422861}"/>
    <cellStyle name="40% - Accent5 22 2 2 3 2 4" xfId="19283" xr:uid="{D77D18C6-FC2E-42DB-B67A-E8988B5D55D1}"/>
    <cellStyle name="40% - Accent5 22 2 2 3 3" xfId="5989" xr:uid="{5C52A889-D608-4200-B294-EDCB15AD2F42}"/>
    <cellStyle name="40% - Accent5 22 2 2 3 3 2" xfId="13503" xr:uid="{0C7C19F9-AA8A-4E11-8F87-7546CA67BBF0}"/>
    <cellStyle name="40% - Accent5 22 2 2 3 3 2 2" xfId="29707" xr:uid="{EBBD37C2-A077-4E4F-9FF3-68AFBC9441FC}"/>
    <cellStyle name="40% - Accent5 22 2 2 3 3 3" xfId="22193" xr:uid="{BBD0C617-432A-44EB-9D13-42E530CF7C9E}"/>
    <cellStyle name="40% - Accent5 22 2 2 3 4" xfId="9912" xr:uid="{077B93B5-9CE5-4E8E-AFB1-5391299796CB}"/>
    <cellStyle name="40% - Accent5 22 2 2 3 4 2" xfId="26116" xr:uid="{4C642A36-C99C-490D-9A3A-6D106F202742}"/>
    <cellStyle name="40% - Accent5 22 2 2 3 5" xfId="18437" xr:uid="{3345005E-28F1-4FC3-9D1F-A42D35D69AC5}"/>
    <cellStyle name="40% - Accent5 22 2 2 4" xfId="2638" xr:uid="{69154D24-FC29-455E-84F9-61E283CBFAEF}"/>
    <cellStyle name="40% - Accent5 22 2 2 4 2" xfId="6422" xr:uid="{57D75577-8C94-4D52-998F-9404EF95A89D}"/>
    <cellStyle name="40% - Accent5 22 2 2 4 2 2" xfId="13934" xr:uid="{774AA772-9F69-44DD-B05F-FFB2DA8D3648}"/>
    <cellStyle name="40% - Accent5 22 2 2 4 2 2 2" xfId="30138" xr:uid="{34BBF1E2-8720-48CB-B54F-1A6FB7F10DE2}"/>
    <cellStyle name="40% - Accent5 22 2 2 4 2 3" xfId="22626" xr:uid="{6704CBD9-C1D8-4508-B731-29A22632C965}"/>
    <cellStyle name="40% - Accent5 22 2 2 4 3" xfId="10334" xr:uid="{AD60D838-BC68-491F-A175-600BE46EA3C8}"/>
    <cellStyle name="40% - Accent5 22 2 2 4 3 2" xfId="26538" xr:uid="{C7B427E8-C0AF-4675-BE0B-6CD968B03C64}"/>
    <cellStyle name="40% - Accent5 22 2 2 4 4" xfId="18860" xr:uid="{83DE3674-2279-4B36-9EA4-51EBAEFA1544}"/>
    <cellStyle name="40% - Accent5 22 2 2 5" xfId="3514" xr:uid="{5CF05888-50F4-42E8-8F75-D007D0B4510D}"/>
    <cellStyle name="40% - Accent5 22 2 2 5 2" xfId="7272" xr:uid="{5515E5A3-161F-4446-B6FF-BCA470B6C7C6}"/>
    <cellStyle name="40% - Accent5 22 2 2 5 2 2" xfId="14782" xr:uid="{F8C9DC4D-9F0F-4096-B83C-2AD3FE29C8AB}"/>
    <cellStyle name="40% - Accent5 22 2 2 5 2 2 2" xfId="30986" xr:uid="{176A5905-A201-44C2-B9C5-AEC4CB32FE70}"/>
    <cellStyle name="40% - Accent5 22 2 2 5 2 3" xfId="23476" xr:uid="{9897343B-F94E-4BCD-B191-88DAA9CD7305}"/>
    <cellStyle name="40% - Accent5 22 2 2 5 3" xfId="11179" xr:uid="{E4457C2E-D9DA-460A-BEB7-5B599088F7E7}"/>
    <cellStyle name="40% - Accent5 22 2 2 5 3 2" xfId="27383" xr:uid="{90A8BAEC-2EF6-41EC-9659-9A492AE31879}"/>
    <cellStyle name="40% - Accent5 22 2 2 5 4" xfId="19730" xr:uid="{73FD00B8-39B7-42A0-8DFE-D1D67A79355F}"/>
    <cellStyle name="40% - Accent5 22 2 2 6" xfId="4038" xr:uid="{8749402F-8DAD-475B-B938-C5504FE1B686}"/>
    <cellStyle name="40% - Accent5 22 2 2 6 2" xfId="7708" xr:uid="{7FF46581-F8C0-4540-82DA-493DA1DC789D}"/>
    <cellStyle name="40% - Accent5 22 2 2 6 2 2" xfId="15215" xr:uid="{846877F4-175C-4A22-8F74-2A6400D83BD4}"/>
    <cellStyle name="40% - Accent5 22 2 2 6 2 2 2" xfId="31419" xr:uid="{B9B16B56-0EF4-47E2-A89F-6C7A6A21DE55}"/>
    <cellStyle name="40% - Accent5 22 2 2 6 2 3" xfId="23912" xr:uid="{1001D237-87B7-4D05-A344-2ABA40FBC330}"/>
    <cellStyle name="40% - Accent5 22 2 2 6 3" xfId="11601" xr:uid="{1D5ABDC9-E3DF-493D-9B0E-D11673460027}"/>
    <cellStyle name="40% - Accent5 22 2 2 6 3 2" xfId="27805" xr:uid="{9A5A7350-BE97-46D2-BC7A-C4457CCB0022}"/>
    <cellStyle name="40% - Accent5 22 2 2 6 4" xfId="20242" xr:uid="{A49E0049-416C-4755-8123-7B68FB17164B}"/>
    <cellStyle name="40% - Accent5 22 2 2 7" xfId="4463" xr:uid="{72B083FD-3ED0-4698-9C1C-D84B2B490DFA}"/>
    <cellStyle name="40% - Accent5 22 2 2 7 2" xfId="8133" xr:uid="{49788D74-EE5A-428D-BC3A-674F15632059}"/>
    <cellStyle name="40% - Accent5 22 2 2 7 2 2" xfId="15640" xr:uid="{B2C0E84C-87E0-426B-99DF-FE0AAAB756F3}"/>
    <cellStyle name="40% - Accent5 22 2 2 7 2 2 2" xfId="31844" xr:uid="{2C08334F-4303-4826-8EB1-85294DEA4195}"/>
    <cellStyle name="40% - Accent5 22 2 2 7 2 3" xfId="24337" xr:uid="{EE052484-B358-4001-94F3-E777FC37E78F}"/>
    <cellStyle name="40% - Accent5 22 2 2 7 3" xfId="12026" xr:uid="{09876542-0BF4-4AD4-BBD5-AF1F5B0977FE}"/>
    <cellStyle name="40% - Accent5 22 2 2 7 3 2" xfId="28230" xr:uid="{EF555EC5-8831-4DAF-B3CC-E0F95CFCF1C4}"/>
    <cellStyle name="40% - Accent5 22 2 2 7 4" xfId="20667" xr:uid="{2F6622C5-7FB8-4177-AF12-B9EC43C239E7}"/>
    <cellStyle name="40% - Accent5 22 2 2 8" xfId="4888" xr:uid="{C6CA203D-D3DA-4E5F-8F47-789BBF960A4D}"/>
    <cellStyle name="40% - Accent5 22 2 2 8 2" xfId="8556" xr:uid="{2FD49CD5-D183-4C40-8295-29DD5E1F4BEA}"/>
    <cellStyle name="40% - Accent5 22 2 2 8 2 2" xfId="16063" xr:uid="{D1F790B4-2069-4080-B2C3-F0751E8EC29C}"/>
    <cellStyle name="40% - Accent5 22 2 2 8 2 2 2" xfId="32267" xr:uid="{E43F7194-749E-432C-9179-FB43A03ED54A}"/>
    <cellStyle name="40% - Accent5 22 2 2 8 2 3" xfId="24760" xr:uid="{B6690064-01BF-4D56-B278-094E634F85B4}"/>
    <cellStyle name="40% - Accent5 22 2 2 8 3" xfId="12448" xr:uid="{C00DC7EC-DE8B-4E2D-8FB3-F4B4EAF7ED9A}"/>
    <cellStyle name="40% - Accent5 22 2 2 8 3 2" xfId="28652" xr:uid="{99A50EF6-6EA3-43C6-84D0-EF6B12AC3896}"/>
    <cellStyle name="40% - Accent5 22 2 2 8 4" xfId="21092" xr:uid="{4D87678D-6F95-4EA0-8830-C1A772C70999}"/>
    <cellStyle name="40% - Accent5 22 2 2 9" xfId="5374" xr:uid="{C70695F0-4DC3-4758-9A60-6C3749AB6822}"/>
    <cellStyle name="40% - Accent5 22 2 2 9 2" xfId="12923" xr:uid="{347CD3B9-53A7-4F93-AE48-5EFC857F2D4F}"/>
    <cellStyle name="40% - Accent5 22 2 2 9 2 2" xfId="29127" xr:uid="{5B0C83A1-F05B-4F41-9ACD-0AF2DB453666}"/>
    <cellStyle name="40% - Accent5 22 2 2 9 3" xfId="21578" xr:uid="{10203149-E730-4595-9A60-FC4635F87E45}"/>
    <cellStyle name="40% - Accent5 22 2 3" xfId="1883" xr:uid="{3473B6C4-79ED-4A02-A314-616D71DCB351}"/>
    <cellStyle name="40% - Accent5 22 2 3 10" xfId="18188" xr:uid="{45BFD97F-02DC-4634-9EDE-1EBCBD01411C}"/>
    <cellStyle name="40% - Accent5 22 2 3 2" xfId="2392" xr:uid="{E3D31A4A-B55F-4162-889D-FD6523237F7C}"/>
    <cellStyle name="40% - Accent5 22 2 3 2 2" xfId="3239" xr:uid="{7EF28D9A-6D26-4A76-839F-CC99A07B6231}"/>
    <cellStyle name="40% - Accent5 22 2 3 2 2 2" xfId="7021" xr:uid="{9F652308-75DC-4ADF-A1AE-F0A88B956E26}"/>
    <cellStyle name="40% - Accent5 22 2 3 2 2 2 2" xfId="14532" xr:uid="{DEC07100-24B2-4A54-875D-903D70EC0F7D}"/>
    <cellStyle name="40% - Accent5 22 2 3 2 2 2 2 2" xfId="30736" xr:uid="{FB2A77F6-C782-414F-96D5-DB2B8E53D34B}"/>
    <cellStyle name="40% - Accent5 22 2 3 2 2 2 3" xfId="23225" xr:uid="{65F7EBC6-70D3-417C-B14A-E2159D033B43}"/>
    <cellStyle name="40% - Accent5 22 2 3 2 2 3" xfId="10932" xr:uid="{DF02178C-E00E-4A61-9D40-B91259B43AD4}"/>
    <cellStyle name="40% - Accent5 22 2 3 2 2 3 2" xfId="27136" xr:uid="{F58C6917-7461-4B83-B6E6-4302F529109F}"/>
    <cellStyle name="40% - Accent5 22 2 3 2 2 4" xfId="19459" xr:uid="{813ECE1D-6504-4444-ACA1-A734895D7C14}"/>
    <cellStyle name="40% - Accent5 22 2 3 2 3" xfId="6176" xr:uid="{AE1743FF-166D-43E4-A33B-72699DEBDF88}"/>
    <cellStyle name="40% - Accent5 22 2 3 2 3 2" xfId="13688" xr:uid="{2EE3E1BB-57F2-49B2-AA2A-C109CD729801}"/>
    <cellStyle name="40% - Accent5 22 2 3 2 3 2 2" xfId="29892" xr:uid="{BE354DBE-0FC7-41DB-BB2C-A0A91A2ED962}"/>
    <cellStyle name="40% - Accent5 22 2 3 2 3 3" xfId="22380" xr:uid="{8CCD1B2B-19EF-48C5-A7B9-C7F18D083263}"/>
    <cellStyle name="40% - Accent5 22 2 3 2 4" xfId="10088" xr:uid="{FCB1A8B8-B2AA-4724-9F50-93BC00044AB2}"/>
    <cellStyle name="40% - Accent5 22 2 3 2 4 2" xfId="26292" xr:uid="{D4FD4ED7-53B0-451B-BE30-12FC6D1349E9}"/>
    <cellStyle name="40% - Accent5 22 2 3 2 5" xfId="18614" xr:uid="{B8A12F81-B3CC-4873-AB7F-0036FA126F76}"/>
    <cellStyle name="40% - Accent5 22 2 3 3" xfId="2814" xr:uid="{B58835FC-CF67-4AD3-A205-B4182EDB0B6B}"/>
    <cellStyle name="40% - Accent5 22 2 3 3 2" xfId="6598" xr:uid="{6E266D25-6A77-4B66-945B-C8744CBCC2ED}"/>
    <cellStyle name="40% - Accent5 22 2 3 3 2 2" xfId="14110" xr:uid="{53EEE158-D77D-4E27-922A-1117B8D6A9C3}"/>
    <cellStyle name="40% - Accent5 22 2 3 3 2 2 2" xfId="30314" xr:uid="{58675E89-DE34-4D39-84E5-7F7ABDFABFE5}"/>
    <cellStyle name="40% - Accent5 22 2 3 3 2 3" xfId="22802" xr:uid="{2E91FF9C-6E71-4D9A-B61B-3A9EBF90280D}"/>
    <cellStyle name="40% - Accent5 22 2 3 3 3" xfId="10510" xr:uid="{8C5B168C-DFB2-48C6-8E94-88A1E29AC268}"/>
    <cellStyle name="40% - Accent5 22 2 3 3 3 2" xfId="26714" xr:uid="{9B9DBE8B-65B9-4BB7-9656-A505CF70331B}"/>
    <cellStyle name="40% - Accent5 22 2 3 3 4" xfId="19036" xr:uid="{EF3B194B-41F9-4A88-934F-6932D42C13CB}"/>
    <cellStyle name="40% - Accent5 22 2 3 4" xfId="3745" xr:uid="{E16FBC06-13EA-44E9-9F57-7D7311246BA1}"/>
    <cellStyle name="40% - Accent5 22 2 3 4 2" xfId="7455" xr:uid="{186DBD2A-65E5-49A5-A265-98CF58D4EE70}"/>
    <cellStyle name="40% - Accent5 22 2 3 4 2 2" xfId="14964" xr:uid="{9B365388-159B-4F65-B563-967A11BDD208}"/>
    <cellStyle name="40% - Accent5 22 2 3 4 2 2 2" xfId="31168" xr:uid="{98A658AC-F84B-4349-A32C-F63F7AF5218C}"/>
    <cellStyle name="40% - Accent5 22 2 3 4 2 3" xfId="23659" xr:uid="{D4DCC476-7964-4B11-922E-FDBBEB895319}"/>
    <cellStyle name="40% - Accent5 22 2 3 4 3" xfId="11355" xr:uid="{2F903306-4EE6-4D45-A376-4B4CDC5EE89B}"/>
    <cellStyle name="40% - Accent5 22 2 3 4 3 2" xfId="27559" xr:uid="{475BFDE7-0215-4316-A8BD-6FBFB99F986A}"/>
    <cellStyle name="40% - Accent5 22 2 3 4 4" xfId="19954" xr:uid="{644C5C3E-1EB4-4E3F-8492-5B1D838A8A42}"/>
    <cellStyle name="40% - Accent5 22 2 3 5" xfId="4214" xr:uid="{9D2AC56F-D9E6-4564-AA42-EE96F38834B7}"/>
    <cellStyle name="40% - Accent5 22 2 3 5 2" xfId="7884" xr:uid="{475771DB-B6CF-461B-BFC9-8792D889543F}"/>
    <cellStyle name="40% - Accent5 22 2 3 5 2 2" xfId="15391" xr:uid="{B0318844-4910-41C5-85A5-05B8C9B751CB}"/>
    <cellStyle name="40% - Accent5 22 2 3 5 2 2 2" xfId="31595" xr:uid="{ED194714-F087-41A8-975A-1947996CCFA3}"/>
    <cellStyle name="40% - Accent5 22 2 3 5 2 3" xfId="24088" xr:uid="{040E60EE-AD14-4B69-BFFD-B0027A780978}"/>
    <cellStyle name="40% - Accent5 22 2 3 5 3" xfId="11777" xr:uid="{75241865-4929-4FB1-810D-182B28944D4D}"/>
    <cellStyle name="40% - Accent5 22 2 3 5 3 2" xfId="27981" xr:uid="{E201DF20-DD6B-4D6C-A3C3-07D8C5F70566}"/>
    <cellStyle name="40% - Accent5 22 2 3 5 4" xfId="20418" xr:uid="{B87CBE27-AF5E-40F0-8AAC-E7C943D40196}"/>
    <cellStyle name="40% - Accent5 22 2 3 6" xfId="4639" xr:uid="{D2E2800B-D024-48A5-A124-3C2FF8C754EB}"/>
    <cellStyle name="40% - Accent5 22 2 3 6 2" xfId="8309" xr:uid="{02DD6CD7-847C-4A9E-AD7B-C5EC63EC0886}"/>
    <cellStyle name="40% - Accent5 22 2 3 6 2 2" xfId="15816" xr:uid="{FF8EBF58-A776-42B3-8198-C0827949EB8F}"/>
    <cellStyle name="40% - Accent5 22 2 3 6 2 2 2" xfId="32020" xr:uid="{86126CA1-CA1A-4C56-9EE7-A8615B5BD167}"/>
    <cellStyle name="40% - Accent5 22 2 3 6 2 3" xfId="24513" xr:uid="{4F36A7BF-AC84-4C6C-BAE4-D034D74F649F}"/>
    <cellStyle name="40% - Accent5 22 2 3 6 3" xfId="12202" xr:uid="{32E57C2C-7594-4A3E-8CF3-AA3B9645823C}"/>
    <cellStyle name="40% - Accent5 22 2 3 6 3 2" xfId="28406" xr:uid="{5452F34E-F4A6-4BCD-BCAB-177F25F76611}"/>
    <cellStyle name="40% - Accent5 22 2 3 6 4" xfId="20843" xr:uid="{204C4FB3-BF60-4540-9861-C4B27785E094}"/>
    <cellStyle name="40% - Accent5 22 2 3 7" xfId="5066" xr:uid="{50FDB02D-5E64-461E-923A-5F9D8EF70915}"/>
    <cellStyle name="40% - Accent5 22 2 3 7 2" xfId="8732" xr:uid="{BF770973-1DE8-4A62-A185-E10C5BBD491A}"/>
    <cellStyle name="40% - Accent5 22 2 3 7 2 2" xfId="16239" xr:uid="{EE78E0E4-7C0B-45BA-A7F4-94C72AB26BCB}"/>
    <cellStyle name="40% - Accent5 22 2 3 7 2 2 2" xfId="32443" xr:uid="{CB9582B4-BA81-4584-B08B-A51BD2CA1C14}"/>
    <cellStyle name="40% - Accent5 22 2 3 7 2 3" xfId="24936" xr:uid="{77C71CDE-F487-4125-B0C3-455FA0A78256}"/>
    <cellStyle name="40% - Accent5 22 2 3 7 3" xfId="12624" xr:uid="{EF56138C-95BB-43CC-8FAC-1347FC41898F}"/>
    <cellStyle name="40% - Accent5 22 2 3 7 3 2" xfId="28828" xr:uid="{68FDBEC2-56BB-42A3-B06B-54FE71B07B4A}"/>
    <cellStyle name="40% - Accent5 22 2 3 7 4" xfId="21270" xr:uid="{60B20475-0E16-49F9-B91E-ED16D2C4A0BC}"/>
    <cellStyle name="40% - Accent5 22 2 3 8" xfId="5738" xr:uid="{BB613CB9-7A03-42B5-8C18-30C4304EC00D}"/>
    <cellStyle name="40% - Accent5 22 2 3 8 2" xfId="13253" xr:uid="{2A12D6B6-B4C2-43CE-97EF-6FC86BB8BEA2}"/>
    <cellStyle name="40% - Accent5 22 2 3 8 2 2" xfId="29457" xr:uid="{49DE5B45-508D-45E2-B252-8DAC223DE18E}"/>
    <cellStyle name="40% - Accent5 22 2 3 8 3" xfId="21942" xr:uid="{C9AF89C7-69FF-4943-AE3B-DC2F2CBB93A3}"/>
    <cellStyle name="40% - Accent5 22 2 3 9" xfId="9665" xr:uid="{7F0DCD64-218A-4A99-9DB1-ACE94BC18D08}"/>
    <cellStyle name="40% - Accent5 22 2 3 9 2" xfId="25869" xr:uid="{D58ED79B-C13C-4F70-8708-8931FC0B0EDD}"/>
    <cellStyle name="40% - Accent5 22 2 4" xfId="2083" xr:uid="{B06F81FE-378B-45E1-A250-BAD1017CACEA}"/>
    <cellStyle name="40% - Accent5 22 2 4 2" xfId="2996" xr:uid="{BC3E849D-2948-4F05-B6FC-C3DA8DC0A9AB}"/>
    <cellStyle name="40% - Accent5 22 2 4 2 2" xfId="6778" xr:uid="{F922916C-5175-44FC-8E7E-300D2BE64E72}"/>
    <cellStyle name="40% - Accent5 22 2 4 2 2 2" xfId="14289" xr:uid="{D84F7645-6D12-480D-B44D-C920DC09AB03}"/>
    <cellStyle name="40% - Accent5 22 2 4 2 2 2 2" xfId="30493" xr:uid="{7E18A9B4-08F7-40D2-9BA9-A48CC6BD8E02}"/>
    <cellStyle name="40% - Accent5 22 2 4 2 2 3" xfId="22982" xr:uid="{225D4D78-C63A-47CC-9913-DB786CE56AAA}"/>
    <cellStyle name="40% - Accent5 22 2 4 2 3" xfId="10689" xr:uid="{F3031FF7-D21C-4CFE-A77A-2032919A8D44}"/>
    <cellStyle name="40% - Accent5 22 2 4 2 3 2" xfId="26893" xr:uid="{BD36D575-0449-458C-B4A8-8086D6C50F9D}"/>
    <cellStyle name="40% - Accent5 22 2 4 2 4" xfId="19216" xr:uid="{3EB5FC43-DB0C-4384-87CA-10A2FFEB6EF6}"/>
    <cellStyle name="40% - Accent5 22 2 4 3" xfId="5922" xr:uid="{8A263A91-4089-454F-A6D9-BB5C20032038}"/>
    <cellStyle name="40% - Accent5 22 2 4 3 2" xfId="13436" xr:uid="{C9095548-9EE0-4FEE-9D3C-352F40938FBA}"/>
    <cellStyle name="40% - Accent5 22 2 4 3 2 2" xfId="29640" xr:uid="{292F589A-0237-4C94-8935-6C3765FD37B9}"/>
    <cellStyle name="40% - Accent5 22 2 4 3 3" xfId="22126" xr:uid="{C80F004C-6D49-496A-8484-71492F4694DA}"/>
    <cellStyle name="40% - Accent5 22 2 4 4" xfId="9845" xr:uid="{E13AA6C7-3018-4B77-AFD8-F99750FD95DF}"/>
    <cellStyle name="40% - Accent5 22 2 4 4 2" xfId="26049" xr:uid="{2A46E94A-A799-4C89-AE25-798D0E755EB7}"/>
    <cellStyle name="40% - Accent5 22 2 4 5" xfId="18370" xr:uid="{BE74476A-D256-4776-8243-8FED57B0A1F4}"/>
    <cellStyle name="40% - Accent5 22 2 5" xfId="2571" xr:uid="{128E0ACC-FC6A-4ABA-A5C4-0658DE129D64}"/>
    <cellStyle name="40% - Accent5 22 2 5 2" xfId="6355" xr:uid="{A0A1E5BA-C53D-4907-9C40-A6F38CDA6EB6}"/>
    <cellStyle name="40% - Accent5 22 2 5 2 2" xfId="13867" xr:uid="{0E3B9779-2EBF-4FF5-BBBA-0BF12604BE08}"/>
    <cellStyle name="40% - Accent5 22 2 5 2 2 2" xfId="30071" xr:uid="{57D681D7-057B-4881-AC35-223391CE46D3}"/>
    <cellStyle name="40% - Accent5 22 2 5 2 3" xfId="22559" xr:uid="{69A19D5D-A80E-4F5A-8936-E286A74DDB96}"/>
    <cellStyle name="40% - Accent5 22 2 5 3" xfId="10267" xr:uid="{14BC0E61-8FB8-4E72-9003-2E8687FEF665}"/>
    <cellStyle name="40% - Accent5 22 2 5 3 2" xfId="26471" xr:uid="{FA00D346-3CFE-48FF-8DD4-1F3E7558E1E5}"/>
    <cellStyle name="40% - Accent5 22 2 5 4" xfId="18793" xr:uid="{F8D9A5C0-FC65-4D14-951D-19C22C740C9D}"/>
    <cellStyle name="40% - Accent5 22 2 6" xfId="3447" xr:uid="{0B3B9B6B-29EB-493B-A263-D25240486FD1}"/>
    <cellStyle name="40% - Accent5 22 2 6 2" xfId="7205" xr:uid="{069706AF-6983-4838-86BF-E5039B5A7D55}"/>
    <cellStyle name="40% - Accent5 22 2 6 2 2" xfId="14715" xr:uid="{880A9E64-94C0-4992-8DEB-449C9D498D84}"/>
    <cellStyle name="40% - Accent5 22 2 6 2 2 2" xfId="30919" xr:uid="{3A4829D1-52AE-4968-916A-9600D388A691}"/>
    <cellStyle name="40% - Accent5 22 2 6 2 3" xfId="23409" xr:uid="{EB09C100-B9DC-40E6-9A93-56FFCA875143}"/>
    <cellStyle name="40% - Accent5 22 2 6 3" xfId="11112" xr:uid="{86252B10-021E-4A2E-B3A8-7D0575D287E9}"/>
    <cellStyle name="40% - Accent5 22 2 6 3 2" xfId="27316" xr:uid="{4FDDFD7B-E4CC-4D6E-8FE6-CA1C92170C0A}"/>
    <cellStyle name="40% - Accent5 22 2 6 4" xfId="19663" xr:uid="{3796F48D-BB18-450E-9353-25F7B79E2678}"/>
    <cellStyle name="40% - Accent5 22 2 7" xfId="3971" xr:uid="{00DBE79B-6355-4639-8932-3ED80D0284B6}"/>
    <cellStyle name="40% - Accent5 22 2 7 2" xfId="7641" xr:uid="{97660FF7-8116-4D10-A03C-97E459F1D57F}"/>
    <cellStyle name="40% - Accent5 22 2 7 2 2" xfId="15148" xr:uid="{DEDD7659-779A-48F8-ADEE-364966B06401}"/>
    <cellStyle name="40% - Accent5 22 2 7 2 2 2" xfId="31352" xr:uid="{2E13F382-037D-4DEB-8FB0-E0B77B4E26F5}"/>
    <cellStyle name="40% - Accent5 22 2 7 2 3" xfId="23845" xr:uid="{C952B14E-89DB-4F5D-A2D5-90DB4765B024}"/>
    <cellStyle name="40% - Accent5 22 2 7 3" xfId="11534" xr:uid="{08E9A594-5A22-49A8-91AE-79FD2EB05B47}"/>
    <cellStyle name="40% - Accent5 22 2 7 3 2" xfId="27738" xr:uid="{DAA996F4-79DC-4BC8-9828-EF19875B304D}"/>
    <cellStyle name="40% - Accent5 22 2 7 4" xfId="20175" xr:uid="{CA9EEA7F-A4EB-49EF-8E05-DAEB1A32EE10}"/>
    <cellStyle name="40% - Accent5 22 2 8" xfId="4396" xr:uid="{1D7BB65D-2087-41EC-80D1-2C68A80F9BE1}"/>
    <cellStyle name="40% - Accent5 22 2 8 2" xfId="8066" xr:uid="{59D3068A-AAE9-475B-B0C0-72F593474710}"/>
    <cellStyle name="40% - Accent5 22 2 8 2 2" xfId="15573" xr:uid="{A0829A3D-B98F-46C3-881C-D7F84D61DB3D}"/>
    <cellStyle name="40% - Accent5 22 2 8 2 2 2" xfId="31777" xr:uid="{CFCF7B0F-CB62-4B8B-B83A-24287C4864EC}"/>
    <cellStyle name="40% - Accent5 22 2 8 2 3" xfId="24270" xr:uid="{6A853DE7-0E7D-443B-A800-6B98BF476836}"/>
    <cellStyle name="40% - Accent5 22 2 8 3" xfId="11959" xr:uid="{1241C89B-4751-4C43-AC50-BC2F618B7E23}"/>
    <cellStyle name="40% - Accent5 22 2 8 3 2" xfId="28163" xr:uid="{EC667E83-7EFC-4A33-B92C-50E14FF14015}"/>
    <cellStyle name="40% - Accent5 22 2 8 4" xfId="20600" xr:uid="{3FA82185-B92C-4421-889D-4157E22CC1FA}"/>
    <cellStyle name="40% - Accent5 22 2 9" xfId="4820" xr:uid="{A9DAF60E-54CF-4C52-94C4-FB547391A354}"/>
    <cellStyle name="40% - Accent5 22 2 9 2" xfId="8489" xr:uid="{DC4E704F-CB34-42F9-A808-0EBA512E22F8}"/>
    <cellStyle name="40% - Accent5 22 2 9 2 2" xfId="15996" xr:uid="{092FC203-B3A8-4F7D-B09A-045B62AE4599}"/>
    <cellStyle name="40% - Accent5 22 2 9 2 2 2" xfId="32200" xr:uid="{51326238-F2A6-4069-9E49-C8B1E2049625}"/>
    <cellStyle name="40% - Accent5 22 2 9 2 3" xfId="24693" xr:uid="{5FEAF885-1D79-4AC7-B09D-E6E762978F12}"/>
    <cellStyle name="40% - Accent5 22 2 9 3" xfId="12381" xr:uid="{D18ED68B-A3E2-4C00-BBE3-BB2320DD6E2D}"/>
    <cellStyle name="40% - Accent5 22 2 9 3 2" xfId="28585" xr:uid="{A07A58F0-7746-41F8-8498-54DEB298A477}"/>
    <cellStyle name="40% - Accent5 22 2 9 4" xfId="21024" xr:uid="{E9169053-0BB8-4C08-A629-5E495CCBB73B}"/>
    <cellStyle name="40% - Accent5 22 3" xfId="532" xr:uid="{C4DB94DF-5EF7-444C-8894-A9E31FCD05F5}"/>
    <cellStyle name="40% - Accent5 22 3 10" xfId="5329" xr:uid="{97B03549-6637-4753-98A4-750BCF2BB68A}"/>
    <cellStyle name="40% - Accent5 22 3 10 2" xfId="12878" xr:uid="{64881561-53AB-4066-BCAB-603C9B625A97}"/>
    <cellStyle name="40% - Accent5 22 3 10 2 2" xfId="29082" xr:uid="{71BD7B4A-E493-4C6D-8894-50A9E2FCD151}"/>
    <cellStyle name="40% - Accent5 22 3 10 3" xfId="21533" xr:uid="{92B01C4A-6984-457A-8D78-0F712C4EC4AE}"/>
    <cellStyle name="40% - Accent5 22 3 11" xfId="9444" xr:uid="{4BA23FD4-6C96-4CAA-8B83-CB93AFA6EB52}"/>
    <cellStyle name="40% - Accent5 22 3 11 2" xfId="25648" xr:uid="{B408F203-39CF-407C-AD69-54AA33331BD0}"/>
    <cellStyle name="40% - Accent5 22 3 12" xfId="17959" xr:uid="{E233E6EF-767B-4C51-B388-7732B2BAF837}"/>
    <cellStyle name="40% - Accent5 22 3 2" xfId="603" xr:uid="{C7F18BE1-89BC-4215-8598-BA321F46B365}"/>
    <cellStyle name="40% - Accent5 22 3 2 10" xfId="9511" xr:uid="{B151F9FA-0AF2-415F-9D5A-346AF05BE1ED}"/>
    <cellStyle name="40% - Accent5 22 3 2 10 2" xfId="25715" xr:uid="{3D9BABB1-AA4A-4BF9-BEE4-8A69EC7568A7}"/>
    <cellStyle name="40% - Accent5 22 3 2 11" xfId="18027" xr:uid="{8C333425-35BC-4FBF-9199-23EDFB0CF098}"/>
    <cellStyle name="40% - Accent5 22 3 2 2" xfId="1884" xr:uid="{17B46927-DB9B-49FB-9892-8231EF22545A}"/>
    <cellStyle name="40% - Accent5 22 3 2 2 10" xfId="18189" xr:uid="{B5688F5C-A8EA-4199-91A0-4522DF1DFF5D}"/>
    <cellStyle name="40% - Accent5 22 3 2 2 2" xfId="2393" xr:uid="{E98089A7-081C-486E-8EFD-E9F332302F28}"/>
    <cellStyle name="40% - Accent5 22 3 2 2 2 2" xfId="3240" xr:uid="{A51DDFEF-F370-4D8C-B632-487542479362}"/>
    <cellStyle name="40% - Accent5 22 3 2 2 2 2 2" xfId="7022" xr:uid="{836C2143-0C25-4981-AEB6-A918054C2D41}"/>
    <cellStyle name="40% - Accent5 22 3 2 2 2 2 2 2" xfId="14533" xr:uid="{8EB8EFAF-4D53-4F36-BC0B-520D18BEC9E4}"/>
    <cellStyle name="40% - Accent5 22 3 2 2 2 2 2 2 2" xfId="30737" xr:uid="{4ACA7BEC-37A0-4CEB-9EB0-9DF095510D4D}"/>
    <cellStyle name="40% - Accent5 22 3 2 2 2 2 2 3" xfId="23226" xr:uid="{A2F404F6-892C-4423-9A20-99BA03EE7243}"/>
    <cellStyle name="40% - Accent5 22 3 2 2 2 2 3" xfId="10933" xr:uid="{C0CA54AD-A487-484E-B8E0-7B47A2113A80}"/>
    <cellStyle name="40% - Accent5 22 3 2 2 2 2 3 2" xfId="27137" xr:uid="{8E7A5B00-978F-4299-AA8B-77029D4770E2}"/>
    <cellStyle name="40% - Accent5 22 3 2 2 2 2 4" xfId="19460" xr:uid="{B2A50862-D9F6-4FB1-9B76-1EC80810519D}"/>
    <cellStyle name="40% - Accent5 22 3 2 2 2 3" xfId="6177" xr:uid="{899BAC88-DF75-4FFB-88EE-3703F82263A3}"/>
    <cellStyle name="40% - Accent5 22 3 2 2 2 3 2" xfId="13689" xr:uid="{B4C8D251-C3D3-4C6E-A249-AC968C9DBA8B}"/>
    <cellStyle name="40% - Accent5 22 3 2 2 2 3 2 2" xfId="29893" xr:uid="{ED80D7FA-3C78-48A6-8661-80F581B43220}"/>
    <cellStyle name="40% - Accent5 22 3 2 2 2 3 3" xfId="22381" xr:uid="{3109C249-18C5-4EE1-A89F-0833C1D3FCD7}"/>
    <cellStyle name="40% - Accent5 22 3 2 2 2 4" xfId="10089" xr:uid="{692308DC-B9E1-4BE5-B2CE-79BC05385CD3}"/>
    <cellStyle name="40% - Accent5 22 3 2 2 2 4 2" xfId="26293" xr:uid="{FF51F689-37E3-4777-85E0-121441206C59}"/>
    <cellStyle name="40% - Accent5 22 3 2 2 2 5" xfId="18615" xr:uid="{45FBDFE9-E17D-466D-91DB-70359E23258F}"/>
    <cellStyle name="40% - Accent5 22 3 2 2 3" xfId="2815" xr:uid="{AFF98F96-7720-4F80-B36B-64A982B0E459}"/>
    <cellStyle name="40% - Accent5 22 3 2 2 3 2" xfId="6599" xr:uid="{844C302A-AE88-49B6-8A54-4CC7516CFCAE}"/>
    <cellStyle name="40% - Accent5 22 3 2 2 3 2 2" xfId="14111" xr:uid="{64D53A47-850F-424A-804B-CF3BA40816B4}"/>
    <cellStyle name="40% - Accent5 22 3 2 2 3 2 2 2" xfId="30315" xr:uid="{5F1C33A6-9567-41E1-AB68-45E68541273F}"/>
    <cellStyle name="40% - Accent5 22 3 2 2 3 2 3" xfId="22803" xr:uid="{6F1A53C8-E896-4FFF-9B52-57602935F580}"/>
    <cellStyle name="40% - Accent5 22 3 2 2 3 3" xfId="10511" xr:uid="{BBCC9D4D-9F09-4F8E-AB03-54A3CC0A1A79}"/>
    <cellStyle name="40% - Accent5 22 3 2 2 3 3 2" xfId="26715" xr:uid="{58DDD6C2-EAF4-4345-81A5-51288BB2353B}"/>
    <cellStyle name="40% - Accent5 22 3 2 2 3 4" xfId="19037" xr:uid="{6FFC0B6F-98CB-427E-A737-E70C53C21867}"/>
    <cellStyle name="40% - Accent5 22 3 2 2 4" xfId="3746" xr:uid="{027F6A0F-C2ED-4407-B281-A38F44C7DBDF}"/>
    <cellStyle name="40% - Accent5 22 3 2 2 4 2" xfId="7456" xr:uid="{D842E263-037B-419E-AD51-B0D335F38AD6}"/>
    <cellStyle name="40% - Accent5 22 3 2 2 4 2 2" xfId="14965" xr:uid="{B7FE8B43-1F4C-4AB7-844D-FB3E4218738C}"/>
    <cellStyle name="40% - Accent5 22 3 2 2 4 2 2 2" xfId="31169" xr:uid="{A9E32C75-564B-4EB8-92C5-3A2C9787B415}"/>
    <cellStyle name="40% - Accent5 22 3 2 2 4 2 3" xfId="23660" xr:uid="{8563A061-6560-4942-9250-E6014B9CF335}"/>
    <cellStyle name="40% - Accent5 22 3 2 2 4 3" xfId="11356" xr:uid="{75EF7618-6247-45FC-96E8-FD28C775C8CF}"/>
    <cellStyle name="40% - Accent5 22 3 2 2 4 3 2" xfId="27560" xr:uid="{A0F247D3-F41A-426B-87CC-882A7AB33F46}"/>
    <cellStyle name="40% - Accent5 22 3 2 2 4 4" xfId="19955" xr:uid="{097BAA53-83A1-47E5-A39A-8D1A23E3B05C}"/>
    <cellStyle name="40% - Accent5 22 3 2 2 5" xfId="4215" xr:uid="{622D32A2-AE3E-485B-8347-6E0C66973856}"/>
    <cellStyle name="40% - Accent5 22 3 2 2 5 2" xfId="7885" xr:uid="{AF972D03-540D-4054-9199-CF472E740772}"/>
    <cellStyle name="40% - Accent5 22 3 2 2 5 2 2" xfId="15392" xr:uid="{AAE1229F-0027-4959-AFCF-575342E11454}"/>
    <cellStyle name="40% - Accent5 22 3 2 2 5 2 2 2" xfId="31596" xr:uid="{C52341C6-3A2A-4FDD-96F4-6A6EB29FA824}"/>
    <cellStyle name="40% - Accent5 22 3 2 2 5 2 3" xfId="24089" xr:uid="{9515F014-7DE4-4A5E-B0DC-AB8931FAB2E6}"/>
    <cellStyle name="40% - Accent5 22 3 2 2 5 3" xfId="11778" xr:uid="{EB263A2D-2399-4B1D-A53A-4A8D41F9340B}"/>
    <cellStyle name="40% - Accent5 22 3 2 2 5 3 2" xfId="27982" xr:uid="{DB223A3E-E260-4BB2-AEDB-43F42A1B176E}"/>
    <cellStyle name="40% - Accent5 22 3 2 2 5 4" xfId="20419" xr:uid="{563BEE56-EA9A-4935-BE15-651D3A3F4A20}"/>
    <cellStyle name="40% - Accent5 22 3 2 2 6" xfId="4640" xr:uid="{AB71A7BA-18D8-404C-934A-23ADEEC13A87}"/>
    <cellStyle name="40% - Accent5 22 3 2 2 6 2" xfId="8310" xr:uid="{377365F8-DF82-400F-A7A3-8E214F5A3E25}"/>
    <cellStyle name="40% - Accent5 22 3 2 2 6 2 2" xfId="15817" xr:uid="{22D99C1F-5B47-4857-AE77-26C69F2FE033}"/>
    <cellStyle name="40% - Accent5 22 3 2 2 6 2 2 2" xfId="32021" xr:uid="{696112D2-D143-4FAD-810D-2DA890CAC34D}"/>
    <cellStyle name="40% - Accent5 22 3 2 2 6 2 3" xfId="24514" xr:uid="{D813C636-8FA0-42A7-BD0A-A1581C2239C3}"/>
    <cellStyle name="40% - Accent5 22 3 2 2 6 3" xfId="12203" xr:uid="{5603841B-0535-4493-8E67-718C82498E6C}"/>
    <cellStyle name="40% - Accent5 22 3 2 2 6 3 2" xfId="28407" xr:uid="{120051DC-62DE-4DA8-8C25-4E2441E52F79}"/>
    <cellStyle name="40% - Accent5 22 3 2 2 6 4" xfId="20844" xr:uid="{DE099931-73DC-48B1-BE71-2B774DAC846F}"/>
    <cellStyle name="40% - Accent5 22 3 2 2 7" xfId="5067" xr:uid="{C6623894-8D5B-4B20-901A-3E789683324E}"/>
    <cellStyle name="40% - Accent5 22 3 2 2 7 2" xfId="8733" xr:uid="{55810B0A-7694-4133-9C0F-760BB274A34B}"/>
    <cellStyle name="40% - Accent5 22 3 2 2 7 2 2" xfId="16240" xr:uid="{7AA12E2D-8D15-4734-8ECC-FA4844BFC07A}"/>
    <cellStyle name="40% - Accent5 22 3 2 2 7 2 2 2" xfId="32444" xr:uid="{8DD545D1-4FF4-4E45-9439-5E0662286CE2}"/>
    <cellStyle name="40% - Accent5 22 3 2 2 7 2 3" xfId="24937" xr:uid="{FB09474C-7A2B-4D2D-9B11-FB28D2563E98}"/>
    <cellStyle name="40% - Accent5 22 3 2 2 7 3" xfId="12625" xr:uid="{57E0A83E-4EAF-459B-9CC4-09E44E69F470}"/>
    <cellStyle name="40% - Accent5 22 3 2 2 7 3 2" xfId="28829" xr:uid="{05731A33-BEDE-4FC0-AE7E-EB8E5FC5D823}"/>
    <cellStyle name="40% - Accent5 22 3 2 2 7 4" xfId="21271" xr:uid="{9936D26E-6C47-43CA-AF85-C64BC9C0C727}"/>
    <cellStyle name="40% - Accent5 22 3 2 2 8" xfId="5739" xr:uid="{37A6AA67-B696-42A5-9CA8-24D1CB9CB7F2}"/>
    <cellStyle name="40% - Accent5 22 3 2 2 8 2" xfId="13254" xr:uid="{E49DF72F-962D-4510-8285-CA71563E28C1}"/>
    <cellStyle name="40% - Accent5 22 3 2 2 8 2 2" xfId="29458" xr:uid="{B833C3C8-84EE-44DC-8F30-6BFD2A533881}"/>
    <cellStyle name="40% - Accent5 22 3 2 2 8 3" xfId="21943" xr:uid="{5D88B33D-8F72-4650-A21A-136A106FADE9}"/>
    <cellStyle name="40% - Accent5 22 3 2 2 9" xfId="9666" xr:uid="{8DBD47C0-B858-4115-8210-50A1FBA245B8}"/>
    <cellStyle name="40% - Accent5 22 3 2 2 9 2" xfId="25870" xr:uid="{C63A8457-8626-4E87-99C3-9C727AFB83F9}"/>
    <cellStyle name="40% - Accent5 22 3 2 3" xfId="2172" xr:uid="{8C06B6EF-FD15-468B-B458-3CE35AF56586}"/>
    <cellStyle name="40% - Accent5 22 3 2 3 2" xfId="3085" xr:uid="{8ECEF033-6C61-451E-952B-230DC4160A4D}"/>
    <cellStyle name="40% - Accent5 22 3 2 3 2 2" xfId="6867" xr:uid="{A1C8D16E-3A79-44AC-B297-DFAEC9EC6671}"/>
    <cellStyle name="40% - Accent5 22 3 2 3 2 2 2" xfId="14378" xr:uid="{B260966B-A2DA-42A9-965D-ED4C0A213421}"/>
    <cellStyle name="40% - Accent5 22 3 2 3 2 2 2 2" xfId="30582" xr:uid="{8605EAE2-8158-4E01-B4B5-CA033EB2D57E}"/>
    <cellStyle name="40% - Accent5 22 3 2 3 2 2 3" xfId="23071" xr:uid="{C16763BD-F763-4415-A51D-685D9A19D396}"/>
    <cellStyle name="40% - Accent5 22 3 2 3 2 3" xfId="10778" xr:uid="{23EBBC08-88E3-4E2B-825C-8B031A5BC490}"/>
    <cellStyle name="40% - Accent5 22 3 2 3 2 3 2" xfId="26982" xr:uid="{6433251F-5BB6-4AA0-BB8C-BBAEBD42F7B1}"/>
    <cellStyle name="40% - Accent5 22 3 2 3 2 4" xfId="19305" xr:uid="{B785EA59-7850-48D4-9A2F-0D8A2AF6AA48}"/>
    <cellStyle name="40% - Accent5 22 3 2 3 3" xfId="6011" xr:uid="{35DFCEEB-60C3-4578-AF82-FD47A5993E9B}"/>
    <cellStyle name="40% - Accent5 22 3 2 3 3 2" xfId="13525" xr:uid="{30DF1B8F-2CB8-42DA-AC06-0B5CC00CB8A1}"/>
    <cellStyle name="40% - Accent5 22 3 2 3 3 2 2" xfId="29729" xr:uid="{3B2119B2-4EB3-4724-B058-9BA7281F0C5F}"/>
    <cellStyle name="40% - Accent5 22 3 2 3 3 3" xfId="22215" xr:uid="{DDB1FDCB-3F43-4FCA-8476-0E3BA15A6BC8}"/>
    <cellStyle name="40% - Accent5 22 3 2 3 4" xfId="9934" xr:uid="{5CC704D7-2A92-48F2-BB38-11F0F068C753}"/>
    <cellStyle name="40% - Accent5 22 3 2 3 4 2" xfId="26138" xr:uid="{A5DBBCFD-A724-4F2D-A7DD-7CB436789028}"/>
    <cellStyle name="40% - Accent5 22 3 2 3 5" xfId="18459" xr:uid="{6D7DDA5D-5C30-43D6-88F2-DCD93480CE3C}"/>
    <cellStyle name="40% - Accent5 22 3 2 4" xfId="2660" xr:uid="{68727D28-EF1B-4FF7-97D7-8AA312637DDC}"/>
    <cellStyle name="40% - Accent5 22 3 2 4 2" xfId="6444" xr:uid="{28C2B98E-008B-44E6-BB42-5D63CAA878D2}"/>
    <cellStyle name="40% - Accent5 22 3 2 4 2 2" xfId="13956" xr:uid="{A25ADFEB-9367-4CD6-A81B-6BE2D32A64DF}"/>
    <cellStyle name="40% - Accent5 22 3 2 4 2 2 2" xfId="30160" xr:uid="{FA9E7327-54BE-4E2F-B6DD-3FBAB4821C53}"/>
    <cellStyle name="40% - Accent5 22 3 2 4 2 3" xfId="22648" xr:uid="{E397E1FB-BC59-4A9E-994F-CB4D883683CD}"/>
    <cellStyle name="40% - Accent5 22 3 2 4 3" xfId="10356" xr:uid="{6C506878-E982-4687-9213-49E4BC7DDB65}"/>
    <cellStyle name="40% - Accent5 22 3 2 4 3 2" xfId="26560" xr:uid="{610BEE37-19AC-41E3-9A69-AB247FA6EACF}"/>
    <cellStyle name="40% - Accent5 22 3 2 4 4" xfId="18882" xr:uid="{D23CF8CC-574C-4633-8377-6D92004F0D85}"/>
    <cellStyle name="40% - Accent5 22 3 2 5" xfId="3536" xr:uid="{5ADDFE40-A49D-4EC6-BC38-BDEF0B110549}"/>
    <cellStyle name="40% - Accent5 22 3 2 5 2" xfId="7294" xr:uid="{ED2F399A-F7E9-4425-AC52-55692D796008}"/>
    <cellStyle name="40% - Accent5 22 3 2 5 2 2" xfId="14804" xr:uid="{C9D542D1-D906-4DF1-9331-816D70B7BDD0}"/>
    <cellStyle name="40% - Accent5 22 3 2 5 2 2 2" xfId="31008" xr:uid="{A9C63FA5-AC11-46CC-A8A8-4BA80FA2CBA4}"/>
    <cellStyle name="40% - Accent5 22 3 2 5 2 3" xfId="23498" xr:uid="{E551EC36-B09A-4D7D-871C-34AABC21C299}"/>
    <cellStyle name="40% - Accent5 22 3 2 5 3" xfId="11201" xr:uid="{2249A047-BB0B-42FF-9DD6-46CCBEE82DB3}"/>
    <cellStyle name="40% - Accent5 22 3 2 5 3 2" xfId="27405" xr:uid="{94A49978-C513-4115-8E00-957B2D1ED608}"/>
    <cellStyle name="40% - Accent5 22 3 2 5 4" xfId="19752" xr:uid="{D1C74EC3-4C4B-4578-BE1A-06ACB3D328C4}"/>
    <cellStyle name="40% - Accent5 22 3 2 6" xfId="4060" xr:uid="{47E9F0F1-EDC0-48A9-AF84-749A01B8CFA1}"/>
    <cellStyle name="40% - Accent5 22 3 2 6 2" xfId="7730" xr:uid="{0CA0C01A-A320-4A36-B707-E092BDAD66B3}"/>
    <cellStyle name="40% - Accent5 22 3 2 6 2 2" xfId="15237" xr:uid="{E6655F11-9260-4672-B221-F55D7FD44497}"/>
    <cellStyle name="40% - Accent5 22 3 2 6 2 2 2" xfId="31441" xr:uid="{D8EF8646-BE1A-41EC-9C10-15382964B2C7}"/>
    <cellStyle name="40% - Accent5 22 3 2 6 2 3" xfId="23934" xr:uid="{B85D74B9-C5E6-45EC-89EB-BA4C5520C7A5}"/>
    <cellStyle name="40% - Accent5 22 3 2 6 3" xfId="11623" xr:uid="{921B4DBA-3E86-4B53-9DCD-DD942F511606}"/>
    <cellStyle name="40% - Accent5 22 3 2 6 3 2" xfId="27827" xr:uid="{6ED434F3-5050-450D-80A9-CC898DF610A4}"/>
    <cellStyle name="40% - Accent5 22 3 2 6 4" xfId="20264" xr:uid="{AAAA3247-F7F7-400A-B6FD-E570FB14ECDD}"/>
    <cellStyle name="40% - Accent5 22 3 2 7" xfId="4485" xr:uid="{699F79C2-599D-413F-84FA-53F98758CE8C}"/>
    <cellStyle name="40% - Accent5 22 3 2 7 2" xfId="8155" xr:uid="{A8DBF16A-F593-48D2-8B35-E80075906236}"/>
    <cellStyle name="40% - Accent5 22 3 2 7 2 2" xfId="15662" xr:uid="{DBCD2E83-D258-473E-AD9F-E46827D5606C}"/>
    <cellStyle name="40% - Accent5 22 3 2 7 2 2 2" xfId="31866" xr:uid="{D9CEBAF7-206E-42F5-9831-CBEA5F4D25F6}"/>
    <cellStyle name="40% - Accent5 22 3 2 7 2 3" xfId="24359" xr:uid="{DFDDA06E-F446-48C8-A3AD-5F02198F0D5B}"/>
    <cellStyle name="40% - Accent5 22 3 2 7 3" xfId="12048" xr:uid="{1DC16D32-B0B2-4354-BE33-44777F3C93C3}"/>
    <cellStyle name="40% - Accent5 22 3 2 7 3 2" xfId="28252" xr:uid="{80E765F3-F573-42B7-9E41-7A9A7A3C8F6D}"/>
    <cellStyle name="40% - Accent5 22 3 2 7 4" xfId="20689" xr:uid="{05271F51-AFE5-4561-AEDE-30372CE8E15D}"/>
    <cellStyle name="40% - Accent5 22 3 2 8" xfId="4910" xr:uid="{A957D6E5-DF64-4DC2-BEB1-FC14783C9C86}"/>
    <cellStyle name="40% - Accent5 22 3 2 8 2" xfId="8578" xr:uid="{F7DD8883-6821-40C0-B7AA-E7DA65A4C5F6}"/>
    <cellStyle name="40% - Accent5 22 3 2 8 2 2" xfId="16085" xr:uid="{2FE42F9C-E719-4D69-A43D-392B866F8830}"/>
    <cellStyle name="40% - Accent5 22 3 2 8 2 2 2" xfId="32289" xr:uid="{6B901706-E7F1-4D16-8610-D0A270167374}"/>
    <cellStyle name="40% - Accent5 22 3 2 8 2 3" xfId="24782" xr:uid="{5FB6F05C-8E7F-4987-9954-125646FCE9BE}"/>
    <cellStyle name="40% - Accent5 22 3 2 8 3" xfId="12470" xr:uid="{F853F573-C385-42B9-B792-E3978D38A89B}"/>
    <cellStyle name="40% - Accent5 22 3 2 8 3 2" xfId="28674" xr:uid="{A0DB05AE-5D01-403C-B3C8-09EFC0AA7346}"/>
    <cellStyle name="40% - Accent5 22 3 2 8 4" xfId="21114" xr:uid="{4CE4DA61-9C78-48BF-BB0B-C7C9A1092C57}"/>
    <cellStyle name="40% - Accent5 22 3 2 9" xfId="5396" xr:uid="{31843E76-D34E-426F-8377-B815106BF4B2}"/>
    <cellStyle name="40% - Accent5 22 3 2 9 2" xfId="12945" xr:uid="{6C530459-8FA5-49AC-8AFA-E45B8CD68EC5}"/>
    <cellStyle name="40% - Accent5 22 3 2 9 2 2" xfId="29149" xr:uid="{92166B24-C4AE-4029-BC94-7F158D6C944E}"/>
    <cellStyle name="40% - Accent5 22 3 2 9 3" xfId="21600" xr:uid="{714A9FAE-4128-48F9-A2A5-070F66E74A80}"/>
    <cellStyle name="40% - Accent5 22 3 3" xfId="1885" xr:uid="{C12E4FD0-EAB1-4711-8885-278012745D83}"/>
    <cellStyle name="40% - Accent5 22 3 3 10" xfId="18190" xr:uid="{FA5228F1-F1B5-4FA2-9E80-3066813DEEBD}"/>
    <cellStyle name="40% - Accent5 22 3 3 2" xfId="2394" xr:uid="{7877B332-04FF-4894-899B-8340514FD948}"/>
    <cellStyle name="40% - Accent5 22 3 3 2 2" xfId="3241" xr:uid="{F10E1786-538A-4D24-A41A-EC22935A46A7}"/>
    <cellStyle name="40% - Accent5 22 3 3 2 2 2" xfId="7023" xr:uid="{8E252FD4-0087-4823-92F3-4FCFB197674B}"/>
    <cellStyle name="40% - Accent5 22 3 3 2 2 2 2" xfId="14534" xr:uid="{2A9A2AF9-A03A-41A3-8B51-DFC3E4B0CA10}"/>
    <cellStyle name="40% - Accent5 22 3 3 2 2 2 2 2" xfId="30738" xr:uid="{79A98C32-A4CD-4986-BD8E-92A8E233228C}"/>
    <cellStyle name="40% - Accent5 22 3 3 2 2 2 3" xfId="23227" xr:uid="{C2AD566C-B84E-4E67-8E98-8A1460CC3464}"/>
    <cellStyle name="40% - Accent5 22 3 3 2 2 3" xfId="10934" xr:uid="{0B6B5F04-3C34-4868-B0FD-8B25E981C118}"/>
    <cellStyle name="40% - Accent5 22 3 3 2 2 3 2" xfId="27138" xr:uid="{64D9CB36-4C53-4A24-BE9B-ADFDA7FBB84D}"/>
    <cellStyle name="40% - Accent5 22 3 3 2 2 4" xfId="19461" xr:uid="{63ECE91F-E7B7-4350-9306-B61B74A3DE3A}"/>
    <cellStyle name="40% - Accent5 22 3 3 2 3" xfId="6178" xr:uid="{984D6C89-2C2D-4C0A-8E89-A6F8F966F07E}"/>
    <cellStyle name="40% - Accent5 22 3 3 2 3 2" xfId="13690" xr:uid="{C50F08FF-F47D-4AF6-99DF-4962185F8E7E}"/>
    <cellStyle name="40% - Accent5 22 3 3 2 3 2 2" xfId="29894" xr:uid="{47C965F7-7466-4AA5-9B95-433A60C1C0DD}"/>
    <cellStyle name="40% - Accent5 22 3 3 2 3 3" xfId="22382" xr:uid="{B09AA0DE-2C26-4EC1-8D01-D15077910079}"/>
    <cellStyle name="40% - Accent5 22 3 3 2 4" xfId="10090" xr:uid="{BD84F40B-05E6-4575-A171-2FC5EF9301F3}"/>
    <cellStyle name="40% - Accent5 22 3 3 2 4 2" xfId="26294" xr:uid="{1E433B17-D944-4C55-9F07-E4AC35F78710}"/>
    <cellStyle name="40% - Accent5 22 3 3 2 5" xfId="18616" xr:uid="{11635923-B166-484F-87DC-883B9E361352}"/>
    <cellStyle name="40% - Accent5 22 3 3 3" xfId="2816" xr:uid="{EA9AAFA5-6B7E-4BA8-96B9-8069136909DD}"/>
    <cellStyle name="40% - Accent5 22 3 3 3 2" xfId="6600" xr:uid="{C09794DC-2F78-4E78-9F12-93722557C403}"/>
    <cellStyle name="40% - Accent5 22 3 3 3 2 2" xfId="14112" xr:uid="{AC15D304-49CB-4834-A708-D0172E8CD070}"/>
    <cellStyle name="40% - Accent5 22 3 3 3 2 2 2" xfId="30316" xr:uid="{F366ACBE-1EAE-46F0-876F-6CB7AB7DF7E5}"/>
    <cellStyle name="40% - Accent5 22 3 3 3 2 3" xfId="22804" xr:uid="{B37597D9-4A8F-4C12-9742-26A8C08A4CC3}"/>
    <cellStyle name="40% - Accent5 22 3 3 3 3" xfId="10512" xr:uid="{4A28C8B7-D1E3-4ABE-8B77-1F5195034DA9}"/>
    <cellStyle name="40% - Accent5 22 3 3 3 3 2" xfId="26716" xr:uid="{45405815-1405-4541-8B62-41C8E009E86B}"/>
    <cellStyle name="40% - Accent5 22 3 3 3 4" xfId="19038" xr:uid="{B4E1DBA0-6996-442B-8AEC-A97C7CC5FDF2}"/>
    <cellStyle name="40% - Accent5 22 3 3 4" xfId="3747" xr:uid="{17B494A9-1360-4F98-A431-8BB26B6CA215}"/>
    <cellStyle name="40% - Accent5 22 3 3 4 2" xfId="7457" xr:uid="{6F85A7E7-2171-4670-B93E-D2C1C21B5AA4}"/>
    <cellStyle name="40% - Accent5 22 3 3 4 2 2" xfId="14966" xr:uid="{EF833248-1A85-4ADF-BE63-FE685292A5D5}"/>
    <cellStyle name="40% - Accent5 22 3 3 4 2 2 2" xfId="31170" xr:uid="{B970E343-D72C-43B7-A540-1E4C313C62F1}"/>
    <cellStyle name="40% - Accent5 22 3 3 4 2 3" xfId="23661" xr:uid="{2614FF55-4666-4C05-BC1C-5EAA6E61D9F2}"/>
    <cellStyle name="40% - Accent5 22 3 3 4 3" xfId="11357" xr:uid="{3ACC7EDC-666D-4A0D-B32C-4B2D9493FA32}"/>
    <cellStyle name="40% - Accent5 22 3 3 4 3 2" xfId="27561" xr:uid="{9AF6D14D-1C5C-4AB5-A589-F7B1BA5E4EB7}"/>
    <cellStyle name="40% - Accent5 22 3 3 4 4" xfId="19956" xr:uid="{C894C3F9-34B9-4F0E-9D4F-F1C12F2081FD}"/>
    <cellStyle name="40% - Accent5 22 3 3 5" xfId="4216" xr:uid="{A9BDBD7D-82DA-4489-89BB-184EDCDEBA36}"/>
    <cellStyle name="40% - Accent5 22 3 3 5 2" xfId="7886" xr:uid="{E3CEE6AA-B41B-4F08-A45E-34B3EFCDA7F1}"/>
    <cellStyle name="40% - Accent5 22 3 3 5 2 2" xfId="15393" xr:uid="{D3E9B08A-A09A-4D4A-9118-C75345CA0E12}"/>
    <cellStyle name="40% - Accent5 22 3 3 5 2 2 2" xfId="31597" xr:uid="{1A81E90C-0EA6-4624-8C6D-1CF7B4535091}"/>
    <cellStyle name="40% - Accent5 22 3 3 5 2 3" xfId="24090" xr:uid="{4E5CDC84-A74E-4062-A4B7-A05F8CC95DB8}"/>
    <cellStyle name="40% - Accent5 22 3 3 5 3" xfId="11779" xr:uid="{A5EDC230-1F7B-4E6C-BD4E-65283D4039A4}"/>
    <cellStyle name="40% - Accent5 22 3 3 5 3 2" xfId="27983" xr:uid="{1F57FAC6-3AB2-4237-8B44-C7F8FC72DE94}"/>
    <cellStyle name="40% - Accent5 22 3 3 5 4" xfId="20420" xr:uid="{FA57A041-FCD4-4022-8D3D-C4B29D95C9E3}"/>
    <cellStyle name="40% - Accent5 22 3 3 6" xfId="4641" xr:uid="{3E24D070-8DD8-4201-A11D-FC164125F5F8}"/>
    <cellStyle name="40% - Accent5 22 3 3 6 2" xfId="8311" xr:uid="{E2E597BF-112F-47A4-B932-A6861090DEA0}"/>
    <cellStyle name="40% - Accent5 22 3 3 6 2 2" xfId="15818" xr:uid="{C3F0E4E3-DF95-46FA-B731-170D59B970BE}"/>
    <cellStyle name="40% - Accent5 22 3 3 6 2 2 2" xfId="32022" xr:uid="{6F2FAEB0-F9E2-4BA5-BD51-00D73E9888E9}"/>
    <cellStyle name="40% - Accent5 22 3 3 6 2 3" xfId="24515" xr:uid="{6592A02E-66C5-4E2A-B383-41C829BE6AD8}"/>
    <cellStyle name="40% - Accent5 22 3 3 6 3" xfId="12204" xr:uid="{E47305E1-4056-44A1-BD23-3FCE96C214F4}"/>
    <cellStyle name="40% - Accent5 22 3 3 6 3 2" xfId="28408" xr:uid="{E7044AB5-7888-4AFC-861E-A6194C602C74}"/>
    <cellStyle name="40% - Accent5 22 3 3 6 4" xfId="20845" xr:uid="{40EC2607-FF4D-4C40-80D5-627DF52859DE}"/>
    <cellStyle name="40% - Accent5 22 3 3 7" xfId="5068" xr:uid="{3E35FB33-62FC-4D7B-94AB-BFADDF5E0EEB}"/>
    <cellStyle name="40% - Accent5 22 3 3 7 2" xfId="8734" xr:uid="{40D89DF5-FD36-4488-9E84-3702EBA1D4AB}"/>
    <cellStyle name="40% - Accent5 22 3 3 7 2 2" xfId="16241" xr:uid="{F4D9CB34-DBB6-423C-83B4-593AE66439E6}"/>
    <cellStyle name="40% - Accent5 22 3 3 7 2 2 2" xfId="32445" xr:uid="{2CCB9A09-FB6D-446C-873D-7A0F5B1AEF32}"/>
    <cellStyle name="40% - Accent5 22 3 3 7 2 3" xfId="24938" xr:uid="{9E855A33-AEC4-4588-8A9F-BE339BCBC8A8}"/>
    <cellStyle name="40% - Accent5 22 3 3 7 3" xfId="12626" xr:uid="{0403D524-DCC8-477D-A2D4-706E4F09DA5D}"/>
    <cellStyle name="40% - Accent5 22 3 3 7 3 2" xfId="28830" xr:uid="{4A165522-6F6F-43CA-BD53-47DFF3859E10}"/>
    <cellStyle name="40% - Accent5 22 3 3 7 4" xfId="21272" xr:uid="{36F1DBB0-D8B6-42D2-8548-E1AFCA9053B2}"/>
    <cellStyle name="40% - Accent5 22 3 3 8" xfId="5740" xr:uid="{499FFD3C-2A89-486D-8BB6-EEBB3161B08C}"/>
    <cellStyle name="40% - Accent5 22 3 3 8 2" xfId="13255" xr:uid="{FC287AD2-C076-4C47-A958-4938413E1F9D}"/>
    <cellStyle name="40% - Accent5 22 3 3 8 2 2" xfId="29459" xr:uid="{800AE616-198C-4108-AFF9-828674F886FA}"/>
    <cellStyle name="40% - Accent5 22 3 3 8 3" xfId="21944" xr:uid="{F5B72B88-7F14-42F3-A18B-71620A88154B}"/>
    <cellStyle name="40% - Accent5 22 3 3 9" xfId="9667" xr:uid="{726B40E4-DDC7-4493-A817-F384BF4326FB}"/>
    <cellStyle name="40% - Accent5 22 3 3 9 2" xfId="25871" xr:uid="{C0C1D9C5-12BE-447B-A866-BDA078600CF5}"/>
    <cellStyle name="40% - Accent5 22 3 4" xfId="2105" xr:uid="{A9564043-AC49-4804-BC25-2CFF7680CE00}"/>
    <cellStyle name="40% - Accent5 22 3 4 2" xfId="3018" xr:uid="{D105ADE9-8AEE-4C48-8F9D-50762D30196B}"/>
    <cellStyle name="40% - Accent5 22 3 4 2 2" xfId="6800" xr:uid="{60A2E231-1F55-495F-968D-34F539C5891F}"/>
    <cellStyle name="40% - Accent5 22 3 4 2 2 2" xfId="14311" xr:uid="{3D22D2DA-630A-41B8-82F7-E2002008B5C8}"/>
    <cellStyle name="40% - Accent5 22 3 4 2 2 2 2" xfId="30515" xr:uid="{4BEEDE6A-03AA-459C-BE1F-0C7B54850D2F}"/>
    <cellStyle name="40% - Accent5 22 3 4 2 2 3" xfId="23004" xr:uid="{BA186335-B200-430A-8646-F507787DB22E}"/>
    <cellStyle name="40% - Accent5 22 3 4 2 3" xfId="10711" xr:uid="{020E449C-63FB-42B3-AD3B-6792A1750284}"/>
    <cellStyle name="40% - Accent5 22 3 4 2 3 2" xfId="26915" xr:uid="{F2EBF287-678D-4C19-A005-4F3624F72213}"/>
    <cellStyle name="40% - Accent5 22 3 4 2 4" xfId="19238" xr:uid="{1E826D2B-0511-489E-B272-22007AB5C349}"/>
    <cellStyle name="40% - Accent5 22 3 4 3" xfId="5944" xr:uid="{18D4A8EC-1E67-4CDF-A55C-9B9E5AA7C205}"/>
    <cellStyle name="40% - Accent5 22 3 4 3 2" xfId="13458" xr:uid="{68D508F5-4E52-42E3-A947-6B7410C3A35D}"/>
    <cellStyle name="40% - Accent5 22 3 4 3 2 2" xfId="29662" xr:uid="{60371BC7-79A4-4C13-BC92-C6D3A849C376}"/>
    <cellStyle name="40% - Accent5 22 3 4 3 3" xfId="22148" xr:uid="{26CFB17F-4035-4B17-9040-1F95D4970238}"/>
    <cellStyle name="40% - Accent5 22 3 4 4" xfId="9867" xr:uid="{F02D72C3-3A2C-4F27-905F-8AE46F9E618D}"/>
    <cellStyle name="40% - Accent5 22 3 4 4 2" xfId="26071" xr:uid="{30E787FE-FBC7-43D7-89E4-1BE61CFA2D75}"/>
    <cellStyle name="40% - Accent5 22 3 4 5" xfId="18392" xr:uid="{C1E699E4-B777-4C7A-B229-ACE3E768DD63}"/>
    <cellStyle name="40% - Accent5 22 3 5" xfId="2593" xr:uid="{A133ED67-0142-4C37-9049-B626DE90E6E3}"/>
    <cellStyle name="40% - Accent5 22 3 5 2" xfId="6377" xr:uid="{E495B070-2075-4274-AEFE-A84565535045}"/>
    <cellStyle name="40% - Accent5 22 3 5 2 2" xfId="13889" xr:uid="{133688F2-42A8-4A43-9606-C748BEEE9E8F}"/>
    <cellStyle name="40% - Accent5 22 3 5 2 2 2" xfId="30093" xr:uid="{2E95A426-E5B1-4B81-AF9A-EBA6C1006DAC}"/>
    <cellStyle name="40% - Accent5 22 3 5 2 3" xfId="22581" xr:uid="{247D6F59-5AFA-44FC-80D7-83B306B8B317}"/>
    <cellStyle name="40% - Accent5 22 3 5 3" xfId="10289" xr:uid="{1A050739-15F6-4BB4-AAA8-3ADE81AE207B}"/>
    <cellStyle name="40% - Accent5 22 3 5 3 2" xfId="26493" xr:uid="{99D52098-E160-478F-ABB8-A1FF808AEE4E}"/>
    <cellStyle name="40% - Accent5 22 3 5 4" xfId="18815" xr:uid="{2F0565F3-127C-4FDF-AEFF-C2F7C708AB92}"/>
    <cellStyle name="40% - Accent5 22 3 6" xfId="3469" xr:uid="{139FD033-3BFA-459A-BF02-940C1B785AC0}"/>
    <cellStyle name="40% - Accent5 22 3 6 2" xfId="7227" xr:uid="{EEF265BA-E412-4C72-AD28-01556F8A761B}"/>
    <cellStyle name="40% - Accent5 22 3 6 2 2" xfId="14737" xr:uid="{1705141D-42C4-4849-86C4-140A777E0579}"/>
    <cellStyle name="40% - Accent5 22 3 6 2 2 2" xfId="30941" xr:uid="{F58AF8D9-02CF-49C0-9A68-BAB2C0CE09C9}"/>
    <cellStyle name="40% - Accent5 22 3 6 2 3" xfId="23431" xr:uid="{726264FB-D3E9-474F-BFC6-48F8E0CBE4CE}"/>
    <cellStyle name="40% - Accent5 22 3 6 3" xfId="11134" xr:uid="{84FA206D-C533-46FC-9B0D-69A2DF02288E}"/>
    <cellStyle name="40% - Accent5 22 3 6 3 2" xfId="27338" xr:uid="{3A8A9AAB-D3E3-4339-976B-F114902B4344}"/>
    <cellStyle name="40% - Accent5 22 3 6 4" xfId="19685" xr:uid="{F8030B56-2207-47F2-B9A6-C443191B2591}"/>
    <cellStyle name="40% - Accent5 22 3 7" xfId="3993" xr:uid="{4D45AF9A-512E-452C-8970-B9BE4C305DB0}"/>
    <cellStyle name="40% - Accent5 22 3 7 2" xfId="7663" xr:uid="{3CB3C925-B16F-4601-857C-88B5952E907C}"/>
    <cellStyle name="40% - Accent5 22 3 7 2 2" xfId="15170" xr:uid="{923EA16A-60FB-409C-923F-C2375D8AB2F6}"/>
    <cellStyle name="40% - Accent5 22 3 7 2 2 2" xfId="31374" xr:uid="{30EFFF6F-7B5D-4F7B-BE6B-AA49E3796826}"/>
    <cellStyle name="40% - Accent5 22 3 7 2 3" xfId="23867" xr:uid="{35A8A5E7-90F5-4F60-B700-11BD61961AEE}"/>
    <cellStyle name="40% - Accent5 22 3 7 3" xfId="11556" xr:uid="{C0705AE7-F450-4479-80E5-D6914103B187}"/>
    <cellStyle name="40% - Accent5 22 3 7 3 2" xfId="27760" xr:uid="{83C4F0E3-8B7F-4594-B17B-57CCBDF99F2E}"/>
    <cellStyle name="40% - Accent5 22 3 7 4" xfId="20197" xr:uid="{4EED6B6F-6E22-4802-AAA0-FE468FB9BEBE}"/>
    <cellStyle name="40% - Accent5 22 3 8" xfId="4418" xr:uid="{97DAAC31-42A4-44A5-823E-653FBB7DF5D9}"/>
    <cellStyle name="40% - Accent5 22 3 8 2" xfId="8088" xr:uid="{FC8E8133-41A3-4A5C-BDDF-D49380CB3B3D}"/>
    <cellStyle name="40% - Accent5 22 3 8 2 2" xfId="15595" xr:uid="{07099C63-398B-4864-A0E7-E6D7DFB585BB}"/>
    <cellStyle name="40% - Accent5 22 3 8 2 2 2" xfId="31799" xr:uid="{590CC068-52B3-4802-B5A2-B2A4DB058CEC}"/>
    <cellStyle name="40% - Accent5 22 3 8 2 3" xfId="24292" xr:uid="{ED025BD7-1037-456C-AC8D-ED1CAD17EA0B}"/>
    <cellStyle name="40% - Accent5 22 3 8 3" xfId="11981" xr:uid="{C9499F8E-17D1-4650-9291-A452E03EA2FA}"/>
    <cellStyle name="40% - Accent5 22 3 8 3 2" xfId="28185" xr:uid="{FA4B6BE9-72F3-42D4-ACE3-F4360925F0B4}"/>
    <cellStyle name="40% - Accent5 22 3 8 4" xfId="20622" xr:uid="{0D9E4527-6481-4E82-B343-D9D0284FF87B}"/>
    <cellStyle name="40% - Accent5 22 3 9" xfId="4842" xr:uid="{649319AD-0F59-4F73-B0EB-905CC928E38B}"/>
    <cellStyle name="40% - Accent5 22 3 9 2" xfId="8511" xr:uid="{236A7F92-5D48-45EE-918B-FF6886E5D08B}"/>
    <cellStyle name="40% - Accent5 22 3 9 2 2" xfId="16018" xr:uid="{11DECDEE-CCD1-4954-8B5F-A180ED44A9FC}"/>
    <cellStyle name="40% - Accent5 22 3 9 2 2 2" xfId="32222" xr:uid="{DF3FE69A-F38D-4AAB-BD1B-C7FED37C1DC0}"/>
    <cellStyle name="40% - Accent5 22 3 9 2 3" xfId="24715" xr:uid="{B5812097-D07D-4780-877D-336956A16BBE}"/>
    <cellStyle name="40% - Accent5 22 3 9 3" xfId="12403" xr:uid="{259C1A79-048F-48A3-BD28-19B4B28B4107}"/>
    <cellStyle name="40% - Accent5 22 3 9 3 2" xfId="28607" xr:uid="{DB39E857-2308-4150-9702-FEE29670C193}"/>
    <cellStyle name="40% - Accent5 22 3 9 4" xfId="21046" xr:uid="{2DD712CE-B0EB-4791-B3FE-82DA6543671B}"/>
    <cellStyle name="40% - Accent5 22 4" xfId="559" xr:uid="{45D25351-DDAE-4AF9-9160-2B4BCF70BBC0}"/>
    <cellStyle name="40% - Accent5 22 4 10" xfId="9467" xr:uid="{CBA0B9CC-9598-4DC9-BC7F-0636FB343D8C}"/>
    <cellStyle name="40% - Accent5 22 4 10 2" xfId="25671" xr:uid="{1ADD61C1-7E3C-4BA6-A670-955C02D463F4}"/>
    <cellStyle name="40% - Accent5 22 4 11" xfId="17983" xr:uid="{D57D93AD-1BD6-4854-B948-B91F1FE142E3}"/>
    <cellStyle name="40% - Accent5 22 4 2" xfId="1886" xr:uid="{BA3C0EF9-67B3-409F-85A7-3BB5D6F864E1}"/>
    <cellStyle name="40% - Accent5 22 4 2 10" xfId="18191" xr:uid="{21743FB8-EB3B-4385-A790-1E896F5CB3C8}"/>
    <cellStyle name="40% - Accent5 22 4 2 2" xfId="2395" xr:uid="{EF450EAD-32B4-45B5-98D2-645154260D23}"/>
    <cellStyle name="40% - Accent5 22 4 2 2 2" xfId="3242" xr:uid="{EA4ECCC1-AF16-4040-8576-EF07DEB5C31B}"/>
    <cellStyle name="40% - Accent5 22 4 2 2 2 2" xfId="7024" xr:uid="{A6EFCF82-CC61-45F2-9725-A110AD7BAE20}"/>
    <cellStyle name="40% - Accent5 22 4 2 2 2 2 2" xfId="14535" xr:uid="{AD128A86-8FBC-412B-8496-EC812F8A9A8F}"/>
    <cellStyle name="40% - Accent5 22 4 2 2 2 2 2 2" xfId="30739" xr:uid="{84F50B75-022F-4297-84BF-8DAB01570207}"/>
    <cellStyle name="40% - Accent5 22 4 2 2 2 2 3" xfId="23228" xr:uid="{F3C025D1-318A-480E-82D8-745F0B10FA1F}"/>
    <cellStyle name="40% - Accent5 22 4 2 2 2 3" xfId="10935" xr:uid="{819BEF22-C327-4F3B-B598-6E0F3DF177EC}"/>
    <cellStyle name="40% - Accent5 22 4 2 2 2 3 2" xfId="27139" xr:uid="{4A652AC1-6F14-45E9-9F00-C7AC92B35FEE}"/>
    <cellStyle name="40% - Accent5 22 4 2 2 2 4" xfId="19462" xr:uid="{36E3800B-258A-4DA9-8BD0-1F70655F023F}"/>
    <cellStyle name="40% - Accent5 22 4 2 2 3" xfId="6179" xr:uid="{FBC43D5E-7E1D-4F8F-98D7-469E36395CAB}"/>
    <cellStyle name="40% - Accent5 22 4 2 2 3 2" xfId="13691" xr:uid="{7208EA6F-2989-4015-8662-17936A0F04D6}"/>
    <cellStyle name="40% - Accent5 22 4 2 2 3 2 2" xfId="29895" xr:uid="{B622E281-5F2D-491E-A8A1-C8D272964781}"/>
    <cellStyle name="40% - Accent5 22 4 2 2 3 3" xfId="22383" xr:uid="{BE4D4F1A-FC79-48B2-ADDF-A54E2FE1D302}"/>
    <cellStyle name="40% - Accent5 22 4 2 2 4" xfId="10091" xr:uid="{EAA11FA2-7182-4E4E-B81B-7F5FBD4008E1}"/>
    <cellStyle name="40% - Accent5 22 4 2 2 4 2" xfId="26295" xr:uid="{35851820-4B59-41A9-8F01-2B3FC8998588}"/>
    <cellStyle name="40% - Accent5 22 4 2 2 5" xfId="18617" xr:uid="{FE76EEEF-4FCA-4BD4-8721-0CDA25D4FABD}"/>
    <cellStyle name="40% - Accent5 22 4 2 3" xfId="2817" xr:uid="{52D1F30D-9882-46BD-976B-5EE768D431A6}"/>
    <cellStyle name="40% - Accent5 22 4 2 3 2" xfId="6601" xr:uid="{D049E073-BEE2-4B6D-B65D-45D695D4BF00}"/>
    <cellStyle name="40% - Accent5 22 4 2 3 2 2" xfId="14113" xr:uid="{FA8BDC6F-663C-49ED-833B-32433E6C112A}"/>
    <cellStyle name="40% - Accent5 22 4 2 3 2 2 2" xfId="30317" xr:uid="{C9554711-064F-482B-AEFD-28D3321F82BB}"/>
    <cellStyle name="40% - Accent5 22 4 2 3 2 3" xfId="22805" xr:uid="{01352F9F-7E76-464E-85B2-7F9A995D25E5}"/>
    <cellStyle name="40% - Accent5 22 4 2 3 3" xfId="10513" xr:uid="{54FB593A-FCF7-4FA7-A7B9-D20204B26A9A}"/>
    <cellStyle name="40% - Accent5 22 4 2 3 3 2" xfId="26717" xr:uid="{47DDA75F-639E-435B-8D51-6B44FDC3A76C}"/>
    <cellStyle name="40% - Accent5 22 4 2 3 4" xfId="19039" xr:uid="{7106B5CB-0E78-4EE4-A171-A07821182823}"/>
    <cellStyle name="40% - Accent5 22 4 2 4" xfId="3748" xr:uid="{BE35BA2C-75E4-4513-9F42-DACA5A4164F0}"/>
    <cellStyle name="40% - Accent5 22 4 2 4 2" xfId="7458" xr:uid="{A1DA4555-35FB-4273-9DD3-895788CB7BC2}"/>
    <cellStyle name="40% - Accent5 22 4 2 4 2 2" xfId="14967" xr:uid="{76D44A0D-3837-4616-9B4F-9182F8CFC510}"/>
    <cellStyle name="40% - Accent5 22 4 2 4 2 2 2" xfId="31171" xr:uid="{42153722-482B-4EC4-91C4-BA759BA6317D}"/>
    <cellStyle name="40% - Accent5 22 4 2 4 2 3" xfId="23662" xr:uid="{E49D8F3B-80DE-4CCB-ADF7-3C8CC67EAD5F}"/>
    <cellStyle name="40% - Accent5 22 4 2 4 3" xfId="11358" xr:uid="{5BDB92FD-3965-40F4-87A2-CC05CD45A0D0}"/>
    <cellStyle name="40% - Accent5 22 4 2 4 3 2" xfId="27562" xr:uid="{12B1E18B-D32C-4813-8216-E73B5C4A482D}"/>
    <cellStyle name="40% - Accent5 22 4 2 4 4" xfId="19957" xr:uid="{3DEA4929-A132-4D28-9770-57208B3EA584}"/>
    <cellStyle name="40% - Accent5 22 4 2 5" xfId="4217" xr:uid="{BB7F696D-6C47-4046-8008-27B935ED8943}"/>
    <cellStyle name="40% - Accent5 22 4 2 5 2" xfId="7887" xr:uid="{A3389C45-5505-42CF-A994-A7118398E324}"/>
    <cellStyle name="40% - Accent5 22 4 2 5 2 2" xfId="15394" xr:uid="{7161A63B-2551-4C0B-8707-B43890813CCC}"/>
    <cellStyle name="40% - Accent5 22 4 2 5 2 2 2" xfId="31598" xr:uid="{7863769B-27E4-4E8D-A8E3-D7A59856480B}"/>
    <cellStyle name="40% - Accent5 22 4 2 5 2 3" xfId="24091" xr:uid="{0B69338D-9670-4464-9398-B4AE6B6849D3}"/>
    <cellStyle name="40% - Accent5 22 4 2 5 3" xfId="11780" xr:uid="{797A8976-1302-4585-8AC9-71BED9F23826}"/>
    <cellStyle name="40% - Accent5 22 4 2 5 3 2" xfId="27984" xr:uid="{3FD68865-FE74-4A3A-931C-FBA4A5C4D450}"/>
    <cellStyle name="40% - Accent5 22 4 2 5 4" xfId="20421" xr:uid="{64EDD6AF-B35D-4F60-924A-1B3B8B7B97BC}"/>
    <cellStyle name="40% - Accent5 22 4 2 6" xfId="4642" xr:uid="{C3961633-3231-4111-B030-81A91F857D2C}"/>
    <cellStyle name="40% - Accent5 22 4 2 6 2" xfId="8312" xr:uid="{EAACDCE0-0829-4256-A754-02DE6CCA3109}"/>
    <cellStyle name="40% - Accent5 22 4 2 6 2 2" xfId="15819" xr:uid="{522404A7-9522-4789-B2CE-FB3E87A654F0}"/>
    <cellStyle name="40% - Accent5 22 4 2 6 2 2 2" xfId="32023" xr:uid="{5642E058-2610-42EB-98F4-9FC89CE33DF0}"/>
    <cellStyle name="40% - Accent5 22 4 2 6 2 3" xfId="24516" xr:uid="{F67D63E1-2282-4570-A219-AB3F91F625CD}"/>
    <cellStyle name="40% - Accent5 22 4 2 6 3" xfId="12205" xr:uid="{F08B58BB-9E17-4747-A1F9-F87A4F3AA85C}"/>
    <cellStyle name="40% - Accent5 22 4 2 6 3 2" xfId="28409" xr:uid="{2833020B-CBE2-49E2-8D98-DE7B9E9E00A6}"/>
    <cellStyle name="40% - Accent5 22 4 2 6 4" xfId="20846" xr:uid="{28E6A7F4-B125-423B-94C6-FD87D7BCAF8F}"/>
    <cellStyle name="40% - Accent5 22 4 2 7" xfId="5069" xr:uid="{D23C52AD-2DFF-4230-85AD-D002940C602D}"/>
    <cellStyle name="40% - Accent5 22 4 2 7 2" xfId="8735" xr:uid="{9CD5C544-EEAE-48B1-87ED-60A9D716BCD5}"/>
    <cellStyle name="40% - Accent5 22 4 2 7 2 2" xfId="16242" xr:uid="{897C34F0-AAD8-4F4A-B0BE-1315AED6C4B2}"/>
    <cellStyle name="40% - Accent5 22 4 2 7 2 2 2" xfId="32446" xr:uid="{AEF91365-058E-47ED-8388-6CAA18CF4736}"/>
    <cellStyle name="40% - Accent5 22 4 2 7 2 3" xfId="24939" xr:uid="{3EE80472-52CD-417D-BE0F-01057A4A3520}"/>
    <cellStyle name="40% - Accent5 22 4 2 7 3" xfId="12627" xr:uid="{0215F04D-7E50-49CF-920C-268365016BFC}"/>
    <cellStyle name="40% - Accent5 22 4 2 7 3 2" xfId="28831" xr:uid="{DF7DDD48-32F7-4860-B94D-B526D2A6C65B}"/>
    <cellStyle name="40% - Accent5 22 4 2 7 4" xfId="21273" xr:uid="{16AB2430-EF61-41F5-AFD8-BEC4926B5DC6}"/>
    <cellStyle name="40% - Accent5 22 4 2 8" xfId="5741" xr:uid="{1A8888B6-67DC-4955-B611-6CAA438368E9}"/>
    <cellStyle name="40% - Accent5 22 4 2 8 2" xfId="13256" xr:uid="{48312FE2-A53E-456D-A8A8-D8EC93DDD928}"/>
    <cellStyle name="40% - Accent5 22 4 2 8 2 2" xfId="29460" xr:uid="{73E60788-13C8-4094-93E8-E07E00F5B3F9}"/>
    <cellStyle name="40% - Accent5 22 4 2 8 3" xfId="21945" xr:uid="{806CCBA1-C1A9-41B0-80B8-3C465DDF4E02}"/>
    <cellStyle name="40% - Accent5 22 4 2 9" xfId="9668" xr:uid="{0CD7C33E-0C23-4BB6-9FC2-B41C7AF68502}"/>
    <cellStyle name="40% - Accent5 22 4 2 9 2" xfId="25872" xr:uid="{909802BC-E14E-48D8-909F-735E1FE04E11}"/>
    <cellStyle name="40% - Accent5 22 4 3" xfId="2128" xr:uid="{B15290E8-E0D4-45B8-A78C-00F85F55A554}"/>
    <cellStyle name="40% - Accent5 22 4 3 2" xfId="3041" xr:uid="{8988D434-E1BC-40A9-918E-9B58F6C9807B}"/>
    <cellStyle name="40% - Accent5 22 4 3 2 2" xfId="6823" xr:uid="{B9DC049F-9390-404F-B697-B5C36E5FD408}"/>
    <cellStyle name="40% - Accent5 22 4 3 2 2 2" xfId="14334" xr:uid="{F8E562BF-D88F-4CCF-A1D6-5FAB640A2A29}"/>
    <cellStyle name="40% - Accent5 22 4 3 2 2 2 2" xfId="30538" xr:uid="{B4CC1C42-8ED1-4B41-B61A-187622CDD6D6}"/>
    <cellStyle name="40% - Accent5 22 4 3 2 2 3" xfId="23027" xr:uid="{4459C5ED-4536-4084-B080-D83AD1A097CC}"/>
    <cellStyle name="40% - Accent5 22 4 3 2 3" xfId="10734" xr:uid="{F3B4A9F4-089F-4256-832B-1219230FC760}"/>
    <cellStyle name="40% - Accent5 22 4 3 2 3 2" xfId="26938" xr:uid="{17641CBE-FF5D-44EE-9AB1-4BB9B2533951}"/>
    <cellStyle name="40% - Accent5 22 4 3 2 4" xfId="19261" xr:uid="{105A6708-7002-450E-AED4-3E450A53A1DD}"/>
    <cellStyle name="40% - Accent5 22 4 3 3" xfId="5967" xr:uid="{FC319A4C-92B9-4BDE-9DF8-5DF10D37CD18}"/>
    <cellStyle name="40% - Accent5 22 4 3 3 2" xfId="13481" xr:uid="{875C2CA5-66A7-4AE7-81F4-AF9252FB3E96}"/>
    <cellStyle name="40% - Accent5 22 4 3 3 2 2" xfId="29685" xr:uid="{D55B2082-F1DF-4205-A46F-CEEF376BD99F}"/>
    <cellStyle name="40% - Accent5 22 4 3 3 3" xfId="22171" xr:uid="{6E8B920E-6053-460D-986F-9506CC8278D1}"/>
    <cellStyle name="40% - Accent5 22 4 3 4" xfId="9890" xr:uid="{2D70E01C-B80F-4F95-8156-1BCC45057768}"/>
    <cellStyle name="40% - Accent5 22 4 3 4 2" xfId="26094" xr:uid="{0775B679-3F20-41B9-B4B1-49F269AA38D9}"/>
    <cellStyle name="40% - Accent5 22 4 3 5" xfId="18415" xr:uid="{6B9FBE78-DD47-4E48-B75E-8020E9B5B8CA}"/>
    <cellStyle name="40% - Accent5 22 4 4" xfId="2616" xr:uid="{995687FE-377C-423B-8962-1E950ADB26DD}"/>
    <cellStyle name="40% - Accent5 22 4 4 2" xfId="6400" xr:uid="{E31C5E58-C334-4067-A80E-EB419A6737D8}"/>
    <cellStyle name="40% - Accent5 22 4 4 2 2" xfId="13912" xr:uid="{F87D4153-DAC3-4B08-BB8B-282AED4662A0}"/>
    <cellStyle name="40% - Accent5 22 4 4 2 2 2" xfId="30116" xr:uid="{02E6A3F5-7A24-4FCA-909B-2E2F2A01C7EE}"/>
    <cellStyle name="40% - Accent5 22 4 4 2 3" xfId="22604" xr:uid="{82999471-0034-4775-B9AB-5382802507C0}"/>
    <cellStyle name="40% - Accent5 22 4 4 3" xfId="10312" xr:uid="{AEE458BF-8F23-4FFE-98E1-8DF979E53DE9}"/>
    <cellStyle name="40% - Accent5 22 4 4 3 2" xfId="26516" xr:uid="{904339D9-17A0-4050-8DB5-8292C78B5059}"/>
    <cellStyle name="40% - Accent5 22 4 4 4" xfId="18838" xr:uid="{C9A5DE48-FFAE-454C-BC83-9F45B0586615}"/>
    <cellStyle name="40% - Accent5 22 4 5" xfId="3492" xr:uid="{77F8237C-DAF1-43F9-BDC9-D3CE82987891}"/>
    <cellStyle name="40% - Accent5 22 4 5 2" xfId="7250" xr:uid="{37698039-7463-4B85-BE3F-E1756575970B}"/>
    <cellStyle name="40% - Accent5 22 4 5 2 2" xfId="14760" xr:uid="{503ACC53-2510-41C8-8738-DCD2C301454F}"/>
    <cellStyle name="40% - Accent5 22 4 5 2 2 2" xfId="30964" xr:uid="{2D84AF28-A973-4FF6-8931-9B0DC3D27F63}"/>
    <cellStyle name="40% - Accent5 22 4 5 2 3" xfId="23454" xr:uid="{3482AE03-A479-4699-878B-4BAC59FF2007}"/>
    <cellStyle name="40% - Accent5 22 4 5 3" xfId="11157" xr:uid="{7CA5757A-6536-4C38-9758-EBC9B9B647BA}"/>
    <cellStyle name="40% - Accent5 22 4 5 3 2" xfId="27361" xr:uid="{A4044259-5FAA-4690-B1F2-2F46142057FB}"/>
    <cellStyle name="40% - Accent5 22 4 5 4" xfId="19708" xr:uid="{097DDA57-8946-4485-B550-57A54708D7B6}"/>
    <cellStyle name="40% - Accent5 22 4 6" xfId="4016" xr:uid="{17B586E6-FDF0-47BA-8BA2-11F8FE79A161}"/>
    <cellStyle name="40% - Accent5 22 4 6 2" xfId="7686" xr:uid="{07745CA8-6110-4E6C-8C78-426D405DE9CF}"/>
    <cellStyle name="40% - Accent5 22 4 6 2 2" xfId="15193" xr:uid="{CFBB37B9-D878-4711-BE5F-6894176064CF}"/>
    <cellStyle name="40% - Accent5 22 4 6 2 2 2" xfId="31397" xr:uid="{90A0DD0D-F700-443D-9904-E31EE4EFD4A9}"/>
    <cellStyle name="40% - Accent5 22 4 6 2 3" xfId="23890" xr:uid="{C14F77C3-352E-4679-B275-082AA6E99AB8}"/>
    <cellStyle name="40% - Accent5 22 4 6 3" xfId="11579" xr:uid="{E8191F1B-C200-4C0F-B1BC-D91B656D6925}"/>
    <cellStyle name="40% - Accent5 22 4 6 3 2" xfId="27783" xr:uid="{4B6F165C-9A18-4246-A9C6-33CA470B9ABD}"/>
    <cellStyle name="40% - Accent5 22 4 6 4" xfId="20220" xr:uid="{7CA6E22D-DFD9-41C6-85DB-D258D3C15552}"/>
    <cellStyle name="40% - Accent5 22 4 7" xfId="4441" xr:uid="{ADAC50AF-E32C-4694-B757-6BF8349243AD}"/>
    <cellStyle name="40% - Accent5 22 4 7 2" xfId="8111" xr:uid="{24CA61B8-44BC-4236-A9AB-6DE5E9C5C4D7}"/>
    <cellStyle name="40% - Accent5 22 4 7 2 2" xfId="15618" xr:uid="{2B333868-83C1-4B20-8651-053B69F6BE82}"/>
    <cellStyle name="40% - Accent5 22 4 7 2 2 2" xfId="31822" xr:uid="{8DFA329F-45AC-4898-A184-F7B2FAF10E26}"/>
    <cellStyle name="40% - Accent5 22 4 7 2 3" xfId="24315" xr:uid="{B3EC0EF3-99E4-42CF-9112-1ACD23F6369D}"/>
    <cellStyle name="40% - Accent5 22 4 7 3" xfId="12004" xr:uid="{2670678D-B3B1-4F0A-B6A4-D61740FCA6CF}"/>
    <cellStyle name="40% - Accent5 22 4 7 3 2" xfId="28208" xr:uid="{897EF59C-AA17-4E1F-A387-98A98A8D03D2}"/>
    <cellStyle name="40% - Accent5 22 4 7 4" xfId="20645" xr:uid="{1043852E-E9B1-4982-8EC9-EBA7422CD572}"/>
    <cellStyle name="40% - Accent5 22 4 8" xfId="4866" xr:uid="{E87DDDF2-A379-4B52-B755-3560E99CEAB1}"/>
    <cellStyle name="40% - Accent5 22 4 8 2" xfId="8534" xr:uid="{F8D5A2C9-C86B-4B5C-B2C2-63A764F9C600}"/>
    <cellStyle name="40% - Accent5 22 4 8 2 2" xfId="16041" xr:uid="{CBB4FC29-7722-40D0-9C54-E5AA30C01E8C}"/>
    <cellStyle name="40% - Accent5 22 4 8 2 2 2" xfId="32245" xr:uid="{C4C14FC3-ABAF-4CD9-9590-81A49711D217}"/>
    <cellStyle name="40% - Accent5 22 4 8 2 3" xfId="24738" xr:uid="{E13256BC-87EA-4AAD-ABEC-C498CCC0D32D}"/>
    <cellStyle name="40% - Accent5 22 4 8 3" xfId="12426" xr:uid="{0BD9D9CB-A26B-4908-B2B1-5D3854B30D5D}"/>
    <cellStyle name="40% - Accent5 22 4 8 3 2" xfId="28630" xr:uid="{A774F714-99BD-4ACA-8445-536D7815B44D}"/>
    <cellStyle name="40% - Accent5 22 4 8 4" xfId="21070" xr:uid="{F4F028BB-3E69-447F-85FF-B086AF148A34}"/>
    <cellStyle name="40% - Accent5 22 4 9" xfId="5352" xr:uid="{B5EC4A5C-5FA7-4FD0-AE09-D4B2339AC365}"/>
    <cellStyle name="40% - Accent5 22 4 9 2" xfId="12901" xr:uid="{A910A186-743B-4211-8DF7-A3B3686061C1}"/>
    <cellStyle name="40% - Accent5 22 4 9 2 2" xfId="29105" xr:uid="{AEB58C42-4FD5-4C2C-880D-60A02893732C}"/>
    <cellStyle name="40% - Accent5 22 4 9 3" xfId="21556" xr:uid="{22482F64-79F0-4E34-AFB9-C0863EF5A29D}"/>
    <cellStyle name="40% - Accent5 22 5" xfId="1448" xr:uid="{E4F0075C-6A1E-4F26-AE3D-ED8F68E17268}"/>
    <cellStyle name="40% - Accent5 22 6" xfId="1887" xr:uid="{D46A399C-2647-4451-B1A3-737A5B164C2A}"/>
    <cellStyle name="40% - Accent5 22 6 10" xfId="18192" xr:uid="{773FDAE2-442F-466D-8D52-81D0A7E7DF9B}"/>
    <cellStyle name="40% - Accent5 22 6 2" xfId="2396" xr:uid="{76622284-1CE8-4A08-8C68-7BD66D54AB1B}"/>
    <cellStyle name="40% - Accent5 22 6 2 2" xfId="3243" xr:uid="{833C9124-FCBC-4F91-927C-91F9DF5464F8}"/>
    <cellStyle name="40% - Accent5 22 6 2 2 2" xfId="7025" xr:uid="{62E796BC-F86A-421F-89BF-1B92761E3DD6}"/>
    <cellStyle name="40% - Accent5 22 6 2 2 2 2" xfId="14536" xr:uid="{66B68206-EB0C-4E2D-A203-13ED982E70F0}"/>
    <cellStyle name="40% - Accent5 22 6 2 2 2 2 2" xfId="30740" xr:uid="{3B434912-2ACC-4271-A24F-0FBB84721CB1}"/>
    <cellStyle name="40% - Accent5 22 6 2 2 2 3" xfId="23229" xr:uid="{74CF8703-07DE-4072-BA47-4BE1E23CADE1}"/>
    <cellStyle name="40% - Accent5 22 6 2 2 3" xfId="10936" xr:uid="{3E646E09-F2BD-492F-92E8-0CADF2FE5D45}"/>
    <cellStyle name="40% - Accent5 22 6 2 2 3 2" xfId="27140" xr:uid="{A9845D41-789F-4475-9030-79CC7124FFD8}"/>
    <cellStyle name="40% - Accent5 22 6 2 2 4" xfId="19463" xr:uid="{ECCF0D4C-D04C-440C-9494-028D1535B6FB}"/>
    <cellStyle name="40% - Accent5 22 6 2 3" xfId="6180" xr:uid="{76C55874-78DF-47B0-A136-DCA6138F78C7}"/>
    <cellStyle name="40% - Accent5 22 6 2 3 2" xfId="13692" xr:uid="{08E19F44-DF4B-47F6-959D-EAC4FB777083}"/>
    <cellStyle name="40% - Accent5 22 6 2 3 2 2" xfId="29896" xr:uid="{118FE19E-5C35-4507-B3DC-ADFD23D2FC3A}"/>
    <cellStyle name="40% - Accent5 22 6 2 3 3" xfId="22384" xr:uid="{A06D5CE7-E705-49CD-98CB-FB9272E09007}"/>
    <cellStyle name="40% - Accent5 22 6 2 4" xfId="10092" xr:uid="{5489F68D-573B-4F1D-8995-ADC3F54DDE26}"/>
    <cellStyle name="40% - Accent5 22 6 2 4 2" xfId="26296" xr:uid="{17DE3482-275F-415A-8C14-C8F86FDF0837}"/>
    <cellStyle name="40% - Accent5 22 6 2 5" xfId="18618" xr:uid="{3DF07710-185A-43D7-8237-C7D68E09FC25}"/>
    <cellStyle name="40% - Accent5 22 6 3" xfId="2818" xr:uid="{47E6227A-233B-4168-BA7E-52E19506255E}"/>
    <cellStyle name="40% - Accent5 22 6 3 2" xfId="6602" xr:uid="{E9D69B1B-A3FB-4722-ADAA-17537472BD42}"/>
    <cellStyle name="40% - Accent5 22 6 3 2 2" xfId="14114" xr:uid="{F23E2092-DAAE-4C57-9791-9FBD7801DDC7}"/>
    <cellStyle name="40% - Accent5 22 6 3 2 2 2" xfId="30318" xr:uid="{961926E1-1491-400F-B9E4-A5849F95D63F}"/>
    <cellStyle name="40% - Accent5 22 6 3 2 3" xfId="22806" xr:uid="{EA399DE9-2364-4D09-841C-C6F6CC22EB3F}"/>
    <cellStyle name="40% - Accent5 22 6 3 3" xfId="10514" xr:uid="{A75C2AC7-7155-4F3C-A99C-96E9A0CF31E9}"/>
    <cellStyle name="40% - Accent5 22 6 3 3 2" xfId="26718" xr:uid="{33A180E5-4282-4196-80AE-F102966863B5}"/>
    <cellStyle name="40% - Accent5 22 6 3 4" xfId="19040" xr:uid="{BEA3A9DA-0525-481E-BBFD-D4C8149A8604}"/>
    <cellStyle name="40% - Accent5 22 6 4" xfId="3749" xr:uid="{8A2AC236-6B83-4040-88A0-06EFD030D135}"/>
    <cellStyle name="40% - Accent5 22 6 4 2" xfId="7459" xr:uid="{E11D92D5-A844-4F6F-B6B1-8733BA678802}"/>
    <cellStyle name="40% - Accent5 22 6 4 2 2" xfId="14968" xr:uid="{2C682993-955C-448F-A878-6BC90BE92218}"/>
    <cellStyle name="40% - Accent5 22 6 4 2 2 2" xfId="31172" xr:uid="{C0FE0522-07CC-41DA-A7B5-99EB8292261C}"/>
    <cellStyle name="40% - Accent5 22 6 4 2 3" xfId="23663" xr:uid="{523C942C-FD37-4F4F-B5E0-9459CF7884BE}"/>
    <cellStyle name="40% - Accent5 22 6 4 3" xfId="11359" xr:uid="{A2613AF4-A4A1-46E1-8C59-722C63256423}"/>
    <cellStyle name="40% - Accent5 22 6 4 3 2" xfId="27563" xr:uid="{BC06D71C-E3CE-4978-9AF4-5A8E55D08D80}"/>
    <cellStyle name="40% - Accent5 22 6 4 4" xfId="19958" xr:uid="{3E38DA3F-CB43-459F-9232-0F89D10F73D6}"/>
    <cellStyle name="40% - Accent5 22 6 5" xfId="4218" xr:uid="{DF0C6563-1077-4314-BA4E-3983B608ADB2}"/>
    <cellStyle name="40% - Accent5 22 6 5 2" xfId="7888" xr:uid="{403B38E5-C8ED-4CF4-A485-D9C954FC63D7}"/>
    <cellStyle name="40% - Accent5 22 6 5 2 2" xfId="15395" xr:uid="{9DE88C4C-D7C6-436B-A863-313A73F319DE}"/>
    <cellStyle name="40% - Accent5 22 6 5 2 2 2" xfId="31599" xr:uid="{FA99D8A4-D299-47AD-9D0E-39B54132FFB7}"/>
    <cellStyle name="40% - Accent5 22 6 5 2 3" xfId="24092" xr:uid="{8C94B755-1C3C-4FDD-89E0-70A2841535A3}"/>
    <cellStyle name="40% - Accent5 22 6 5 3" xfId="11781" xr:uid="{D2CB67ED-7C68-40F3-8F35-E232A3ECEB62}"/>
    <cellStyle name="40% - Accent5 22 6 5 3 2" xfId="27985" xr:uid="{DB515ED2-A1C3-4847-B578-8F32D353A1F0}"/>
    <cellStyle name="40% - Accent5 22 6 5 4" xfId="20422" xr:uid="{9169616F-9168-42D7-9A76-48B90FB563E3}"/>
    <cellStyle name="40% - Accent5 22 6 6" xfId="4643" xr:uid="{AA193E79-158B-47AD-8B5B-22B41619CDEF}"/>
    <cellStyle name="40% - Accent5 22 6 6 2" xfId="8313" xr:uid="{A6F1B4EA-BAAE-4EF6-A957-0B48CB02BAD6}"/>
    <cellStyle name="40% - Accent5 22 6 6 2 2" xfId="15820" xr:uid="{C0FDD24C-10DE-4E1D-A473-62B5D9DD6923}"/>
    <cellStyle name="40% - Accent5 22 6 6 2 2 2" xfId="32024" xr:uid="{08D619FE-700A-4128-A9B9-6AC5DC575CC4}"/>
    <cellStyle name="40% - Accent5 22 6 6 2 3" xfId="24517" xr:uid="{9DEE4A91-B1AF-4C00-AEF9-08CACAA15483}"/>
    <cellStyle name="40% - Accent5 22 6 6 3" xfId="12206" xr:uid="{8E108BF5-5AEE-49B3-8123-FEFF08AC621E}"/>
    <cellStyle name="40% - Accent5 22 6 6 3 2" xfId="28410" xr:uid="{DF47F854-90B9-43A1-A558-79234990DC11}"/>
    <cellStyle name="40% - Accent5 22 6 6 4" xfId="20847" xr:uid="{B5CBF2EB-B65D-49B9-91E0-60194E423419}"/>
    <cellStyle name="40% - Accent5 22 6 7" xfId="5070" xr:uid="{F2E5C84E-851C-4B7E-A327-2DCE978A07D9}"/>
    <cellStyle name="40% - Accent5 22 6 7 2" xfId="8736" xr:uid="{342E81CD-BA3B-4187-AF17-2E99DEEFB76C}"/>
    <cellStyle name="40% - Accent5 22 6 7 2 2" xfId="16243" xr:uid="{16532F6A-839F-402E-B2CD-ED74999F2A2E}"/>
    <cellStyle name="40% - Accent5 22 6 7 2 2 2" xfId="32447" xr:uid="{B8082BF1-1F3C-453E-A040-1D07ADEF3649}"/>
    <cellStyle name="40% - Accent5 22 6 7 2 3" xfId="24940" xr:uid="{E29C92D7-1D65-4B32-8529-88A4FBD5209A}"/>
    <cellStyle name="40% - Accent5 22 6 7 3" xfId="12628" xr:uid="{501A051A-99F5-4EBA-A175-69DF9D227645}"/>
    <cellStyle name="40% - Accent5 22 6 7 3 2" xfId="28832" xr:uid="{E5844EA9-D3F0-470B-AA97-A8C3A3117DD0}"/>
    <cellStyle name="40% - Accent5 22 6 7 4" xfId="21274" xr:uid="{5F76885F-E91B-443A-8807-8E19302EA25B}"/>
    <cellStyle name="40% - Accent5 22 6 8" xfId="5742" xr:uid="{940A5FAD-8B6A-4393-804F-ECBA57F80740}"/>
    <cellStyle name="40% - Accent5 22 6 8 2" xfId="13257" xr:uid="{5D3FEDE5-CCFE-4314-BFCF-A71BF2E3F5AE}"/>
    <cellStyle name="40% - Accent5 22 6 8 2 2" xfId="29461" xr:uid="{AF871919-6014-40C6-8F41-0872144E77C8}"/>
    <cellStyle name="40% - Accent5 22 6 8 3" xfId="21946" xr:uid="{3F242E04-91B2-4922-B628-9283F1608D80}"/>
    <cellStyle name="40% - Accent5 22 6 9" xfId="9669" xr:uid="{FA5813E0-05DC-4B08-9328-4D42601CACA0}"/>
    <cellStyle name="40% - Accent5 22 6 9 2" xfId="25873" xr:uid="{98C548F2-E403-4A0F-AEC4-9921D1B5B909}"/>
    <cellStyle name="40% - Accent5 22 7" xfId="2061" xr:uid="{1FA29FC7-F408-44E2-A51D-FC4E1319AA56}"/>
    <cellStyle name="40% - Accent5 22 7 2" xfId="2974" xr:uid="{C699CB3B-493C-412A-BAFF-8259B9B3807C}"/>
    <cellStyle name="40% - Accent5 22 7 2 2" xfId="6756" xr:uid="{EE055C54-2BA8-4755-9541-6AEF191DAD8E}"/>
    <cellStyle name="40% - Accent5 22 7 2 2 2" xfId="14267" xr:uid="{B1C3BE08-A65C-4E3A-A3F7-30562B116520}"/>
    <cellStyle name="40% - Accent5 22 7 2 2 2 2" xfId="30471" xr:uid="{27314160-9B49-4FFC-9AE7-DF7601087A6E}"/>
    <cellStyle name="40% - Accent5 22 7 2 2 3" xfId="22960" xr:uid="{ACA4EFEC-F5ED-4962-8793-FF6F2348619C}"/>
    <cellStyle name="40% - Accent5 22 7 2 3" xfId="10667" xr:uid="{3D80FB2B-6FE3-4AA5-8480-B4E1EDD0E487}"/>
    <cellStyle name="40% - Accent5 22 7 2 3 2" xfId="26871" xr:uid="{4075AE2A-AA39-44BD-AD11-99364BD5BF66}"/>
    <cellStyle name="40% - Accent5 22 7 2 4" xfId="19194" xr:uid="{19DDC8F9-C2E0-443D-AE9F-7B7B0C03CCE7}"/>
    <cellStyle name="40% - Accent5 22 7 3" xfId="5900" xr:uid="{FE491799-FD2B-4546-889C-689C01038745}"/>
    <cellStyle name="40% - Accent5 22 7 3 2" xfId="13414" xr:uid="{36EBA592-A82A-44AE-A75C-47EA7C42A53D}"/>
    <cellStyle name="40% - Accent5 22 7 3 2 2" xfId="29618" xr:uid="{175906E2-4F4F-4FCA-BA32-0F2E1622AF83}"/>
    <cellStyle name="40% - Accent5 22 7 3 3" xfId="22104" xr:uid="{E5DE753C-0D00-4C51-ACE3-2FAFF07A261F}"/>
    <cellStyle name="40% - Accent5 22 7 4" xfId="9823" xr:uid="{71EF99EE-9D2A-42B1-8238-4E429BFA97A2}"/>
    <cellStyle name="40% - Accent5 22 7 4 2" xfId="26027" xr:uid="{E312AC2C-3BB8-445F-B566-0D5C905FEFA9}"/>
    <cellStyle name="40% - Accent5 22 7 5" xfId="18348" xr:uid="{6E3C0E5F-BBC2-47F1-9ED6-270B47C53AB8}"/>
    <cellStyle name="40% - Accent5 22 8" xfId="2549" xr:uid="{1A2E1132-52FB-4E3F-9046-E15EDF6129D3}"/>
    <cellStyle name="40% - Accent5 22 8 2" xfId="6333" xr:uid="{3A52845E-4136-46F2-AE44-42395911A5EB}"/>
    <cellStyle name="40% - Accent5 22 8 2 2" xfId="13845" xr:uid="{881FC981-51B5-4816-A2CB-680A22CC64BB}"/>
    <cellStyle name="40% - Accent5 22 8 2 2 2" xfId="30049" xr:uid="{C1E7AA95-8D2F-4D66-9DBD-D53951BA2AE1}"/>
    <cellStyle name="40% - Accent5 22 8 2 3" xfId="22537" xr:uid="{A936B504-309B-45FD-B3E5-3BC969B77CE1}"/>
    <cellStyle name="40% - Accent5 22 8 3" xfId="10245" xr:uid="{B7569AF8-0FDE-4AA9-BFF1-A77FED46C183}"/>
    <cellStyle name="40% - Accent5 22 8 3 2" xfId="26449" xr:uid="{3766D09A-D749-4DCB-A7FB-E225CB316108}"/>
    <cellStyle name="40% - Accent5 22 8 4" xfId="18771" xr:uid="{469B7354-BFDA-4FF3-B6E3-84E1E06A0109}"/>
    <cellStyle name="40% - Accent5 22 9" xfId="3425" xr:uid="{DC9727BC-C5BF-4189-BCFD-0A88CB5C9BBC}"/>
    <cellStyle name="40% - Accent5 22 9 2" xfId="7183" xr:uid="{B12AC947-BA00-47B6-A1CC-611112906B78}"/>
    <cellStyle name="40% - Accent5 22 9 2 2" xfId="14693" xr:uid="{9CAC3CC4-DD46-427F-8A53-4F93E0334840}"/>
    <cellStyle name="40% - Accent5 22 9 2 2 2" xfId="30897" xr:uid="{4C4AB9F0-9F72-485B-8A02-AFCF072F54D0}"/>
    <cellStyle name="40% - Accent5 22 9 2 3" xfId="23387" xr:uid="{F7236497-4B83-4EA6-9DF2-21F28E8D15EC}"/>
    <cellStyle name="40% - Accent5 22 9 3" xfId="11090" xr:uid="{BC25E1AD-2A54-4ADF-898D-29487FF75BDC}"/>
    <cellStyle name="40% - Accent5 22 9 3 2" xfId="27294" xr:uid="{2C7FACCE-8957-48D3-9330-112CB26B8484}"/>
    <cellStyle name="40% - Accent5 22 9 4" xfId="19641" xr:uid="{B38B9322-5860-4D87-8ED9-4D3050854550}"/>
    <cellStyle name="40% - Accent5 23" xfId="804" xr:uid="{47A8FC24-4DEA-491A-AE00-88C3BF6EB442}"/>
    <cellStyle name="40% - Accent5 24" xfId="1817" xr:uid="{5B46FC16-448C-40E0-AF88-B8D55771B386}"/>
    <cellStyle name="40% - Accent5 24 10" xfId="18122" xr:uid="{B30F5D05-4254-4395-8D3A-C48CFD2CFCE8}"/>
    <cellStyle name="40% - Accent5 24 2" xfId="2326" xr:uid="{AD36F546-E290-4F6F-B689-1C7739769F07}"/>
    <cellStyle name="40% - Accent5 24 2 2" xfId="3173" xr:uid="{6815CBD0-011D-4BF9-94EC-58E0D1788765}"/>
    <cellStyle name="40% - Accent5 24 2 2 2" xfId="6955" xr:uid="{B9DD21BB-3A53-4D25-9B38-D377C62F6360}"/>
    <cellStyle name="40% - Accent5 24 2 2 2 2" xfId="14466" xr:uid="{8483E6EF-5C10-482F-B478-04277B503D65}"/>
    <cellStyle name="40% - Accent5 24 2 2 2 2 2" xfId="30670" xr:uid="{F8F61C1C-5EE2-4D02-8DEE-E7E5E88E3409}"/>
    <cellStyle name="40% - Accent5 24 2 2 2 3" xfId="23159" xr:uid="{F6D453EB-9AEA-4DB4-9099-CEA5E75B451D}"/>
    <cellStyle name="40% - Accent5 24 2 2 3" xfId="10866" xr:uid="{9CEBB1D3-6D13-4758-85FE-666905F767A4}"/>
    <cellStyle name="40% - Accent5 24 2 2 3 2" xfId="27070" xr:uid="{31BA2C70-B88F-4CC2-A439-DA8F45EF1077}"/>
    <cellStyle name="40% - Accent5 24 2 2 4" xfId="19393" xr:uid="{92C587EB-054F-42A6-ABA0-A7A46CE3151F}"/>
    <cellStyle name="40% - Accent5 24 2 3" xfId="6110" xr:uid="{87D440C7-AA0F-47B8-8C45-E480FB5832CB}"/>
    <cellStyle name="40% - Accent5 24 2 3 2" xfId="13622" xr:uid="{2839335E-2D86-4312-999E-7A99874B2D5A}"/>
    <cellStyle name="40% - Accent5 24 2 3 2 2" xfId="29826" xr:uid="{9A486AD9-69C9-483A-8104-ACADA5F3C712}"/>
    <cellStyle name="40% - Accent5 24 2 3 3" xfId="22314" xr:uid="{CBBD4225-9AF9-408E-A0EA-F3E59B793030}"/>
    <cellStyle name="40% - Accent5 24 2 4" xfId="10022" xr:uid="{A741D898-DB07-48FF-9EBC-CEE3CFC877C3}"/>
    <cellStyle name="40% - Accent5 24 2 4 2" xfId="26226" xr:uid="{E0542A80-7ABB-4624-AB00-8AA2E16CCC72}"/>
    <cellStyle name="40% - Accent5 24 2 5" xfId="18548" xr:uid="{8D55A786-D4EA-45E6-8C35-8B545192B368}"/>
    <cellStyle name="40% - Accent5 24 3" xfId="2748" xr:uid="{7B289D8D-ED7B-4677-B674-A5ECEBA4F074}"/>
    <cellStyle name="40% - Accent5 24 3 2" xfId="6532" xr:uid="{845C5955-5733-49AE-8F5E-97032D1543E5}"/>
    <cellStyle name="40% - Accent5 24 3 2 2" xfId="14044" xr:uid="{C2831259-0408-4CE9-B126-C47D7B74D7F3}"/>
    <cellStyle name="40% - Accent5 24 3 2 2 2" xfId="30248" xr:uid="{6D10CB66-112B-49BE-965D-BF0100385A7E}"/>
    <cellStyle name="40% - Accent5 24 3 2 3" xfId="22736" xr:uid="{428D00A4-D363-464C-A911-558D1961A950}"/>
    <cellStyle name="40% - Accent5 24 3 3" xfId="10444" xr:uid="{97A6BFF8-2461-4FB8-B276-E29BD85154B5}"/>
    <cellStyle name="40% - Accent5 24 3 3 2" xfId="26648" xr:uid="{E677EEF3-C3CC-4638-8D05-D32BC843C8A3}"/>
    <cellStyle name="40% - Accent5 24 3 4" xfId="18970" xr:uid="{7AD15269-3998-4ED6-81A8-F9943EA686B7}"/>
    <cellStyle name="40% - Accent5 24 4" xfId="3679" xr:uid="{F2BAC88F-ECE2-453D-91C1-6783B220E7DF}"/>
    <cellStyle name="40% - Accent5 24 4 2" xfId="7389" xr:uid="{BAA9B83C-8A9B-41F3-BD29-DB24B2709A8B}"/>
    <cellStyle name="40% - Accent5 24 4 2 2" xfId="14898" xr:uid="{390845C4-F0C9-4F28-A320-302BC086579C}"/>
    <cellStyle name="40% - Accent5 24 4 2 2 2" xfId="31102" xr:uid="{A2260789-B419-4F5D-AA16-2B23564FC8A5}"/>
    <cellStyle name="40% - Accent5 24 4 2 3" xfId="23593" xr:uid="{9CA5B4BC-5F02-4B2D-832A-3F36A2F25A5A}"/>
    <cellStyle name="40% - Accent5 24 4 3" xfId="11289" xr:uid="{6C376D07-EEA3-4391-85F2-67E0B3594DFE}"/>
    <cellStyle name="40% - Accent5 24 4 3 2" xfId="27493" xr:uid="{E4A18E32-6D91-42E2-ABD4-6A20CF79087A}"/>
    <cellStyle name="40% - Accent5 24 4 4" xfId="19888" xr:uid="{B0DE73F1-8469-4F4E-BF81-5EA27D5A6447}"/>
    <cellStyle name="40% - Accent5 24 5" xfId="4148" xr:uid="{7B7DAD1A-842B-4410-8F8A-4E8A2EC2E71D}"/>
    <cellStyle name="40% - Accent5 24 5 2" xfId="7818" xr:uid="{DD278492-51F7-4B51-B859-9B6A2D5CE410}"/>
    <cellStyle name="40% - Accent5 24 5 2 2" xfId="15325" xr:uid="{EEDB0498-E604-4E28-9F79-ACD787CB1559}"/>
    <cellStyle name="40% - Accent5 24 5 2 2 2" xfId="31529" xr:uid="{D4C897EE-3026-4DB2-8EC7-FE5C00E7A548}"/>
    <cellStyle name="40% - Accent5 24 5 2 3" xfId="24022" xr:uid="{AD7BE3BB-5F1C-4B01-87F2-806D123FDC53}"/>
    <cellStyle name="40% - Accent5 24 5 3" xfId="11711" xr:uid="{D78435BB-4DA8-46F4-BF72-5CC648599B36}"/>
    <cellStyle name="40% - Accent5 24 5 3 2" xfId="27915" xr:uid="{561F71D2-C44E-471D-AFAE-9AD132B4E257}"/>
    <cellStyle name="40% - Accent5 24 5 4" xfId="20352" xr:uid="{0CC29D63-A4BF-416D-95B3-65F8EBB69653}"/>
    <cellStyle name="40% - Accent5 24 6" xfId="4573" xr:uid="{878DF42D-E747-4AF4-B520-91C2B039DFB8}"/>
    <cellStyle name="40% - Accent5 24 6 2" xfId="8243" xr:uid="{2886706E-A5D0-406C-AC5E-B19FB66BB557}"/>
    <cellStyle name="40% - Accent5 24 6 2 2" xfId="15750" xr:uid="{FB107B5A-5A0C-43C7-9F53-163A4624E883}"/>
    <cellStyle name="40% - Accent5 24 6 2 2 2" xfId="31954" xr:uid="{C596227F-4848-450B-9726-9A9EDB9D8B8B}"/>
    <cellStyle name="40% - Accent5 24 6 2 3" xfId="24447" xr:uid="{A2E040C9-1270-4FDE-913E-F8F73E583C9E}"/>
    <cellStyle name="40% - Accent5 24 6 3" xfId="12136" xr:uid="{6CC6E04E-EBBB-470A-8222-1128E6A82CFA}"/>
    <cellStyle name="40% - Accent5 24 6 3 2" xfId="28340" xr:uid="{5825F867-4EFF-41FE-9B3E-79DAA38D73C2}"/>
    <cellStyle name="40% - Accent5 24 6 4" xfId="20777" xr:uid="{49AC3B69-75D2-481D-95B7-8532595BD4A6}"/>
    <cellStyle name="40% - Accent5 24 7" xfId="5000" xr:uid="{4760F050-50C6-4FCE-B9E7-38F2CE7CBBE8}"/>
    <cellStyle name="40% - Accent5 24 7 2" xfId="8666" xr:uid="{4E95E63E-3AAA-420A-A1E9-268E88B82FB7}"/>
    <cellStyle name="40% - Accent5 24 7 2 2" xfId="16173" xr:uid="{08B90453-A025-4431-B365-5D4A3EBD1218}"/>
    <cellStyle name="40% - Accent5 24 7 2 2 2" xfId="32377" xr:uid="{47426C6B-724B-44B2-A2B1-7F2A9300820A}"/>
    <cellStyle name="40% - Accent5 24 7 2 3" xfId="24870" xr:uid="{5D8283A1-AFEF-4DB3-9EF7-D115BBAEDD47}"/>
    <cellStyle name="40% - Accent5 24 7 3" xfId="12558" xr:uid="{3F02DFEB-5BF0-46DD-8BC1-81E8B844E8FC}"/>
    <cellStyle name="40% - Accent5 24 7 3 2" xfId="28762" xr:uid="{5FBFCFDC-053C-4897-A898-FADBE834EDCE}"/>
    <cellStyle name="40% - Accent5 24 7 4" xfId="21204" xr:uid="{0A29BA75-2164-46AD-AA9F-C81A24FF332B}"/>
    <cellStyle name="40% - Accent5 24 8" xfId="5672" xr:uid="{67ABE8E2-31FF-4B11-A0DA-AC1D786F20ED}"/>
    <cellStyle name="40% - Accent5 24 8 2" xfId="13187" xr:uid="{59CE6432-BF01-477F-B59A-D88999E88983}"/>
    <cellStyle name="40% - Accent5 24 8 2 2" xfId="29391" xr:uid="{DA33DF88-AD9B-40DE-A528-EC5D2BD61DDF}"/>
    <cellStyle name="40% - Accent5 24 8 3" xfId="21876" xr:uid="{91EC70BF-AB2B-4F00-8756-7ADB653585D6}"/>
    <cellStyle name="40% - Accent5 24 9" xfId="9599" xr:uid="{70F496A7-303E-4601-BE4F-9A8F0418D3BD}"/>
    <cellStyle name="40% - Accent5 24 9 2" xfId="25803" xr:uid="{BAA77CC4-3A95-4292-8E80-4C1881839614}"/>
    <cellStyle name="40% - Accent5 25" xfId="216" xr:uid="{6580EE89-1A7B-4ED1-A06D-90ECE3B114CF}"/>
    <cellStyle name="40% - Accent5 26" xfId="16860" xr:uid="{CB803590-88CE-4E92-BFBC-FC5D927BA09F}"/>
    <cellStyle name="40% - Accent5 3" xfId="229" xr:uid="{0FA754E0-BF42-405C-BE95-C84C7590003A}"/>
    <cellStyle name="40% - Accent5 3 2" xfId="1461" xr:uid="{759AE99E-5E2D-43DE-9FE2-82F607221A06}"/>
    <cellStyle name="40% - Accent5 3 3" xfId="791" xr:uid="{897B3AEF-0114-4A24-9095-4F3C840EC162}"/>
    <cellStyle name="40% - Accent5 4" xfId="230" xr:uid="{2BF3605A-FBBE-4AAC-8082-9D1625543428}"/>
    <cellStyle name="40% - Accent5 4 2" xfId="1462" xr:uid="{8AB3A4AA-BCCF-4E1B-B4C2-1635E45273C9}"/>
    <cellStyle name="40% - Accent5 4 3" xfId="790" xr:uid="{AFA6679A-34D1-4934-8BC1-F6E6C33FBE35}"/>
    <cellStyle name="40% - Accent5 5" xfId="231" xr:uid="{6CCF94B7-BC4F-4B18-AA1E-5531FA58E85B}"/>
    <cellStyle name="40% - Accent5 5 2" xfId="1463" xr:uid="{E048975D-4EAE-419A-9AB3-F3303927CB31}"/>
    <cellStyle name="40% - Accent5 5 3" xfId="789" xr:uid="{DD74B6FC-DE8D-4638-8E8B-EACA54A027D0}"/>
    <cellStyle name="40% - Accent5 6" xfId="232" xr:uid="{9B06BDFB-8866-4B29-A0EA-94AAA5F063B2}"/>
    <cellStyle name="40% - Accent5 6 2" xfId="1464" xr:uid="{5713E0B8-7C07-4C08-8AB5-E030BC8ECAFF}"/>
    <cellStyle name="40% - Accent5 6 3" xfId="788" xr:uid="{379C0338-DB00-42EB-84E3-586E404EDC2B}"/>
    <cellStyle name="40% - Accent5 7" xfId="233" xr:uid="{CD6B170B-BDBF-40AC-8CBE-7B6D9319FFAD}"/>
    <cellStyle name="40% - Accent5 7 2" xfId="1465" xr:uid="{EE5D9BCD-DB15-4ED2-AC5D-D8F0EB85DD2C}"/>
    <cellStyle name="40% - Accent5 7 3" xfId="787" xr:uid="{1B0AE6E2-ECD6-4AE3-A78A-2E140996E34A}"/>
    <cellStyle name="40% - Accent5 8" xfId="234" xr:uid="{1CC916F5-34F5-456F-9E1A-EC8123BD41FA}"/>
    <cellStyle name="40% - Accent5 8 2" xfId="1466" xr:uid="{F6A1BEBE-3464-4F16-B344-AE5B7C6CC1BD}"/>
    <cellStyle name="40% - Accent5 8 3" xfId="786" xr:uid="{DC472A37-776F-43D2-B901-B9D701DACBF1}"/>
    <cellStyle name="40% - Accent5 9" xfId="235" xr:uid="{70BAFE18-69D9-4935-867C-EF3273EAFFF6}"/>
    <cellStyle name="40% - Accent5 9 2" xfId="1467" xr:uid="{0A733686-9B34-4202-AA07-92F13AA39F11}"/>
    <cellStyle name="40% - Accent5 9 3" xfId="785" xr:uid="{51EE5C2F-AB53-476E-8148-9CF52886F8A7}"/>
    <cellStyle name="40% - Accent6 10" xfId="237" xr:uid="{01F70F87-B1BD-4DCA-BC48-83CCC2112081}"/>
    <cellStyle name="40% - Accent6 10 2" xfId="1469" xr:uid="{1591C61A-E7BA-4AAD-9560-0900DAE13EEA}"/>
    <cellStyle name="40% - Accent6 10 3" xfId="783" xr:uid="{1AB038A1-8F89-4ACC-9D9E-6DC2FDBF1952}"/>
    <cellStyle name="40% - Accent6 11" xfId="238" xr:uid="{E2418C8E-0143-46E0-816F-9760DE8D8599}"/>
    <cellStyle name="40% - Accent6 11 2" xfId="1470" xr:uid="{93C89411-68C1-42BC-ACB7-103318FFBD56}"/>
    <cellStyle name="40% - Accent6 11 3" xfId="782" xr:uid="{DA1228AD-2974-43F5-8618-B5AA4EBCDA1D}"/>
    <cellStyle name="40% - Accent6 12" xfId="239" xr:uid="{EE283FE3-2B56-4C0D-9CF9-D2CD82FB1CAC}"/>
    <cellStyle name="40% - Accent6 12 2" xfId="1471" xr:uid="{A2F686AE-DEA5-4AA2-819D-68DEA193A3A4}"/>
    <cellStyle name="40% - Accent6 12 3" xfId="781" xr:uid="{C72B5527-EB8A-43D9-93DD-19323B677EA2}"/>
    <cellStyle name="40% - Accent6 13" xfId="240" xr:uid="{58B6E7DA-385B-465F-9C51-FD221660166A}"/>
    <cellStyle name="40% - Accent6 13 2" xfId="1472" xr:uid="{3B8C87CE-CD01-4197-A448-AA849B315722}"/>
    <cellStyle name="40% - Accent6 13 3" xfId="780" xr:uid="{C68C41FE-BB25-461A-BE8C-436BFCA21008}"/>
    <cellStyle name="40% - Accent6 14" xfId="241" xr:uid="{6EACC862-1A0F-4C8E-A8BD-402D5748D03F}"/>
    <cellStyle name="40% - Accent6 14 2" xfId="1473" xr:uid="{B12604D2-E2A1-4CD6-A1C6-514069013FC4}"/>
    <cellStyle name="40% - Accent6 14 3" xfId="779" xr:uid="{66B02DC2-9A7A-4685-834C-26DB86837A1E}"/>
    <cellStyle name="40% - Accent6 15" xfId="242" xr:uid="{8AEE442F-2B1A-40C0-BA02-4F2DB5745AA3}"/>
    <cellStyle name="40% - Accent6 15 2" xfId="1474" xr:uid="{2B76C904-6E37-4276-B4E3-73293E1EC78B}"/>
    <cellStyle name="40% - Accent6 15 3" xfId="778" xr:uid="{D5230F51-6957-4932-8A08-8E527C6C4419}"/>
    <cellStyle name="40% - Accent6 16" xfId="243" xr:uid="{AF597E25-1909-492D-BE85-A02AD3045412}"/>
    <cellStyle name="40% - Accent6 16 2" xfId="1475" xr:uid="{69A4284F-45CF-45A2-AF33-BF949AA6E4CD}"/>
    <cellStyle name="40% - Accent6 16 3" xfId="777" xr:uid="{9413E53D-E7B3-4B2F-84A7-2B3AF9A58BE1}"/>
    <cellStyle name="40% - Accent6 17" xfId="244" xr:uid="{8C04836D-05DF-4EC4-86BE-584674B29E3C}"/>
    <cellStyle name="40% - Accent6 17 2" xfId="1476" xr:uid="{6A289DEB-0366-4A1C-964A-78B5BE9771FC}"/>
    <cellStyle name="40% - Accent6 17 3" xfId="776" xr:uid="{7301E2AD-4CB6-43E5-B749-1B0BBFBC7366}"/>
    <cellStyle name="40% - Accent6 18" xfId="245" xr:uid="{135C1575-946E-444A-9589-745BDF389A91}"/>
    <cellStyle name="40% - Accent6 18 2" xfId="1477" xr:uid="{A700BD72-60B9-4422-A3CB-6DC77C2529D8}"/>
    <cellStyle name="40% - Accent6 18 3" xfId="775" xr:uid="{26B7476E-3760-4AF0-8668-6E9CF567F15D}"/>
    <cellStyle name="40% - Accent6 19" xfId="246" xr:uid="{1B210783-DAA1-4FC1-8011-E5C7DE2A608E}"/>
    <cellStyle name="40% - Accent6 19 2" xfId="1478" xr:uid="{11AD9063-4564-41DE-A229-388AF8AAC895}"/>
    <cellStyle name="40% - Accent6 19 3" xfId="774" xr:uid="{D98906D1-D052-4143-BD67-30A37B543D32}"/>
    <cellStyle name="40% - Accent6 2" xfId="247" xr:uid="{01C04B69-513F-4177-B5C2-56DB564A0BB7}"/>
    <cellStyle name="40% - Accent6 2 2" xfId="1479" xr:uid="{C047E959-51FE-4928-88B5-B45C9F93ADFC}"/>
    <cellStyle name="40% - Accent6 2 3" xfId="773" xr:uid="{1099A711-7DC5-496D-A5CE-7B379AF849FE}"/>
    <cellStyle name="40% - Accent6 20" xfId="248" xr:uid="{A9F61D3A-1862-40E8-B0FD-69918ABCDD81}"/>
    <cellStyle name="40% - Accent6 20 2" xfId="1480" xr:uid="{F608B8E2-D360-4A15-809E-CFA4C12E5984}"/>
    <cellStyle name="40% - Accent6 20 3" xfId="772" xr:uid="{95BE82AC-7D87-4475-AEED-18395056F85E}"/>
    <cellStyle name="40% - Accent6 21" xfId="413" xr:uid="{F4929C0B-36F6-4132-AE28-24B8145FAD0D}"/>
    <cellStyle name="40% - Accent6 21 2" xfId="1007" xr:uid="{590223FE-C1D1-463A-9ACC-B6392F7570EA}"/>
    <cellStyle name="40% - Accent6 22" xfId="487" xr:uid="{FF711CF3-0ACB-4223-9F2E-A440CBCA025C}"/>
    <cellStyle name="40% - Accent6 22 10" xfId="3951" xr:uid="{EFD079DB-55A1-4D9E-AD04-941AC30380FC}"/>
    <cellStyle name="40% - Accent6 22 10 2" xfId="7621" xr:uid="{2A13D973-AFE8-4D68-A121-BC9AB141A85B}"/>
    <cellStyle name="40% - Accent6 22 10 2 2" xfId="15128" xr:uid="{F0F98C9A-58AB-496C-A879-1775A57C5270}"/>
    <cellStyle name="40% - Accent6 22 10 2 2 2" xfId="31332" xr:uid="{8BCB3B38-7C9A-4855-B631-524A89681C15}"/>
    <cellStyle name="40% - Accent6 22 10 2 3" xfId="23825" xr:uid="{7A4DE510-BB79-40CD-9C0A-EBE368882505}"/>
    <cellStyle name="40% - Accent6 22 10 3" xfId="11514" xr:uid="{C6674FF6-0E97-443D-A6B1-700BC61057C7}"/>
    <cellStyle name="40% - Accent6 22 10 3 2" xfId="27718" xr:uid="{E0743CAB-F5FD-49B3-8653-FA6D5966A1CF}"/>
    <cellStyle name="40% - Accent6 22 10 4" xfId="20155" xr:uid="{FFE2DFC8-3721-46E4-A10B-32E326B96761}"/>
    <cellStyle name="40% - Accent6 22 11" xfId="4376" xr:uid="{D132399B-A1DD-46C0-BBC0-93C0F7D634B7}"/>
    <cellStyle name="40% - Accent6 22 11 2" xfId="8046" xr:uid="{64940A2A-C2C8-457E-9241-C47A12010B36}"/>
    <cellStyle name="40% - Accent6 22 11 2 2" xfId="15553" xr:uid="{CB832435-285C-4117-8453-35C219BBE511}"/>
    <cellStyle name="40% - Accent6 22 11 2 2 2" xfId="31757" xr:uid="{D698E30D-C807-4C85-9D9D-880DF04FF3AF}"/>
    <cellStyle name="40% - Accent6 22 11 2 3" xfId="24250" xr:uid="{4403B541-B3F8-4FD2-B575-13D16B242F9D}"/>
    <cellStyle name="40% - Accent6 22 11 3" xfId="11939" xr:uid="{61E640F2-4FB0-48BF-9139-C9DC5A5BEE1A}"/>
    <cellStyle name="40% - Accent6 22 11 3 2" xfId="28143" xr:uid="{8E2D90C2-AB85-49C6-AD8B-B60AF9514203}"/>
    <cellStyle name="40% - Accent6 22 11 4" xfId="20580" xr:uid="{7676C30F-7A33-498A-B36B-E35BB32009F5}"/>
    <cellStyle name="40% - Accent6 22 12" xfId="4799" xr:uid="{5F5710FB-B2C0-47CD-8972-55E3C8628FB1}"/>
    <cellStyle name="40% - Accent6 22 12 2" xfId="8468" xr:uid="{CFB51111-4B55-4EF6-9D62-9F2192E0E785}"/>
    <cellStyle name="40% - Accent6 22 12 2 2" xfId="15975" xr:uid="{FCD63C1A-3E94-42F5-8C22-73D43BE991EC}"/>
    <cellStyle name="40% - Accent6 22 12 2 2 2" xfId="32179" xr:uid="{7EE42D49-4C07-4C37-9E7F-C3AF62C3F03B}"/>
    <cellStyle name="40% - Accent6 22 12 2 3" xfId="24672" xr:uid="{14258146-1EAD-4492-8B27-513CD0543A32}"/>
    <cellStyle name="40% - Accent6 22 12 3" xfId="12361" xr:uid="{CC48D205-2ABE-4A81-B2C3-C763133FF778}"/>
    <cellStyle name="40% - Accent6 22 12 3 2" xfId="28565" xr:uid="{69163B97-6331-4299-98F1-8DCDCEA269BF}"/>
    <cellStyle name="40% - Accent6 22 12 4" xfId="21003" xr:uid="{19C55AD6-B29B-4F51-8877-05D5889E8438}"/>
    <cellStyle name="40% - Accent6 22 13" xfId="5287" xr:uid="{EEC9DD95-2E27-4D3C-A9E2-C8BF7281E509}"/>
    <cellStyle name="40% - Accent6 22 13 2" xfId="12836" xr:uid="{9C03684F-9099-438E-A373-9E82F39ADDD1}"/>
    <cellStyle name="40% - Accent6 22 13 2 2" xfId="29040" xr:uid="{C39ACB1C-78B0-4784-BD4D-791CFA65CEA3}"/>
    <cellStyle name="40% - Accent6 22 13 3" xfId="21491" xr:uid="{7CF67629-9C39-43D7-BB60-01F259ED3F92}"/>
    <cellStyle name="40% - Accent6 22 14" xfId="9402" xr:uid="{0659CF24-0BC5-4F8B-A29A-EA19CFC889AC}"/>
    <cellStyle name="40% - Accent6 22 14 2" xfId="25606" xr:uid="{DFA0FCDC-76EB-4EAE-A2D5-1AEF062532D6}"/>
    <cellStyle name="40% - Accent6 22 15" xfId="17916" xr:uid="{983DAD96-E9CF-4FA8-BA21-3AF24A0B5ADC}"/>
    <cellStyle name="40% - Accent6 22 2" xfId="512" xr:uid="{0BB969EA-757B-47F6-996D-A84867CE22D6}"/>
    <cellStyle name="40% - Accent6 22 2 10" xfId="5309" xr:uid="{1AA25B12-8E0E-4808-A567-D51FC15CF1D1}"/>
    <cellStyle name="40% - Accent6 22 2 10 2" xfId="12858" xr:uid="{C14B91A2-F5D3-4933-8D7C-4187975F5737}"/>
    <cellStyle name="40% - Accent6 22 2 10 2 2" xfId="29062" xr:uid="{A31F1C26-2BC1-490C-BA40-F88649079436}"/>
    <cellStyle name="40% - Accent6 22 2 10 3" xfId="21513" xr:uid="{CA3F7E4F-2DF3-415B-9A36-E2598326A6F0}"/>
    <cellStyle name="40% - Accent6 22 2 11" xfId="9424" xr:uid="{965F7001-C636-4491-8DC1-ACB6B0A01233}"/>
    <cellStyle name="40% - Accent6 22 2 11 2" xfId="25628" xr:uid="{B4DD072C-9FB4-4A05-B038-B6D7C0AA6055}"/>
    <cellStyle name="40% - Accent6 22 2 12" xfId="17939" xr:uid="{1240C294-B485-4EB1-BFA8-01EAEE3DD864}"/>
    <cellStyle name="40% - Accent6 22 2 2" xfId="583" xr:uid="{C914A30F-10C2-43AB-9A6E-1DCF6C0A9930}"/>
    <cellStyle name="40% - Accent6 22 2 2 10" xfId="9491" xr:uid="{312343CF-CCF9-40FA-918C-AC72312FF7CF}"/>
    <cellStyle name="40% - Accent6 22 2 2 10 2" xfId="25695" xr:uid="{93DDEB5F-7FC0-499F-A34F-C066E7EDBFE9}"/>
    <cellStyle name="40% - Accent6 22 2 2 11" xfId="18007" xr:uid="{73484C1E-66C5-4F60-B397-E06BA5425052}"/>
    <cellStyle name="40% - Accent6 22 2 2 2" xfId="1888" xr:uid="{A727C5A2-070C-409F-B21A-2AEF7D9DA047}"/>
    <cellStyle name="40% - Accent6 22 2 2 2 10" xfId="18193" xr:uid="{770F13F1-D04D-4C87-B437-F11CC71D24DF}"/>
    <cellStyle name="40% - Accent6 22 2 2 2 2" xfId="2397" xr:uid="{16A0EC64-BF51-4D4B-AFB0-68D0775DC0DA}"/>
    <cellStyle name="40% - Accent6 22 2 2 2 2 2" xfId="3244" xr:uid="{A40DBBCE-44EC-4913-8110-042B5DBC7A77}"/>
    <cellStyle name="40% - Accent6 22 2 2 2 2 2 2" xfId="7026" xr:uid="{C8564152-784C-4E2B-AC93-19C092E1D60F}"/>
    <cellStyle name="40% - Accent6 22 2 2 2 2 2 2 2" xfId="14537" xr:uid="{41C7C6F1-D611-4875-9E62-18375DB8019A}"/>
    <cellStyle name="40% - Accent6 22 2 2 2 2 2 2 2 2" xfId="30741" xr:uid="{CA6C585C-95D6-4FE5-86B9-9AFDDD6661BF}"/>
    <cellStyle name="40% - Accent6 22 2 2 2 2 2 2 3" xfId="23230" xr:uid="{C02A9355-E7C4-42F4-966A-612775607ECB}"/>
    <cellStyle name="40% - Accent6 22 2 2 2 2 2 3" xfId="10937" xr:uid="{4961AEE9-7BE3-4E20-8A78-0BEFA811658E}"/>
    <cellStyle name="40% - Accent6 22 2 2 2 2 2 3 2" xfId="27141" xr:uid="{CFF0860D-923C-495C-8DBE-94658765D8D6}"/>
    <cellStyle name="40% - Accent6 22 2 2 2 2 2 4" xfId="19464" xr:uid="{5A9D23F8-0C76-4B3B-BDB9-4D26506EDE35}"/>
    <cellStyle name="40% - Accent6 22 2 2 2 2 3" xfId="6181" xr:uid="{7BCB2CFC-1FC0-4EAD-B1C8-8B24E1937173}"/>
    <cellStyle name="40% - Accent6 22 2 2 2 2 3 2" xfId="13693" xr:uid="{12A3DF8C-B1B3-4383-886B-72A57D6D2302}"/>
    <cellStyle name="40% - Accent6 22 2 2 2 2 3 2 2" xfId="29897" xr:uid="{7EC027DD-DB72-40E7-A556-06E8E39AF869}"/>
    <cellStyle name="40% - Accent6 22 2 2 2 2 3 3" xfId="22385" xr:uid="{B31C5E4B-EF29-49A1-8A03-E0437EB18E8D}"/>
    <cellStyle name="40% - Accent6 22 2 2 2 2 4" xfId="10093" xr:uid="{14A829C4-0897-4238-A615-7A2B15CF4ACD}"/>
    <cellStyle name="40% - Accent6 22 2 2 2 2 4 2" xfId="26297" xr:uid="{4BC93503-40E1-44C7-8798-E17A0205762C}"/>
    <cellStyle name="40% - Accent6 22 2 2 2 2 5" xfId="18619" xr:uid="{AED3EDD4-87B0-4D84-ABCF-6EB981C42013}"/>
    <cellStyle name="40% - Accent6 22 2 2 2 3" xfId="2819" xr:uid="{569A9BFC-350D-49EB-B8C4-3D01AAC88624}"/>
    <cellStyle name="40% - Accent6 22 2 2 2 3 2" xfId="6603" xr:uid="{99BEF695-FBEF-4A11-BEC4-D6CA092F8953}"/>
    <cellStyle name="40% - Accent6 22 2 2 2 3 2 2" xfId="14115" xr:uid="{70611D21-5BA6-4E91-89DD-C6A0AA294766}"/>
    <cellStyle name="40% - Accent6 22 2 2 2 3 2 2 2" xfId="30319" xr:uid="{D68BDAAF-5CFC-4AE8-9355-AE611F9C6AAA}"/>
    <cellStyle name="40% - Accent6 22 2 2 2 3 2 3" xfId="22807" xr:uid="{FA27AC28-A1E6-4BD8-AF7E-E2D008F90390}"/>
    <cellStyle name="40% - Accent6 22 2 2 2 3 3" xfId="10515" xr:uid="{918B9353-E83A-45CE-BE5F-0FC1C07E2971}"/>
    <cellStyle name="40% - Accent6 22 2 2 2 3 3 2" xfId="26719" xr:uid="{A8B5E7F1-078F-449F-ADD6-A75799299C8E}"/>
    <cellStyle name="40% - Accent6 22 2 2 2 3 4" xfId="19041" xr:uid="{0FBFA599-4835-40B3-8381-B3952CD16439}"/>
    <cellStyle name="40% - Accent6 22 2 2 2 4" xfId="3750" xr:uid="{D2F9FE78-BF7A-4FD4-8F58-0D597C194C69}"/>
    <cellStyle name="40% - Accent6 22 2 2 2 4 2" xfId="7460" xr:uid="{EFA537FE-DA59-452D-BB4B-A04AE4D4C2FE}"/>
    <cellStyle name="40% - Accent6 22 2 2 2 4 2 2" xfId="14969" xr:uid="{F5A16E66-4647-4223-989E-D75C7E59D9BD}"/>
    <cellStyle name="40% - Accent6 22 2 2 2 4 2 2 2" xfId="31173" xr:uid="{78E10065-7FB4-4922-9B5C-DBD17E87FCF8}"/>
    <cellStyle name="40% - Accent6 22 2 2 2 4 2 3" xfId="23664" xr:uid="{483F2A76-9B64-450E-956B-866A41CEFB3B}"/>
    <cellStyle name="40% - Accent6 22 2 2 2 4 3" xfId="11360" xr:uid="{6D66581B-EC11-4520-B823-54545152D1DE}"/>
    <cellStyle name="40% - Accent6 22 2 2 2 4 3 2" xfId="27564" xr:uid="{98D1451B-1E29-4C00-A066-854AC6B1AE8F}"/>
    <cellStyle name="40% - Accent6 22 2 2 2 4 4" xfId="19959" xr:uid="{838BE5AD-3D6D-43F6-93D9-F5797F9D361B}"/>
    <cellStyle name="40% - Accent6 22 2 2 2 5" xfId="4219" xr:uid="{988C204A-FAF5-4924-B141-8D0160A16010}"/>
    <cellStyle name="40% - Accent6 22 2 2 2 5 2" xfId="7889" xr:uid="{57BB7863-D5F2-4FE5-A640-C05C66132AAF}"/>
    <cellStyle name="40% - Accent6 22 2 2 2 5 2 2" xfId="15396" xr:uid="{3B2510B6-AF3C-428D-A4AB-6D268FC99F96}"/>
    <cellStyle name="40% - Accent6 22 2 2 2 5 2 2 2" xfId="31600" xr:uid="{F61FFE6D-6ECE-4A04-87F2-416B2A879192}"/>
    <cellStyle name="40% - Accent6 22 2 2 2 5 2 3" xfId="24093" xr:uid="{34148563-BCB6-47CA-AC67-B2FC8BE73EBC}"/>
    <cellStyle name="40% - Accent6 22 2 2 2 5 3" xfId="11782" xr:uid="{479FCCB5-68DA-4630-84D8-63F7492574B4}"/>
    <cellStyle name="40% - Accent6 22 2 2 2 5 3 2" xfId="27986" xr:uid="{36779E7F-D3F4-48A8-94F7-9B9708A99A15}"/>
    <cellStyle name="40% - Accent6 22 2 2 2 5 4" xfId="20423" xr:uid="{079DA5FD-707A-42CE-97BF-A1EA3FD852C6}"/>
    <cellStyle name="40% - Accent6 22 2 2 2 6" xfId="4644" xr:uid="{479924E4-1254-41DE-BCFD-3267C9007524}"/>
    <cellStyle name="40% - Accent6 22 2 2 2 6 2" xfId="8314" xr:uid="{1E80FB4D-3E94-4DB5-849A-F16C9E604AB7}"/>
    <cellStyle name="40% - Accent6 22 2 2 2 6 2 2" xfId="15821" xr:uid="{9973E291-1E16-487D-9AB6-46830ACB0EE1}"/>
    <cellStyle name="40% - Accent6 22 2 2 2 6 2 2 2" xfId="32025" xr:uid="{000FFF32-B8B2-4DE1-96BA-3EEAAEDB2EEC}"/>
    <cellStyle name="40% - Accent6 22 2 2 2 6 2 3" xfId="24518" xr:uid="{68E166B1-6D58-4CBC-8797-4066B168A121}"/>
    <cellStyle name="40% - Accent6 22 2 2 2 6 3" xfId="12207" xr:uid="{565A272B-4BD3-40FA-B00E-9D893712C7F8}"/>
    <cellStyle name="40% - Accent6 22 2 2 2 6 3 2" xfId="28411" xr:uid="{0BC50B1E-5315-4DBF-B9F0-81A643E3E0EE}"/>
    <cellStyle name="40% - Accent6 22 2 2 2 6 4" xfId="20848" xr:uid="{27F56A2A-491B-4237-AF66-8A75081C2F32}"/>
    <cellStyle name="40% - Accent6 22 2 2 2 7" xfId="5071" xr:uid="{EECBCB3E-2C9B-45C9-85B2-ED467373FAED}"/>
    <cellStyle name="40% - Accent6 22 2 2 2 7 2" xfId="8737" xr:uid="{64926AE5-5DF0-4BF7-B06C-1F69B4E2B3BC}"/>
    <cellStyle name="40% - Accent6 22 2 2 2 7 2 2" xfId="16244" xr:uid="{11F27213-9DD0-4CBF-8799-5AE6F126F76E}"/>
    <cellStyle name="40% - Accent6 22 2 2 2 7 2 2 2" xfId="32448" xr:uid="{6194B406-C02F-4751-AFF4-067D9A0FFF64}"/>
    <cellStyle name="40% - Accent6 22 2 2 2 7 2 3" xfId="24941" xr:uid="{8ACBF9B4-AEBE-4EF6-A3D3-513F6E707895}"/>
    <cellStyle name="40% - Accent6 22 2 2 2 7 3" xfId="12629" xr:uid="{AA983FDD-C44B-472F-9769-57DF6C6506C3}"/>
    <cellStyle name="40% - Accent6 22 2 2 2 7 3 2" xfId="28833" xr:uid="{EAA2867B-8EA2-4120-83C4-9298DF652745}"/>
    <cellStyle name="40% - Accent6 22 2 2 2 7 4" xfId="21275" xr:uid="{2AE5D87E-8B26-463B-99BE-6CBF9C41CEE8}"/>
    <cellStyle name="40% - Accent6 22 2 2 2 8" xfId="5743" xr:uid="{6C8ADB83-DC0B-4C53-A8E2-C7096419754D}"/>
    <cellStyle name="40% - Accent6 22 2 2 2 8 2" xfId="13258" xr:uid="{A5078777-63C7-414F-9442-8D323B0BBECE}"/>
    <cellStyle name="40% - Accent6 22 2 2 2 8 2 2" xfId="29462" xr:uid="{032A62CD-D6CA-477E-9DEF-AB1AE92305DE}"/>
    <cellStyle name="40% - Accent6 22 2 2 2 8 3" xfId="21947" xr:uid="{D81B1225-F51E-4662-8D98-56E16C0AC16F}"/>
    <cellStyle name="40% - Accent6 22 2 2 2 9" xfId="9670" xr:uid="{33891444-55FC-4CF3-B7B1-C019530E677F}"/>
    <cellStyle name="40% - Accent6 22 2 2 2 9 2" xfId="25874" xr:uid="{F67CCFA1-B37D-4946-93BB-AFC0AEAEC42D}"/>
    <cellStyle name="40% - Accent6 22 2 2 3" xfId="2152" xr:uid="{ED3FA8BA-AB9A-495D-B907-939E0148801A}"/>
    <cellStyle name="40% - Accent6 22 2 2 3 2" xfId="3065" xr:uid="{00975EA7-5BB4-4744-B3B7-0BF1615496C8}"/>
    <cellStyle name="40% - Accent6 22 2 2 3 2 2" xfId="6847" xr:uid="{9F00BB9C-4CAD-4A93-AE31-A443C8201831}"/>
    <cellStyle name="40% - Accent6 22 2 2 3 2 2 2" xfId="14358" xr:uid="{AD35AD45-F3A6-4509-BAEF-0F121C584FF6}"/>
    <cellStyle name="40% - Accent6 22 2 2 3 2 2 2 2" xfId="30562" xr:uid="{4769E403-FCEC-4A1D-B007-8589830D0CA1}"/>
    <cellStyle name="40% - Accent6 22 2 2 3 2 2 3" xfId="23051" xr:uid="{08BFC20C-4D06-45B0-BFB9-B9F5396DA23A}"/>
    <cellStyle name="40% - Accent6 22 2 2 3 2 3" xfId="10758" xr:uid="{E6B016B7-FAAC-4BA3-AD67-E0BB20085DCC}"/>
    <cellStyle name="40% - Accent6 22 2 2 3 2 3 2" xfId="26962" xr:uid="{E6D4BF8C-F176-424D-AFC8-973C9D5C122A}"/>
    <cellStyle name="40% - Accent6 22 2 2 3 2 4" xfId="19285" xr:uid="{E4FFC87F-0DBD-43DC-95EB-B28B188DB97C}"/>
    <cellStyle name="40% - Accent6 22 2 2 3 3" xfId="5991" xr:uid="{19719C4A-9C40-4E0C-8332-62E6AE374B17}"/>
    <cellStyle name="40% - Accent6 22 2 2 3 3 2" xfId="13505" xr:uid="{27762A20-6A52-46A5-92E3-69AFF98C134E}"/>
    <cellStyle name="40% - Accent6 22 2 2 3 3 2 2" xfId="29709" xr:uid="{2792899E-67B9-497F-850F-C4D9035FC6FF}"/>
    <cellStyle name="40% - Accent6 22 2 2 3 3 3" xfId="22195" xr:uid="{BA98556E-DF39-44A7-ACC8-CBE04B8D3451}"/>
    <cellStyle name="40% - Accent6 22 2 2 3 4" xfId="9914" xr:uid="{783B33B1-C7CF-4D01-8814-CCAF7D5EC126}"/>
    <cellStyle name="40% - Accent6 22 2 2 3 4 2" xfId="26118" xr:uid="{4172AA16-7FE4-41D2-9618-2413C3E70856}"/>
    <cellStyle name="40% - Accent6 22 2 2 3 5" xfId="18439" xr:uid="{0DAC6161-754A-461F-842A-79A2A39D6DE0}"/>
    <cellStyle name="40% - Accent6 22 2 2 4" xfId="2640" xr:uid="{5C4CB002-78DC-4D31-8D8B-0CCB795704A3}"/>
    <cellStyle name="40% - Accent6 22 2 2 4 2" xfId="6424" xr:uid="{8602F80F-1322-4671-85C5-2733E9E33AF8}"/>
    <cellStyle name="40% - Accent6 22 2 2 4 2 2" xfId="13936" xr:uid="{4EF8EBCC-305F-4AF2-A682-DA7CCE41B3AE}"/>
    <cellStyle name="40% - Accent6 22 2 2 4 2 2 2" xfId="30140" xr:uid="{18B92755-0542-4A11-A0C7-670273BF96F7}"/>
    <cellStyle name="40% - Accent6 22 2 2 4 2 3" xfId="22628" xr:uid="{CCBC5E2C-6D16-4FB6-ACE5-263C09A6003C}"/>
    <cellStyle name="40% - Accent6 22 2 2 4 3" xfId="10336" xr:uid="{239A2000-8A20-4098-B621-9797B902FF6F}"/>
    <cellStyle name="40% - Accent6 22 2 2 4 3 2" xfId="26540" xr:uid="{BC6954B7-62E1-46DE-9B0B-9804D83C2BE1}"/>
    <cellStyle name="40% - Accent6 22 2 2 4 4" xfId="18862" xr:uid="{0475CCEB-B6B7-4C48-9C2D-A4D10CF1E41F}"/>
    <cellStyle name="40% - Accent6 22 2 2 5" xfId="3516" xr:uid="{69C27935-D465-4E98-A07A-565AD8ABEF44}"/>
    <cellStyle name="40% - Accent6 22 2 2 5 2" xfId="7274" xr:uid="{8BE62833-C51B-4AA2-8983-125069EE1A8F}"/>
    <cellStyle name="40% - Accent6 22 2 2 5 2 2" xfId="14784" xr:uid="{349AE0F2-BDBB-4B6C-AC3D-A9D539138DFA}"/>
    <cellStyle name="40% - Accent6 22 2 2 5 2 2 2" xfId="30988" xr:uid="{5805ABDA-BF9C-4DE9-AC1F-D1FBC61F9E58}"/>
    <cellStyle name="40% - Accent6 22 2 2 5 2 3" xfId="23478" xr:uid="{9CD43D01-B9CF-4880-A254-B13433AB0E68}"/>
    <cellStyle name="40% - Accent6 22 2 2 5 3" xfId="11181" xr:uid="{D3014AE0-641C-4578-A222-ED282ED169E4}"/>
    <cellStyle name="40% - Accent6 22 2 2 5 3 2" xfId="27385" xr:uid="{BAEDC6DD-1FE9-49AF-A59F-51579FE5CA03}"/>
    <cellStyle name="40% - Accent6 22 2 2 5 4" xfId="19732" xr:uid="{10781E89-D964-45B2-8EB5-9ECC948AC3FF}"/>
    <cellStyle name="40% - Accent6 22 2 2 6" xfId="4040" xr:uid="{C7519CF8-27C0-4459-8FB1-DE5F6F424FCE}"/>
    <cellStyle name="40% - Accent6 22 2 2 6 2" xfId="7710" xr:uid="{2383185A-32EC-4A28-960B-08E25307F6FB}"/>
    <cellStyle name="40% - Accent6 22 2 2 6 2 2" xfId="15217" xr:uid="{BD9EE79C-51F3-4B40-B26B-AF0DD83A124E}"/>
    <cellStyle name="40% - Accent6 22 2 2 6 2 2 2" xfId="31421" xr:uid="{D8D90A21-D281-47CD-A336-B5631B07A01B}"/>
    <cellStyle name="40% - Accent6 22 2 2 6 2 3" xfId="23914" xr:uid="{CC9EEA6A-935F-4682-B08B-4C7EB902949C}"/>
    <cellStyle name="40% - Accent6 22 2 2 6 3" xfId="11603" xr:uid="{3FE09A65-F028-4B1B-A715-C1A01176F29F}"/>
    <cellStyle name="40% - Accent6 22 2 2 6 3 2" xfId="27807" xr:uid="{7B73CE8D-E914-41B5-A2A6-99DF7DBB4E6E}"/>
    <cellStyle name="40% - Accent6 22 2 2 6 4" xfId="20244" xr:uid="{A78D29B3-96BB-4588-9236-84476785081F}"/>
    <cellStyle name="40% - Accent6 22 2 2 7" xfId="4465" xr:uid="{9C2A9C1D-3615-42AE-BB55-3978AD2315E4}"/>
    <cellStyle name="40% - Accent6 22 2 2 7 2" xfId="8135" xr:uid="{24D963B6-3925-4E87-B012-8B803BD170D1}"/>
    <cellStyle name="40% - Accent6 22 2 2 7 2 2" xfId="15642" xr:uid="{96E96674-DA5D-4BFC-BBEF-B738D72DB8B9}"/>
    <cellStyle name="40% - Accent6 22 2 2 7 2 2 2" xfId="31846" xr:uid="{B916FEC4-F830-47D0-B6CD-E8023FF08EEA}"/>
    <cellStyle name="40% - Accent6 22 2 2 7 2 3" xfId="24339" xr:uid="{9938851A-7937-458B-A59D-02717316660D}"/>
    <cellStyle name="40% - Accent6 22 2 2 7 3" xfId="12028" xr:uid="{CF0AAC16-8BB9-4145-BF0C-FA905FC4017E}"/>
    <cellStyle name="40% - Accent6 22 2 2 7 3 2" xfId="28232" xr:uid="{8A9CC8B6-AA46-4FD6-93C5-7D7D2A608D41}"/>
    <cellStyle name="40% - Accent6 22 2 2 7 4" xfId="20669" xr:uid="{D128D425-E15A-4145-9251-BCDAA491A088}"/>
    <cellStyle name="40% - Accent6 22 2 2 8" xfId="4890" xr:uid="{B11DDAA9-F253-4584-80A8-117ECA5EE2FB}"/>
    <cellStyle name="40% - Accent6 22 2 2 8 2" xfId="8558" xr:uid="{C1CB1A08-70A3-44D9-9C3D-305F4A8E967F}"/>
    <cellStyle name="40% - Accent6 22 2 2 8 2 2" xfId="16065" xr:uid="{4F2818A1-9E30-4285-A26F-5243DC0E9095}"/>
    <cellStyle name="40% - Accent6 22 2 2 8 2 2 2" xfId="32269" xr:uid="{44E98464-AA0B-4B5E-B275-66B2ABF57670}"/>
    <cellStyle name="40% - Accent6 22 2 2 8 2 3" xfId="24762" xr:uid="{CB87574D-2A09-49EE-A39D-2C6CD8EAA362}"/>
    <cellStyle name="40% - Accent6 22 2 2 8 3" xfId="12450" xr:uid="{538CE60B-44AE-47A1-9FCD-6F1C3651452E}"/>
    <cellStyle name="40% - Accent6 22 2 2 8 3 2" xfId="28654" xr:uid="{8E026E68-E4E6-438E-90C0-4AFD63FF2BBE}"/>
    <cellStyle name="40% - Accent6 22 2 2 8 4" xfId="21094" xr:uid="{8D70361C-9435-4F97-96DF-05CB0A5FB9BA}"/>
    <cellStyle name="40% - Accent6 22 2 2 9" xfId="5376" xr:uid="{C69ED8BB-BBF2-487E-B986-552C3D4A2BDD}"/>
    <cellStyle name="40% - Accent6 22 2 2 9 2" xfId="12925" xr:uid="{6D0C4F9A-E034-4B73-92A9-E256A0DE875F}"/>
    <cellStyle name="40% - Accent6 22 2 2 9 2 2" xfId="29129" xr:uid="{C18FD910-CAB9-4FC1-A0A7-2BBB26185612}"/>
    <cellStyle name="40% - Accent6 22 2 2 9 3" xfId="21580" xr:uid="{D254FF15-659F-4304-A5AE-BA851E431873}"/>
    <cellStyle name="40% - Accent6 22 2 3" xfId="1889" xr:uid="{95289DBF-3852-4E69-928D-84B979C95089}"/>
    <cellStyle name="40% - Accent6 22 2 3 10" xfId="18194" xr:uid="{A9D5A5F7-CF5A-4940-AF10-51BCBC4EAE1C}"/>
    <cellStyle name="40% - Accent6 22 2 3 2" xfId="2398" xr:uid="{BBEEF915-BBBF-4F10-A3CD-F021099B2F5D}"/>
    <cellStyle name="40% - Accent6 22 2 3 2 2" xfId="3245" xr:uid="{00977820-6697-491A-8411-D57412FC0511}"/>
    <cellStyle name="40% - Accent6 22 2 3 2 2 2" xfId="7027" xr:uid="{32A67B08-E76F-400D-BF80-D4FEDEE2E950}"/>
    <cellStyle name="40% - Accent6 22 2 3 2 2 2 2" xfId="14538" xr:uid="{3B74CA48-6BF3-4A01-93EA-B57FCE0D2D1E}"/>
    <cellStyle name="40% - Accent6 22 2 3 2 2 2 2 2" xfId="30742" xr:uid="{F8E3A2D8-41FE-45A1-ADEE-DEB05AE0A4D6}"/>
    <cellStyle name="40% - Accent6 22 2 3 2 2 2 3" xfId="23231" xr:uid="{1614955C-4056-41C1-8703-FE28F13C1255}"/>
    <cellStyle name="40% - Accent6 22 2 3 2 2 3" xfId="10938" xr:uid="{BFAE94BA-5259-42E4-AC2F-99E55F7918A3}"/>
    <cellStyle name="40% - Accent6 22 2 3 2 2 3 2" xfId="27142" xr:uid="{A1B8E456-BF3E-4ED0-8276-0D7504D795E2}"/>
    <cellStyle name="40% - Accent6 22 2 3 2 2 4" xfId="19465" xr:uid="{B3FA28B5-8594-4A3F-B56E-E21F815A1B25}"/>
    <cellStyle name="40% - Accent6 22 2 3 2 3" xfId="6182" xr:uid="{C8F2F42B-E0D7-4F2D-982F-03511D08303C}"/>
    <cellStyle name="40% - Accent6 22 2 3 2 3 2" xfId="13694" xr:uid="{398B5698-CE66-4730-A42C-F04D7C987C9A}"/>
    <cellStyle name="40% - Accent6 22 2 3 2 3 2 2" xfId="29898" xr:uid="{6A59A8E3-5E6B-428B-B058-47EB382BC0A3}"/>
    <cellStyle name="40% - Accent6 22 2 3 2 3 3" xfId="22386" xr:uid="{0B936E5C-D116-47C5-85A7-F1D5A7820047}"/>
    <cellStyle name="40% - Accent6 22 2 3 2 4" xfId="10094" xr:uid="{37FCE804-B8FA-4106-9911-10BAE7E7A719}"/>
    <cellStyle name="40% - Accent6 22 2 3 2 4 2" xfId="26298" xr:uid="{1FEDF6B4-BC5E-42DE-95AA-5F63A0B1F52C}"/>
    <cellStyle name="40% - Accent6 22 2 3 2 5" xfId="18620" xr:uid="{65E18B9C-B4DE-42A3-8684-EADAAC1E34DB}"/>
    <cellStyle name="40% - Accent6 22 2 3 3" xfId="2820" xr:uid="{267D8CD0-5200-49C3-BB85-3C412F7AEB74}"/>
    <cellStyle name="40% - Accent6 22 2 3 3 2" xfId="6604" xr:uid="{F20AF0C6-3939-452C-8832-9247DDF815BD}"/>
    <cellStyle name="40% - Accent6 22 2 3 3 2 2" xfId="14116" xr:uid="{9E2ED6C8-9F05-4E20-959F-843AAB23EFC1}"/>
    <cellStyle name="40% - Accent6 22 2 3 3 2 2 2" xfId="30320" xr:uid="{80E56B9A-0009-4153-9740-7C3A17B1FABE}"/>
    <cellStyle name="40% - Accent6 22 2 3 3 2 3" xfId="22808" xr:uid="{D610D311-DCA4-4C78-A9A4-C2A03AAF4914}"/>
    <cellStyle name="40% - Accent6 22 2 3 3 3" xfId="10516" xr:uid="{FE2479E7-8AA1-4CF5-BFF9-AB63F9BA0683}"/>
    <cellStyle name="40% - Accent6 22 2 3 3 3 2" xfId="26720" xr:uid="{CCE891E3-C28F-41B5-A433-F2C6C921ED52}"/>
    <cellStyle name="40% - Accent6 22 2 3 3 4" xfId="19042" xr:uid="{C44B941A-1287-4404-9D4B-51D484AB4C7F}"/>
    <cellStyle name="40% - Accent6 22 2 3 4" xfId="3751" xr:uid="{AC7B76C7-C96F-4B7E-BF1E-387A62BA936A}"/>
    <cellStyle name="40% - Accent6 22 2 3 4 2" xfId="7461" xr:uid="{9EB473C6-EED4-4B67-ADDF-40F09A0302EA}"/>
    <cellStyle name="40% - Accent6 22 2 3 4 2 2" xfId="14970" xr:uid="{B3732D98-38CC-4943-979D-6D2D210F072B}"/>
    <cellStyle name="40% - Accent6 22 2 3 4 2 2 2" xfId="31174" xr:uid="{F511B49D-3AE5-4268-820F-A8D50DD34B00}"/>
    <cellStyle name="40% - Accent6 22 2 3 4 2 3" xfId="23665" xr:uid="{1F11D369-C559-4DFE-A097-63B75224CE9D}"/>
    <cellStyle name="40% - Accent6 22 2 3 4 3" xfId="11361" xr:uid="{40F89A64-A596-435C-A71F-7ADD16562485}"/>
    <cellStyle name="40% - Accent6 22 2 3 4 3 2" xfId="27565" xr:uid="{28DBFCFC-B94F-4C75-8866-709E4ED26143}"/>
    <cellStyle name="40% - Accent6 22 2 3 4 4" xfId="19960" xr:uid="{19CD2658-0663-4D8E-A85A-CFA36DB3B005}"/>
    <cellStyle name="40% - Accent6 22 2 3 5" xfId="4220" xr:uid="{8F977C97-C1DD-49EA-8AF4-67262E829B41}"/>
    <cellStyle name="40% - Accent6 22 2 3 5 2" xfId="7890" xr:uid="{4481D69E-3B57-4DD2-9718-E0D889611C0A}"/>
    <cellStyle name="40% - Accent6 22 2 3 5 2 2" xfId="15397" xr:uid="{5ECE2659-A219-40CB-9885-D43E0F4D7B94}"/>
    <cellStyle name="40% - Accent6 22 2 3 5 2 2 2" xfId="31601" xr:uid="{6FB5EAF7-9BC4-4116-8E29-45A04FCFDD3F}"/>
    <cellStyle name="40% - Accent6 22 2 3 5 2 3" xfId="24094" xr:uid="{E6EF8B99-8714-4641-AC8A-BDFD778538AE}"/>
    <cellStyle name="40% - Accent6 22 2 3 5 3" xfId="11783" xr:uid="{7F397EFE-D60B-4476-89B1-83C6EB0CCADC}"/>
    <cellStyle name="40% - Accent6 22 2 3 5 3 2" xfId="27987" xr:uid="{C6861FA5-F606-46D8-B2B6-B26AB76FB5B7}"/>
    <cellStyle name="40% - Accent6 22 2 3 5 4" xfId="20424" xr:uid="{36C32652-CF06-4FBA-A980-CB53E2234062}"/>
    <cellStyle name="40% - Accent6 22 2 3 6" xfId="4645" xr:uid="{DA475DC3-509E-46DA-A87F-7F6A56ADA06C}"/>
    <cellStyle name="40% - Accent6 22 2 3 6 2" xfId="8315" xr:uid="{97C8A259-7BC4-4D6D-9480-CE40A040C2E5}"/>
    <cellStyle name="40% - Accent6 22 2 3 6 2 2" xfId="15822" xr:uid="{9A336A4F-8215-4918-863A-C7375838053A}"/>
    <cellStyle name="40% - Accent6 22 2 3 6 2 2 2" xfId="32026" xr:uid="{0A373042-1A39-4C4A-9786-B3B2F4B2CD3E}"/>
    <cellStyle name="40% - Accent6 22 2 3 6 2 3" xfId="24519" xr:uid="{34027A8B-4D6D-40D2-9730-84360CE6D267}"/>
    <cellStyle name="40% - Accent6 22 2 3 6 3" xfId="12208" xr:uid="{6F293E3D-D211-429B-9928-A9133C9CFFF9}"/>
    <cellStyle name="40% - Accent6 22 2 3 6 3 2" xfId="28412" xr:uid="{61A2C5EC-E334-4201-BBC4-4299F19FA011}"/>
    <cellStyle name="40% - Accent6 22 2 3 6 4" xfId="20849" xr:uid="{1B2B589F-4504-4F83-A3BF-30666F29E3E2}"/>
    <cellStyle name="40% - Accent6 22 2 3 7" xfId="5072" xr:uid="{05E0FE90-4CCD-4FC4-8F2E-E820BAC14D70}"/>
    <cellStyle name="40% - Accent6 22 2 3 7 2" xfId="8738" xr:uid="{6C91DE85-E88C-46B9-A79F-FABB07C6BDC6}"/>
    <cellStyle name="40% - Accent6 22 2 3 7 2 2" xfId="16245" xr:uid="{A52AD7A7-4CE7-477D-B821-DEB7090C4701}"/>
    <cellStyle name="40% - Accent6 22 2 3 7 2 2 2" xfId="32449" xr:uid="{AFE07685-FA04-4450-A860-4CC17E6FFF49}"/>
    <cellStyle name="40% - Accent6 22 2 3 7 2 3" xfId="24942" xr:uid="{3C601788-BD68-4565-B22A-EBFA6830EE45}"/>
    <cellStyle name="40% - Accent6 22 2 3 7 3" xfId="12630" xr:uid="{2815D2F4-3474-41CA-AE83-D58ED5AAA2BC}"/>
    <cellStyle name="40% - Accent6 22 2 3 7 3 2" xfId="28834" xr:uid="{5ADDEE11-B6A9-4DDD-8D23-877FE539030D}"/>
    <cellStyle name="40% - Accent6 22 2 3 7 4" xfId="21276" xr:uid="{A9E9A5D7-CEC2-4EEB-976C-DFD827ECF5FB}"/>
    <cellStyle name="40% - Accent6 22 2 3 8" xfId="5744" xr:uid="{622C2C00-370F-494C-B308-C16F5AF9CB7D}"/>
    <cellStyle name="40% - Accent6 22 2 3 8 2" xfId="13259" xr:uid="{A976C8B7-0D04-44AB-957E-454F50D04838}"/>
    <cellStyle name="40% - Accent6 22 2 3 8 2 2" xfId="29463" xr:uid="{1C77630B-6A91-43B3-A0D8-B8A009AE8642}"/>
    <cellStyle name="40% - Accent6 22 2 3 8 3" xfId="21948" xr:uid="{7623A4C4-5BF0-48CC-B76E-2E4A2F113058}"/>
    <cellStyle name="40% - Accent6 22 2 3 9" xfId="9671" xr:uid="{7544AB14-290D-4808-862E-58A70707B547}"/>
    <cellStyle name="40% - Accent6 22 2 3 9 2" xfId="25875" xr:uid="{FA39D33D-84C2-4016-BB72-DE2AC9149A78}"/>
    <cellStyle name="40% - Accent6 22 2 4" xfId="2085" xr:uid="{F40F37B4-74B9-4CEC-BF9D-F659DF4EF356}"/>
    <cellStyle name="40% - Accent6 22 2 4 2" xfId="2998" xr:uid="{8F553BA8-DB19-40DD-B2D6-D1CD69A6327B}"/>
    <cellStyle name="40% - Accent6 22 2 4 2 2" xfId="6780" xr:uid="{51F187B7-0E18-4688-9E49-67A4406554A7}"/>
    <cellStyle name="40% - Accent6 22 2 4 2 2 2" xfId="14291" xr:uid="{82F8A40C-A456-4BEA-8652-A1CA6E475F75}"/>
    <cellStyle name="40% - Accent6 22 2 4 2 2 2 2" xfId="30495" xr:uid="{6B02DF2D-382F-43BA-B970-2D507875A6BE}"/>
    <cellStyle name="40% - Accent6 22 2 4 2 2 3" xfId="22984" xr:uid="{209636BC-06F6-49BC-B53A-B1031B339D54}"/>
    <cellStyle name="40% - Accent6 22 2 4 2 3" xfId="10691" xr:uid="{9EEB8281-6171-4217-A9E9-C4AA329CE823}"/>
    <cellStyle name="40% - Accent6 22 2 4 2 3 2" xfId="26895" xr:uid="{450CEF9A-83B3-4104-BCE1-33EC1F4944F9}"/>
    <cellStyle name="40% - Accent6 22 2 4 2 4" xfId="19218" xr:uid="{1CA686B7-D3B3-4A18-BB1A-525183EB5DA6}"/>
    <cellStyle name="40% - Accent6 22 2 4 3" xfId="5924" xr:uid="{98A87BA5-75BC-47FB-826D-5DA145259A3C}"/>
    <cellStyle name="40% - Accent6 22 2 4 3 2" xfId="13438" xr:uid="{00114432-693E-4A90-8F94-845A67B1FFA2}"/>
    <cellStyle name="40% - Accent6 22 2 4 3 2 2" xfId="29642" xr:uid="{28044D65-6615-4F71-97B1-AD8A905D73FA}"/>
    <cellStyle name="40% - Accent6 22 2 4 3 3" xfId="22128" xr:uid="{373F052C-7990-4814-8949-AA0135AA556C}"/>
    <cellStyle name="40% - Accent6 22 2 4 4" xfId="9847" xr:uid="{D7C8AAF2-8693-4280-84E7-B90137CC91A6}"/>
    <cellStyle name="40% - Accent6 22 2 4 4 2" xfId="26051" xr:uid="{48DD2E93-6340-4C59-B79A-447A26B0B2C7}"/>
    <cellStyle name="40% - Accent6 22 2 4 5" xfId="18372" xr:uid="{B49EFF9F-A5AF-45DB-9B80-2376E3D90E9C}"/>
    <cellStyle name="40% - Accent6 22 2 5" xfId="2573" xr:uid="{41AFD17C-B609-4C52-9065-148F88076C1C}"/>
    <cellStyle name="40% - Accent6 22 2 5 2" xfId="6357" xr:uid="{890A103A-CC8E-44E1-B6C0-3B140FF30BEF}"/>
    <cellStyle name="40% - Accent6 22 2 5 2 2" xfId="13869" xr:uid="{078A9374-2C3A-4C0B-969A-CEEFCF444EF1}"/>
    <cellStyle name="40% - Accent6 22 2 5 2 2 2" xfId="30073" xr:uid="{4D68A9DF-9F55-4AA9-86B6-D75CAC9CC6FB}"/>
    <cellStyle name="40% - Accent6 22 2 5 2 3" xfId="22561" xr:uid="{8A5645AE-D98F-4C80-A755-0D736150A540}"/>
    <cellStyle name="40% - Accent6 22 2 5 3" xfId="10269" xr:uid="{7BD9A046-3D47-4640-88BF-8AB85BEF7F89}"/>
    <cellStyle name="40% - Accent6 22 2 5 3 2" xfId="26473" xr:uid="{EFB7399A-6DB3-4F55-BA60-41E5FFE97F92}"/>
    <cellStyle name="40% - Accent6 22 2 5 4" xfId="18795" xr:uid="{995B5631-3AE2-49AE-A085-BC1D28F65436}"/>
    <cellStyle name="40% - Accent6 22 2 6" xfId="3449" xr:uid="{96437553-61D1-4033-B070-E94559190AEA}"/>
    <cellStyle name="40% - Accent6 22 2 6 2" xfId="7207" xr:uid="{DE5E60D4-D914-4E80-A61B-41E89FA9D3FB}"/>
    <cellStyle name="40% - Accent6 22 2 6 2 2" xfId="14717" xr:uid="{49255E7B-7E6C-41BF-968D-18C47966040D}"/>
    <cellStyle name="40% - Accent6 22 2 6 2 2 2" xfId="30921" xr:uid="{9A037951-7D74-4DB3-8CA6-43C4003B9CBA}"/>
    <cellStyle name="40% - Accent6 22 2 6 2 3" xfId="23411" xr:uid="{9243C1DD-45A0-4CA0-9222-5BAA6A4E3870}"/>
    <cellStyle name="40% - Accent6 22 2 6 3" xfId="11114" xr:uid="{A88B0E59-0C11-4D85-BB06-D3F43EDD5D61}"/>
    <cellStyle name="40% - Accent6 22 2 6 3 2" xfId="27318" xr:uid="{0A06D701-A7EF-4F61-BCB4-DB3F36A06390}"/>
    <cellStyle name="40% - Accent6 22 2 6 4" xfId="19665" xr:uid="{FFBC35F2-D2D7-4B0B-89BE-F0DD615104CB}"/>
    <cellStyle name="40% - Accent6 22 2 7" xfId="3973" xr:uid="{842AAA42-E1DF-48B5-BBFA-64E79348C010}"/>
    <cellStyle name="40% - Accent6 22 2 7 2" xfId="7643" xr:uid="{8B39A168-2ED5-4906-BB65-BB19CCD9D191}"/>
    <cellStyle name="40% - Accent6 22 2 7 2 2" xfId="15150" xr:uid="{75A18251-D025-4774-9DBB-B58DFC94B8B4}"/>
    <cellStyle name="40% - Accent6 22 2 7 2 2 2" xfId="31354" xr:uid="{3CC5B931-1CE0-4B6F-BB6A-CD6D7C01B3BC}"/>
    <cellStyle name="40% - Accent6 22 2 7 2 3" xfId="23847" xr:uid="{11F6C8D9-FEAB-4F7F-BAD8-52C0B35B81AB}"/>
    <cellStyle name="40% - Accent6 22 2 7 3" xfId="11536" xr:uid="{A2F8B66C-F5C6-4259-84B0-483E338DE720}"/>
    <cellStyle name="40% - Accent6 22 2 7 3 2" xfId="27740" xr:uid="{7F667C1E-9098-4799-82B7-4B47871A0586}"/>
    <cellStyle name="40% - Accent6 22 2 7 4" xfId="20177" xr:uid="{14ED43AC-AE6A-4033-AF08-05C5A8E8931C}"/>
    <cellStyle name="40% - Accent6 22 2 8" xfId="4398" xr:uid="{0219BAF7-D17B-453C-8C16-895086F57FE1}"/>
    <cellStyle name="40% - Accent6 22 2 8 2" xfId="8068" xr:uid="{F7DEA0D2-C70B-43AC-85B7-547CEFE3B340}"/>
    <cellStyle name="40% - Accent6 22 2 8 2 2" xfId="15575" xr:uid="{9CF27D95-F61A-475B-A811-AD4DF45BE198}"/>
    <cellStyle name="40% - Accent6 22 2 8 2 2 2" xfId="31779" xr:uid="{E7C49328-D8A7-4BE2-A9C6-55BB6305338C}"/>
    <cellStyle name="40% - Accent6 22 2 8 2 3" xfId="24272" xr:uid="{1B037D29-1399-43F7-BCEB-5DBD579CFF64}"/>
    <cellStyle name="40% - Accent6 22 2 8 3" xfId="11961" xr:uid="{D444A6A7-D85E-4952-8FA9-E18F5156B7F7}"/>
    <cellStyle name="40% - Accent6 22 2 8 3 2" xfId="28165" xr:uid="{D44783F2-9183-4211-85D6-E41595DA13B0}"/>
    <cellStyle name="40% - Accent6 22 2 8 4" xfId="20602" xr:uid="{C5BC9583-8FCB-46D2-A43F-9153A6736224}"/>
    <cellStyle name="40% - Accent6 22 2 9" xfId="4822" xr:uid="{263B27BD-71C3-481F-87CC-5054703D160F}"/>
    <cellStyle name="40% - Accent6 22 2 9 2" xfId="8491" xr:uid="{A4D0C9C8-622D-4A28-B172-2B221248D3DA}"/>
    <cellStyle name="40% - Accent6 22 2 9 2 2" xfId="15998" xr:uid="{677D07BF-1225-45D7-A7C6-FF430C13E9DF}"/>
    <cellStyle name="40% - Accent6 22 2 9 2 2 2" xfId="32202" xr:uid="{95D3F7F2-BF09-416D-8108-601B78C6856C}"/>
    <cellStyle name="40% - Accent6 22 2 9 2 3" xfId="24695" xr:uid="{BE1B6728-EDB3-4176-8551-DF7E23AD9A48}"/>
    <cellStyle name="40% - Accent6 22 2 9 3" xfId="12383" xr:uid="{5651637C-0D4B-4EDF-94DB-D3F4FF81502D}"/>
    <cellStyle name="40% - Accent6 22 2 9 3 2" xfId="28587" xr:uid="{5465596B-A9AD-439B-92C7-2B4AC42675D4}"/>
    <cellStyle name="40% - Accent6 22 2 9 4" xfId="21026" xr:uid="{5AEBF2F9-B616-4CDE-935E-A09B40BA6687}"/>
    <cellStyle name="40% - Accent6 22 3" xfId="534" xr:uid="{4B16B962-D18F-4EAD-8269-2765C5B771F2}"/>
    <cellStyle name="40% - Accent6 22 3 10" xfId="5331" xr:uid="{01CE17BB-15F7-4732-9DF7-C629D9B523DE}"/>
    <cellStyle name="40% - Accent6 22 3 10 2" xfId="12880" xr:uid="{44DD8A3B-7414-402E-AA03-54DD5F6FFC13}"/>
    <cellStyle name="40% - Accent6 22 3 10 2 2" xfId="29084" xr:uid="{B8E6E5AA-90D9-4CAA-9D38-53A9B6FFB4E5}"/>
    <cellStyle name="40% - Accent6 22 3 10 3" xfId="21535" xr:uid="{984F02F2-4F72-4B0D-B071-A2D52508B967}"/>
    <cellStyle name="40% - Accent6 22 3 11" xfId="9446" xr:uid="{E25F1D16-C910-4BB8-931F-7048E2129BE2}"/>
    <cellStyle name="40% - Accent6 22 3 11 2" xfId="25650" xr:uid="{787F1F89-0245-48C4-A404-C77C0F9AC3D7}"/>
    <cellStyle name="40% - Accent6 22 3 12" xfId="17961" xr:uid="{81390F3D-4E50-42DD-B265-0AE28DCC1443}"/>
    <cellStyle name="40% - Accent6 22 3 2" xfId="605" xr:uid="{BB1185FA-494A-41F6-8AA2-3F0C7CAF247F}"/>
    <cellStyle name="40% - Accent6 22 3 2 10" xfId="9513" xr:uid="{84A078A8-5C3B-4A1E-8C74-419886471A53}"/>
    <cellStyle name="40% - Accent6 22 3 2 10 2" xfId="25717" xr:uid="{9DA4969A-37C8-44C4-AEB5-7375A0F370BB}"/>
    <cellStyle name="40% - Accent6 22 3 2 11" xfId="18029" xr:uid="{D3AEBE40-813F-4613-8638-C724E5611314}"/>
    <cellStyle name="40% - Accent6 22 3 2 2" xfId="1890" xr:uid="{A2A047F9-9AFB-46B1-AC5F-0F33296996A4}"/>
    <cellStyle name="40% - Accent6 22 3 2 2 10" xfId="18195" xr:uid="{4E72FEBB-0913-4CB6-AAF8-58A761FF3ECE}"/>
    <cellStyle name="40% - Accent6 22 3 2 2 2" xfId="2399" xr:uid="{9F751C24-0334-4E71-BC4C-1AA5E4D424F7}"/>
    <cellStyle name="40% - Accent6 22 3 2 2 2 2" xfId="3246" xr:uid="{ADA3A5B6-0527-4425-A071-848D5DDA05F3}"/>
    <cellStyle name="40% - Accent6 22 3 2 2 2 2 2" xfId="7028" xr:uid="{53817DA4-EC24-4202-9699-8AEA9B0D0885}"/>
    <cellStyle name="40% - Accent6 22 3 2 2 2 2 2 2" xfId="14539" xr:uid="{D492F042-2ACA-400B-9292-DF2F98232824}"/>
    <cellStyle name="40% - Accent6 22 3 2 2 2 2 2 2 2" xfId="30743" xr:uid="{63F870A5-792C-4CF1-8DEE-8997859F7B26}"/>
    <cellStyle name="40% - Accent6 22 3 2 2 2 2 2 3" xfId="23232" xr:uid="{27EA4799-C659-470C-B1E5-7B19E21BFD5B}"/>
    <cellStyle name="40% - Accent6 22 3 2 2 2 2 3" xfId="10939" xr:uid="{3347BD8F-71FC-417E-9116-0EF73AE7A75A}"/>
    <cellStyle name="40% - Accent6 22 3 2 2 2 2 3 2" xfId="27143" xr:uid="{592B1871-5E6B-449D-8DD9-E81921B6001C}"/>
    <cellStyle name="40% - Accent6 22 3 2 2 2 2 4" xfId="19466" xr:uid="{629A16EB-24F3-4363-98DD-DA27043E5CAE}"/>
    <cellStyle name="40% - Accent6 22 3 2 2 2 3" xfId="6183" xr:uid="{7DF1D528-3737-46F2-A4C5-08A0A7BC455F}"/>
    <cellStyle name="40% - Accent6 22 3 2 2 2 3 2" xfId="13695" xr:uid="{42AAB42C-8C63-4660-898E-D77B0C1D42AB}"/>
    <cellStyle name="40% - Accent6 22 3 2 2 2 3 2 2" xfId="29899" xr:uid="{44ED0EC6-625B-4032-AC54-AEDA807174AB}"/>
    <cellStyle name="40% - Accent6 22 3 2 2 2 3 3" xfId="22387" xr:uid="{3E3FF6D1-67B7-4BAD-9C5E-282C5E98372C}"/>
    <cellStyle name="40% - Accent6 22 3 2 2 2 4" xfId="10095" xr:uid="{AC50458A-6476-47D8-B69B-0A39318762BD}"/>
    <cellStyle name="40% - Accent6 22 3 2 2 2 4 2" xfId="26299" xr:uid="{C4E55051-D323-4A74-932C-6C0C2C60CEBB}"/>
    <cellStyle name="40% - Accent6 22 3 2 2 2 5" xfId="18621" xr:uid="{8D8D3A89-DE6E-4649-A521-177FB678848D}"/>
    <cellStyle name="40% - Accent6 22 3 2 2 3" xfId="2821" xr:uid="{A130CD24-8C16-49AD-8795-2FE901319F2F}"/>
    <cellStyle name="40% - Accent6 22 3 2 2 3 2" xfId="6605" xr:uid="{F0116C01-86F6-4AB7-92BA-F1249D376F3E}"/>
    <cellStyle name="40% - Accent6 22 3 2 2 3 2 2" xfId="14117" xr:uid="{F6C5D63D-5F07-49A1-9993-BC2EF470D2E1}"/>
    <cellStyle name="40% - Accent6 22 3 2 2 3 2 2 2" xfId="30321" xr:uid="{D2460BCE-3C3D-4EE7-B325-860764137EC4}"/>
    <cellStyle name="40% - Accent6 22 3 2 2 3 2 3" xfId="22809" xr:uid="{6EB79237-AF06-4155-8741-FC47BC7494D7}"/>
    <cellStyle name="40% - Accent6 22 3 2 2 3 3" xfId="10517" xr:uid="{53CC2A87-21C7-4F30-A6D0-E9BC4DD297D2}"/>
    <cellStyle name="40% - Accent6 22 3 2 2 3 3 2" xfId="26721" xr:uid="{E3804BFF-2446-444E-8AD3-4F85187957CD}"/>
    <cellStyle name="40% - Accent6 22 3 2 2 3 4" xfId="19043" xr:uid="{E98BA302-8941-447D-AB76-271CDB2E5190}"/>
    <cellStyle name="40% - Accent6 22 3 2 2 4" xfId="3752" xr:uid="{E832543A-A852-4B61-BB35-BE9F68185AC5}"/>
    <cellStyle name="40% - Accent6 22 3 2 2 4 2" xfId="7462" xr:uid="{DEDCF7B0-5899-48B7-899C-BDC30745A4B3}"/>
    <cellStyle name="40% - Accent6 22 3 2 2 4 2 2" xfId="14971" xr:uid="{73DA700E-53C9-4F29-8AF1-C99194B21F09}"/>
    <cellStyle name="40% - Accent6 22 3 2 2 4 2 2 2" xfId="31175" xr:uid="{C052D5C0-9664-440B-BDDB-AEEC1F37334F}"/>
    <cellStyle name="40% - Accent6 22 3 2 2 4 2 3" xfId="23666" xr:uid="{031C0685-60FC-498E-8B15-1B81093EEC23}"/>
    <cellStyle name="40% - Accent6 22 3 2 2 4 3" xfId="11362" xr:uid="{9F8D333B-4B61-4743-8CE1-3435FD52DF25}"/>
    <cellStyle name="40% - Accent6 22 3 2 2 4 3 2" xfId="27566" xr:uid="{5C3A52B4-E0F2-4BA4-9273-34E7C28028FC}"/>
    <cellStyle name="40% - Accent6 22 3 2 2 4 4" xfId="19961" xr:uid="{30BE05E8-1FC9-4C99-AC6F-0BB74AA3767A}"/>
    <cellStyle name="40% - Accent6 22 3 2 2 5" xfId="4221" xr:uid="{76B508F6-88DC-48FA-B0B7-ED557D84B307}"/>
    <cellStyle name="40% - Accent6 22 3 2 2 5 2" xfId="7891" xr:uid="{F5C02DC5-EC3C-4C08-BD8D-AE0BCAD0EE25}"/>
    <cellStyle name="40% - Accent6 22 3 2 2 5 2 2" xfId="15398" xr:uid="{A8ECE93B-83C2-4CDA-B492-DE84CCEF4C05}"/>
    <cellStyle name="40% - Accent6 22 3 2 2 5 2 2 2" xfId="31602" xr:uid="{B491C382-A588-45CD-95E8-48BE67384135}"/>
    <cellStyle name="40% - Accent6 22 3 2 2 5 2 3" xfId="24095" xr:uid="{182CF9E7-8125-419D-AEE0-F7A12889376C}"/>
    <cellStyle name="40% - Accent6 22 3 2 2 5 3" xfId="11784" xr:uid="{A8E4EBD2-A04E-40FB-83F3-58E5568797CD}"/>
    <cellStyle name="40% - Accent6 22 3 2 2 5 3 2" xfId="27988" xr:uid="{102F3776-16F7-45AF-9A8C-407C8725717E}"/>
    <cellStyle name="40% - Accent6 22 3 2 2 5 4" xfId="20425" xr:uid="{78B6D62D-0AB6-4212-A2F8-CA2A272A2A35}"/>
    <cellStyle name="40% - Accent6 22 3 2 2 6" xfId="4646" xr:uid="{9EDC2F3C-2EF3-41F4-A9B8-C64C06412809}"/>
    <cellStyle name="40% - Accent6 22 3 2 2 6 2" xfId="8316" xr:uid="{BEE2B917-C373-4EEC-AD0B-9E160159FC47}"/>
    <cellStyle name="40% - Accent6 22 3 2 2 6 2 2" xfId="15823" xr:uid="{1273695B-7B39-4C54-923F-4325D17D0628}"/>
    <cellStyle name="40% - Accent6 22 3 2 2 6 2 2 2" xfId="32027" xr:uid="{C311F747-E705-47AB-88E5-600481479338}"/>
    <cellStyle name="40% - Accent6 22 3 2 2 6 2 3" xfId="24520" xr:uid="{2FB6479A-30A9-41B2-9DA5-FCE3DD8FB948}"/>
    <cellStyle name="40% - Accent6 22 3 2 2 6 3" xfId="12209" xr:uid="{0B48BF7B-F65E-4304-9D15-13767CD49CD6}"/>
    <cellStyle name="40% - Accent6 22 3 2 2 6 3 2" xfId="28413" xr:uid="{73015C8E-9287-4E71-A420-0E525B0C42C6}"/>
    <cellStyle name="40% - Accent6 22 3 2 2 6 4" xfId="20850" xr:uid="{2036CBA0-7010-415B-994B-91F661C6EDE3}"/>
    <cellStyle name="40% - Accent6 22 3 2 2 7" xfId="5073" xr:uid="{7FD90CC2-1BD1-4CAB-ACD3-3DD411192E7C}"/>
    <cellStyle name="40% - Accent6 22 3 2 2 7 2" xfId="8739" xr:uid="{4D520FE1-20A7-4A4C-A47A-C30A3E27E1B9}"/>
    <cellStyle name="40% - Accent6 22 3 2 2 7 2 2" xfId="16246" xr:uid="{B6EC64DF-8951-4D9F-9600-3E4FBC5AB9BB}"/>
    <cellStyle name="40% - Accent6 22 3 2 2 7 2 2 2" xfId="32450" xr:uid="{A5E329A5-DF10-475D-A1AF-2990AF88404F}"/>
    <cellStyle name="40% - Accent6 22 3 2 2 7 2 3" xfId="24943" xr:uid="{1FB625B1-3BEA-493A-87B3-8608307F5B77}"/>
    <cellStyle name="40% - Accent6 22 3 2 2 7 3" xfId="12631" xr:uid="{E6811487-2E23-45B4-8E67-700DD328FD60}"/>
    <cellStyle name="40% - Accent6 22 3 2 2 7 3 2" xfId="28835" xr:uid="{556B1DE1-E0E1-4295-967B-E73985E85523}"/>
    <cellStyle name="40% - Accent6 22 3 2 2 7 4" xfId="21277" xr:uid="{6826006C-1EE5-4B5F-8B55-650903A9FC9A}"/>
    <cellStyle name="40% - Accent6 22 3 2 2 8" xfId="5745" xr:uid="{5283136E-C0B6-4B0A-BCAD-562F7A47CE60}"/>
    <cellStyle name="40% - Accent6 22 3 2 2 8 2" xfId="13260" xr:uid="{96D0C412-52DF-40CC-87E5-4112A443E988}"/>
    <cellStyle name="40% - Accent6 22 3 2 2 8 2 2" xfId="29464" xr:uid="{B088712C-1C44-42F2-885D-0DB6155F2BC5}"/>
    <cellStyle name="40% - Accent6 22 3 2 2 8 3" xfId="21949" xr:uid="{3C34D1F0-A9E9-4B6E-ABAC-0692E9BD5557}"/>
    <cellStyle name="40% - Accent6 22 3 2 2 9" xfId="9672" xr:uid="{7433C1E1-665C-4439-B031-866247F149D3}"/>
    <cellStyle name="40% - Accent6 22 3 2 2 9 2" xfId="25876" xr:uid="{D8C0E396-8167-4292-B928-4E94A98C077E}"/>
    <cellStyle name="40% - Accent6 22 3 2 3" xfId="2174" xr:uid="{A563117A-AE7B-440B-AF48-B726C633994D}"/>
    <cellStyle name="40% - Accent6 22 3 2 3 2" xfId="3087" xr:uid="{81C97AB5-9BA6-4D64-B9A3-9E9A30833D6E}"/>
    <cellStyle name="40% - Accent6 22 3 2 3 2 2" xfId="6869" xr:uid="{5154BE41-0D93-43F8-BAB2-73FACEAEE9A6}"/>
    <cellStyle name="40% - Accent6 22 3 2 3 2 2 2" xfId="14380" xr:uid="{819742A2-21C5-4D90-95AE-289845416116}"/>
    <cellStyle name="40% - Accent6 22 3 2 3 2 2 2 2" xfId="30584" xr:uid="{D8E78275-11EE-474F-8086-A60FC02D8C27}"/>
    <cellStyle name="40% - Accent6 22 3 2 3 2 2 3" xfId="23073" xr:uid="{A99CFBB2-0229-4B4D-8138-BE73EBE96817}"/>
    <cellStyle name="40% - Accent6 22 3 2 3 2 3" xfId="10780" xr:uid="{D249C9F5-E3B1-4C96-9CD5-C5EECEBEE730}"/>
    <cellStyle name="40% - Accent6 22 3 2 3 2 3 2" xfId="26984" xr:uid="{2E511179-795A-421F-9F07-86C19D11DE9F}"/>
    <cellStyle name="40% - Accent6 22 3 2 3 2 4" xfId="19307" xr:uid="{5330736A-A837-4161-8E05-FA33DA258CCD}"/>
    <cellStyle name="40% - Accent6 22 3 2 3 3" xfId="6013" xr:uid="{C6F9C755-849F-4100-A072-32E68CE8CD50}"/>
    <cellStyle name="40% - Accent6 22 3 2 3 3 2" xfId="13527" xr:uid="{09D4AE91-BB2A-4747-AADA-F52C723317E2}"/>
    <cellStyle name="40% - Accent6 22 3 2 3 3 2 2" xfId="29731" xr:uid="{4399B052-74CD-44AE-852F-886529EF6EB2}"/>
    <cellStyle name="40% - Accent6 22 3 2 3 3 3" xfId="22217" xr:uid="{331E664D-808F-418D-938B-0CCD29CCE6D0}"/>
    <cellStyle name="40% - Accent6 22 3 2 3 4" xfId="9936" xr:uid="{59BA970E-55F1-4854-9BAB-892AB01F36C5}"/>
    <cellStyle name="40% - Accent6 22 3 2 3 4 2" xfId="26140" xr:uid="{72CA969C-7604-40FC-8DE3-7456CA5C4653}"/>
    <cellStyle name="40% - Accent6 22 3 2 3 5" xfId="18461" xr:uid="{F499B34A-878A-4B7D-9A2B-9B7A397E6F91}"/>
    <cellStyle name="40% - Accent6 22 3 2 4" xfId="2662" xr:uid="{0A930025-E1EC-4048-B520-578ACF650A42}"/>
    <cellStyle name="40% - Accent6 22 3 2 4 2" xfId="6446" xr:uid="{68DA6029-24F0-49EE-80BD-5C4D07ECE874}"/>
    <cellStyle name="40% - Accent6 22 3 2 4 2 2" xfId="13958" xr:uid="{35B97140-B0D2-4FC7-852F-338D39B647A6}"/>
    <cellStyle name="40% - Accent6 22 3 2 4 2 2 2" xfId="30162" xr:uid="{502F437A-EB8C-4D5C-A6D7-D38399905046}"/>
    <cellStyle name="40% - Accent6 22 3 2 4 2 3" xfId="22650" xr:uid="{DFB6DD01-086A-4C14-8BCB-22F3B321595D}"/>
    <cellStyle name="40% - Accent6 22 3 2 4 3" xfId="10358" xr:uid="{1D53FCFB-CE04-4C68-89B6-A901D2939D0A}"/>
    <cellStyle name="40% - Accent6 22 3 2 4 3 2" xfId="26562" xr:uid="{BC7E9CE0-EFEA-4F89-AF87-356D6EED7566}"/>
    <cellStyle name="40% - Accent6 22 3 2 4 4" xfId="18884" xr:uid="{06EF412E-520F-4FF9-9889-3D711157BE62}"/>
    <cellStyle name="40% - Accent6 22 3 2 5" xfId="3538" xr:uid="{930DC928-D540-44EE-A32A-6A585AD4835D}"/>
    <cellStyle name="40% - Accent6 22 3 2 5 2" xfId="7296" xr:uid="{E2D2A02D-AD50-45A0-8702-8A33C18A7852}"/>
    <cellStyle name="40% - Accent6 22 3 2 5 2 2" xfId="14806" xr:uid="{88967216-6B2C-44BA-B1D9-1C89121F9EE0}"/>
    <cellStyle name="40% - Accent6 22 3 2 5 2 2 2" xfId="31010" xr:uid="{9962EA0D-A8EA-4331-98EF-52554D5A544F}"/>
    <cellStyle name="40% - Accent6 22 3 2 5 2 3" xfId="23500" xr:uid="{52B9F4F2-59C1-48C4-AE0F-2CB00E081EB3}"/>
    <cellStyle name="40% - Accent6 22 3 2 5 3" xfId="11203" xr:uid="{76BDE1B6-C613-4346-944C-8FEA36BBC495}"/>
    <cellStyle name="40% - Accent6 22 3 2 5 3 2" xfId="27407" xr:uid="{DC4513BC-9857-44DA-9768-644A0F654CFC}"/>
    <cellStyle name="40% - Accent6 22 3 2 5 4" xfId="19754" xr:uid="{828590CE-334A-4226-BA0C-464645C3F723}"/>
    <cellStyle name="40% - Accent6 22 3 2 6" xfId="4062" xr:uid="{B4E84692-E80E-4715-867B-7ECABA6C8839}"/>
    <cellStyle name="40% - Accent6 22 3 2 6 2" xfId="7732" xr:uid="{4689B6FD-712A-4501-B188-1B48F5265938}"/>
    <cellStyle name="40% - Accent6 22 3 2 6 2 2" xfId="15239" xr:uid="{C1E99F6C-9B10-4D82-8876-2F96089105D9}"/>
    <cellStyle name="40% - Accent6 22 3 2 6 2 2 2" xfId="31443" xr:uid="{69568169-4982-40A0-B4F1-1BC0707927D8}"/>
    <cellStyle name="40% - Accent6 22 3 2 6 2 3" xfId="23936" xr:uid="{3E9B56DD-DFD6-48E1-BFDA-5C2A6C88381F}"/>
    <cellStyle name="40% - Accent6 22 3 2 6 3" xfId="11625" xr:uid="{E35513B1-CDD8-4A6F-8E88-37CB3A980B29}"/>
    <cellStyle name="40% - Accent6 22 3 2 6 3 2" xfId="27829" xr:uid="{19D8ECF2-BF3B-4C2E-8B3E-FBBE48FB976E}"/>
    <cellStyle name="40% - Accent6 22 3 2 6 4" xfId="20266" xr:uid="{C1C28466-E4F8-4552-841D-87BB288C3D75}"/>
    <cellStyle name="40% - Accent6 22 3 2 7" xfId="4487" xr:uid="{55AF7F29-3FF3-429F-B997-F9ADFD18064C}"/>
    <cellStyle name="40% - Accent6 22 3 2 7 2" xfId="8157" xr:uid="{29CD7C09-63B9-47CF-95B0-C08CFFB14E79}"/>
    <cellStyle name="40% - Accent6 22 3 2 7 2 2" xfId="15664" xr:uid="{5FCCAE0C-DEE4-4963-B0E9-4F0AE21FAB89}"/>
    <cellStyle name="40% - Accent6 22 3 2 7 2 2 2" xfId="31868" xr:uid="{AB8A9B56-5FBC-4603-9BA9-13C46058CF04}"/>
    <cellStyle name="40% - Accent6 22 3 2 7 2 3" xfId="24361" xr:uid="{AF1DDA43-3A9A-4B0E-8891-BE6AD344B571}"/>
    <cellStyle name="40% - Accent6 22 3 2 7 3" xfId="12050" xr:uid="{ABADBF48-8AEF-4D4B-86C2-EBAA6A42AF16}"/>
    <cellStyle name="40% - Accent6 22 3 2 7 3 2" xfId="28254" xr:uid="{992AF89D-B103-4529-8047-BFB435055A5A}"/>
    <cellStyle name="40% - Accent6 22 3 2 7 4" xfId="20691" xr:uid="{15AD4D26-1138-434D-A0E8-9EF4D429779F}"/>
    <cellStyle name="40% - Accent6 22 3 2 8" xfId="4912" xr:uid="{F8553EC4-73D5-49FC-BC20-82E3D073246A}"/>
    <cellStyle name="40% - Accent6 22 3 2 8 2" xfId="8580" xr:uid="{EAF116AA-9BF7-482E-8D3C-8B2C4973B783}"/>
    <cellStyle name="40% - Accent6 22 3 2 8 2 2" xfId="16087" xr:uid="{CAB7DDE3-4C82-491C-AF84-AB7806085CD8}"/>
    <cellStyle name="40% - Accent6 22 3 2 8 2 2 2" xfId="32291" xr:uid="{91BEE82B-3237-43A3-A2A4-E0CCDD60FCED}"/>
    <cellStyle name="40% - Accent6 22 3 2 8 2 3" xfId="24784" xr:uid="{F1941B57-8C93-4C8A-B3FA-5D7B11608710}"/>
    <cellStyle name="40% - Accent6 22 3 2 8 3" xfId="12472" xr:uid="{7BF8345C-F3B2-4192-85CC-EDFE9EB9338B}"/>
    <cellStyle name="40% - Accent6 22 3 2 8 3 2" xfId="28676" xr:uid="{813C0CD1-339A-4EA5-BD2F-E3963C5598EF}"/>
    <cellStyle name="40% - Accent6 22 3 2 8 4" xfId="21116" xr:uid="{34B60572-C1C9-4089-9580-25B518923AD9}"/>
    <cellStyle name="40% - Accent6 22 3 2 9" xfId="5398" xr:uid="{E8DAC382-EA1D-4051-9D0E-FFEE5714CEA1}"/>
    <cellStyle name="40% - Accent6 22 3 2 9 2" xfId="12947" xr:uid="{CEEBD06C-1CD4-4EF6-852C-B4EAB81EDF9B}"/>
    <cellStyle name="40% - Accent6 22 3 2 9 2 2" xfId="29151" xr:uid="{E18B5F87-9AE1-4FC0-BF49-52D5106F0A85}"/>
    <cellStyle name="40% - Accent6 22 3 2 9 3" xfId="21602" xr:uid="{4092139C-E001-45D0-87E2-61C7146E8E02}"/>
    <cellStyle name="40% - Accent6 22 3 3" xfId="1891" xr:uid="{45CC58B8-3D4B-4149-A00B-4D058BD2FCD1}"/>
    <cellStyle name="40% - Accent6 22 3 3 10" xfId="18196" xr:uid="{C3180D21-C050-46E8-8DC2-A78DC73560CE}"/>
    <cellStyle name="40% - Accent6 22 3 3 2" xfId="2400" xr:uid="{F3992AE5-7C01-4E0A-BD28-C36352B3126F}"/>
    <cellStyle name="40% - Accent6 22 3 3 2 2" xfId="3247" xr:uid="{F1798123-C4BC-4B74-BFC5-7B3E7ABC55AE}"/>
    <cellStyle name="40% - Accent6 22 3 3 2 2 2" xfId="7029" xr:uid="{B8D1AE55-D215-4DC2-83A5-68C7BC597E48}"/>
    <cellStyle name="40% - Accent6 22 3 3 2 2 2 2" xfId="14540" xr:uid="{EEBBFB52-C6AA-4977-864B-1419547BCBCA}"/>
    <cellStyle name="40% - Accent6 22 3 3 2 2 2 2 2" xfId="30744" xr:uid="{53EB300B-67AE-495F-A49E-A8071A5241F4}"/>
    <cellStyle name="40% - Accent6 22 3 3 2 2 2 3" xfId="23233" xr:uid="{C4618222-5CAB-4117-8CA1-7D6ACDBC3BAD}"/>
    <cellStyle name="40% - Accent6 22 3 3 2 2 3" xfId="10940" xr:uid="{F8E9D757-0D0D-4616-89FA-7BE489B6CA76}"/>
    <cellStyle name="40% - Accent6 22 3 3 2 2 3 2" xfId="27144" xr:uid="{A32C0FA6-6A8A-457C-9CE3-5EC7AEC4FDAB}"/>
    <cellStyle name="40% - Accent6 22 3 3 2 2 4" xfId="19467" xr:uid="{F26C62B0-3C2B-4404-904B-14AA7C7DAD61}"/>
    <cellStyle name="40% - Accent6 22 3 3 2 3" xfId="6184" xr:uid="{215336F2-1AD7-4F07-B565-4669019EDC9C}"/>
    <cellStyle name="40% - Accent6 22 3 3 2 3 2" xfId="13696" xr:uid="{7727BD56-BEBC-4087-BA17-C84BE2AD9960}"/>
    <cellStyle name="40% - Accent6 22 3 3 2 3 2 2" xfId="29900" xr:uid="{E9E46BC6-CAE0-49C4-A943-DE58B7CFE617}"/>
    <cellStyle name="40% - Accent6 22 3 3 2 3 3" xfId="22388" xr:uid="{EA3CB8C2-B980-4145-BEC4-B1B22399BB0C}"/>
    <cellStyle name="40% - Accent6 22 3 3 2 4" xfId="10096" xr:uid="{062E90A9-D31B-4798-A506-13F5988861C4}"/>
    <cellStyle name="40% - Accent6 22 3 3 2 4 2" xfId="26300" xr:uid="{C7B6A700-65D7-494A-A439-CB94EBECBDEF}"/>
    <cellStyle name="40% - Accent6 22 3 3 2 5" xfId="18622" xr:uid="{B9FE9C87-7467-4AE9-95BF-62AF9CB3C8C0}"/>
    <cellStyle name="40% - Accent6 22 3 3 3" xfId="2822" xr:uid="{89F7154F-05BC-4D2C-8302-F0E0177D19AD}"/>
    <cellStyle name="40% - Accent6 22 3 3 3 2" xfId="6606" xr:uid="{A14E91E8-5E7E-4885-BF9B-9BE2AE86F5CB}"/>
    <cellStyle name="40% - Accent6 22 3 3 3 2 2" xfId="14118" xr:uid="{DFBDE217-7B23-48A4-A127-9A3D3D52D52E}"/>
    <cellStyle name="40% - Accent6 22 3 3 3 2 2 2" xfId="30322" xr:uid="{11026F61-A3D4-416D-B963-0889C3DAA49A}"/>
    <cellStyle name="40% - Accent6 22 3 3 3 2 3" xfId="22810" xr:uid="{6AF5F844-67ED-4A9C-8928-BFA7F3DF6659}"/>
    <cellStyle name="40% - Accent6 22 3 3 3 3" xfId="10518" xr:uid="{39F3ECCA-AE29-48DC-AE7D-456F16513369}"/>
    <cellStyle name="40% - Accent6 22 3 3 3 3 2" xfId="26722" xr:uid="{C58EAF75-2FCA-4A68-A579-D639B5936082}"/>
    <cellStyle name="40% - Accent6 22 3 3 3 4" xfId="19044" xr:uid="{12A924C1-2603-4F15-BE59-17EA15CC5C5E}"/>
    <cellStyle name="40% - Accent6 22 3 3 4" xfId="3753" xr:uid="{BAF0B0D0-66F6-4D7A-AB4B-3120EE65A8A0}"/>
    <cellStyle name="40% - Accent6 22 3 3 4 2" xfId="7463" xr:uid="{8DF73648-78DD-498F-9927-D81DA59F2322}"/>
    <cellStyle name="40% - Accent6 22 3 3 4 2 2" xfId="14972" xr:uid="{83A6D301-BC29-468D-93CE-4C0751E51894}"/>
    <cellStyle name="40% - Accent6 22 3 3 4 2 2 2" xfId="31176" xr:uid="{42951F53-222D-4668-82F5-916CE34A36E2}"/>
    <cellStyle name="40% - Accent6 22 3 3 4 2 3" xfId="23667" xr:uid="{AFA65484-AF6F-47B4-AB15-615C410CDFA1}"/>
    <cellStyle name="40% - Accent6 22 3 3 4 3" xfId="11363" xr:uid="{06E0FD3E-76C7-4E36-AA97-317A11C090DC}"/>
    <cellStyle name="40% - Accent6 22 3 3 4 3 2" xfId="27567" xr:uid="{5E4E8F32-C5C6-442F-9D95-E81BA4B1C8BB}"/>
    <cellStyle name="40% - Accent6 22 3 3 4 4" xfId="19962" xr:uid="{77C1CA0C-B691-40F0-9A4C-4CB02407D18B}"/>
    <cellStyle name="40% - Accent6 22 3 3 5" xfId="4222" xr:uid="{1086A348-266A-487D-9454-A4EAC906EF2D}"/>
    <cellStyle name="40% - Accent6 22 3 3 5 2" xfId="7892" xr:uid="{55A7C270-F8FF-4672-82B5-39E96482368B}"/>
    <cellStyle name="40% - Accent6 22 3 3 5 2 2" xfId="15399" xr:uid="{28974E4E-34B7-423F-A6E9-2D66434629E7}"/>
    <cellStyle name="40% - Accent6 22 3 3 5 2 2 2" xfId="31603" xr:uid="{38A53520-E86A-47FA-883E-EDD8C8EA5CFF}"/>
    <cellStyle name="40% - Accent6 22 3 3 5 2 3" xfId="24096" xr:uid="{D375FFC9-02AD-4BCE-A8DB-33A1CC629E92}"/>
    <cellStyle name="40% - Accent6 22 3 3 5 3" xfId="11785" xr:uid="{F3713B4F-CFBF-45D4-9A5A-BE420561D98C}"/>
    <cellStyle name="40% - Accent6 22 3 3 5 3 2" xfId="27989" xr:uid="{5F01C06B-20BA-4CDF-A0F9-47DAE85D902F}"/>
    <cellStyle name="40% - Accent6 22 3 3 5 4" xfId="20426" xr:uid="{9072EB1F-09E7-4037-B32D-B766DE306DB6}"/>
    <cellStyle name="40% - Accent6 22 3 3 6" xfId="4647" xr:uid="{E815E8A9-21F6-4120-8C98-FBC36816140C}"/>
    <cellStyle name="40% - Accent6 22 3 3 6 2" xfId="8317" xr:uid="{A5D30A79-7E99-4ED6-8A51-71D5425C36DB}"/>
    <cellStyle name="40% - Accent6 22 3 3 6 2 2" xfId="15824" xr:uid="{3954AD55-3159-46A8-828D-E814542A8FDE}"/>
    <cellStyle name="40% - Accent6 22 3 3 6 2 2 2" xfId="32028" xr:uid="{058D5EB0-7E93-453B-9611-AA10381F5FD4}"/>
    <cellStyle name="40% - Accent6 22 3 3 6 2 3" xfId="24521" xr:uid="{52516DF5-EBFE-4CDE-81C7-643C502A7F66}"/>
    <cellStyle name="40% - Accent6 22 3 3 6 3" xfId="12210" xr:uid="{509CB90E-BD2D-4DA3-8E28-421E39BAC1CE}"/>
    <cellStyle name="40% - Accent6 22 3 3 6 3 2" xfId="28414" xr:uid="{E8293653-9C49-4D75-8097-8FCC50AFEE26}"/>
    <cellStyle name="40% - Accent6 22 3 3 6 4" xfId="20851" xr:uid="{CD69C7E1-5CC2-48E5-AE92-EDC25874CA17}"/>
    <cellStyle name="40% - Accent6 22 3 3 7" xfId="5074" xr:uid="{268EE009-C302-41BE-8C2F-5883AAAE4751}"/>
    <cellStyle name="40% - Accent6 22 3 3 7 2" xfId="8740" xr:uid="{39F938A0-0DA7-40BC-A6B8-03D6263E9B58}"/>
    <cellStyle name="40% - Accent6 22 3 3 7 2 2" xfId="16247" xr:uid="{C1F20D10-560E-4D7A-8B1F-AD986BC694E0}"/>
    <cellStyle name="40% - Accent6 22 3 3 7 2 2 2" xfId="32451" xr:uid="{49E58598-FACC-4040-BA28-DCBA162DBE0B}"/>
    <cellStyle name="40% - Accent6 22 3 3 7 2 3" xfId="24944" xr:uid="{7BE7E567-F4C6-44A6-8151-66A944EED450}"/>
    <cellStyle name="40% - Accent6 22 3 3 7 3" xfId="12632" xr:uid="{D570EA37-A5FA-4777-8EE7-B50D50EE6DD6}"/>
    <cellStyle name="40% - Accent6 22 3 3 7 3 2" xfId="28836" xr:uid="{4E721921-2564-4188-9CEB-E509D8D4133F}"/>
    <cellStyle name="40% - Accent6 22 3 3 7 4" xfId="21278" xr:uid="{F05E3FD8-2F2D-4BA4-9847-A30F683CBA51}"/>
    <cellStyle name="40% - Accent6 22 3 3 8" xfId="5746" xr:uid="{72F84A0E-9E11-4475-8067-653D9A78A901}"/>
    <cellStyle name="40% - Accent6 22 3 3 8 2" xfId="13261" xr:uid="{B74B8710-9A79-4A65-AFF4-4035FDE0D0EE}"/>
    <cellStyle name="40% - Accent6 22 3 3 8 2 2" xfId="29465" xr:uid="{9DB1446C-1E87-4A18-B2B2-D54DE1730DD8}"/>
    <cellStyle name="40% - Accent6 22 3 3 8 3" xfId="21950" xr:uid="{A13898A3-C3CA-48E3-821E-316500EA756E}"/>
    <cellStyle name="40% - Accent6 22 3 3 9" xfId="9673" xr:uid="{3C705B89-3C82-47D6-B886-696FDE21F0E8}"/>
    <cellStyle name="40% - Accent6 22 3 3 9 2" xfId="25877" xr:uid="{6950DAE3-4EAA-4791-A113-9EDE876B0B39}"/>
    <cellStyle name="40% - Accent6 22 3 4" xfId="2107" xr:uid="{1D3723E3-53C2-478A-9AF9-5164EE3D9A25}"/>
    <cellStyle name="40% - Accent6 22 3 4 2" xfId="3020" xr:uid="{8FE18F33-F96A-4C1B-8830-6AEFB296676D}"/>
    <cellStyle name="40% - Accent6 22 3 4 2 2" xfId="6802" xr:uid="{0C38BC8D-3542-4AF6-B83E-B39DF543EC1A}"/>
    <cellStyle name="40% - Accent6 22 3 4 2 2 2" xfId="14313" xr:uid="{B9D89896-11B6-4382-BC3E-53C01A52D35A}"/>
    <cellStyle name="40% - Accent6 22 3 4 2 2 2 2" xfId="30517" xr:uid="{DC8EECF7-8045-45FF-ABAD-256CDE232A9B}"/>
    <cellStyle name="40% - Accent6 22 3 4 2 2 3" xfId="23006" xr:uid="{F8F2126E-A18A-4581-9CD1-C149FD1A08AB}"/>
    <cellStyle name="40% - Accent6 22 3 4 2 3" xfId="10713" xr:uid="{68121340-320E-4A48-9A43-B8BD263151EF}"/>
    <cellStyle name="40% - Accent6 22 3 4 2 3 2" xfId="26917" xr:uid="{B3F9BA30-0266-4B6B-9FC1-B8010F633EAE}"/>
    <cellStyle name="40% - Accent6 22 3 4 2 4" xfId="19240" xr:uid="{3CBD7D99-654A-4D4B-9286-13D60672C299}"/>
    <cellStyle name="40% - Accent6 22 3 4 3" xfId="5946" xr:uid="{2891085E-ED7E-4EC2-84C8-B5F6D688D3AD}"/>
    <cellStyle name="40% - Accent6 22 3 4 3 2" xfId="13460" xr:uid="{2FE7566A-7C32-4B21-B10C-24A5EEFCFDD1}"/>
    <cellStyle name="40% - Accent6 22 3 4 3 2 2" xfId="29664" xr:uid="{DD89948E-E5FF-4A46-B8F4-5A39FEBDAE30}"/>
    <cellStyle name="40% - Accent6 22 3 4 3 3" xfId="22150" xr:uid="{AD015114-0678-4E45-9854-5AA0DD4A59AA}"/>
    <cellStyle name="40% - Accent6 22 3 4 4" xfId="9869" xr:uid="{C91EE8EA-A5F1-4FF1-ACF9-543F2A78264F}"/>
    <cellStyle name="40% - Accent6 22 3 4 4 2" xfId="26073" xr:uid="{8C04FB74-C2A5-48B6-A3F0-0CEF0550DB8C}"/>
    <cellStyle name="40% - Accent6 22 3 4 5" xfId="18394" xr:uid="{4BD50883-B118-4655-87AB-5BA9427929C0}"/>
    <cellStyle name="40% - Accent6 22 3 5" xfId="2595" xr:uid="{31951836-6148-4B04-B06D-1412DC9B1197}"/>
    <cellStyle name="40% - Accent6 22 3 5 2" xfId="6379" xr:uid="{09D6A05C-DC7D-4450-8D5D-9E88C42F0991}"/>
    <cellStyle name="40% - Accent6 22 3 5 2 2" xfId="13891" xr:uid="{199E67A3-F899-4CF7-B9D9-45260BF6E197}"/>
    <cellStyle name="40% - Accent6 22 3 5 2 2 2" xfId="30095" xr:uid="{B1031EAE-207B-4C43-8F53-0DBF3A91920F}"/>
    <cellStyle name="40% - Accent6 22 3 5 2 3" xfId="22583" xr:uid="{8A853C90-904B-4717-BE76-2E1AE656690E}"/>
    <cellStyle name="40% - Accent6 22 3 5 3" xfId="10291" xr:uid="{D208E75A-BB8B-40DC-8AB7-FD4BC2A841C7}"/>
    <cellStyle name="40% - Accent6 22 3 5 3 2" xfId="26495" xr:uid="{C797FADA-B1AA-4312-893C-CA8DF34A1419}"/>
    <cellStyle name="40% - Accent6 22 3 5 4" xfId="18817" xr:uid="{AB114294-2E5C-4BF0-AE1D-5C0868F75723}"/>
    <cellStyle name="40% - Accent6 22 3 6" xfId="3471" xr:uid="{ACB65066-CBF6-4F8F-8A72-8AB9DA887078}"/>
    <cellStyle name="40% - Accent6 22 3 6 2" xfId="7229" xr:uid="{6DF097A3-D6B7-47B3-8FC7-6A6C659F10BE}"/>
    <cellStyle name="40% - Accent6 22 3 6 2 2" xfId="14739" xr:uid="{D089EC1F-003B-4512-BB64-D66793A8E931}"/>
    <cellStyle name="40% - Accent6 22 3 6 2 2 2" xfId="30943" xr:uid="{B81B53A5-1DD4-4195-B214-0C82E30F1242}"/>
    <cellStyle name="40% - Accent6 22 3 6 2 3" xfId="23433" xr:uid="{82FC7858-0685-4F47-8F72-78EC002CCB97}"/>
    <cellStyle name="40% - Accent6 22 3 6 3" xfId="11136" xr:uid="{D29FB979-BFBB-403D-804B-E44533514476}"/>
    <cellStyle name="40% - Accent6 22 3 6 3 2" xfId="27340" xr:uid="{59A2618B-FDD3-4FCF-94B3-0AF4AB0A15F8}"/>
    <cellStyle name="40% - Accent6 22 3 6 4" xfId="19687" xr:uid="{E430AB00-3CD6-4D10-96C9-6FA60BEA0617}"/>
    <cellStyle name="40% - Accent6 22 3 7" xfId="3995" xr:uid="{E1BD191E-7722-4BE5-B996-3E85C58B020B}"/>
    <cellStyle name="40% - Accent6 22 3 7 2" xfId="7665" xr:uid="{0CF4594F-A29B-4B47-BF7F-A80EA689518B}"/>
    <cellStyle name="40% - Accent6 22 3 7 2 2" xfId="15172" xr:uid="{303F78B3-C07C-4B2A-928F-F19A94B82FC4}"/>
    <cellStyle name="40% - Accent6 22 3 7 2 2 2" xfId="31376" xr:uid="{3F6E1C00-966C-4F57-B45A-43069F55955F}"/>
    <cellStyle name="40% - Accent6 22 3 7 2 3" xfId="23869" xr:uid="{B374E374-ECB7-44FE-B71E-9BB7736E7947}"/>
    <cellStyle name="40% - Accent6 22 3 7 3" xfId="11558" xr:uid="{0470033E-D5E7-4058-9BBF-7F97B762A80F}"/>
    <cellStyle name="40% - Accent6 22 3 7 3 2" xfId="27762" xr:uid="{C8EF0784-BCC8-485A-AD3A-0A874895B55C}"/>
    <cellStyle name="40% - Accent6 22 3 7 4" xfId="20199" xr:uid="{BDEB9C32-19FF-41C9-8634-FFAF5D797901}"/>
    <cellStyle name="40% - Accent6 22 3 8" xfId="4420" xr:uid="{67078436-5105-47C8-A56B-1F144F8D605E}"/>
    <cellStyle name="40% - Accent6 22 3 8 2" xfId="8090" xr:uid="{D627940E-25E9-4A80-9555-A3A56319D967}"/>
    <cellStyle name="40% - Accent6 22 3 8 2 2" xfId="15597" xr:uid="{B6DEE449-DBE8-4107-B7EA-02337E742A6F}"/>
    <cellStyle name="40% - Accent6 22 3 8 2 2 2" xfId="31801" xr:uid="{88627D67-1398-4FBB-AD25-A9322BC9FDD5}"/>
    <cellStyle name="40% - Accent6 22 3 8 2 3" xfId="24294" xr:uid="{0DEDA310-FF98-45D0-A06C-D0D3EADA63F2}"/>
    <cellStyle name="40% - Accent6 22 3 8 3" xfId="11983" xr:uid="{CB3401E2-EAE8-4E22-B77E-D52FF376AD1A}"/>
    <cellStyle name="40% - Accent6 22 3 8 3 2" xfId="28187" xr:uid="{E6CD4954-87ED-406C-8663-9A6A1AB12C20}"/>
    <cellStyle name="40% - Accent6 22 3 8 4" xfId="20624" xr:uid="{A6CDFB9F-AE56-4B94-8F21-E9DC968A1E0C}"/>
    <cellStyle name="40% - Accent6 22 3 9" xfId="4844" xr:uid="{90367C3B-3D0B-45CC-8C55-157EEE0BCAD8}"/>
    <cellStyle name="40% - Accent6 22 3 9 2" xfId="8513" xr:uid="{7FA4828A-2132-422E-B86A-5E05756EDFED}"/>
    <cellStyle name="40% - Accent6 22 3 9 2 2" xfId="16020" xr:uid="{685237E4-7D43-487E-A0BC-E5ECF14870AE}"/>
    <cellStyle name="40% - Accent6 22 3 9 2 2 2" xfId="32224" xr:uid="{87701F21-3BA9-4663-99BD-E7B2D63FC885}"/>
    <cellStyle name="40% - Accent6 22 3 9 2 3" xfId="24717" xr:uid="{1D1B121B-3915-4BC6-8A87-70EC919B61A5}"/>
    <cellStyle name="40% - Accent6 22 3 9 3" xfId="12405" xr:uid="{F32B189E-B2FC-4939-B842-576CA632F8BC}"/>
    <cellStyle name="40% - Accent6 22 3 9 3 2" xfId="28609" xr:uid="{F05AFBEA-D810-46F9-B153-48577E999E3E}"/>
    <cellStyle name="40% - Accent6 22 3 9 4" xfId="21048" xr:uid="{254B515C-AB90-48D0-990A-DD9F676BA710}"/>
    <cellStyle name="40% - Accent6 22 4" xfId="561" xr:uid="{DD9466CA-2546-4956-A6EA-3B86114D09B0}"/>
    <cellStyle name="40% - Accent6 22 4 10" xfId="9469" xr:uid="{653F48E6-42E1-431A-A5FC-56B68FDBFA9B}"/>
    <cellStyle name="40% - Accent6 22 4 10 2" xfId="25673" xr:uid="{77542B29-0F0F-435C-B7E8-EECF37940581}"/>
    <cellStyle name="40% - Accent6 22 4 11" xfId="17985" xr:uid="{E390D9CB-76E0-440E-B373-6735243A6E2F}"/>
    <cellStyle name="40% - Accent6 22 4 2" xfId="1892" xr:uid="{D602677C-B2BA-4DFB-8F3D-72384394FC01}"/>
    <cellStyle name="40% - Accent6 22 4 2 10" xfId="18197" xr:uid="{148E5FF6-E307-4B68-888B-9E4D8E925B87}"/>
    <cellStyle name="40% - Accent6 22 4 2 2" xfId="2401" xr:uid="{83325B25-283F-4820-B7B5-DEC45B9BDEF2}"/>
    <cellStyle name="40% - Accent6 22 4 2 2 2" xfId="3248" xr:uid="{1E807E66-05CB-4F42-9C43-CB4596520992}"/>
    <cellStyle name="40% - Accent6 22 4 2 2 2 2" xfId="7030" xr:uid="{4A52BD84-0DAD-42AD-857C-688C4E0CF7CF}"/>
    <cellStyle name="40% - Accent6 22 4 2 2 2 2 2" xfId="14541" xr:uid="{333A1C15-B00E-47D5-9660-44F05D4565D4}"/>
    <cellStyle name="40% - Accent6 22 4 2 2 2 2 2 2" xfId="30745" xr:uid="{6074E8E0-D3F2-41D7-B88A-60606E65159C}"/>
    <cellStyle name="40% - Accent6 22 4 2 2 2 2 3" xfId="23234" xr:uid="{1FC78665-EB95-4E20-8681-8F83050F9698}"/>
    <cellStyle name="40% - Accent6 22 4 2 2 2 3" xfId="10941" xr:uid="{B5D0D5C6-8FAA-47AA-80CD-79B69E7E907E}"/>
    <cellStyle name="40% - Accent6 22 4 2 2 2 3 2" xfId="27145" xr:uid="{AFFEB876-1802-4F9A-82B4-7E0C705E4DF4}"/>
    <cellStyle name="40% - Accent6 22 4 2 2 2 4" xfId="19468" xr:uid="{6580A57D-D925-4EE2-A298-C4306639F674}"/>
    <cellStyle name="40% - Accent6 22 4 2 2 3" xfId="6185" xr:uid="{5327CAAC-326F-43E5-8DB3-DA331308344A}"/>
    <cellStyle name="40% - Accent6 22 4 2 2 3 2" xfId="13697" xr:uid="{30D4516A-D381-4C6E-BB83-CE39D04336B2}"/>
    <cellStyle name="40% - Accent6 22 4 2 2 3 2 2" xfId="29901" xr:uid="{EFC77C24-9F47-4603-85FF-DDB0D69B53B6}"/>
    <cellStyle name="40% - Accent6 22 4 2 2 3 3" xfId="22389" xr:uid="{A587F66B-FE55-49DC-BFB6-9336D66C0A28}"/>
    <cellStyle name="40% - Accent6 22 4 2 2 4" xfId="10097" xr:uid="{5622D170-E69C-4B9D-893A-BD3B3905A74A}"/>
    <cellStyle name="40% - Accent6 22 4 2 2 4 2" xfId="26301" xr:uid="{F640DDD5-3291-418F-8747-36AE65F91842}"/>
    <cellStyle name="40% - Accent6 22 4 2 2 5" xfId="18623" xr:uid="{9BA0E819-C796-4060-BE09-00E8350A946D}"/>
    <cellStyle name="40% - Accent6 22 4 2 3" xfId="2823" xr:uid="{1AC28804-8FE6-4358-A731-DED14404976B}"/>
    <cellStyle name="40% - Accent6 22 4 2 3 2" xfId="6607" xr:uid="{3A7C8E23-1356-48AD-BEFF-DF569D91CD63}"/>
    <cellStyle name="40% - Accent6 22 4 2 3 2 2" xfId="14119" xr:uid="{4F90B5F5-ECC7-4F44-A070-197B854FA617}"/>
    <cellStyle name="40% - Accent6 22 4 2 3 2 2 2" xfId="30323" xr:uid="{4DF2D1BB-1C53-4113-9365-B8959393DD62}"/>
    <cellStyle name="40% - Accent6 22 4 2 3 2 3" xfId="22811" xr:uid="{4CB0A3D7-30CC-478D-89FC-E27C75C1D20A}"/>
    <cellStyle name="40% - Accent6 22 4 2 3 3" xfId="10519" xr:uid="{50BCB388-6F79-45BE-A264-C3BB1CFC4A7D}"/>
    <cellStyle name="40% - Accent6 22 4 2 3 3 2" xfId="26723" xr:uid="{699B4F9D-36E4-4AA6-85E0-F4E68F6F26F6}"/>
    <cellStyle name="40% - Accent6 22 4 2 3 4" xfId="19045" xr:uid="{DC5B7A7F-7FFF-4708-9933-558884821F12}"/>
    <cellStyle name="40% - Accent6 22 4 2 4" xfId="3754" xr:uid="{5E2FAA73-F7FB-46EC-81D7-EFC656133315}"/>
    <cellStyle name="40% - Accent6 22 4 2 4 2" xfId="7464" xr:uid="{7EFD53D1-AD2B-4C82-AD58-6014D0354317}"/>
    <cellStyle name="40% - Accent6 22 4 2 4 2 2" xfId="14973" xr:uid="{20348B6D-573F-4BC3-B906-53D19F54C3BC}"/>
    <cellStyle name="40% - Accent6 22 4 2 4 2 2 2" xfId="31177" xr:uid="{8113DD6C-D706-45FB-93C0-0693CB26D49F}"/>
    <cellStyle name="40% - Accent6 22 4 2 4 2 3" xfId="23668" xr:uid="{A338C21B-44AE-4627-AB66-E3CBC5B81869}"/>
    <cellStyle name="40% - Accent6 22 4 2 4 3" xfId="11364" xr:uid="{C73A34E7-C025-4FAA-9D33-6E3E440BB025}"/>
    <cellStyle name="40% - Accent6 22 4 2 4 3 2" xfId="27568" xr:uid="{BFADAD62-733A-4215-8FFF-ABCA956123BC}"/>
    <cellStyle name="40% - Accent6 22 4 2 4 4" xfId="19963" xr:uid="{E147A14C-A028-41FD-B422-D915C66B74CE}"/>
    <cellStyle name="40% - Accent6 22 4 2 5" xfId="4223" xr:uid="{19393723-AFE2-4232-8AB6-21C37D050228}"/>
    <cellStyle name="40% - Accent6 22 4 2 5 2" xfId="7893" xr:uid="{535D264D-B955-4045-AB9A-A06430A7ECE2}"/>
    <cellStyle name="40% - Accent6 22 4 2 5 2 2" xfId="15400" xr:uid="{95F26F51-B8C9-469A-959C-147A7EE12FC7}"/>
    <cellStyle name="40% - Accent6 22 4 2 5 2 2 2" xfId="31604" xr:uid="{04FBA0D9-63DC-4354-877C-7F9361C4E7D0}"/>
    <cellStyle name="40% - Accent6 22 4 2 5 2 3" xfId="24097" xr:uid="{0CA9EE13-C1D1-4011-9761-7F8940779091}"/>
    <cellStyle name="40% - Accent6 22 4 2 5 3" xfId="11786" xr:uid="{E91D7DB8-09B1-4912-B444-3A02B0E5E6E1}"/>
    <cellStyle name="40% - Accent6 22 4 2 5 3 2" xfId="27990" xr:uid="{727FF871-F186-4C8D-A601-A4FD86177A2E}"/>
    <cellStyle name="40% - Accent6 22 4 2 5 4" xfId="20427" xr:uid="{1DF65E3E-306E-4AA2-A006-7CDF9881385F}"/>
    <cellStyle name="40% - Accent6 22 4 2 6" xfId="4648" xr:uid="{295F5CB7-9112-430E-8986-A9D7C6B9E2F5}"/>
    <cellStyle name="40% - Accent6 22 4 2 6 2" xfId="8318" xr:uid="{BDD0EA13-A3DB-4466-9338-FCA6E7A2E1F2}"/>
    <cellStyle name="40% - Accent6 22 4 2 6 2 2" xfId="15825" xr:uid="{BBC57344-5131-4555-8C87-18FBA90A9415}"/>
    <cellStyle name="40% - Accent6 22 4 2 6 2 2 2" xfId="32029" xr:uid="{F72DB688-293B-44C0-8181-82B170F24F2E}"/>
    <cellStyle name="40% - Accent6 22 4 2 6 2 3" xfId="24522" xr:uid="{076E9BE9-28FE-4DBA-9A21-7D6E2B3E7E36}"/>
    <cellStyle name="40% - Accent6 22 4 2 6 3" xfId="12211" xr:uid="{49D74D41-6ADA-4C84-9A4F-B128FF660A0B}"/>
    <cellStyle name="40% - Accent6 22 4 2 6 3 2" xfId="28415" xr:uid="{AE9028F7-C39D-44E6-A445-3256ADBE7579}"/>
    <cellStyle name="40% - Accent6 22 4 2 6 4" xfId="20852" xr:uid="{720B8397-92B8-4C44-9439-137A8BC3870E}"/>
    <cellStyle name="40% - Accent6 22 4 2 7" xfId="5075" xr:uid="{D01C03F4-310B-426A-A309-40BE98FD4F9B}"/>
    <cellStyle name="40% - Accent6 22 4 2 7 2" xfId="8741" xr:uid="{EAB14471-98EA-4F88-B5EF-2EA5A4EA2F5D}"/>
    <cellStyle name="40% - Accent6 22 4 2 7 2 2" xfId="16248" xr:uid="{3C601F9B-E36D-4482-9D27-9CB56E6DCDB3}"/>
    <cellStyle name="40% - Accent6 22 4 2 7 2 2 2" xfId="32452" xr:uid="{000B36C7-DAFF-430C-8DF3-29FE91073CC6}"/>
    <cellStyle name="40% - Accent6 22 4 2 7 2 3" xfId="24945" xr:uid="{DC50279B-C365-4065-BFF9-C6E6B6AE0601}"/>
    <cellStyle name="40% - Accent6 22 4 2 7 3" xfId="12633" xr:uid="{C0C87A8D-1CE0-4E49-A034-2569D1E097AF}"/>
    <cellStyle name="40% - Accent6 22 4 2 7 3 2" xfId="28837" xr:uid="{451B6B76-8063-4EBE-8B38-D97D1F244F00}"/>
    <cellStyle name="40% - Accent6 22 4 2 7 4" xfId="21279" xr:uid="{404F54D7-7262-427E-A48C-C6BEF54E7888}"/>
    <cellStyle name="40% - Accent6 22 4 2 8" xfId="5747" xr:uid="{B0714C7E-B916-44CA-BAA9-FF954AD310D8}"/>
    <cellStyle name="40% - Accent6 22 4 2 8 2" xfId="13262" xr:uid="{3D5DDD2F-A1BC-46D3-B37A-E7F3DA22FEE0}"/>
    <cellStyle name="40% - Accent6 22 4 2 8 2 2" xfId="29466" xr:uid="{EA5C5166-3547-4BE5-B9EE-CB2FB9202D63}"/>
    <cellStyle name="40% - Accent6 22 4 2 8 3" xfId="21951" xr:uid="{057ECC3E-AB7B-461B-83A3-EF0981DCEAED}"/>
    <cellStyle name="40% - Accent6 22 4 2 9" xfId="9674" xr:uid="{1B2FF2B3-6F79-4208-B881-F0DF369440D3}"/>
    <cellStyle name="40% - Accent6 22 4 2 9 2" xfId="25878" xr:uid="{F5537F30-5BBE-46DB-9D86-334C352AEDC3}"/>
    <cellStyle name="40% - Accent6 22 4 3" xfId="2130" xr:uid="{287FD679-EADA-4A37-815B-6FD45FB98C45}"/>
    <cellStyle name="40% - Accent6 22 4 3 2" xfId="3043" xr:uid="{15D0CBD7-FDA2-4C3A-B751-9B22F027D3CE}"/>
    <cellStyle name="40% - Accent6 22 4 3 2 2" xfId="6825" xr:uid="{96DA3D4E-CE99-4ABD-A586-789F34738A76}"/>
    <cellStyle name="40% - Accent6 22 4 3 2 2 2" xfId="14336" xr:uid="{CB5287E7-E053-4FA6-B7F2-A24A784958E5}"/>
    <cellStyle name="40% - Accent6 22 4 3 2 2 2 2" xfId="30540" xr:uid="{3E37A726-786C-495D-AD8A-0057CFA6D825}"/>
    <cellStyle name="40% - Accent6 22 4 3 2 2 3" xfId="23029" xr:uid="{8AAAB641-F6E3-44B7-8434-1AD79D5A91EC}"/>
    <cellStyle name="40% - Accent6 22 4 3 2 3" xfId="10736" xr:uid="{22FF8BAE-F006-461E-A6BD-310CB907672B}"/>
    <cellStyle name="40% - Accent6 22 4 3 2 3 2" xfId="26940" xr:uid="{87A24F4F-5EEE-4073-B470-000C844A09DB}"/>
    <cellStyle name="40% - Accent6 22 4 3 2 4" xfId="19263" xr:uid="{13ABC9E7-B139-47DD-851F-9801E97D548B}"/>
    <cellStyle name="40% - Accent6 22 4 3 3" xfId="5969" xr:uid="{D77E9351-890E-404B-88CE-173AF811F1E6}"/>
    <cellStyle name="40% - Accent6 22 4 3 3 2" xfId="13483" xr:uid="{D7D416F4-8382-47C6-9076-0B21F15521C6}"/>
    <cellStyle name="40% - Accent6 22 4 3 3 2 2" xfId="29687" xr:uid="{19AF22F4-C290-4FCE-9332-FC15C7315C0D}"/>
    <cellStyle name="40% - Accent6 22 4 3 3 3" xfId="22173" xr:uid="{36C6757E-5704-4D2E-AAAD-6D8AE4225346}"/>
    <cellStyle name="40% - Accent6 22 4 3 4" xfId="9892" xr:uid="{0E01B720-CDDD-479D-961D-760A0A96EDD5}"/>
    <cellStyle name="40% - Accent6 22 4 3 4 2" xfId="26096" xr:uid="{07F9D949-7F15-4E51-934E-DDA024B5A06F}"/>
    <cellStyle name="40% - Accent6 22 4 3 5" xfId="18417" xr:uid="{9DA046F2-7158-4B1C-AA87-49E5E2CDAE8C}"/>
    <cellStyle name="40% - Accent6 22 4 4" xfId="2618" xr:uid="{678DF888-E850-47F2-92EA-3075E5D5855C}"/>
    <cellStyle name="40% - Accent6 22 4 4 2" xfId="6402" xr:uid="{619CBCC9-6F2E-4B09-9916-2288EBE19A15}"/>
    <cellStyle name="40% - Accent6 22 4 4 2 2" xfId="13914" xr:uid="{0320B51D-9348-49C2-9CDC-053202E270B1}"/>
    <cellStyle name="40% - Accent6 22 4 4 2 2 2" xfId="30118" xr:uid="{822091F0-E731-49A2-919E-A01AACB683BD}"/>
    <cellStyle name="40% - Accent6 22 4 4 2 3" xfId="22606" xr:uid="{15E4AD43-26FD-4318-AB50-4B73D5D684A5}"/>
    <cellStyle name="40% - Accent6 22 4 4 3" xfId="10314" xr:uid="{3A55BE56-23EC-474D-9F5E-0C25D3AF396E}"/>
    <cellStyle name="40% - Accent6 22 4 4 3 2" xfId="26518" xr:uid="{FBBD2840-32B2-4287-B58F-5424D0DC2DB5}"/>
    <cellStyle name="40% - Accent6 22 4 4 4" xfId="18840" xr:uid="{075DE864-6F45-4B3C-AD6B-2594723C41D9}"/>
    <cellStyle name="40% - Accent6 22 4 5" xfId="3494" xr:uid="{DEB6DE10-B118-4D2D-8254-E4225BCB2847}"/>
    <cellStyle name="40% - Accent6 22 4 5 2" xfId="7252" xr:uid="{0070D59E-BB6F-44D4-93BB-01B65855B6DE}"/>
    <cellStyle name="40% - Accent6 22 4 5 2 2" xfId="14762" xr:uid="{E4585A65-6D31-4445-AD25-6B2F7436556C}"/>
    <cellStyle name="40% - Accent6 22 4 5 2 2 2" xfId="30966" xr:uid="{0ED98D91-629A-4F52-8C4E-294B2B57812B}"/>
    <cellStyle name="40% - Accent6 22 4 5 2 3" xfId="23456" xr:uid="{6511C573-2F17-42B2-8738-4B187549248A}"/>
    <cellStyle name="40% - Accent6 22 4 5 3" xfId="11159" xr:uid="{BA963E7A-3EFD-47C6-A80B-1E1076F335EB}"/>
    <cellStyle name="40% - Accent6 22 4 5 3 2" xfId="27363" xr:uid="{5AF32827-64BC-4554-B592-26A0C4EBAA0E}"/>
    <cellStyle name="40% - Accent6 22 4 5 4" xfId="19710" xr:uid="{6E41EBAC-EC27-4327-A48C-A5D22AB58645}"/>
    <cellStyle name="40% - Accent6 22 4 6" xfId="4018" xr:uid="{381165AB-0015-4AAA-95E4-C6036827C062}"/>
    <cellStyle name="40% - Accent6 22 4 6 2" xfId="7688" xr:uid="{278535AD-B7D8-489D-83C5-1CC8A092CC58}"/>
    <cellStyle name="40% - Accent6 22 4 6 2 2" xfId="15195" xr:uid="{EC8EA4DA-127E-4A0B-BE8D-B7DD4D0C7253}"/>
    <cellStyle name="40% - Accent6 22 4 6 2 2 2" xfId="31399" xr:uid="{4F19B553-FD12-4F74-864D-1A36C858E9FA}"/>
    <cellStyle name="40% - Accent6 22 4 6 2 3" xfId="23892" xr:uid="{9732CE73-228A-40A6-AFA7-E0C512141F92}"/>
    <cellStyle name="40% - Accent6 22 4 6 3" xfId="11581" xr:uid="{C8CFCC75-1579-4916-ACA0-0CD9B608D5A4}"/>
    <cellStyle name="40% - Accent6 22 4 6 3 2" xfId="27785" xr:uid="{AEB22B23-7229-4387-AB90-93F59C5CB52F}"/>
    <cellStyle name="40% - Accent6 22 4 6 4" xfId="20222" xr:uid="{A67C612D-5223-4797-989A-7F5670D5070B}"/>
    <cellStyle name="40% - Accent6 22 4 7" xfId="4443" xr:uid="{ADACB648-A129-4CF2-B1D6-ACEC8F424FCC}"/>
    <cellStyle name="40% - Accent6 22 4 7 2" xfId="8113" xr:uid="{DD19D59C-7313-4C9E-8850-014922889378}"/>
    <cellStyle name="40% - Accent6 22 4 7 2 2" xfId="15620" xr:uid="{60FC8703-2068-4788-8A84-B34386E77063}"/>
    <cellStyle name="40% - Accent6 22 4 7 2 2 2" xfId="31824" xr:uid="{43F6AD6E-AD23-4A46-AD48-5BE5DD849097}"/>
    <cellStyle name="40% - Accent6 22 4 7 2 3" xfId="24317" xr:uid="{F15D3408-701D-41F5-887B-E71ABBD7D239}"/>
    <cellStyle name="40% - Accent6 22 4 7 3" xfId="12006" xr:uid="{A42C1633-3A4A-4900-969D-28A8B60020A4}"/>
    <cellStyle name="40% - Accent6 22 4 7 3 2" xfId="28210" xr:uid="{FA11A822-45ED-4D64-8A11-BA60F0328DBB}"/>
    <cellStyle name="40% - Accent6 22 4 7 4" xfId="20647" xr:uid="{AB58FBEF-B924-4A39-9A6C-3AFCCE0B0E9D}"/>
    <cellStyle name="40% - Accent6 22 4 8" xfId="4868" xr:uid="{FCE68A56-951B-4A8D-B620-7E111BD6DC16}"/>
    <cellStyle name="40% - Accent6 22 4 8 2" xfId="8536" xr:uid="{07F81873-0BD3-48F4-A7A6-D38594051D4B}"/>
    <cellStyle name="40% - Accent6 22 4 8 2 2" xfId="16043" xr:uid="{F27883CE-CC62-4BAF-AA8C-7EE029940F06}"/>
    <cellStyle name="40% - Accent6 22 4 8 2 2 2" xfId="32247" xr:uid="{63EF6A66-6731-4E6D-927D-45B499801E36}"/>
    <cellStyle name="40% - Accent6 22 4 8 2 3" xfId="24740" xr:uid="{F18251CE-B13D-4312-92E4-99B4C585AE6A}"/>
    <cellStyle name="40% - Accent6 22 4 8 3" xfId="12428" xr:uid="{9188C551-6514-4991-966A-DD9BB1B772AE}"/>
    <cellStyle name="40% - Accent6 22 4 8 3 2" xfId="28632" xr:uid="{BFD3430B-045F-4784-8060-1A709C2BCEBA}"/>
    <cellStyle name="40% - Accent6 22 4 8 4" xfId="21072" xr:uid="{929BDB87-B204-46FB-BCDA-A014B9E2E846}"/>
    <cellStyle name="40% - Accent6 22 4 9" xfId="5354" xr:uid="{BD089CCC-6748-42AE-B396-B4A7AC6E92A9}"/>
    <cellStyle name="40% - Accent6 22 4 9 2" xfId="12903" xr:uid="{7B846E09-A278-4798-9004-A003BF243ED8}"/>
    <cellStyle name="40% - Accent6 22 4 9 2 2" xfId="29107" xr:uid="{DD665EA9-2BA2-442C-B2ED-58DEAE81F0BD}"/>
    <cellStyle name="40% - Accent6 22 4 9 3" xfId="21558" xr:uid="{66A77A01-CBB3-4423-B6BF-2D206C36FE4D}"/>
    <cellStyle name="40% - Accent6 22 5" xfId="1468" xr:uid="{AA5030CE-1C12-43F3-91AD-22300AF4C766}"/>
    <cellStyle name="40% - Accent6 22 6" xfId="1893" xr:uid="{97FB89B1-F95C-438F-A4DF-FB89358B2849}"/>
    <cellStyle name="40% - Accent6 22 6 10" xfId="18198" xr:uid="{032009BA-6F07-4784-B100-7DE091F689A3}"/>
    <cellStyle name="40% - Accent6 22 6 2" xfId="2402" xr:uid="{2C55CB46-A2C0-4097-8D3A-4319A3880AD6}"/>
    <cellStyle name="40% - Accent6 22 6 2 2" xfId="3249" xr:uid="{37B5E1F2-1FC9-44B3-ABC2-5F9FF902A5B0}"/>
    <cellStyle name="40% - Accent6 22 6 2 2 2" xfId="7031" xr:uid="{828E8C1C-43AD-4A51-9B63-51FAE0F0AD75}"/>
    <cellStyle name="40% - Accent6 22 6 2 2 2 2" xfId="14542" xr:uid="{4AD71B29-B032-4558-954A-89658DBF9C67}"/>
    <cellStyle name="40% - Accent6 22 6 2 2 2 2 2" xfId="30746" xr:uid="{8EBC7922-3795-4E18-A043-B7ADD11FBD5E}"/>
    <cellStyle name="40% - Accent6 22 6 2 2 2 3" xfId="23235" xr:uid="{38AD668B-7081-4E02-97B5-17C7815FFFD1}"/>
    <cellStyle name="40% - Accent6 22 6 2 2 3" xfId="10942" xr:uid="{DD60DDF3-9D4A-4335-9A15-812E9877D07C}"/>
    <cellStyle name="40% - Accent6 22 6 2 2 3 2" xfId="27146" xr:uid="{7EA039F5-942A-4D61-8CAE-5994F9A73425}"/>
    <cellStyle name="40% - Accent6 22 6 2 2 4" xfId="19469" xr:uid="{8ECE2582-A729-4658-BD37-FC6A21178467}"/>
    <cellStyle name="40% - Accent6 22 6 2 3" xfId="6186" xr:uid="{C39DD022-9BF6-41FE-9EA1-AE77609FEE35}"/>
    <cellStyle name="40% - Accent6 22 6 2 3 2" xfId="13698" xr:uid="{D94A93F3-AD88-4C8F-AE5C-C1465474E35D}"/>
    <cellStyle name="40% - Accent6 22 6 2 3 2 2" xfId="29902" xr:uid="{3E4AE60B-1FB7-4D25-BDB8-C4BA2A9A9E75}"/>
    <cellStyle name="40% - Accent6 22 6 2 3 3" xfId="22390" xr:uid="{19B3B1DC-0C6D-4CEC-8B8C-FAE999D0D20B}"/>
    <cellStyle name="40% - Accent6 22 6 2 4" xfId="10098" xr:uid="{4CC07182-80C6-47FA-B9D7-5C7D46FF804A}"/>
    <cellStyle name="40% - Accent6 22 6 2 4 2" xfId="26302" xr:uid="{470959EC-3507-4CDA-A44A-5FAE77CB5358}"/>
    <cellStyle name="40% - Accent6 22 6 2 5" xfId="18624" xr:uid="{A6BB9A56-7D2F-41A0-90EA-5C9AC506A916}"/>
    <cellStyle name="40% - Accent6 22 6 3" xfId="2824" xr:uid="{816D709C-A4A0-42F1-9FD9-F0F1458735AA}"/>
    <cellStyle name="40% - Accent6 22 6 3 2" xfId="6608" xr:uid="{6EB595DF-6666-4A60-8B55-35A599A4FE59}"/>
    <cellStyle name="40% - Accent6 22 6 3 2 2" xfId="14120" xr:uid="{2D7B59F3-15AD-4AFD-AEEB-DEEA2CD68C3D}"/>
    <cellStyle name="40% - Accent6 22 6 3 2 2 2" xfId="30324" xr:uid="{CF7ECC48-840A-4307-AB15-4651CEA2E7F9}"/>
    <cellStyle name="40% - Accent6 22 6 3 2 3" xfId="22812" xr:uid="{E6597B02-EF5D-4B70-BCDF-5E06516D1316}"/>
    <cellStyle name="40% - Accent6 22 6 3 3" xfId="10520" xr:uid="{7909DFDF-68AE-4C3C-8793-FD0847B337FF}"/>
    <cellStyle name="40% - Accent6 22 6 3 3 2" xfId="26724" xr:uid="{365E8410-D3E4-4CBE-A4F3-D53CE7ECFA45}"/>
    <cellStyle name="40% - Accent6 22 6 3 4" xfId="19046" xr:uid="{C2682728-033F-40AB-8B0B-91C7FC5BAA2E}"/>
    <cellStyle name="40% - Accent6 22 6 4" xfId="3755" xr:uid="{AC2F2EF8-50E0-4A2F-94B7-CFDCD66B48B2}"/>
    <cellStyle name="40% - Accent6 22 6 4 2" xfId="7465" xr:uid="{04DDC977-3BFB-4C76-B06A-A25217FEF10D}"/>
    <cellStyle name="40% - Accent6 22 6 4 2 2" xfId="14974" xr:uid="{009C06DB-DF83-4F23-9769-3602A18C6364}"/>
    <cellStyle name="40% - Accent6 22 6 4 2 2 2" xfId="31178" xr:uid="{B9A90AE8-A8D1-4376-AF72-4FA796A887F6}"/>
    <cellStyle name="40% - Accent6 22 6 4 2 3" xfId="23669" xr:uid="{FE6575BB-0937-4FB7-88AC-BED7DF2719BA}"/>
    <cellStyle name="40% - Accent6 22 6 4 3" xfId="11365" xr:uid="{F7ACD1AC-EFA5-4BB5-92B8-0A537753B40A}"/>
    <cellStyle name="40% - Accent6 22 6 4 3 2" xfId="27569" xr:uid="{0ACF25EF-4120-43A2-B174-A2B69DC8B29D}"/>
    <cellStyle name="40% - Accent6 22 6 4 4" xfId="19964" xr:uid="{36DF86F7-AEDD-4762-9078-D092F7917E30}"/>
    <cellStyle name="40% - Accent6 22 6 5" xfId="4224" xr:uid="{AC919B15-3953-48C4-BEB7-A40A26E151E2}"/>
    <cellStyle name="40% - Accent6 22 6 5 2" xfId="7894" xr:uid="{B5A196F3-2B14-4E31-BA2B-F00BC57F0C3C}"/>
    <cellStyle name="40% - Accent6 22 6 5 2 2" xfId="15401" xr:uid="{D0EB0391-02E1-4A24-9361-FAD89B2E6274}"/>
    <cellStyle name="40% - Accent6 22 6 5 2 2 2" xfId="31605" xr:uid="{CD1BBC37-7729-4217-AA73-76EC5B23DE69}"/>
    <cellStyle name="40% - Accent6 22 6 5 2 3" xfId="24098" xr:uid="{E180004E-14A2-4BD1-AC49-5D46B50D8EAF}"/>
    <cellStyle name="40% - Accent6 22 6 5 3" xfId="11787" xr:uid="{08C568A8-9C4E-4739-97C0-620715320883}"/>
    <cellStyle name="40% - Accent6 22 6 5 3 2" xfId="27991" xr:uid="{66D295B9-87F9-4D30-A44A-BD266E544780}"/>
    <cellStyle name="40% - Accent6 22 6 5 4" xfId="20428" xr:uid="{A1F8274A-9BD1-44A0-8033-1F268CBA5A6C}"/>
    <cellStyle name="40% - Accent6 22 6 6" xfId="4649" xr:uid="{24EEB3FB-47E8-4DB0-BCBE-2A7075471E58}"/>
    <cellStyle name="40% - Accent6 22 6 6 2" xfId="8319" xr:uid="{CDA6BDCF-10A4-401A-91B6-B223B08020FD}"/>
    <cellStyle name="40% - Accent6 22 6 6 2 2" xfId="15826" xr:uid="{6F9FF0D9-FC31-45D6-8257-68FBDC9E8461}"/>
    <cellStyle name="40% - Accent6 22 6 6 2 2 2" xfId="32030" xr:uid="{722A9D91-82B4-4B6C-80A7-AFF53CF18F11}"/>
    <cellStyle name="40% - Accent6 22 6 6 2 3" xfId="24523" xr:uid="{7F662663-C5A2-4248-981F-FEE27370A531}"/>
    <cellStyle name="40% - Accent6 22 6 6 3" xfId="12212" xr:uid="{A22F9A0B-E07A-4CA0-80FA-AD6FA8EEF5C2}"/>
    <cellStyle name="40% - Accent6 22 6 6 3 2" xfId="28416" xr:uid="{83C5BB9E-D7B3-4272-BD04-396E8E2CA7C6}"/>
    <cellStyle name="40% - Accent6 22 6 6 4" xfId="20853" xr:uid="{CE6891B8-24DB-4B66-96FA-C8254430257B}"/>
    <cellStyle name="40% - Accent6 22 6 7" xfId="5076" xr:uid="{6D749D0B-3FA5-4C66-857A-46732E0F0394}"/>
    <cellStyle name="40% - Accent6 22 6 7 2" xfId="8742" xr:uid="{9F068FA1-1C22-4652-929E-D9F5DCA7198E}"/>
    <cellStyle name="40% - Accent6 22 6 7 2 2" xfId="16249" xr:uid="{29106CC7-63EA-4B5A-9DE7-0B95600CB5ED}"/>
    <cellStyle name="40% - Accent6 22 6 7 2 2 2" xfId="32453" xr:uid="{A5CA0A0F-6C7E-42E9-BAD5-25FCC7B17442}"/>
    <cellStyle name="40% - Accent6 22 6 7 2 3" xfId="24946" xr:uid="{AB56FD76-3DC5-4598-90A0-DDEC5F51207E}"/>
    <cellStyle name="40% - Accent6 22 6 7 3" xfId="12634" xr:uid="{1EA7B13A-8462-4005-9CA1-29BD917F2EB9}"/>
    <cellStyle name="40% - Accent6 22 6 7 3 2" xfId="28838" xr:uid="{78ED62D0-AB5C-4604-B4C8-EAE229161526}"/>
    <cellStyle name="40% - Accent6 22 6 7 4" xfId="21280" xr:uid="{BE1D9286-238B-412D-82E2-E13AB02F8D12}"/>
    <cellStyle name="40% - Accent6 22 6 8" xfId="5748" xr:uid="{D0C27E7E-2FC7-4DAB-B516-5AF5AAB74221}"/>
    <cellStyle name="40% - Accent6 22 6 8 2" xfId="13263" xr:uid="{3AD62012-9301-40B9-B78C-F743CC38E916}"/>
    <cellStyle name="40% - Accent6 22 6 8 2 2" xfId="29467" xr:uid="{BD2DDCDC-99AB-489A-ABAE-70863D6A33A3}"/>
    <cellStyle name="40% - Accent6 22 6 8 3" xfId="21952" xr:uid="{1DFABD19-F792-4549-A21B-673DDF77D388}"/>
    <cellStyle name="40% - Accent6 22 6 9" xfId="9675" xr:uid="{E1606A73-6B6D-497F-B33B-57A7F579CB61}"/>
    <cellStyle name="40% - Accent6 22 6 9 2" xfId="25879" xr:uid="{E85F49D2-B2DB-4004-A931-90CD0D4D4C93}"/>
    <cellStyle name="40% - Accent6 22 7" xfId="2063" xr:uid="{443AA511-A572-46D1-91AC-483B1DB054C6}"/>
    <cellStyle name="40% - Accent6 22 7 2" xfId="2976" xr:uid="{026077B5-4638-4E61-9E6B-079B2C5542EE}"/>
    <cellStyle name="40% - Accent6 22 7 2 2" xfId="6758" xr:uid="{23E2EA8C-C6FC-43AD-B0DF-8CE51A6B557C}"/>
    <cellStyle name="40% - Accent6 22 7 2 2 2" xfId="14269" xr:uid="{73411BB8-E969-449C-AB39-AF0D4D3BA868}"/>
    <cellStyle name="40% - Accent6 22 7 2 2 2 2" xfId="30473" xr:uid="{50DEFC62-7625-4F06-888A-8BC4892DBDAB}"/>
    <cellStyle name="40% - Accent6 22 7 2 2 3" xfId="22962" xr:uid="{90AE9E98-AD40-47E5-8770-4769DBDCA72F}"/>
    <cellStyle name="40% - Accent6 22 7 2 3" xfId="10669" xr:uid="{C0DA1B3C-01E2-48A2-A023-BB76A87CF507}"/>
    <cellStyle name="40% - Accent6 22 7 2 3 2" xfId="26873" xr:uid="{E82E7427-B3FB-4805-9363-BB0CAC28420A}"/>
    <cellStyle name="40% - Accent6 22 7 2 4" xfId="19196" xr:uid="{72814BDF-BFAC-4C74-BD9C-7D5FA77D7713}"/>
    <cellStyle name="40% - Accent6 22 7 3" xfId="5902" xr:uid="{BADD176C-9940-4798-B9A9-D344B6E759B3}"/>
    <cellStyle name="40% - Accent6 22 7 3 2" xfId="13416" xr:uid="{DC80D631-BC2E-4895-BABE-917C78662DD7}"/>
    <cellStyle name="40% - Accent6 22 7 3 2 2" xfId="29620" xr:uid="{BB8EAAE0-CD3E-4A2F-A7D4-8CE741E446F7}"/>
    <cellStyle name="40% - Accent6 22 7 3 3" xfId="22106" xr:uid="{9DA29CEC-E89F-4ECB-97D3-6B3025CE2785}"/>
    <cellStyle name="40% - Accent6 22 7 4" xfId="9825" xr:uid="{707A5F3D-8C70-4BDA-AD71-0C84AE9F3CBC}"/>
    <cellStyle name="40% - Accent6 22 7 4 2" xfId="26029" xr:uid="{78379DD2-503B-4852-902A-4A45122F549E}"/>
    <cellStyle name="40% - Accent6 22 7 5" xfId="18350" xr:uid="{E8EFBCDD-9664-47FF-8A5E-0629B29DBEFC}"/>
    <cellStyle name="40% - Accent6 22 8" xfId="2551" xr:uid="{092442EC-DFDD-4B0E-B34D-637B67768CF3}"/>
    <cellStyle name="40% - Accent6 22 8 2" xfId="6335" xr:uid="{26562097-AF52-4F6A-992E-7D80ABCF1345}"/>
    <cellStyle name="40% - Accent6 22 8 2 2" xfId="13847" xr:uid="{64F4C63C-8071-481F-97DA-5DE0055A961A}"/>
    <cellStyle name="40% - Accent6 22 8 2 2 2" xfId="30051" xr:uid="{5B6E9D9F-21EE-40C6-9F65-9B85B8814389}"/>
    <cellStyle name="40% - Accent6 22 8 2 3" xfId="22539" xr:uid="{34E751B4-FC18-4CEA-B5B1-DABC2E0E5AD2}"/>
    <cellStyle name="40% - Accent6 22 8 3" xfId="10247" xr:uid="{F8121871-DA89-47FD-987F-4E8EE83ED920}"/>
    <cellStyle name="40% - Accent6 22 8 3 2" xfId="26451" xr:uid="{F4C28092-E03E-49AE-B117-9D3E5114B0B9}"/>
    <cellStyle name="40% - Accent6 22 8 4" xfId="18773" xr:uid="{8B93E4EC-FB6B-4550-A3DF-BC8D3B78B0A6}"/>
    <cellStyle name="40% - Accent6 22 9" xfId="3427" xr:uid="{DF7C9E99-DC7C-48CB-ACE3-28DF879C0673}"/>
    <cellStyle name="40% - Accent6 22 9 2" xfId="7185" xr:uid="{EFA4FA94-990D-4D94-B3C4-B6BD34521799}"/>
    <cellStyle name="40% - Accent6 22 9 2 2" xfId="14695" xr:uid="{17A0EDF2-B756-4FCD-B71D-DC21E90851C1}"/>
    <cellStyle name="40% - Accent6 22 9 2 2 2" xfId="30899" xr:uid="{F09AC1D6-6DD6-4037-958F-695EC5E4F643}"/>
    <cellStyle name="40% - Accent6 22 9 2 3" xfId="23389" xr:uid="{0ED48A39-0A09-4C1F-B98E-37D10870EE50}"/>
    <cellStyle name="40% - Accent6 22 9 3" xfId="11092" xr:uid="{439E3361-D649-4C9A-8540-4536C61055AB}"/>
    <cellStyle name="40% - Accent6 22 9 3 2" xfId="27296" xr:uid="{0F89C1A4-BE87-4833-B153-764C21779C2C}"/>
    <cellStyle name="40% - Accent6 22 9 4" xfId="19643" xr:uid="{88A812D5-A963-498B-ACC8-5B955D26CEDD}"/>
    <cellStyle name="40% - Accent6 23" xfId="784" xr:uid="{1204E459-F200-43E1-B5A4-9A03955CBA77}"/>
    <cellStyle name="40% - Accent6 24" xfId="1819" xr:uid="{F119DCB7-C829-4B91-BED5-3AA4B3020445}"/>
    <cellStyle name="40% - Accent6 24 10" xfId="18124" xr:uid="{534C33F8-4D2D-4AF7-9920-F785448FB911}"/>
    <cellStyle name="40% - Accent6 24 2" xfId="2328" xr:uid="{7015E922-8FC7-4B66-A077-62FAF33BD30D}"/>
    <cellStyle name="40% - Accent6 24 2 2" xfId="3175" xr:uid="{011DE066-A071-4719-8A12-B6D53EF35BC0}"/>
    <cellStyle name="40% - Accent6 24 2 2 2" xfId="6957" xr:uid="{C223E948-A45A-4F46-996A-3D8B7FF9D240}"/>
    <cellStyle name="40% - Accent6 24 2 2 2 2" xfId="14468" xr:uid="{EEB19431-27C2-4F15-B553-6263BB4E4842}"/>
    <cellStyle name="40% - Accent6 24 2 2 2 2 2" xfId="30672" xr:uid="{5B8619B4-E878-4273-B2FD-7B6815FBDEC2}"/>
    <cellStyle name="40% - Accent6 24 2 2 2 3" xfId="23161" xr:uid="{E14578C4-6553-453F-A2DA-A4FD35F1C8C2}"/>
    <cellStyle name="40% - Accent6 24 2 2 3" xfId="10868" xr:uid="{8B2E6456-62D3-43A6-973F-9DCF4EF6D06C}"/>
    <cellStyle name="40% - Accent6 24 2 2 3 2" xfId="27072" xr:uid="{61A268CA-4023-4658-9B7E-588BDE953538}"/>
    <cellStyle name="40% - Accent6 24 2 2 4" xfId="19395" xr:uid="{9011C34E-0094-43C8-9970-997B9FE9362C}"/>
    <cellStyle name="40% - Accent6 24 2 3" xfId="6112" xr:uid="{9350715F-7945-4034-B3AC-6B365446C5D3}"/>
    <cellStyle name="40% - Accent6 24 2 3 2" xfId="13624" xr:uid="{C4872BAF-0BD8-4B90-8B3E-C756B0D964DD}"/>
    <cellStyle name="40% - Accent6 24 2 3 2 2" xfId="29828" xr:uid="{F4F156E5-B5CB-4DF2-8802-C5591A746065}"/>
    <cellStyle name="40% - Accent6 24 2 3 3" xfId="22316" xr:uid="{E729B386-BAF0-498F-A5A1-DA07338BC69E}"/>
    <cellStyle name="40% - Accent6 24 2 4" xfId="10024" xr:uid="{1AA16109-1666-45A2-888E-60875E721F62}"/>
    <cellStyle name="40% - Accent6 24 2 4 2" xfId="26228" xr:uid="{A875EDAF-3738-4709-9E5B-156ADF345B52}"/>
    <cellStyle name="40% - Accent6 24 2 5" xfId="18550" xr:uid="{9FB14FB8-7DAA-4A67-9678-A43D719546E5}"/>
    <cellStyle name="40% - Accent6 24 3" xfId="2750" xr:uid="{74C6CE28-DA9B-40A6-B779-24AA1945993B}"/>
    <cellStyle name="40% - Accent6 24 3 2" xfId="6534" xr:uid="{3FB7424D-2AD7-4312-974E-64A5915E51FA}"/>
    <cellStyle name="40% - Accent6 24 3 2 2" xfId="14046" xr:uid="{039FF688-A821-4FE7-AB80-E92124B25F93}"/>
    <cellStyle name="40% - Accent6 24 3 2 2 2" xfId="30250" xr:uid="{08FD0D47-FBF8-4964-ADCD-3BEA2D5BEFFB}"/>
    <cellStyle name="40% - Accent6 24 3 2 3" xfId="22738" xr:uid="{DCC3710E-F254-4702-BF38-1EBF56793563}"/>
    <cellStyle name="40% - Accent6 24 3 3" xfId="10446" xr:uid="{30B93C0F-1AF6-4BFB-AC45-E2A9278A63DB}"/>
    <cellStyle name="40% - Accent6 24 3 3 2" xfId="26650" xr:uid="{E46C9C64-DCB8-4E45-8394-2E1EF2B07FEA}"/>
    <cellStyle name="40% - Accent6 24 3 4" xfId="18972" xr:uid="{2F7C3DE8-5E4A-47A0-A5C5-F39A9E21BA4D}"/>
    <cellStyle name="40% - Accent6 24 4" xfId="3681" xr:uid="{A31D912C-B1FA-4E81-B4DF-A1A2040A760B}"/>
    <cellStyle name="40% - Accent6 24 4 2" xfId="7391" xr:uid="{3289A498-F455-4252-A557-F340379539DB}"/>
    <cellStyle name="40% - Accent6 24 4 2 2" xfId="14900" xr:uid="{0591D8D9-EDBB-47A2-BDBF-6D3ABB001208}"/>
    <cellStyle name="40% - Accent6 24 4 2 2 2" xfId="31104" xr:uid="{A58F332E-D48C-4C22-B2D8-3B0827F07288}"/>
    <cellStyle name="40% - Accent6 24 4 2 3" xfId="23595" xr:uid="{E04777CC-9067-4FD2-B859-C4EF6C958B7B}"/>
    <cellStyle name="40% - Accent6 24 4 3" xfId="11291" xr:uid="{384CAD58-37AC-4759-9025-8141306E5934}"/>
    <cellStyle name="40% - Accent6 24 4 3 2" xfId="27495" xr:uid="{540C5A88-28C7-48A2-BAAA-15C4DEC013D4}"/>
    <cellStyle name="40% - Accent6 24 4 4" xfId="19890" xr:uid="{4655B106-CFC2-4A66-9CF4-5850489EEBF8}"/>
    <cellStyle name="40% - Accent6 24 5" xfId="4150" xr:uid="{E1230815-DA1A-4504-B615-59CC6FB9A740}"/>
    <cellStyle name="40% - Accent6 24 5 2" xfId="7820" xr:uid="{590385D8-D1E6-459D-825A-19B30E18E629}"/>
    <cellStyle name="40% - Accent6 24 5 2 2" xfId="15327" xr:uid="{DF39BDDD-AC3C-4666-89E0-9A207A726B65}"/>
    <cellStyle name="40% - Accent6 24 5 2 2 2" xfId="31531" xr:uid="{4891AAA3-19F0-4609-A2D7-86E5E71DAE24}"/>
    <cellStyle name="40% - Accent6 24 5 2 3" xfId="24024" xr:uid="{A15C7369-E749-4ACF-B248-35905C5CC56A}"/>
    <cellStyle name="40% - Accent6 24 5 3" xfId="11713" xr:uid="{488FE079-3869-4FE7-A3F7-CA5CE549225B}"/>
    <cellStyle name="40% - Accent6 24 5 3 2" xfId="27917" xr:uid="{EFA68BD7-25E1-4F09-AD63-5051927B582D}"/>
    <cellStyle name="40% - Accent6 24 5 4" xfId="20354" xr:uid="{FE80B8BD-AA3C-4BCD-B55E-EFB8C330DC7B}"/>
    <cellStyle name="40% - Accent6 24 6" xfId="4575" xr:uid="{7D3E85E2-B1F4-46CD-880E-302DF1B3A410}"/>
    <cellStyle name="40% - Accent6 24 6 2" xfId="8245" xr:uid="{EF9C9B29-A1AF-4B87-873D-1BEA99BF09EC}"/>
    <cellStyle name="40% - Accent6 24 6 2 2" xfId="15752" xr:uid="{AAD16B40-9BA5-490E-BDBC-562C4D0A0973}"/>
    <cellStyle name="40% - Accent6 24 6 2 2 2" xfId="31956" xr:uid="{E345F1F3-FB53-4F2E-8BC8-08C7959DB0C9}"/>
    <cellStyle name="40% - Accent6 24 6 2 3" xfId="24449" xr:uid="{82547696-D2F3-46B1-B94D-798691E00CD7}"/>
    <cellStyle name="40% - Accent6 24 6 3" xfId="12138" xr:uid="{49C4E64B-B2A7-40C1-A63D-0360DF7F7289}"/>
    <cellStyle name="40% - Accent6 24 6 3 2" xfId="28342" xr:uid="{36889702-D532-42BD-918D-BFC9B05F8251}"/>
    <cellStyle name="40% - Accent6 24 6 4" xfId="20779" xr:uid="{F79584B4-5897-4616-9DE5-0892EFF5286F}"/>
    <cellStyle name="40% - Accent6 24 7" xfId="5002" xr:uid="{255553B4-902C-493B-A7AE-7270C0564DBA}"/>
    <cellStyle name="40% - Accent6 24 7 2" xfId="8668" xr:uid="{2A92B603-4E9F-4A36-A625-CFFBE9AA8A45}"/>
    <cellStyle name="40% - Accent6 24 7 2 2" xfId="16175" xr:uid="{38F7C142-C2B8-4543-818D-E9F4593FEE79}"/>
    <cellStyle name="40% - Accent6 24 7 2 2 2" xfId="32379" xr:uid="{177B307E-1AA3-46FB-81BE-7B0326B94383}"/>
    <cellStyle name="40% - Accent6 24 7 2 3" xfId="24872" xr:uid="{B3209B04-7C75-42EB-82C5-0B98673F88B7}"/>
    <cellStyle name="40% - Accent6 24 7 3" xfId="12560" xr:uid="{DAE25C8D-DC6C-45FA-83D6-7F59754BC038}"/>
    <cellStyle name="40% - Accent6 24 7 3 2" xfId="28764" xr:uid="{04E95CC0-671B-4218-B99E-55CF241876FC}"/>
    <cellStyle name="40% - Accent6 24 7 4" xfId="21206" xr:uid="{7E1B0577-8668-4A69-8ABB-177AAA7E5533}"/>
    <cellStyle name="40% - Accent6 24 8" xfId="5674" xr:uid="{C2CD6515-AE34-4EEF-9479-56B7F7AAAF6A}"/>
    <cellStyle name="40% - Accent6 24 8 2" xfId="13189" xr:uid="{8806D211-8309-4ED8-8FD3-8E02C5B6C2D6}"/>
    <cellStyle name="40% - Accent6 24 8 2 2" xfId="29393" xr:uid="{4FB3A88D-F674-4740-9A5E-28EE039FB7D8}"/>
    <cellStyle name="40% - Accent6 24 8 3" xfId="21878" xr:uid="{40ADC64F-07E8-4B18-8F92-4387D0CC3241}"/>
    <cellStyle name="40% - Accent6 24 9" xfId="9601" xr:uid="{8ADD51EB-857D-4F3E-A1E9-162AF26835EA}"/>
    <cellStyle name="40% - Accent6 24 9 2" xfId="25805" xr:uid="{943B1DAC-94C2-4537-87CF-A4C5AF8DCD0C}"/>
    <cellStyle name="40% - Accent6 25" xfId="236" xr:uid="{86557D7B-3A6B-4C8F-A338-11E18A87CC39}"/>
    <cellStyle name="40% - Accent6 26" xfId="16864" xr:uid="{21F37724-C37C-4182-8838-83555ED527F8}"/>
    <cellStyle name="40% - Accent6 3" xfId="249" xr:uid="{CD226212-BFA6-4989-ADB7-839C1C982E1B}"/>
    <cellStyle name="40% - Accent6 3 2" xfId="1481" xr:uid="{D4C0FC2C-EC50-4020-87CD-7A25A5EFBBF6}"/>
    <cellStyle name="40% - Accent6 3 3" xfId="771" xr:uid="{18395B13-BF08-4D1B-9E95-EC50D178D4AB}"/>
    <cellStyle name="40% - Accent6 4" xfId="250" xr:uid="{C2370F68-9649-48FB-8D3B-F7FE58A27767}"/>
    <cellStyle name="40% - Accent6 4 2" xfId="1482" xr:uid="{222E05EF-BE01-43A7-ADAE-AC202C75F4C4}"/>
    <cellStyle name="40% - Accent6 4 3" xfId="770" xr:uid="{CF20D097-CCC9-44F6-8A7E-B09E917E2962}"/>
    <cellStyle name="40% - Accent6 5" xfId="251" xr:uid="{E9AE06B4-3449-4CC9-81B5-96713FBADB51}"/>
    <cellStyle name="40% - Accent6 5 2" xfId="1483" xr:uid="{51C5E4FB-9233-43E4-84D1-66F6057B99DF}"/>
    <cellStyle name="40% - Accent6 5 3" xfId="769" xr:uid="{1FEDEAE4-FE53-43CC-9272-D87D89967136}"/>
    <cellStyle name="40% - Accent6 6" xfId="252" xr:uid="{02FAA0E2-994D-4583-8356-7D0D20BCA7A8}"/>
    <cellStyle name="40% - Accent6 6 2" xfId="1484" xr:uid="{EC8F255A-8B60-4107-B8F3-2245D9F64B5A}"/>
    <cellStyle name="40% - Accent6 6 3" xfId="768" xr:uid="{E81315A2-07CD-4E96-91FF-7EC3086C201B}"/>
    <cellStyle name="40% - Accent6 7" xfId="253" xr:uid="{87C61870-9C72-40EB-AF2E-F8DC457DA23E}"/>
    <cellStyle name="40% - Accent6 7 2" xfId="1485" xr:uid="{A393AD92-A93B-4B1F-ADF0-5585D06B4CAF}"/>
    <cellStyle name="40% - Accent6 7 3" xfId="767" xr:uid="{B58AC71F-81FA-4607-95F2-06A8085F828C}"/>
    <cellStyle name="40% - Accent6 8" xfId="254" xr:uid="{8603309B-751F-4469-9DC0-1123FA4DBFBB}"/>
    <cellStyle name="40% - Accent6 8 2" xfId="1486" xr:uid="{D8954D65-61EA-417B-BC5F-EEBCE357ABC0}"/>
    <cellStyle name="40% - Accent6 8 3" xfId="766" xr:uid="{ACFF9E6F-F4AC-4BF3-B15D-AEA7BD7A9F20}"/>
    <cellStyle name="40% - Accent6 9" xfId="255" xr:uid="{209DCB05-686F-4351-BC8E-4751DDF6E427}"/>
    <cellStyle name="40% - Accent6 9 2" xfId="1487" xr:uid="{4832708D-7439-4E2F-AAA7-7C753ECAACB3}"/>
    <cellStyle name="40% - Accent6 9 3" xfId="765" xr:uid="{DDA2A07C-4B66-43EE-B861-6E4CDBB6CB66}"/>
    <cellStyle name="60% - Accent1 2" xfId="414" xr:uid="{D07E540E-369A-4EE8-877C-3F6E492ABA1C}"/>
    <cellStyle name="60% - Accent1 2 2" xfId="1008" xr:uid="{BED1C7B1-9BAF-4FD4-842F-FF6F22D1EDC8}"/>
    <cellStyle name="60% - Accent1 3" xfId="468" xr:uid="{C0261DB7-1AB9-4690-A90C-0A8D28C7F273}"/>
    <cellStyle name="60% - Accent1 3 2" xfId="1488" xr:uid="{F1EB5064-40CF-4F10-B8F0-F1B5CE891751}"/>
    <cellStyle name="60% - Accent1 4" xfId="764" xr:uid="{D0BA616B-A9A6-493A-9707-4734D36E84CE}"/>
    <cellStyle name="60% - Accent1 5" xfId="256" xr:uid="{82D7C294-8DA4-4305-A9A0-2D4BD4B57883}"/>
    <cellStyle name="60% - Accent1 6" xfId="16845" xr:uid="{972DAC64-5A62-43CC-A7FF-7DEF81E49C93}"/>
    <cellStyle name="60% - Accent2 2" xfId="415" xr:uid="{5DED216F-AFED-4AC2-8917-DE71F9350A98}"/>
    <cellStyle name="60% - Accent2 2 2" xfId="1009" xr:uid="{E07DB3D2-2B5D-4466-870A-AFBB4CD51EEF}"/>
    <cellStyle name="60% - Accent2 3" xfId="472" xr:uid="{3FC962D3-8C60-40DA-AB7E-15429DDA47D1}"/>
    <cellStyle name="60% - Accent2 3 2" xfId="1489" xr:uid="{48E73F86-1E10-4C7F-A757-F39FFDCDF05D}"/>
    <cellStyle name="60% - Accent2 4" xfId="763" xr:uid="{E14B0D27-E591-4664-8BDB-F3655035188D}"/>
    <cellStyle name="60% - Accent2 5" xfId="257" xr:uid="{1223CFBD-D4C0-42CD-847B-FBAAED2BDD54}"/>
    <cellStyle name="60% - Accent2 6" xfId="16849" xr:uid="{B9B34C91-F4C8-41DE-91A7-80547BD548BF}"/>
    <cellStyle name="60% - Accent3 2" xfId="416" xr:uid="{5D9F2813-E0EB-460A-9AFE-217CF2E22DA6}"/>
    <cellStyle name="60% - Accent3 2 2" xfId="1010" xr:uid="{30757547-57B6-4A3B-819C-808FC3160FF7}"/>
    <cellStyle name="60% - Accent3 3" xfId="476" xr:uid="{D181BE69-EE5E-4C6A-80B8-65995281E6E7}"/>
    <cellStyle name="60% - Accent3 3 2" xfId="1490" xr:uid="{0503B625-3856-4FB0-B6B2-930FE734CFBF}"/>
    <cellStyle name="60% - Accent3 4" xfId="762" xr:uid="{DEBE7EB2-75B6-4A70-9EC3-23258A099182}"/>
    <cellStyle name="60% - Accent3 5" xfId="258" xr:uid="{80D44915-AF29-44E5-92C7-60C75597B3F5}"/>
    <cellStyle name="60% - Accent3 6" xfId="16853" xr:uid="{DD4F46C6-A2F0-435A-A359-6B0FE26CA45D}"/>
    <cellStyle name="60% - Accent4 2" xfId="417" xr:uid="{23FFEEFA-F557-4079-92A0-E1FC3F1309B2}"/>
    <cellStyle name="60% - Accent4 2 2" xfId="1011" xr:uid="{EA359095-A7E6-443C-A8F1-EDA791C00915}"/>
    <cellStyle name="60% - Accent4 3" xfId="480" xr:uid="{239F947A-CA12-444C-AEDA-E9BDF99E8416}"/>
    <cellStyle name="60% - Accent4 3 2" xfId="1491" xr:uid="{EDC99880-2945-40D4-94D8-5600D70E1A4A}"/>
    <cellStyle name="60% - Accent4 4" xfId="761" xr:uid="{0E79C4B8-3B75-4A0C-B8EA-8BCAA26412A7}"/>
    <cellStyle name="60% - Accent4 5" xfId="259" xr:uid="{71AEB3D3-4F52-46D5-B1D4-071CCEA6C306}"/>
    <cellStyle name="60% - Accent4 6" xfId="16857" xr:uid="{990AB29E-2314-4AE0-9E72-33864848E7AD}"/>
    <cellStyle name="60% - Accent5 2" xfId="418" xr:uid="{63EC0C36-4918-4740-9D92-F203BE42D9E8}"/>
    <cellStyle name="60% - Accent5 2 2" xfId="1012" xr:uid="{52D2A9AF-C2B1-46E8-8E31-C3E808A81482}"/>
    <cellStyle name="60% - Accent5 3" xfId="484" xr:uid="{3916F82F-38CB-4786-89FA-23687F7A730C}"/>
    <cellStyle name="60% - Accent5 3 2" xfId="1492" xr:uid="{93167E8C-19F0-4803-B718-4AEDDF4A856C}"/>
    <cellStyle name="60% - Accent5 4" xfId="760" xr:uid="{3268BB05-CEBF-41B7-85E9-59A13538670B}"/>
    <cellStyle name="60% - Accent5 5" xfId="260" xr:uid="{AF9599A7-B87C-4E4E-94F1-02C49E715E88}"/>
    <cellStyle name="60% - Accent5 6" xfId="16861" xr:uid="{2173F2D3-CFED-4EFC-91F7-77708E0C31C2}"/>
    <cellStyle name="60% - Accent6 2" xfId="419" xr:uid="{494638CA-CD2C-4148-8637-4AC2CC9AAFD7}"/>
    <cellStyle name="60% - Accent6 2 2" xfId="1013" xr:uid="{394EE753-E34E-4BD5-931F-C02396FFAE4D}"/>
    <cellStyle name="60% - Accent6 3" xfId="488" xr:uid="{470282D7-7184-4390-82C8-E86F7EF7807C}"/>
    <cellStyle name="60% - Accent6 3 2" xfId="1493" xr:uid="{BA2A20CF-F8EE-4FF0-A5E5-60CFB1260066}"/>
    <cellStyle name="60% - Accent6 4" xfId="759" xr:uid="{64FF1C6E-139E-4048-85BD-2CEFF1AF03EF}"/>
    <cellStyle name="60% - Accent6 5" xfId="261" xr:uid="{E6FC7A83-B3C9-47E3-8A9F-4EE10E4BA67A}"/>
    <cellStyle name="60% - Accent6 6" xfId="16865" xr:uid="{A1F03D5B-5068-4097-9B21-F246438EB3F5}"/>
    <cellStyle name="Accent1 2" xfId="420" xr:uid="{3FDC95A2-B11F-40B4-8C96-0FE4D0AAB064}"/>
    <cellStyle name="Accent1 2 2" xfId="1014" xr:uid="{F6B94EDA-902B-44E8-B347-22DB53318405}"/>
    <cellStyle name="Accent1 3" xfId="465" xr:uid="{407DF6FA-C4C3-46A8-A564-29C42FA8D223}"/>
    <cellStyle name="Accent1 3 2" xfId="1494" xr:uid="{25E48CFC-70A0-4365-9BA7-107D5991590E}"/>
    <cellStyle name="Accent1 4" xfId="758" xr:uid="{F366F056-7BC4-4A21-914A-13E4EB710E55}"/>
    <cellStyle name="Accent1 5" xfId="262" xr:uid="{93033F7F-0B42-41BC-8E68-AC4176E8E582}"/>
    <cellStyle name="Accent1 6" xfId="16842" xr:uid="{722E28A0-DE84-4326-9CD7-4380A8C5077D}"/>
    <cellStyle name="Accent2 2" xfId="421" xr:uid="{105765B9-E268-4DD4-96FD-53987CF8E819}"/>
    <cellStyle name="Accent2 2 2" xfId="1015" xr:uid="{43C9C270-6890-44F3-A5B2-DBEF8C1949B1}"/>
    <cellStyle name="Accent2 3" xfId="469" xr:uid="{A438EFFE-94C8-416C-AF74-0C40896C028E}"/>
    <cellStyle name="Accent2 3 2" xfId="1495" xr:uid="{2B4A7F29-5ACA-42B5-A575-E0C715EAEC97}"/>
    <cellStyle name="Accent2 4" xfId="757" xr:uid="{4C693988-E7C8-4940-830C-9AB8003EA063}"/>
    <cellStyle name="Accent2 5" xfId="263" xr:uid="{67F3F95F-0574-4D0A-A97F-56150D91182C}"/>
    <cellStyle name="Accent2 6" xfId="16846" xr:uid="{B89EC988-6E93-48A5-9622-88B17834061E}"/>
    <cellStyle name="Accent3 2" xfId="422" xr:uid="{98A672FC-DD86-4BFA-A05E-0EA0F8A43B54}"/>
    <cellStyle name="Accent3 2 2" xfId="1016" xr:uid="{AE0D637C-0478-4D02-9675-99B1B1061E9D}"/>
    <cellStyle name="Accent3 3" xfId="473" xr:uid="{BFB2BCCB-6D75-4E17-90E6-C0C40D9A718A}"/>
    <cellStyle name="Accent3 3 2" xfId="1496" xr:uid="{E701FEBE-15C8-4C2D-AD81-F02E64591C73}"/>
    <cellStyle name="Accent3 4" xfId="756" xr:uid="{F5993C0D-E8A9-4383-BD39-B4BAAF76C0A4}"/>
    <cellStyle name="Accent3 5" xfId="264" xr:uid="{2DBC40AA-428F-41DA-BA9E-AFB2A0C9C965}"/>
    <cellStyle name="Accent3 6" xfId="16850" xr:uid="{5C00299E-5125-4CE9-9512-BCE75CBD346C}"/>
    <cellStyle name="Accent4 2" xfId="423" xr:uid="{DCE2DF1B-F169-40FD-AEA2-F0669927155B}"/>
    <cellStyle name="Accent4 2 2" xfId="1017" xr:uid="{EA1D111A-62C2-4B83-BCD8-F174DF7FB93F}"/>
    <cellStyle name="Accent4 3" xfId="477" xr:uid="{A5221F52-9888-41ED-A456-FA0D4084734C}"/>
    <cellStyle name="Accent4 3 2" xfId="1497" xr:uid="{5F4F41E3-D6A6-4E01-B57C-DBB2F80F345C}"/>
    <cellStyle name="Accent4 4" xfId="755" xr:uid="{0B3B51FE-13C1-4CD7-BA70-30112EEC2D7F}"/>
    <cellStyle name="Accent4 5" xfId="265" xr:uid="{7433F7F3-85E3-49D1-A0C1-E0D0DA708BD2}"/>
    <cellStyle name="Accent4 6" xfId="16854" xr:uid="{0BFB8FB6-4366-49D3-A721-761284CB9D40}"/>
    <cellStyle name="Accent5 2" xfId="424" xr:uid="{EA9A63C0-C2C9-4D5F-80DE-30495D3E6EEA}"/>
    <cellStyle name="Accent5 2 2" xfId="1018" xr:uid="{A1FE2B8B-833C-4919-B6D2-DBDED25F18AD}"/>
    <cellStyle name="Accent5 3" xfId="481" xr:uid="{42D6B6BA-4DC3-4777-8DFD-FB784C68CF13}"/>
    <cellStyle name="Accent5 3 2" xfId="1498" xr:uid="{DA98E991-99FA-4BA1-B234-8E8A9AB8BAFF}"/>
    <cellStyle name="Accent5 4" xfId="754" xr:uid="{EACEE509-702B-48D1-96DC-F340E982ABC7}"/>
    <cellStyle name="Accent5 5" xfId="266" xr:uid="{FAF993D9-2784-4EDF-B926-022AF9B8702D}"/>
    <cellStyle name="Accent5 6" xfId="16858" xr:uid="{648F5D0B-6596-438C-969A-340CF6ADB80A}"/>
    <cellStyle name="Accent6 2" xfId="425" xr:uid="{788986F7-B365-48AB-A8EC-376D7711784E}"/>
    <cellStyle name="Accent6 2 2" xfId="1019" xr:uid="{301F8FF1-0D3C-4A83-A90E-1CD8B03297A6}"/>
    <cellStyle name="Accent6 3" xfId="485" xr:uid="{CA5320E0-0E5D-4899-93B8-F4EE85EA445D}"/>
    <cellStyle name="Accent6 3 2" xfId="1499" xr:uid="{5683FD31-7CE9-4394-B703-40FCBCE2CCCA}"/>
    <cellStyle name="Accent6 4" xfId="753" xr:uid="{D7228CC6-A345-435C-A884-2A3FB1594C85}"/>
    <cellStyle name="Accent6 5" xfId="267" xr:uid="{AE46AC52-DF4F-4F7F-BE70-CE6D92118280}"/>
    <cellStyle name="Accent6 6" xfId="16862" xr:uid="{936D1E53-56BD-40FC-AC2D-537C8059E4B1}"/>
    <cellStyle name="ActivityPivotData" xfId="268" xr:uid="{ABBA34DE-FE18-4C0E-8A72-38BBC0598C03}"/>
    <cellStyle name="ActivityPivotData 2" xfId="384" xr:uid="{9B9C1B48-ED84-4434-B880-826F246DBB98}"/>
    <cellStyle name="ActivityPivotData 2 2" xfId="1153" xr:uid="{C2D824F6-8220-46A7-8B21-0BC1F8BADA78}"/>
    <cellStyle name="ActivityPivotData 2 2 2" xfId="16872" xr:uid="{66D1C6EC-A961-4FE5-ABED-5AFB36956E38}"/>
    <cellStyle name="ActivityPivotData 2 3" xfId="1020" xr:uid="{AC37CA40-D681-4FC9-B5BE-58104E90807B}"/>
    <cellStyle name="ActivityPivotData 2 3 2" xfId="16873" xr:uid="{648CFC6F-A2AD-4EC3-A05D-B802CEE5C032}"/>
    <cellStyle name="ActivityPivotData 2 4" xfId="1801" xr:uid="{48E9F0E3-6DA3-4820-8EF2-51C9C11C8B7D}"/>
    <cellStyle name="ActivityPivotData 2 4 2" xfId="16874" xr:uid="{FAF778BC-D8C1-49F5-AE5B-812B5897D999}"/>
    <cellStyle name="ActivityPivotData 2 5" xfId="16871" xr:uid="{CD3DEA40-7EB9-4DC2-95B3-7E7706C5E00A}"/>
    <cellStyle name="ActivityPivotData 3" xfId="368" xr:uid="{7A78C10E-4641-41D4-A939-B2E7E935CC95}"/>
    <cellStyle name="ActivityPivotData 3 2" xfId="1151" xr:uid="{874CB5F7-D022-4BCD-AB8A-273D96012C66}"/>
    <cellStyle name="ActivityPivotData 3 2 2" xfId="1578" xr:uid="{D6C8DB85-9F81-47B4-A70C-57EF14E0D3F7}"/>
    <cellStyle name="ActivityPivotData 3 2 2 2" xfId="16877" xr:uid="{68CB77EB-A8AB-42AF-981A-CAB807C1196C}"/>
    <cellStyle name="ActivityPivotData 3 2 3" xfId="16876" xr:uid="{F6B3124F-147B-414C-9F47-34FCF9E9DF7E}"/>
    <cellStyle name="ActivityPivotData 3 3" xfId="1058" xr:uid="{DE571722-E4C9-45ED-B387-E23D7AA79BB6}"/>
    <cellStyle name="ActivityPivotData 3 3 2" xfId="16878" xr:uid="{532A5E82-AB46-4691-B8E9-1500E577A58A}"/>
    <cellStyle name="ActivityPivotData 3 4" xfId="1894" xr:uid="{A8AE01BE-572B-4C95-85AE-B00F2D47A7B6}"/>
    <cellStyle name="ActivityPivotData 3 4 2" xfId="16879" xr:uid="{4CAEF0E6-2FED-41AC-8656-B2C2E1D53EB4}"/>
    <cellStyle name="ActivityPivotData 3 5" xfId="16875" xr:uid="{3872CC09-6621-453B-A3E9-D946206C2F7B}"/>
    <cellStyle name="ActivityPivotData 4" xfId="610" xr:uid="{B0774A58-585C-4112-968B-A60C44BFDAD1}"/>
    <cellStyle name="ActivityPivotData 4 2" xfId="1154" xr:uid="{19217AA7-363B-4B79-8033-9B6A9F610811}"/>
    <cellStyle name="ActivityPivotData 4 2 2" xfId="16881" xr:uid="{587EC70A-EE83-4881-8506-E8F571FD054D}"/>
    <cellStyle name="ActivityPivotData 4 3" xfId="1078" xr:uid="{3F6D48E3-A66C-4E87-8016-19708F344428}"/>
    <cellStyle name="ActivityPivotData 4 3 2" xfId="16882" xr:uid="{7C2AB806-6786-44E5-9F11-D9D2EABDF1CC}"/>
    <cellStyle name="ActivityPivotData 4 4" xfId="16880" xr:uid="{9E4C4A7E-04F8-4303-807C-28FDE2216562}"/>
    <cellStyle name="ActivityPivotData 5" xfId="1117" xr:uid="{0C5980AF-8EF2-4CBD-9E73-5FEA616806DD}"/>
    <cellStyle name="ActivityPivotData 5 2" xfId="1155" xr:uid="{4E3ED7DB-F00F-4CB5-B502-DFD7F1180C17}"/>
    <cellStyle name="ActivityPivotData 5 2 2" xfId="16884" xr:uid="{CBB5D737-0465-4106-B768-0F62EE64175F}"/>
    <cellStyle name="ActivityPivotData 5 3" xfId="16883" xr:uid="{9A36FA13-8185-493B-B73C-3674A777E26C}"/>
    <cellStyle name="ActivityPivotData 6" xfId="1152" xr:uid="{077A5BE5-F4B8-4E49-8F38-BE2805617830}"/>
    <cellStyle name="ActivityPivotData 6 2" xfId="1579" xr:uid="{B66AF63C-2083-44EE-9886-0AE8FADD07CF}"/>
    <cellStyle name="ActivityPivotData 6 2 2" xfId="16886" xr:uid="{9B167BB4-014B-42BD-B149-EA40C6332E88}"/>
    <cellStyle name="ActivityPivotData 6 3" xfId="16885" xr:uid="{655A7FF4-BE88-4324-9375-D2ACD926DCBA}"/>
    <cellStyle name="ActivityPivotData 7" xfId="1555" xr:uid="{E2B3889F-D8D9-4B64-BBBC-8A1F90516201}"/>
    <cellStyle name="ActivityPivotData 7 2" xfId="1613" xr:uid="{4D6D93D2-A98B-49E4-86A5-52C8E39CC4CE}"/>
    <cellStyle name="ActivityPivotData 7 2 2" xfId="16888" xr:uid="{FB707A2A-7480-4C6B-B6B7-B2D6F3CEBFFC}"/>
    <cellStyle name="ActivityPivotData 7 3" xfId="16887" xr:uid="{17E52C4F-2870-4DEA-BE22-85DC4A150722}"/>
    <cellStyle name="ActivityPivotData 8" xfId="752" xr:uid="{C7DC70A1-38EA-4AA7-AD0F-D0335B060165}"/>
    <cellStyle name="ActivityPivotData 8 2" xfId="16889" xr:uid="{1753A357-78B4-4FE3-9729-3E10F2A9E878}"/>
    <cellStyle name="ActivityPivotData 9" xfId="16870" xr:uid="{027EE8D3-FEC3-4926-8905-261E2C0BFB27}"/>
    <cellStyle name="Bad 2" xfId="426" xr:uid="{A9814984-686D-4DE8-A813-7362E1532AE8}"/>
    <cellStyle name="Bad 2 2" xfId="1021" xr:uid="{2D7CC652-C64E-497B-9BE5-9A3C0B3EA55C}"/>
    <cellStyle name="Bad 3" xfId="454" xr:uid="{451EA65F-1190-41B2-89AE-3C86CFE6E9E1}"/>
    <cellStyle name="Bad 3 2" xfId="1500" xr:uid="{1476DA58-2F91-4B08-891E-2FF903A42D88}"/>
    <cellStyle name="Bad 4" xfId="751" xr:uid="{C27D3F23-4B4F-4F3D-B1B9-B5720F465BB8}"/>
    <cellStyle name="Bad 5" xfId="269" xr:uid="{605B1E5B-AC31-4901-AFEE-1D0EC2D69C04}"/>
    <cellStyle name="Bad 6" xfId="16831" xr:uid="{B37CC353-C964-452E-915E-1F24B6BA3C18}"/>
    <cellStyle name="Big Purple" xfId="270" xr:uid="{E53A7B01-DA90-4718-9423-5C074CDDCBF3}"/>
    <cellStyle name="Big Purple 2" xfId="1059" xr:uid="{4351F680-9C64-44C2-9E5A-908BD6D0DED7}"/>
    <cellStyle name="Big Purple 3" xfId="1118" xr:uid="{DF825EC6-8225-4ACA-94F4-5ED553211306}"/>
    <cellStyle name="Big Purple 4" xfId="750" xr:uid="{8291A01A-1532-4A4C-9D67-2FA9D9B86772}"/>
    <cellStyle name="Calculation 2" xfId="427" xr:uid="{DFA83FF5-342E-4193-840D-4B1BE610A70D}"/>
    <cellStyle name="Calculation 2 2" xfId="1022" xr:uid="{8C8135D2-A27A-4DE8-8FA5-3B1E73B67FBB}"/>
    <cellStyle name="Calculation 3" xfId="458" xr:uid="{51822F8D-B72D-46EA-BCD7-B873B2F11860}"/>
    <cellStyle name="Calculation 3 2" xfId="1502" xr:uid="{E18B70A7-296D-48F4-A63A-BD5640EFF0E8}"/>
    <cellStyle name="Calculation 4" xfId="749" xr:uid="{22969AB4-5927-45D7-892F-05C783CEB002}"/>
    <cellStyle name="Calculation 5" xfId="271" xr:uid="{5C009EED-A3C1-499E-BCCF-F90F59903B87}"/>
    <cellStyle name="Calculation 6" xfId="16835" xr:uid="{E907B0C9-94ED-4EB5-93A5-94E0B157CEAD}"/>
    <cellStyle name="CAPivotActivity" xfId="272" xr:uid="{2789A7CA-05B6-405E-90D7-8AB131F759B3}"/>
    <cellStyle name="CAPivotActivity 2" xfId="385" xr:uid="{B655F814-35A3-40F2-8A88-6C7B4F94C36C}"/>
    <cellStyle name="CAPivotActivity 2 2" xfId="1156" xr:uid="{29334D6F-CBFD-42FD-8201-FA77FFB100F3}"/>
    <cellStyle name="CAPivotActivity 2 2 2" xfId="16892" xr:uid="{9E8B141C-9BA1-4603-9506-22C609FA9192}"/>
    <cellStyle name="CAPivotActivity 2 3" xfId="1023" xr:uid="{369516AF-ECF2-4D2E-856D-AE0719CB11BD}"/>
    <cellStyle name="CAPivotActivity 2 3 2" xfId="16893" xr:uid="{925A4634-47F3-47EB-9626-87FAD0BC840B}"/>
    <cellStyle name="CAPivotActivity 2 4" xfId="16891" xr:uid="{32C23A9C-7066-4B8F-A05D-329CEFB12A4F}"/>
    <cellStyle name="CAPivotActivity 3" xfId="369" xr:uid="{D4C22C29-5046-4B3F-8A61-FFAEA6C88E5A}"/>
    <cellStyle name="CAPivotActivity 3 2" xfId="1577" xr:uid="{1650949C-77A5-4CFB-9F12-2BE3DCDFAB6A}"/>
    <cellStyle name="CAPivotActivity 3 2 2" xfId="16895" xr:uid="{8EF32D55-FCC9-409A-8E2D-CD72C6C81788}"/>
    <cellStyle name="CAPivotActivity 3 3" xfId="1150" xr:uid="{BCE115B2-7611-40EF-A188-84E7C0034ECA}"/>
    <cellStyle name="CAPivotActivity 3 3 2" xfId="16896" xr:uid="{D672F55F-CA19-40A8-83EC-346F23385E22}"/>
    <cellStyle name="CAPivotActivity 3 4" xfId="16894" xr:uid="{78D2D12B-DC04-4AEF-A940-71DD20AF35B4}"/>
    <cellStyle name="CAPivotActivity 4" xfId="611" xr:uid="{4750504F-DA23-47A4-A328-2997EB0FBB9B}"/>
    <cellStyle name="CAPivotActivity 4 2" xfId="1612" xr:uid="{90D075B4-AD5D-4A17-BCEC-E5A85EFEC73A}"/>
    <cellStyle name="CAPivotActivity 4 2 2" xfId="16898" xr:uid="{9233AB08-E4AA-4AD9-848B-F158A5538D8C}"/>
    <cellStyle name="CAPivotActivity 4 3" xfId="16897" xr:uid="{85EA4FA2-B3F7-4E43-8725-0FEF871F2520}"/>
    <cellStyle name="CAPivotActivity 5" xfId="16890" xr:uid="{2AE29A95-9385-495C-9517-996083E20468}"/>
    <cellStyle name="Check Cell 2" xfId="428" xr:uid="{15AFFB0D-3059-41B5-AF16-629B159CD0EB}"/>
    <cellStyle name="Check Cell 2 2" xfId="1024" xr:uid="{1108465E-BBDF-4232-8000-30BB950B81D9}"/>
    <cellStyle name="Check Cell 3" xfId="460" xr:uid="{2F92E982-5684-4D73-8D41-C406D0589383}"/>
    <cellStyle name="Check Cell 3 2" xfId="1503" xr:uid="{FA762EC6-2AEE-4587-B2FD-3FCAD12E3641}"/>
    <cellStyle name="Check Cell 4" xfId="748" xr:uid="{07CA263F-733E-4352-96FC-39D5E93E3EDB}"/>
    <cellStyle name="Check Cell 5" xfId="273" xr:uid="{A05C3ECA-935B-4D7E-87E7-EC350FA1D843}"/>
    <cellStyle name="Check Cell 6" xfId="16837" xr:uid="{A78A5756-DAC2-4A08-A3BE-85EAC8E6EFC7}"/>
    <cellStyle name="Comma 10" xfId="17873" xr:uid="{D3D15052-63B3-4D85-BD74-774EE67C54C6}"/>
    <cellStyle name="Comma 10 2" xfId="33945" xr:uid="{376C8488-B865-45E1-800B-D151B6AC46D6}"/>
    <cellStyle name="Comma 11" xfId="17874" xr:uid="{BFF7E98B-FEE9-4B68-955E-455098ACF536}"/>
    <cellStyle name="Comma 11 2" xfId="33946" xr:uid="{D9C9F803-A1D8-40F3-A257-2C573D9FC03D}"/>
    <cellStyle name="Comma 12" xfId="17875" xr:uid="{B87A1F98-531B-4285-9EBE-E5281FBE39B4}"/>
    <cellStyle name="Comma 12 2" xfId="33947" xr:uid="{D8B54D48-08EB-453A-A15F-1EB0C304EAE6}"/>
    <cellStyle name="Comma 13" xfId="17879" xr:uid="{76890254-03B6-4AB1-B78C-D2CD51555006}"/>
    <cellStyle name="Comma 13 2" xfId="33951" xr:uid="{A650FAA7-9FF9-412A-A90B-09B855C3437D}"/>
    <cellStyle name="Comma 14" xfId="17882" xr:uid="{9AF91739-210A-4BC0-AD1A-B185489B97A6}"/>
    <cellStyle name="Comma 14 2" xfId="33954" xr:uid="{BF2E35DD-109F-429F-B8C3-733424FAFFC2}"/>
    <cellStyle name="Comma 15" xfId="17883" xr:uid="{4F712DB4-F5FD-45A8-87C3-D3E904354FAB}"/>
    <cellStyle name="Comma 15 2" xfId="33955" xr:uid="{4943764C-C9D4-454B-9DFA-522226678EE4}"/>
    <cellStyle name="Comma 16" xfId="33026" xr:uid="{BD44DC4F-8814-4E4E-BC96-494C74139092}"/>
    <cellStyle name="Comma 17" xfId="33963" xr:uid="{95093DDA-4A66-4570-BC22-4ECD485C081C}"/>
    <cellStyle name="Comma 2" xfId="399" xr:uid="{C14963CC-CA89-4980-BD9F-B1E2539285CC}"/>
    <cellStyle name="Comma 2 2" xfId="490" xr:uid="{41C60676-490E-4228-BCEB-425C8EDBF1E0}"/>
    <cellStyle name="Comma 2 2 2" xfId="543" xr:uid="{61D06262-0516-4AD1-B7F2-8633EF94EFEF}"/>
    <cellStyle name="Comma 2 2 2 2" xfId="1895" xr:uid="{F13EE6F0-9966-47D0-A293-94A5E5202AD8}"/>
    <cellStyle name="Comma 2 2 2 2 2" xfId="5077" xr:uid="{46D44722-17D6-47D2-89AD-E66DE8295F11}"/>
    <cellStyle name="Comma 2 2 2 2 2 2" xfId="21281" xr:uid="{71979737-E9E1-4E9B-9E74-6D52E3D40272}"/>
    <cellStyle name="Comma 2 2 2 2 3" xfId="16902" xr:uid="{80CDB175-D20D-4FDE-A35D-5E347C0E6EFD}"/>
    <cellStyle name="Comma 2 2 2 2 3 2" xfId="33034" xr:uid="{48DA217D-D831-4A23-8534-B7D2396B3BB2}"/>
    <cellStyle name="Comma 2 2 2 2 4" xfId="18199" xr:uid="{BE6EEEB7-2631-44C2-BA18-30CB2DB6D9FE}"/>
    <cellStyle name="Comma 2 2 2 3" xfId="4850" xr:uid="{DBDFE1DE-FE2E-4BE3-BD8D-54FAB2C14EAD}"/>
    <cellStyle name="Comma 2 2 2 3 2" xfId="21054" xr:uid="{B0E4B176-1C6C-4BFA-92B8-AC91E939B218}"/>
    <cellStyle name="Comma 2 2 2 4" xfId="16901" xr:uid="{F13DACD9-745D-45B7-81E3-07048AF94A64}"/>
    <cellStyle name="Comma 2 2 2 4 2" xfId="33033" xr:uid="{D5CF88A8-4A80-4EE2-BEE7-356C41BD7EAA}"/>
    <cellStyle name="Comma 2 2 2 5" xfId="17967" xr:uid="{1E402787-F1D0-4D0C-8B88-4F00312B50B1}"/>
    <cellStyle name="Comma 2 2 3" xfId="4800" xr:uid="{A65E0B9D-C705-4DB4-935D-E635E5E7B58B}"/>
    <cellStyle name="Comma 2 2 3 2" xfId="21004" xr:uid="{EA67B3F6-998A-4D94-B812-EFCE9DEFFF71}"/>
    <cellStyle name="Comma 2 2 4" xfId="16900" xr:uid="{E9018FBA-F621-4A64-9227-F557437EDFE4}"/>
    <cellStyle name="Comma 2 2 4 2" xfId="33032" xr:uid="{268547A7-E767-470E-A16C-2F3E494FD185}"/>
    <cellStyle name="Comma 2 2 5" xfId="17917" xr:uid="{1AB75D9C-47C2-4B22-8864-714E148887D4}"/>
    <cellStyle name="Comma 2 3" xfId="4781" xr:uid="{62721EB1-1CA3-477D-8AF6-57F85A6DA483}"/>
    <cellStyle name="Comma 2 3 2" xfId="20985" xr:uid="{48C20B91-FF5C-4DBC-85F9-C51DAFDA8FCF}"/>
    <cellStyle name="Comma 2 4" xfId="16899" xr:uid="{897A41BB-E7A2-440C-8DDC-AB856EF70AFF}"/>
    <cellStyle name="Comma 2 4 2" xfId="33031" xr:uid="{9B2F7E49-CFEC-40C3-A277-45DCC84AB5BB}"/>
    <cellStyle name="Comma 2 5" xfId="17878" xr:uid="{151A72F5-BD58-4C11-B440-FC773BA854DE}"/>
    <cellStyle name="Comma 2 5 2" xfId="33950" xr:uid="{DBCEE0A3-5491-42E2-886E-81F652BE0F46}"/>
    <cellStyle name="Comma 2 6" xfId="17881" xr:uid="{6E7D6126-BA25-489D-B09F-9143D74DA036}"/>
    <cellStyle name="Comma 2 6 2" xfId="33953" xr:uid="{E8F0B1F6-E780-447D-91FF-4B7D5F1435E8}"/>
    <cellStyle name="Comma 2 7" xfId="17898" xr:uid="{791BB2BC-1542-4B25-A40F-09D91D757C58}"/>
    <cellStyle name="Comma 3" xfId="608" xr:uid="{43DB592C-FE1C-44AE-8CA2-840E177943CA}"/>
    <cellStyle name="Comma 3 10" xfId="1115" xr:uid="{8EB6704C-0167-441B-8CA7-EBCF372CE977}"/>
    <cellStyle name="Comma 3 10 10" xfId="5493" xr:uid="{94FFB3BF-9A1F-4CF6-89FB-401FF3F0F271}"/>
    <cellStyle name="Comma 3 10 10 2" xfId="13029" xr:uid="{1DBFEB64-199D-4DC3-957C-AEE96BC51807}"/>
    <cellStyle name="Comma 3 10 10 2 2" xfId="29233" xr:uid="{4A47C635-DE29-47FF-98B9-70106FFD9944}"/>
    <cellStyle name="Comma 3 10 10 3" xfId="21697" xr:uid="{E1961123-E8B4-4859-8725-96ED43CDA4DE}"/>
    <cellStyle name="Comma 3 10 11" xfId="9526" xr:uid="{DB57E582-EBD5-42EE-B995-BD6A9BF544EA}"/>
    <cellStyle name="Comma 3 10 11 2" xfId="25730" xr:uid="{643EE4ED-1E4D-425B-819C-CFDEB776760B}"/>
    <cellStyle name="Comma 3 10 12" xfId="16903" xr:uid="{E99CD6B4-4355-4099-B1E0-ED56A4B01E78}"/>
    <cellStyle name="Comma 3 10 12 2" xfId="33035" xr:uid="{A8CAC166-D48E-4342-9FA8-57D76D027C7E}"/>
    <cellStyle name="Comma 3 10 13" xfId="18045" xr:uid="{71A8E150-F0B7-40A3-B24D-0DE1210DC80D}"/>
    <cellStyle name="Comma 3 10 2" xfId="1896" xr:uid="{192A923A-FAD0-427D-B265-8EF9F42ABA16}"/>
    <cellStyle name="Comma 3 10 2 10" xfId="9676" xr:uid="{20DF1BFE-E59E-49BF-AC63-E3017456B438}"/>
    <cellStyle name="Comma 3 10 2 10 2" xfId="25880" xr:uid="{8EFB291C-BE8A-4E0A-9D57-CB28F72170FF}"/>
    <cellStyle name="Comma 3 10 2 11" xfId="16904" xr:uid="{C27104FB-F49F-48FD-8CDE-828FF7B86D29}"/>
    <cellStyle name="Comma 3 10 2 11 2" xfId="33036" xr:uid="{E65B4270-3767-4C72-BF12-DC949DD40586}"/>
    <cellStyle name="Comma 3 10 2 12" xfId="18200" xr:uid="{13EE0B2B-5906-4B17-965F-5D50F5CDEC62}"/>
    <cellStyle name="Comma 3 10 2 2" xfId="2403" xr:uid="{89018A4E-EAA2-4EDA-84EA-C3D8FB94D906}"/>
    <cellStyle name="Comma 3 10 2 2 2" xfId="3250" xr:uid="{95A7BD51-924E-4D25-86A0-A99D02780F8C}"/>
    <cellStyle name="Comma 3 10 2 2 2 2" xfId="7032" xr:uid="{39C262AF-9A2C-4983-8EFB-EF0E944B9B72}"/>
    <cellStyle name="Comma 3 10 2 2 2 2 2" xfId="14543" xr:uid="{3F3103BE-1003-4AAA-9F2F-7B997DDEFF6E}"/>
    <cellStyle name="Comma 3 10 2 2 2 2 2 2" xfId="30747" xr:uid="{55F75734-99C2-4C04-9C40-764A67A73304}"/>
    <cellStyle name="Comma 3 10 2 2 2 2 3" xfId="23236" xr:uid="{00BF6B03-FC55-4539-BD6A-92226827D448}"/>
    <cellStyle name="Comma 3 10 2 2 2 3" xfId="5492" xr:uid="{633820C3-1061-47DA-824E-94712083DFB0}"/>
    <cellStyle name="Comma 3 10 2 2 2 3 2" xfId="13028" xr:uid="{F9E2457F-6865-4705-A1F5-C674C7E86824}"/>
    <cellStyle name="Comma 3 10 2 2 2 3 2 2" xfId="29232" xr:uid="{CEAEDDAE-C6C5-4F52-B5C2-2A44AABC4412}"/>
    <cellStyle name="Comma 3 10 2 2 2 3 3" xfId="21696" xr:uid="{3302A33D-2A00-4030-A575-96C81D5E864B}"/>
    <cellStyle name="Comma 3 10 2 2 2 4" xfId="10943" xr:uid="{484EC752-F70C-4308-A782-C80A79FA391B}"/>
    <cellStyle name="Comma 3 10 2 2 2 4 2" xfId="27147" xr:uid="{DC607130-E09B-465D-9ECC-AFF8FF1598FF}"/>
    <cellStyle name="Comma 3 10 2 2 2 5" xfId="16906" xr:uid="{C0834D66-EC4A-4516-99DC-9835FFA2BFE7}"/>
    <cellStyle name="Comma 3 10 2 2 2 5 2" xfId="33038" xr:uid="{63F606F4-1732-415D-AB82-5981874FDE45}"/>
    <cellStyle name="Comma 3 10 2 2 2 6" xfId="19470" xr:uid="{BAA6DD79-74FA-439B-AD86-B2649A5FA05A}"/>
    <cellStyle name="Comma 3 10 2 2 3" xfId="6187" xr:uid="{B9BED71D-C72F-4CFE-9FA4-2FBE01867B2B}"/>
    <cellStyle name="Comma 3 10 2 2 3 2" xfId="13699" xr:uid="{100BDF38-82D6-4CE1-9388-C01A7319CE46}"/>
    <cellStyle name="Comma 3 10 2 2 3 2 2" xfId="29903" xr:uid="{505AAD57-5F3C-4E36-A371-B6F701934BF5}"/>
    <cellStyle name="Comma 3 10 2 2 3 3" xfId="22391" xr:uid="{93CF0D69-1D5C-4D08-9521-07B30289C303}"/>
    <cellStyle name="Comma 3 10 2 2 4" xfId="5235" xr:uid="{18B2F6FA-6E09-4A3B-9491-970AA98C7CAC}"/>
    <cellStyle name="Comma 3 10 2 2 4 2" xfId="12788" xr:uid="{3DFDC510-8E6B-4639-98F7-FC4AC06468FD}"/>
    <cellStyle name="Comma 3 10 2 2 4 2 2" xfId="28992" xr:uid="{E375092E-D442-4751-B216-8D7386F3B7EA}"/>
    <cellStyle name="Comma 3 10 2 2 4 3" xfId="21439" xr:uid="{1D1442A3-D58C-4B0D-A3C2-4BAEEE29837F}"/>
    <cellStyle name="Comma 3 10 2 2 5" xfId="10099" xr:uid="{3A34780A-826D-4C7E-8650-A843E88503D1}"/>
    <cellStyle name="Comma 3 10 2 2 5 2" xfId="26303" xr:uid="{4FBA323A-B8D1-4545-925B-04A37B581346}"/>
    <cellStyle name="Comma 3 10 2 2 6" xfId="16905" xr:uid="{B2AA7E08-943F-466F-BB5C-5EF187297E83}"/>
    <cellStyle name="Comma 3 10 2 2 6 2" xfId="33037" xr:uid="{DFB158EF-7903-47E4-A796-B5E55D678EAC}"/>
    <cellStyle name="Comma 3 10 2 2 7" xfId="18625" xr:uid="{736AA652-5F29-4898-B4F4-D5DF236B3C28}"/>
    <cellStyle name="Comma 3 10 2 3" xfId="2825" xr:uid="{0507E220-0385-4D74-BCBC-80F98603EB01}"/>
    <cellStyle name="Comma 3 10 2 3 2" xfId="6609" xr:uid="{9759300E-FF71-4747-9AA0-C5B3AFBA46E2}"/>
    <cellStyle name="Comma 3 10 2 3 2 2" xfId="14121" xr:uid="{07F347C9-3699-430B-84B7-1994BBE69256}"/>
    <cellStyle name="Comma 3 10 2 3 2 2 2" xfId="30325" xr:uid="{0831E555-7C8E-40EB-9B0F-77951D9C595E}"/>
    <cellStyle name="Comma 3 10 2 3 2 3" xfId="22813" xr:uid="{A004FD11-BEF7-4A9B-87D1-BB998F3C60BB}"/>
    <cellStyle name="Comma 3 10 2 3 3" xfId="5546" xr:uid="{22E5CC67-40A3-4F6B-B49C-E8587C3F2553}"/>
    <cellStyle name="Comma 3 10 2 3 3 2" xfId="13069" xr:uid="{6663CB32-8A9B-4093-9D47-43F3AD1C9EFD}"/>
    <cellStyle name="Comma 3 10 2 3 3 2 2" xfId="29273" xr:uid="{D9F19C5A-36B9-40E8-95D2-AFD2444E6916}"/>
    <cellStyle name="Comma 3 10 2 3 3 3" xfId="21750" xr:uid="{7A75D6BE-F680-4A70-BC87-EEC58FF4218F}"/>
    <cellStyle name="Comma 3 10 2 3 4" xfId="10521" xr:uid="{F5A56297-91B6-4699-8093-1EA9FD3D06E2}"/>
    <cellStyle name="Comma 3 10 2 3 4 2" xfId="26725" xr:uid="{2353F018-BF43-4184-8245-2285BFA85E99}"/>
    <cellStyle name="Comma 3 10 2 3 5" xfId="16907" xr:uid="{3D9F6F95-9F24-4D03-BA54-7755376D6F60}"/>
    <cellStyle name="Comma 3 10 2 3 5 2" xfId="33039" xr:uid="{FC94FE5F-9486-4AA7-A8E9-FD62F1F9574C}"/>
    <cellStyle name="Comma 3 10 2 3 6" xfId="19047" xr:uid="{613C41E8-C5F7-4E18-90E7-15371E35F120}"/>
    <cellStyle name="Comma 3 10 2 4" xfId="3756" xr:uid="{A7BAC7C7-0DAA-4E53-9AB4-3D7A6261A31B}"/>
    <cellStyle name="Comma 3 10 2 4 2" xfId="7466" xr:uid="{89468B5F-6FFC-45C0-8476-2BFCC1596371}"/>
    <cellStyle name="Comma 3 10 2 4 2 2" xfId="14975" xr:uid="{7FE3F845-06FD-44A0-A58B-73A9127A83AF}"/>
    <cellStyle name="Comma 3 10 2 4 2 2 2" xfId="31179" xr:uid="{A607C9DF-6318-478B-8C31-CEFAB191ADEA}"/>
    <cellStyle name="Comma 3 10 2 4 2 3" xfId="23670" xr:uid="{9171738C-CDB1-43DA-82E3-EC4D16B152CF}"/>
    <cellStyle name="Comma 3 10 2 4 3" xfId="9160" xr:uid="{592CAAD2-B980-4135-B1E4-24369DA9CF58}"/>
    <cellStyle name="Comma 3 10 2 4 3 2" xfId="16635" xr:uid="{7ECECCB3-2B2E-475F-A041-34E107A1A42B}"/>
    <cellStyle name="Comma 3 10 2 4 3 2 2" xfId="32839" xr:uid="{99167413-1025-46CA-A705-41E60618E1C2}"/>
    <cellStyle name="Comma 3 10 2 4 3 3" xfId="25364" xr:uid="{1428B160-EBDD-4E02-A680-6A13A7357736}"/>
    <cellStyle name="Comma 3 10 2 4 4" xfId="11366" xr:uid="{C336CEA7-27CF-44BF-BB89-DDE69F5A668D}"/>
    <cellStyle name="Comma 3 10 2 4 4 2" xfId="27570" xr:uid="{19B9CEB4-0F91-47F0-8EC7-3A14F4C510A4}"/>
    <cellStyle name="Comma 3 10 2 4 5" xfId="16908" xr:uid="{EE84AE98-B343-4082-B3F7-05ABAE88CC0D}"/>
    <cellStyle name="Comma 3 10 2 4 5 2" xfId="33040" xr:uid="{48611C76-B1DF-4441-BE14-46725DAACC2C}"/>
    <cellStyle name="Comma 3 10 2 4 6" xfId="19965" xr:uid="{A34D3470-0995-4FD5-A079-923336FCFE50}"/>
    <cellStyle name="Comma 3 10 2 5" xfId="3596" xr:uid="{79887ACD-A647-475C-8B77-C26A39B2EA2B}"/>
    <cellStyle name="Comma 3 10 2 5 2" xfId="9381" xr:uid="{8DF67776-2A4E-4272-AF14-D01D878084B4}"/>
    <cellStyle name="Comma 3 10 2 5 2 2" xfId="25585" xr:uid="{B3902D3B-D471-4558-8A41-46A5DFF608EE}"/>
    <cellStyle name="Comma 3 10 2 5 3" xfId="16909" xr:uid="{C540418D-9006-4845-A41C-00397E9D8F65}"/>
    <cellStyle name="Comma 3 10 2 5 3 2" xfId="33041" xr:uid="{5EA9C0C8-127C-4594-9203-5C9009527C4F}"/>
    <cellStyle name="Comma 3 10 2 5 4" xfId="19806" xr:uid="{3D327B93-A6B3-44C7-AD70-CFE7BAABA3E5}"/>
    <cellStyle name="Comma 3 10 2 6" xfId="4225" xr:uid="{733DF50E-3CC0-4E54-9347-0E3AA1F36B84}"/>
    <cellStyle name="Comma 3 10 2 6 2" xfId="7895" xr:uid="{55180C7A-DEDB-4713-988C-16DC6A69461B}"/>
    <cellStyle name="Comma 3 10 2 6 2 2" xfId="15402" xr:uid="{319838F2-DE1D-4C62-A24D-CA2CD4BE34A2}"/>
    <cellStyle name="Comma 3 10 2 6 2 2 2" xfId="31606" xr:uid="{AE7D7D1E-7C67-4F0F-B125-ACD3D8D385E5}"/>
    <cellStyle name="Comma 3 10 2 6 2 3" xfId="24099" xr:uid="{757D88A3-005E-4E54-A61E-E2C68A528B12}"/>
    <cellStyle name="Comma 3 10 2 6 3" xfId="9166" xr:uid="{B6182F30-0D84-472D-A86A-1D8FD8E2ABC7}"/>
    <cellStyle name="Comma 3 10 2 6 3 2" xfId="16640" xr:uid="{8E9DE532-A9CE-4283-9899-4BB6CB94F962}"/>
    <cellStyle name="Comma 3 10 2 6 3 2 2" xfId="32844" xr:uid="{47B4EFD1-65CB-4401-ABA8-02AA29302697}"/>
    <cellStyle name="Comma 3 10 2 6 3 3" xfId="25370" xr:uid="{683DF112-C7C0-42E6-BAE7-E4D213F836A4}"/>
    <cellStyle name="Comma 3 10 2 6 4" xfId="11788" xr:uid="{4A82786C-4D48-470A-9DC1-E54CF38C7119}"/>
    <cellStyle name="Comma 3 10 2 6 4 2" xfId="27992" xr:uid="{D3D8C5AC-4D7D-4A25-9DB0-AD0B7DCEA443}"/>
    <cellStyle name="Comma 3 10 2 6 5" xfId="16910" xr:uid="{10BDD852-DA03-410F-B3B1-A53F6B7E073D}"/>
    <cellStyle name="Comma 3 10 2 6 5 2" xfId="33042" xr:uid="{187ABBDB-C83B-4AA0-84AE-40ED026C84DD}"/>
    <cellStyle name="Comma 3 10 2 6 6" xfId="20429" xr:uid="{0412B929-2DB3-4B91-8E65-337C833F7721}"/>
    <cellStyle name="Comma 3 10 2 7" xfId="4650" xr:uid="{68A6A46A-1E42-487B-8CD6-615CD795E0D0}"/>
    <cellStyle name="Comma 3 10 2 7 2" xfId="8320" xr:uid="{29CDD7C7-A996-4C34-B570-990637B267EB}"/>
    <cellStyle name="Comma 3 10 2 7 2 2" xfId="15827" xr:uid="{47629B86-950E-4E2E-B7E1-BD11C90A4BF3}"/>
    <cellStyle name="Comma 3 10 2 7 2 2 2" xfId="32031" xr:uid="{CEFDB87A-C41F-4B99-9E86-16A0CE46291A}"/>
    <cellStyle name="Comma 3 10 2 7 2 3" xfId="24524" xr:uid="{5BFF9D45-F1F1-4F79-9431-95D2E36B478F}"/>
    <cellStyle name="Comma 3 10 2 7 3" xfId="8968" xr:uid="{EFEB3215-3EC4-4938-A287-1B97D94AC1BD}"/>
    <cellStyle name="Comma 3 10 2 7 3 2" xfId="16462" xr:uid="{471B68E1-EA98-4153-8003-DA24E14993F7}"/>
    <cellStyle name="Comma 3 10 2 7 3 2 2" xfId="32666" xr:uid="{D30C07A4-39E6-4BED-B287-6B710201C0DD}"/>
    <cellStyle name="Comma 3 10 2 7 3 3" xfId="25172" xr:uid="{693851B0-74A4-49FE-AD55-0133C9BF475C}"/>
    <cellStyle name="Comma 3 10 2 7 4" xfId="12213" xr:uid="{551A2194-D4D7-4D67-A7FA-372B7828B752}"/>
    <cellStyle name="Comma 3 10 2 7 4 2" xfId="28417" xr:uid="{EFC9C8D7-181D-4E75-A3B5-7A9E4F838D26}"/>
    <cellStyle name="Comma 3 10 2 7 5" xfId="16911" xr:uid="{88A52A9E-F2EA-4FBF-90A9-1BAAD1189C56}"/>
    <cellStyle name="Comma 3 10 2 7 5 2" xfId="33043" xr:uid="{999870B3-6F27-4F22-B5B4-CB3106D60F0C}"/>
    <cellStyle name="Comma 3 10 2 7 6" xfId="20854" xr:uid="{EE2656B7-7549-4821-BF53-43C4ADA705C0}"/>
    <cellStyle name="Comma 3 10 2 8" xfId="5078" xr:uid="{60AE2B80-002E-4A72-85D4-857D1CA00147}"/>
    <cellStyle name="Comma 3 10 2 8 2" xfId="8743" xr:uid="{42B051F3-573E-408F-8EE5-0E5AEAAFBAEE}"/>
    <cellStyle name="Comma 3 10 2 8 2 2" xfId="16250" xr:uid="{419D249F-B107-4C58-9ABC-33D95A8C0B68}"/>
    <cellStyle name="Comma 3 10 2 8 2 2 2" xfId="32454" xr:uid="{608DC85C-1B38-4323-BA3C-3B1F88BCA358}"/>
    <cellStyle name="Comma 3 10 2 8 2 3" xfId="24947" xr:uid="{B83006B0-8BDC-4EA0-99F8-3E1570D39A35}"/>
    <cellStyle name="Comma 3 10 2 8 3" xfId="12635" xr:uid="{662206C3-2785-4679-8357-6E46010A3C7E}"/>
    <cellStyle name="Comma 3 10 2 8 3 2" xfId="28839" xr:uid="{4E76B027-4C80-4B57-9E55-ADA0E7B3D9DD}"/>
    <cellStyle name="Comma 3 10 2 8 4" xfId="21282" xr:uid="{6052C1BE-3454-40EB-9CF5-A0BDB095112D}"/>
    <cellStyle name="Comma 3 10 2 9" xfId="5749" xr:uid="{A55B17C1-758B-4082-A587-462F96D9BF04}"/>
    <cellStyle name="Comma 3 10 2 9 2" xfId="13264" xr:uid="{85495394-F347-4099-9C06-779E3A078564}"/>
    <cellStyle name="Comma 3 10 2 9 2 2" xfId="29468" xr:uid="{40A15C1E-A09A-4FC5-BA21-9229F122024D}"/>
    <cellStyle name="Comma 3 10 2 9 3" xfId="21953" xr:uid="{BF171C13-5060-4F8C-9964-F5DF2331C37D}"/>
    <cellStyle name="Comma 3 10 3" xfId="2191" xr:uid="{57F881CF-1E4A-40BB-94F5-6C6A58C7B773}"/>
    <cellStyle name="Comma 3 10 3 2" xfId="3100" xr:uid="{08585443-DB85-4C73-BC68-C0B6CA7FFFD8}"/>
    <cellStyle name="Comma 3 10 3 2 2" xfId="6882" xr:uid="{E75F358B-D29B-4434-A6A5-59746098ABE2}"/>
    <cellStyle name="Comma 3 10 3 2 2 2" xfId="14393" xr:uid="{7EBA1450-95B2-4734-AA72-66D963E84244}"/>
    <cellStyle name="Comma 3 10 3 2 2 2 2" xfId="30597" xr:uid="{19A7D328-A3BF-4DED-B021-D1B19B7F74E5}"/>
    <cellStyle name="Comma 3 10 3 2 2 3" xfId="23086" xr:uid="{03B1A652-E96A-44A4-A11A-92CFB28F821F}"/>
    <cellStyle name="Comma 3 10 3 2 3" xfId="5604" xr:uid="{A0D23674-DBE9-494E-BEC3-244D44BD7F0B}"/>
    <cellStyle name="Comma 3 10 3 2 3 2" xfId="13119" xr:uid="{E6DD22C6-EB5A-48A8-9A39-9AE09C086E7E}"/>
    <cellStyle name="Comma 3 10 3 2 3 2 2" xfId="29323" xr:uid="{D75AA4E1-6117-40EB-9C53-01E714BF0E66}"/>
    <cellStyle name="Comma 3 10 3 2 3 3" xfId="21808" xr:uid="{1628E73B-A298-4ACC-9354-5AE9653C1040}"/>
    <cellStyle name="Comma 3 10 3 2 4" xfId="10793" xr:uid="{0FB3DDBE-A358-4DC5-9CE0-6C4913120E6C}"/>
    <cellStyle name="Comma 3 10 3 2 4 2" xfId="26997" xr:uid="{7BAC5883-27CD-474F-BAC2-F21445A7E605}"/>
    <cellStyle name="Comma 3 10 3 2 5" xfId="16913" xr:uid="{CBAB7F47-0AC8-46B6-A5B1-1243DCAE579E}"/>
    <cellStyle name="Comma 3 10 3 2 5 2" xfId="33045" xr:uid="{51777518-1FBD-4FBA-8AAB-E65F776FE37F}"/>
    <cellStyle name="Comma 3 10 3 2 6" xfId="19320" xr:uid="{017F91E1-8458-4D88-B8E8-D5350EE2AC16}"/>
    <cellStyle name="Comma 3 10 3 3" xfId="6026" xr:uid="{3A948896-2810-4BAC-953A-5EE9137D84B4}"/>
    <cellStyle name="Comma 3 10 3 3 2" xfId="13540" xr:uid="{4B431DBC-FAB9-4154-8AF9-E4F8A000CE12}"/>
    <cellStyle name="Comma 3 10 3 3 2 2" xfId="29744" xr:uid="{86CE4190-47BD-4ECD-A881-4E3FCFE79BD4}"/>
    <cellStyle name="Comma 3 10 3 3 3" xfId="22230" xr:uid="{B53D98CE-D29C-4E65-B1BD-F555E1AB33DE}"/>
    <cellStyle name="Comma 3 10 3 4" xfId="7598" xr:uid="{0364F69D-6765-4975-B21B-23062DECA91C}"/>
    <cellStyle name="Comma 3 10 3 4 2" xfId="15106" xr:uid="{1E74B600-5243-4237-8026-F172096436F7}"/>
    <cellStyle name="Comma 3 10 3 4 2 2" xfId="31310" xr:uid="{493F8AD4-AA75-49EE-9282-83286B1211C9}"/>
    <cellStyle name="Comma 3 10 3 4 3" xfId="23802" xr:uid="{28517193-7393-49B8-A74D-E281B8D80F23}"/>
    <cellStyle name="Comma 3 10 3 5" xfId="9949" xr:uid="{A9EE726B-AF20-4DE1-8308-979EDE9ACEC1}"/>
    <cellStyle name="Comma 3 10 3 5 2" xfId="26153" xr:uid="{C4FCD7A3-61D2-41F7-B731-F13B7C7B16B5}"/>
    <cellStyle name="Comma 3 10 3 6" xfId="16912" xr:uid="{56041D50-AB69-4F5B-9FA7-951D370D599C}"/>
    <cellStyle name="Comma 3 10 3 6 2" xfId="33044" xr:uid="{60A32FCF-8241-449D-9332-BB6D741F84D9}"/>
    <cellStyle name="Comma 3 10 3 7" xfId="18475" xr:uid="{14973A9C-EA09-42EE-84A6-73790E6AA40A}"/>
    <cellStyle name="Comma 3 10 4" xfId="2675" xr:uid="{27BAF3A5-5E40-4618-88BC-F565CB66873E}"/>
    <cellStyle name="Comma 3 10 4 2" xfId="6459" xr:uid="{545E813D-853E-4174-9A83-A8B6DB79BF88}"/>
    <cellStyle name="Comma 3 10 4 2 2" xfId="13971" xr:uid="{D9B96FD4-736F-44EE-8C26-38901660AA73}"/>
    <cellStyle name="Comma 3 10 4 2 2 2" xfId="30175" xr:uid="{F4FD2F6B-0853-4A6B-948D-F104FB2BA42A}"/>
    <cellStyle name="Comma 3 10 4 2 3" xfId="22663" xr:uid="{FCF5EEAF-8D25-4FA0-BD5B-9B750F13D19D}"/>
    <cellStyle name="Comma 3 10 4 3" xfId="9276" xr:uid="{D4A312CD-03FD-4CAA-815D-E8BB86EBF51F}"/>
    <cellStyle name="Comma 3 10 4 3 2" xfId="16735" xr:uid="{89CA73DF-BB35-4EE9-909A-91668F4659F8}"/>
    <cellStyle name="Comma 3 10 4 3 2 2" xfId="32939" xr:uid="{CA2434FC-7E5E-4EB9-8DB4-F236A24AE46A}"/>
    <cellStyle name="Comma 3 10 4 3 3" xfId="25480" xr:uid="{6DD43489-10A9-4F45-978D-C9CB3C9B830E}"/>
    <cellStyle name="Comma 3 10 4 4" xfId="10371" xr:uid="{DC1667E1-2101-43ED-8CD2-2084A2280DD5}"/>
    <cellStyle name="Comma 3 10 4 4 2" xfId="26575" xr:uid="{A063761C-0CD9-481E-9CFF-C6700D7A170B}"/>
    <cellStyle name="Comma 3 10 4 5" xfId="16914" xr:uid="{872497C2-C974-4C5D-B53E-7D62F109810D}"/>
    <cellStyle name="Comma 3 10 4 5 2" xfId="33046" xr:uid="{CE928C29-E479-4036-BEFC-45D0A2B1A22C}"/>
    <cellStyle name="Comma 3 10 4 6" xfId="18897" xr:uid="{A7A990C8-8F41-4726-9707-2981371DF8A7}"/>
    <cellStyle name="Comma 3 10 5" xfId="3582" xr:uid="{9C2191D4-3C9C-4EF7-B991-68B08A4F8F45}"/>
    <cellStyle name="Comma 3 10 5 2" xfId="7312" xr:uid="{BBF0D81D-78DA-4030-94FA-0DFD1AC8FF3F}"/>
    <cellStyle name="Comma 3 10 5 2 2" xfId="14821" xr:uid="{5EF2FC47-B6F9-4CF4-A689-DD398CEFBFCE}"/>
    <cellStyle name="Comma 3 10 5 2 2 2" xfId="31025" xr:uid="{37CD9E4D-6906-4353-81F4-4116D7E4A52F}"/>
    <cellStyle name="Comma 3 10 5 2 3" xfId="23516" xr:uid="{0B42881A-B790-46FD-81DE-D44AD1327C27}"/>
    <cellStyle name="Comma 3 10 5 3" xfId="8995" xr:uid="{4D5968E5-F4E7-4F75-B6A0-3B7C4E483137}"/>
    <cellStyle name="Comma 3 10 5 3 2" xfId="16488" xr:uid="{9E3F803A-B473-4D2E-BB46-DE7A35187E7A}"/>
    <cellStyle name="Comma 3 10 5 3 2 2" xfId="32692" xr:uid="{A148E731-27F6-47B4-B35D-1CD15D76606E}"/>
    <cellStyle name="Comma 3 10 5 3 3" xfId="25199" xr:uid="{0C6E452D-98E9-4DBE-A452-7A98A893CA93}"/>
    <cellStyle name="Comma 3 10 5 4" xfId="11216" xr:uid="{AE291F44-5ADF-4E3F-B7D3-33DCB208FA16}"/>
    <cellStyle name="Comma 3 10 5 4 2" xfId="27420" xr:uid="{95000DAC-CADE-4F21-8556-8F89625A4586}"/>
    <cellStyle name="Comma 3 10 5 5" xfId="16915" xr:uid="{7C7CACEF-2E88-46CD-BF8E-43BC4916270A}"/>
    <cellStyle name="Comma 3 10 5 5 2" xfId="33047" xr:uid="{9EEE2200-4643-48AA-9BCF-F855F146728D}"/>
    <cellStyle name="Comma 3 10 5 6" xfId="19793" xr:uid="{C1FEE5EA-F91F-4D34-801C-8EA02F309AA2}"/>
    <cellStyle name="Comma 3 10 6" xfId="3576" xr:uid="{AAD8D673-D71B-4E39-9F29-4852B9D6F56F}"/>
    <cellStyle name="Comma 3 10 6 2" xfId="8950" xr:uid="{DADFC7A8-E5E6-4E54-91FC-2D876B59562C}"/>
    <cellStyle name="Comma 3 10 6 2 2" xfId="25154" xr:uid="{AC5DF23D-0905-4A39-ABC4-8D41B6146DD9}"/>
    <cellStyle name="Comma 3 10 6 3" xfId="16916" xr:uid="{6521F871-44B1-4461-8072-8D665EDF977B}"/>
    <cellStyle name="Comma 3 10 6 3 2" xfId="33048" xr:uid="{C17E4980-7082-4F06-A32B-2C4162F71CCE}"/>
    <cellStyle name="Comma 3 10 6 4" xfId="19788" xr:uid="{F3197CB9-076C-4C2C-BFD2-AA020C20937C}"/>
    <cellStyle name="Comma 3 10 7" xfId="4075" xr:uid="{DDCEAFF8-D1DB-4E93-911B-325FF622D05B}"/>
    <cellStyle name="Comma 3 10 7 2" xfId="7745" xr:uid="{E8AA95F9-E490-4059-816D-EFB3B4AED0B5}"/>
    <cellStyle name="Comma 3 10 7 2 2" xfId="15252" xr:uid="{D37C22DE-C095-4A7A-A6D9-F394F0446D1D}"/>
    <cellStyle name="Comma 3 10 7 2 2 2" xfId="31456" xr:uid="{D0828C08-A2D9-4186-A358-F6CD9557EDCA}"/>
    <cellStyle name="Comma 3 10 7 2 3" xfId="23949" xr:uid="{30481C24-D1A7-445E-BE8E-DCBB62BD614D}"/>
    <cellStyle name="Comma 3 10 7 3" xfId="5878" xr:uid="{6AA6A1C3-A94E-4B57-9703-D230FF1EDE43}"/>
    <cellStyle name="Comma 3 10 7 3 2" xfId="13393" xr:uid="{70D50CF9-1234-4306-B1C2-6A3E06739A31}"/>
    <cellStyle name="Comma 3 10 7 3 2 2" xfId="29597" xr:uid="{6637867F-B383-499C-99F6-BC74E7DBBCD2}"/>
    <cellStyle name="Comma 3 10 7 3 3" xfId="22082" xr:uid="{D0453389-70F6-4FD3-B371-EEAE5C53B343}"/>
    <cellStyle name="Comma 3 10 7 4" xfId="11638" xr:uid="{8D446A89-7586-42AD-B819-82E34F507FE5}"/>
    <cellStyle name="Comma 3 10 7 4 2" xfId="27842" xr:uid="{B58E4D60-A013-46A9-8B3C-95FEE8927895}"/>
    <cellStyle name="Comma 3 10 7 5" xfId="16917" xr:uid="{6EC0AED7-9B04-456C-AE3C-52FE4574AC53}"/>
    <cellStyle name="Comma 3 10 7 5 2" xfId="33049" xr:uid="{D64C5DF7-8999-4DEB-831C-6177E2E80E66}"/>
    <cellStyle name="Comma 3 10 7 6" xfId="20279" xr:uid="{ADE2DF3D-0188-44E4-B65E-97656954B361}"/>
    <cellStyle name="Comma 3 10 8" xfId="4500" xr:uid="{32690448-F868-4FF8-99C6-05F531C54A8C}"/>
    <cellStyle name="Comma 3 10 8 2" xfId="8170" xr:uid="{FF4E5082-F825-402F-B507-C0457723DF77}"/>
    <cellStyle name="Comma 3 10 8 2 2" xfId="15677" xr:uid="{3D9FB59C-31FF-4374-A377-4F36F86A3A9F}"/>
    <cellStyle name="Comma 3 10 8 2 2 2" xfId="31881" xr:uid="{83DE2E3C-E85A-4E9A-9300-30BD4042EB46}"/>
    <cellStyle name="Comma 3 10 8 2 3" xfId="24374" xr:uid="{57B70305-2555-4937-A0C6-EECDEA34FB1F}"/>
    <cellStyle name="Comma 3 10 8 3" xfId="8885" xr:uid="{9E0769EF-4D02-4CB5-82A4-CD1FD1AE0D8E}"/>
    <cellStyle name="Comma 3 10 8 3 2" xfId="16389" xr:uid="{0D030BE7-3221-428A-95C6-460A0CE1B015}"/>
    <cellStyle name="Comma 3 10 8 3 2 2" xfId="32593" xr:uid="{3DB81490-3F45-42E5-8E54-09EABBEA2BE1}"/>
    <cellStyle name="Comma 3 10 8 3 3" xfId="25089" xr:uid="{649B4CF7-E4AC-4BDE-B91F-926DA5E83D6B}"/>
    <cellStyle name="Comma 3 10 8 4" xfId="12063" xr:uid="{C173A10A-BAFD-4721-955B-38F485343F2F}"/>
    <cellStyle name="Comma 3 10 8 4 2" xfId="28267" xr:uid="{34813BCB-CA48-4241-A5BF-15095B301937}"/>
    <cellStyle name="Comma 3 10 8 5" xfId="16918" xr:uid="{A26721BE-4B3F-4E9B-95CB-62A372DF8AC2}"/>
    <cellStyle name="Comma 3 10 8 5 2" xfId="33050" xr:uid="{C8530310-AABC-474B-B336-946CB022D14E}"/>
    <cellStyle name="Comma 3 10 8 6" xfId="20704" xr:uid="{BBD1C5DD-C56A-4FCF-ABF9-F7214C6C38CE}"/>
    <cellStyle name="Comma 3 10 9" xfId="4926" xr:uid="{0B3E8215-8F53-4302-917B-5F217774CB2B}"/>
    <cellStyle name="Comma 3 10 9 2" xfId="8593" xr:uid="{DCF9B764-F296-4299-8424-9D2EF572A5FE}"/>
    <cellStyle name="Comma 3 10 9 2 2" xfId="16100" xr:uid="{D7E9FE83-4286-447B-8810-90C948A329E6}"/>
    <cellStyle name="Comma 3 10 9 2 2 2" xfId="32304" xr:uid="{A9075A85-8185-442B-A060-B863DED71F9C}"/>
    <cellStyle name="Comma 3 10 9 2 3" xfId="24797" xr:uid="{A9D55A12-F22F-44D0-BF18-2797723258A4}"/>
    <cellStyle name="Comma 3 10 9 3" xfId="12485" xr:uid="{24FBD334-73AD-4DC4-99C0-0EF0272FEDD1}"/>
    <cellStyle name="Comma 3 10 9 3 2" xfId="28689" xr:uid="{3C6FE28C-C62E-48E9-A5C0-615C027A837C}"/>
    <cellStyle name="Comma 3 10 9 4" xfId="21130" xr:uid="{215B4CB7-CB46-49E9-B898-9B1633D27C1A}"/>
    <cellStyle name="Comma 3 11" xfId="1740" xr:uid="{C882A4E6-F626-4AF5-9CC7-D74771B675E5}"/>
    <cellStyle name="Comma 3 11 10" xfId="5612" xr:uid="{57605594-8E5C-4115-AAC1-8B4B918BE79C}"/>
    <cellStyle name="Comma 3 11 10 2" xfId="13127" xr:uid="{71E2FE3C-A49A-49F3-88BC-3614AA4361A8}"/>
    <cellStyle name="Comma 3 11 10 2 2" xfId="29331" xr:uid="{86E572E9-1545-46F0-9E5D-F47CDD8EB8B4}"/>
    <cellStyle name="Comma 3 11 10 3" xfId="21816" xr:uid="{940F5EB7-EA6C-4B94-8264-55268EE96003}"/>
    <cellStyle name="Comma 3 11 11" xfId="9540" xr:uid="{B533FD93-840B-434C-8A39-FB06282B8C35}"/>
    <cellStyle name="Comma 3 11 11 2" xfId="25744" xr:uid="{A2A1309F-E823-4298-8754-375C824FCB34}"/>
    <cellStyle name="Comma 3 11 12" xfId="16919" xr:uid="{3D5CA3C7-58F1-4725-8238-C6814ED47BC8}"/>
    <cellStyle name="Comma 3 11 12 2" xfId="33051" xr:uid="{A3522BC3-675A-47B2-B2E6-DF6787B8CD03}"/>
    <cellStyle name="Comma 3 11 13" xfId="18063" xr:uid="{F5428497-B94B-4CB1-A741-B223F275BD30}"/>
    <cellStyle name="Comma 3 11 2" xfId="1897" xr:uid="{0557D15F-CC2B-4211-AB52-B0B257E7D4F1}"/>
    <cellStyle name="Comma 3 11 2 10" xfId="9677" xr:uid="{078BD619-4866-406D-BC54-31F083F5F096}"/>
    <cellStyle name="Comma 3 11 2 10 2" xfId="25881" xr:uid="{B8C1D5FB-6E3D-4D9F-BCDE-F4E55D964199}"/>
    <cellStyle name="Comma 3 11 2 11" xfId="16920" xr:uid="{422D1825-1276-4809-AC54-E0725212D608}"/>
    <cellStyle name="Comma 3 11 2 11 2" xfId="33052" xr:uid="{CAF95079-BEC0-4F62-9BFC-47595DBC217A}"/>
    <cellStyle name="Comma 3 11 2 12" xfId="18201" xr:uid="{242367D5-5330-4480-B49D-FA2FE03426FA}"/>
    <cellStyle name="Comma 3 11 2 2" xfId="2404" xr:uid="{EAD4E3E6-9798-493F-8C60-738DD2FC98C0}"/>
    <cellStyle name="Comma 3 11 2 2 2" xfId="3251" xr:uid="{CBE145EA-06B3-4BDB-8CE1-EA5881EC193C}"/>
    <cellStyle name="Comma 3 11 2 2 2 2" xfId="7033" xr:uid="{D55CBD0C-6161-4D08-9E2C-58BC09653952}"/>
    <cellStyle name="Comma 3 11 2 2 2 2 2" xfId="14544" xr:uid="{1B393B88-913F-4AD5-AFB5-9DA9DC0CB397}"/>
    <cellStyle name="Comma 3 11 2 2 2 2 2 2" xfId="30748" xr:uid="{DBB151FD-5C1B-4201-9254-7059013CB835}"/>
    <cellStyle name="Comma 3 11 2 2 2 2 3" xfId="23237" xr:uid="{32938671-4B8C-4B0C-A9AA-DCA7A4C9053A}"/>
    <cellStyle name="Comma 3 11 2 2 2 3" xfId="8974" xr:uid="{C9D1A55C-2072-4DE4-80E9-CDA4D2249ABE}"/>
    <cellStyle name="Comma 3 11 2 2 2 3 2" xfId="16468" xr:uid="{88893764-ED79-4202-8CA3-7F170CE1CE23}"/>
    <cellStyle name="Comma 3 11 2 2 2 3 2 2" xfId="32672" xr:uid="{AC01756A-F49B-4220-83FD-641B294F16BA}"/>
    <cellStyle name="Comma 3 11 2 2 2 3 3" xfId="25178" xr:uid="{AADC491C-1165-4151-8B73-C90F437B9A24}"/>
    <cellStyle name="Comma 3 11 2 2 2 4" xfId="10944" xr:uid="{904C1267-0287-4F9E-8F8D-B594CDD6FCBF}"/>
    <cellStyle name="Comma 3 11 2 2 2 4 2" xfId="27148" xr:uid="{E00445DE-B108-4E62-8EF1-3B7AFD4175B9}"/>
    <cellStyle name="Comma 3 11 2 2 2 5" xfId="16922" xr:uid="{A36CA805-7352-4457-878D-C23EE79E7C71}"/>
    <cellStyle name="Comma 3 11 2 2 2 5 2" xfId="33054" xr:uid="{78083615-25F5-4FCC-9307-720A7884B23A}"/>
    <cellStyle name="Comma 3 11 2 2 2 6" xfId="19471" xr:uid="{73B24AC1-0977-48A1-AEA0-05B697BE4962}"/>
    <cellStyle name="Comma 3 11 2 2 3" xfId="6188" xr:uid="{DF26AEE7-8C37-4AC6-B020-E0D0A5F939E4}"/>
    <cellStyle name="Comma 3 11 2 2 3 2" xfId="13700" xr:uid="{3B1D2E26-1E97-403D-B7F9-ACA984F314CF}"/>
    <cellStyle name="Comma 3 11 2 2 3 2 2" xfId="29904" xr:uid="{39859233-7572-4CC8-90DE-2F79FE11CE18}"/>
    <cellStyle name="Comma 3 11 2 2 3 3" xfId="22392" xr:uid="{975C50F5-FC14-4D3E-92EC-1957B58B1D82}"/>
    <cellStyle name="Comma 3 11 2 2 4" xfId="5274" xr:uid="{96AA516A-EB86-488E-AFAB-ECFBB36EC37A}"/>
    <cellStyle name="Comma 3 11 2 2 4 2" xfId="12823" xr:uid="{FE3710E3-C7D6-463A-A1E7-C7A0B2AB0BF9}"/>
    <cellStyle name="Comma 3 11 2 2 4 2 2" xfId="29027" xr:uid="{85ACF4AE-8171-41AD-91F7-B40CF1299DAA}"/>
    <cellStyle name="Comma 3 11 2 2 4 3" xfId="21478" xr:uid="{C53C1710-5189-41E1-9D44-8B3AEDB418A6}"/>
    <cellStyle name="Comma 3 11 2 2 5" xfId="10100" xr:uid="{4EC46580-6B58-4826-9E75-6C2EC724E56B}"/>
    <cellStyle name="Comma 3 11 2 2 5 2" xfId="26304" xr:uid="{36B7BDC0-33BE-4F58-9627-FCBCFC9CD39C}"/>
    <cellStyle name="Comma 3 11 2 2 6" xfId="16921" xr:uid="{B8E27508-06CE-4D6B-8AFA-6B9349457BB8}"/>
    <cellStyle name="Comma 3 11 2 2 6 2" xfId="33053" xr:uid="{8B6D0382-7DA6-447B-99A6-699E3B6E690E}"/>
    <cellStyle name="Comma 3 11 2 2 7" xfId="18626" xr:uid="{B806A3D8-D115-4BFA-9764-839D555B9EF6}"/>
    <cellStyle name="Comma 3 11 2 3" xfId="2826" xr:uid="{19A26D3A-92BD-40D5-A3D9-9BC2BD141783}"/>
    <cellStyle name="Comma 3 11 2 3 2" xfId="6610" xr:uid="{63DE7E5F-DF1E-466B-BD3F-52087CCC6533}"/>
    <cellStyle name="Comma 3 11 2 3 2 2" xfId="14122" xr:uid="{29290475-B6FC-4AC5-8C21-873FBED94267}"/>
    <cellStyle name="Comma 3 11 2 3 2 2 2" xfId="30326" xr:uid="{1643AE11-7AB5-4E45-8D80-6527F91E899C}"/>
    <cellStyle name="Comma 3 11 2 3 2 3" xfId="22814" xr:uid="{FAB2A3D5-7372-46E9-B520-41D929078861}"/>
    <cellStyle name="Comma 3 11 2 3 3" xfId="9159" xr:uid="{6F2AB4C8-BC92-4443-A9C9-FAC5C32CB35F}"/>
    <cellStyle name="Comma 3 11 2 3 3 2" xfId="16634" xr:uid="{239624CD-1248-4E52-AE8D-FE188565C9D1}"/>
    <cellStyle name="Comma 3 11 2 3 3 2 2" xfId="32838" xr:uid="{138BD2EC-EF84-40EE-8AED-80C845FD0B7C}"/>
    <cellStyle name="Comma 3 11 2 3 3 3" xfId="25363" xr:uid="{FF39C0C6-A6BF-45F1-862A-5D4318FB0BC8}"/>
    <cellStyle name="Comma 3 11 2 3 4" xfId="10522" xr:uid="{DAA45E07-E419-47A8-938A-FD7E0C2FBE83}"/>
    <cellStyle name="Comma 3 11 2 3 4 2" xfId="26726" xr:uid="{819581ED-E30C-4634-9DBB-43468499B138}"/>
    <cellStyle name="Comma 3 11 2 3 5" xfId="16923" xr:uid="{C67A2AC4-05F1-4A91-9512-326F5739F797}"/>
    <cellStyle name="Comma 3 11 2 3 5 2" xfId="33055" xr:uid="{69916BB5-5726-45CC-9FE6-A9B1ED210C59}"/>
    <cellStyle name="Comma 3 11 2 3 6" xfId="19048" xr:uid="{BBA50887-5799-4546-8553-395E206FB63B}"/>
    <cellStyle name="Comma 3 11 2 4" xfId="3757" xr:uid="{F5A208F6-4C61-45A1-919E-80C9E70C9DBB}"/>
    <cellStyle name="Comma 3 11 2 4 2" xfId="7467" xr:uid="{59064136-3BF2-4AF4-B7C2-0BDB3649A259}"/>
    <cellStyle name="Comma 3 11 2 4 2 2" xfId="14976" xr:uid="{7820D6CB-CF79-43E8-8EF9-A520C14ADE0C}"/>
    <cellStyle name="Comma 3 11 2 4 2 2 2" xfId="31180" xr:uid="{F48BB65D-6D39-469F-BBB2-A131642F1C42}"/>
    <cellStyle name="Comma 3 11 2 4 2 3" xfId="23671" xr:uid="{F6EFE896-6FE3-444F-A564-2E60FF48CB88}"/>
    <cellStyle name="Comma 3 11 2 4 3" xfId="9365" xr:uid="{7124FC0B-CF9F-4624-B247-CD631295560E}"/>
    <cellStyle name="Comma 3 11 2 4 3 2" xfId="16807" xr:uid="{267CB124-E209-4FE5-AD0F-D4540B019E25}"/>
    <cellStyle name="Comma 3 11 2 4 3 2 2" xfId="33011" xr:uid="{CD63BE49-4294-4918-837B-5D68BAB4A2E5}"/>
    <cellStyle name="Comma 3 11 2 4 3 3" xfId="25569" xr:uid="{377241DB-FDBB-4123-B310-EDB0739913AF}"/>
    <cellStyle name="Comma 3 11 2 4 4" xfId="11367" xr:uid="{FFE73001-4D61-494F-8E36-C6D0703D692A}"/>
    <cellStyle name="Comma 3 11 2 4 4 2" xfId="27571" xr:uid="{DDD2851F-4E0C-4DE9-BF1F-B4E931531A4F}"/>
    <cellStyle name="Comma 3 11 2 4 5" xfId="16924" xr:uid="{901E052E-EB63-4C67-82E5-2B352E2EF231}"/>
    <cellStyle name="Comma 3 11 2 4 5 2" xfId="33056" xr:uid="{5EF055B2-CEE4-42E4-94EC-4B29288EEC7B}"/>
    <cellStyle name="Comma 3 11 2 4 6" xfId="19966" xr:uid="{6EA299F7-B5EB-4960-A8B5-A58813BD2CD9}"/>
    <cellStyle name="Comma 3 11 2 5" xfId="3912" xr:uid="{F9899B8A-AC87-4152-8A00-244C234B2C57}"/>
    <cellStyle name="Comma 3 11 2 5 2" xfId="9072" xr:uid="{F30627B2-DE69-41D5-8CDB-DD579099F3A9}"/>
    <cellStyle name="Comma 3 11 2 5 2 2" xfId="25276" xr:uid="{15FE2A28-A712-4C98-B606-CE12D7EA193B}"/>
    <cellStyle name="Comma 3 11 2 5 3" xfId="16925" xr:uid="{4880A871-B277-4DAD-99EC-6B6E2ADDF76B}"/>
    <cellStyle name="Comma 3 11 2 5 3 2" xfId="33057" xr:uid="{5346F42D-898E-4647-BCF3-0E9076125640}"/>
    <cellStyle name="Comma 3 11 2 5 4" xfId="20121" xr:uid="{7CC98D69-F530-473B-B7DB-6165D6E7D79A}"/>
    <cellStyle name="Comma 3 11 2 6" xfId="4226" xr:uid="{9320764E-4B37-4703-97DC-B27206A67A07}"/>
    <cellStyle name="Comma 3 11 2 6 2" xfId="7896" xr:uid="{EB8B8108-2905-4D13-B7A6-A06ACCEAF89D}"/>
    <cellStyle name="Comma 3 11 2 6 2 2" xfId="15403" xr:uid="{20DD6773-C2B0-4E78-A2D1-2A7C029EE554}"/>
    <cellStyle name="Comma 3 11 2 6 2 2 2" xfId="31607" xr:uid="{0FFFE3BD-188C-4936-89A9-45AD0A3C2405}"/>
    <cellStyle name="Comma 3 11 2 6 2 3" xfId="24100" xr:uid="{BF49A9DF-1C24-4863-B137-FF60C6EF5084}"/>
    <cellStyle name="Comma 3 11 2 6 3" xfId="9377" xr:uid="{550D41E6-610D-4DC7-8001-87F0E0329351}"/>
    <cellStyle name="Comma 3 11 2 6 3 2" xfId="16818" xr:uid="{F5372611-10F0-43D8-A504-1D6BA37E6969}"/>
    <cellStyle name="Comma 3 11 2 6 3 2 2" xfId="33022" xr:uid="{AC9618D3-166B-4978-9B14-80E5534EFF43}"/>
    <cellStyle name="Comma 3 11 2 6 3 3" xfId="25581" xr:uid="{ECF1A99D-1722-4351-B5C2-A419EFC4B69C}"/>
    <cellStyle name="Comma 3 11 2 6 4" xfId="11789" xr:uid="{381EEB78-01E9-449F-B4EC-F0580F4B1A1A}"/>
    <cellStyle name="Comma 3 11 2 6 4 2" xfId="27993" xr:uid="{1A8FF9C1-CFE4-4D16-A6EF-0722CD20C6D2}"/>
    <cellStyle name="Comma 3 11 2 6 5" xfId="16926" xr:uid="{94E7D6DE-C1FD-45AA-9CF9-FD98191E3790}"/>
    <cellStyle name="Comma 3 11 2 6 5 2" xfId="33058" xr:uid="{1F4CF17E-924F-47CD-BEA7-6874D5ED4EE1}"/>
    <cellStyle name="Comma 3 11 2 6 6" xfId="20430" xr:uid="{ECD2F884-C4A6-4F77-809A-D4B4A8ADB24D}"/>
    <cellStyle name="Comma 3 11 2 7" xfId="4651" xr:uid="{6EBC8ACA-0BA0-4313-9732-BD01ED47BF90}"/>
    <cellStyle name="Comma 3 11 2 7 2" xfId="8321" xr:uid="{D2E905FD-7E3E-4899-AA43-CBDF265A62CF}"/>
    <cellStyle name="Comma 3 11 2 7 2 2" xfId="15828" xr:uid="{919B39FE-9500-4E35-A530-E3466BEBEC4F}"/>
    <cellStyle name="Comma 3 11 2 7 2 2 2" xfId="32032" xr:uid="{D3FB8111-28F4-45E7-A324-40F93DDE5730}"/>
    <cellStyle name="Comma 3 11 2 7 2 3" xfId="24525" xr:uid="{CA4685F6-7241-4E23-ACF5-F20ADA55AB2C}"/>
    <cellStyle name="Comma 3 11 2 7 3" xfId="5253" xr:uid="{1CA453A8-5B28-4554-8CA8-F39A9CC3F0EA}"/>
    <cellStyle name="Comma 3 11 2 7 3 2" xfId="12802" xr:uid="{4674908D-3B96-40EE-9EF0-396D077CFC93}"/>
    <cellStyle name="Comma 3 11 2 7 3 2 2" xfId="29006" xr:uid="{FE82D183-2AA0-4DC6-AC89-73851D63A7FD}"/>
    <cellStyle name="Comma 3 11 2 7 3 3" xfId="21457" xr:uid="{8C215F34-6C4E-4133-9121-D714C63A574D}"/>
    <cellStyle name="Comma 3 11 2 7 4" xfId="12214" xr:uid="{02E72191-8AED-4737-912E-0BCF2C2F149E}"/>
    <cellStyle name="Comma 3 11 2 7 4 2" xfId="28418" xr:uid="{4B102291-674A-461E-8236-A854B388CB50}"/>
    <cellStyle name="Comma 3 11 2 7 5" xfId="16927" xr:uid="{749AD103-9B3E-4DB0-8093-01671FA2A82B}"/>
    <cellStyle name="Comma 3 11 2 7 5 2" xfId="33059" xr:uid="{0BCEFECF-7593-4A47-9537-DE76979C8C6C}"/>
    <cellStyle name="Comma 3 11 2 7 6" xfId="20855" xr:uid="{932EDF3E-64F5-4850-822B-BBEA6FD240A1}"/>
    <cellStyle name="Comma 3 11 2 8" xfId="5079" xr:uid="{B8369BF7-8191-4653-A425-019E0A0482D9}"/>
    <cellStyle name="Comma 3 11 2 8 2" xfId="8744" xr:uid="{865C61C4-CEF8-4D6E-A128-1D008E4B8100}"/>
    <cellStyle name="Comma 3 11 2 8 2 2" xfId="16251" xr:uid="{FD58F492-A43C-45DC-B6B2-4D0D0E668322}"/>
    <cellStyle name="Comma 3 11 2 8 2 2 2" xfId="32455" xr:uid="{145BF002-523F-4C26-9133-39483BE377D9}"/>
    <cellStyle name="Comma 3 11 2 8 2 3" xfId="24948" xr:uid="{312057C6-4159-409B-86B2-2FF48C76FC7A}"/>
    <cellStyle name="Comma 3 11 2 8 3" xfId="12636" xr:uid="{D112C9D3-B7B9-40D3-8DC7-D20168FB4D87}"/>
    <cellStyle name="Comma 3 11 2 8 3 2" xfId="28840" xr:uid="{3DFB25B5-AEA3-4341-AB4F-E580963D2E3B}"/>
    <cellStyle name="Comma 3 11 2 8 4" xfId="21283" xr:uid="{1103429C-463D-4218-BCAE-2F2ACD3EE61C}"/>
    <cellStyle name="Comma 3 11 2 9" xfId="5750" xr:uid="{C2D2F773-1108-4C76-8035-CB206B35AB96}"/>
    <cellStyle name="Comma 3 11 2 9 2" xfId="13265" xr:uid="{6C808BA1-0CE5-4B21-87C1-DE316741FFE2}"/>
    <cellStyle name="Comma 3 11 2 9 2 2" xfId="29469" xr:uid="{30D72B8A-4AE1-4441-8407-9E509132972F}"/>
    <cellStyle name="Comma 3 11 2 9 3" xfId="21954" xr:uid="{D6A4B576-86FD-4F2F-A56E-4C7B8EEA0061}"/>
    <cellStyle name="Comma 3 11 3" xfId="2261" xr:uid="{02C9C72B-1D98-4FE7-B662-3A96706A783A}"/>
    <cellStyle name="Comma 3 11 3 2" xfId="3114" xr:uid="{B36B739E-DAF5-4153-978C-13C54C112257}"/>
    <cellStyle name="Comma 3 11 3 2 2" xfId="6896" xr:uid="{7C01B489-2950-4BD3-B2FD-B8B6426CBBFB}"/>
    <cellStyle name="Comma 3 11 3 2 2 2" xfId="14407" xr:uid="{1749B2FF-E8F3-474D-A7A7-3F4388B00E9B}"/>
    <cellStyle name="Comma 3 11 3 2 2 2 2" xfId="30611" xr:uid="{AB6249F9-2F59-4A82-A021-667A40365576}"/>
    <cellStyle name="Comma 3 11 3 2 2 3" xfId="23100" xr:uid="{4090B35C-0D28-4A0E-B1A6-DD638F6E5DDF}"/>
    <cellStyle name="Comma 3 11 3 2 3" xfId="9195" xr:uid="{7FF06380-A508-4E98-AA56-A6816A3CC5BB}"/>
    <cellStyle name="Comma 3 11 3 2 3 2" xfId="16666" xr:uid="{85E0DED3-9B6A-4AAC-A614-68E734C218BC}"/>
    <cellStyle name="Comma 3 11 3 2 3 2 2" xfId="32870" xr:uid="{4EB01408-96FA-4DC2-98D4-D57E27C101F1}"/>
    <cellStyle name="Comma 3 11 3 2 3 3" xfId="25399" xr:uid="{D79E9437-4AFC-4D10-B0C9-2C940A237BAC}"/>
    <cellStyle name="Comma 3 11 3 2 4" xfId="10807" xr:uid="{5495AAE7-3BE9-414F-BADF-D7FE6A6C422E}"/>
    <cellStyle name="Comma 3 11 3 2 4 2" xfId="27011" xr:uid="{307C46A0-864D-4D4D-A628-971E53741730}"/>
    <cellStyle name="Comma 3 11 3 2 5" xfId="16929" xr:uid="{F4DA4D01-B790-40ED-9A0B-02CEF70AF24D}"/>
    <cellStyle name="Comma 3 11 3 2 5 2" xfId="33061" xr:uid="{4E61297C-0728-46AC-B12A-38DEF167B87D}"/>
    <cellStyle name="Comma 3 11 3 2 6" xfId="19334" xr:uid="{991903FD-4C83-48C6-AAA5-6584A918BE5A}"/>
    <cellStyle name="Comma 3 11 3 3" xfId="6050" xr:uid="{F9B54CC3-DF6E-418A-A7BF-3A761F822C58}"/>
    <cellStyle name="Comma 3 11 3 3 2" xfId="13562" xr:uid="{9CFECCFF-A98F-48FE-9E5F-C8730BCBB7E8}"/>
    <cellStyle name="Comma 3 11 3 3 2 2" xfId="29766" xr:uid="{FABA56C7-4DC3-496C-AFF8-65511BF2587E}"/>
    <cellStyle name="Comma 3 11 3 3 3" xfId="22254" xr:uid="{3D0282FA-A8C4-4521-81F7-F090B879B93C}"/>
    <cellStyle name="Comma 3 11 3 4" xfId="9271" xr:uid="{75A20F58-5554-4190-B06A-472B964595B8}"/>
    <cellStyle name="Comma 3 11 3 4 2" xfId="16731" xr:uid="{17666702-4EA3-491D-B5C0-EF5291602E89}"/>
    <cellStyle name="Comma 3 11 3 4 2 2" xfId="32935" xr:uid="{4708C1ED-782D-4664-BE9B-094C29C20B8A}"/>
    <cellStyle name="Comma 3 11 3 4 3" xfId="25475" xr:uid="{27E5E97C-8FEC-4FDE-8576-A0F8C9E592FE}"/>
    <cellStyle name="Comma 3 11 3 5" xfId="9963" xr:uid="{7D05156E-732E-49F4-8A02-117E4823AD1E}"/>
    <cellStyle name="Comma 3 11 3 5 2" xfId="26167" xr:uid="{56B6FE9E-EA54-434C-9B92-EB840DBCAA31}"/>
    <cellStyle name="Comma 3 11 3 6" xfId="16928" xr:uid="{B2A25106-5CE8-455B-8B30-E8A48F76650B}"/>
    <cellStyle name="Comma 3 11 3 6 2" xfId="33060" xr:uid="{CA8BBA06-4F4D-47A0-A9AA-B62BCF789144}"/>
    <cellStyle name="Comma 3 11 3 7" xfId="18489" xr:uid="{D7A17B27-3F51-42B9-B746-E71373CCE366}"/>
    <cellStyle name="Comma 3 11 4" xfId="2689" xr:uid="{C44A4C98-7CAE-4FEB-B9EC-9A6D3C146CAB}"/>
    <cellStyle name="Comma 3 11 4 2" xfId="6473" xr:uid="{F7C78FCD-71CE-49B8-BE06-790B6677702C}"/>
    <cellStyle name="Comma 3 11 4 2 2" xfId="13985" xr:uid="{81BC4C51-11B6-43A3-BAEB-74EC71452E99}"/>
    <cellStyle name="Comma 3 11 4 2 2 2" xfId="30189" xr:uid="{E52706A0-CFD0-4EC0-85D8-CD9F73BBB17F}"/>
    <cellStyle name="Comma 3 11 4 2 3" xfId="22677" xr:uid="{A947439F-D959-43C4-AB08-815D297430CE}"/>
    <cellStyle name="Comma 3 11 4 3" xfId="9260" xr:uid="{5351F463-1F6D-4CBF-A72D-77A1EFE458E8}"/>
    <cellStyle name="Comma 3 11 4 3 2" xfId="16721" xr:uid="{823549EF-F45F-4BA4-87BD-7107B60589CE}"/>
    <cellStyle name="Comma 3 11 4 3 2 2" xfId="32925" xr:uid="{657E83A5-12DF-452F-8CDB-F17D97356E80}"/>
    <cellStyle name="Comma 3 11 4 3 3" xfId="25464" xr:uid="{7667C780-F0D5-473E-AD5B-DC3294680D5E}"/>
    <cellStyle name="Comma 3 11 4 4" xfId="10385" xr:uid="{8468FB77-B4E2-433C-898D-119D67D9C680}"/>
    <cellStyle name="Comma 3 11 4 4 2" xfId="26589" xr:uid="{28DB332B-FB3C-43FA-AA60-D01671665137}"/>
    <cellStyle name="Comma 3 11 4 5" xfId="16930" xr:uid="{FD820A64-E79B-4B50-8EFF-6413384987F4}"/>
    <cellStyle name="Comma 3 11 4 5 2" xfId="33062" xr:uid="{62EAD88D-E1CE-4735-8FB7-B7E1C6E0DF7D}"/>
    <cellStyle name="Comma 3 11 4 6" xfId="18911" xr:uid="{A9A36DFA-324B-475D-9DB4-FF2D918D274E}"/>
    <cellStyle name="Comma 3 11 5" xfId="3619" xr:uid="{4B7EC7D2-D513-4436-8988-E40DB49E09ED}"/>
    <cellStyle name="Comma 3 11 5 2" xfId="7329" xr:uid="{D4724423-03B9-4B81-A9A2-95FE8C6ADA46}"/>
    <cellStyle name="Comma 3 11 5 2 2" xfId="14838" xr:uid="{2F5B4638-D1F8-465E-A9C0-475DFCABA74B}"/>
    <cellStyle name="Comma 3 11 5 2 2 2" xfId="31042" xr:uid="{B83B11B8-8F76-42EE-85BF-123243E55E8C}"/>
    <cellStyle name="Comma 3 11 5 2 3" xfId="23533" xr:uid="{54F2F6C9-5949-458E-B6B4-4F840B64CA52}"/>
    <cellStyle name="Comma 3 11 5 3" xfId="9175" xr:uid="{E055378C-1BBF-41F3-A456-44CA7AA28136}"/>
    <cellStyle name="Comma 3 11 5 3 2" xfId="16649" xr:uid="{953C7CB0-3988-494C-8F71-66C2DE076B62}"/>
    <cellStyle name="Comma 3 11 5 3 2 2" xfId="32853" xr:uid="{AF992C94-8022-4EAA-8263-C1B22A6F75BE}"/>
    <cellStyle name="Comma 3 11 5 3 3" xfId="25379" xr:uid="{D7C67F5C-0BC4-4E02-A54E-BC7B7D8C2FF1}"/>
    <cellStyle name="Comma 3 11 5 4" xfId="11230" xr:uid="{CF0A83F1-358C-4106-86CF-AEA42E92F68B}"/>
    <cellStyle name="Comma 3 11 5 4 2" xfId="27434" xr:uid="{59F91774-EA71-41FA-B84A-740D49E33D09}"/>
    <cellStyle name="Comma 3 11 5 5" xfId="16931" xr:uid="{D8B6E68D-1290-49B9-9DAC-99E0390BE347}"/>
    <cellStyle name="Comma 3 11 5 5 2" xfId="33063" xr:uid="{6CA5448B-DA10-4131-80F2-914C23B701FD}"/>
    <cellStyle name="Comma 3 11 5 6" xfId="19828" xr:uid="{DDF98AFF-4DA7-48D4-AD66-E5711C0C3E6E}"/>
    <cellStyle name="Comma 3 11 6" xfId="3543" xr:uid="{B5341859-1975-4A9E-BD70-5013D0881AC7}"/>
    <cellStyle name="Comma 3 11 6 2" xfId="5568" xr:uid="{185C4295-22A8-49CC-8298-05A614C42DC6}"/>
    <cellStyle name="Comma 3 11 6 2 2" xfId="21772" xr:uid="{709AC695-11FE-4A53-A3E1-44B3081493A5}"/>
    <cellStyle name="Comma 3 11 6 3" xfId="16932" xr:uid="{3FEDD0BF-3E57-428E-9421-CA5B81B2218B}"/>
    <cellStyle name="Comma 3 11 6 3 2" xfId="33064" xr:uid="{7F9F3E51-45B9-4F05-B368-845ECC828729}"/>
    <cellStyle name="Comma 3 11 6 4" xfId="19759" xr:uid="{19A70EBE-12EF-45C9-B1D0-35ABEB0B571A}"/>
    <cellStyle name="Comma 3 11 7" xfId="4089" xr:uid="{1A4237C6-E08C-4A41-ABBA-BE1262527C44}"/>
    <cellStyle name="Comma 3 11 7 2" xfId="7759" xr:uid="{9808866F-7099-4FDF-9F79-535AD34DC2B9}"/>
    <cellStyle name="Comma 3 11 7 2 2" xfId="15266" xr:uid="{5360C3C8-4D30-4C26-92E7-B54229F50ED0}"/>
    <cellStyle name="Comma 3 11 7 2 2 2" xfId="31470" xr:uid="{A19C465A-418A-4A40-AD04-404B64A6F0C5}"/>
    <cellStyle name="Comma 3 11 7 2 3" xfId="23963" xr:uid="{2C593669-9B39-416A-99C4-CAC81ACA9EE2}"/>
    <cellStyle name="Comma 3 11 7 3" xfId="5252" xr:uid="{FDB8127E-4042-406E-858C-A0A7F5050CEC}"/>
    <cellStyle name="Comma 3 11 7 3 2" xfId="12801" xr:uid="{A0029381-8F28-4759-BD85-BE967D923F5C}"/>
    <cellStyle name="Comma 3 11 7 3 2 2" xfId="29005" xr:uid="{D4C2A1CF-6B9B-4289-A458-9A9513391279}"/>
    <cellStyle name="Comma 3 11 7 3 3" xfId="21456" xr:uid="{865177FA-4956-40CF-AD49-D4956B11C682}"/>
    <cellStyle name="Comma 3 11 7 4" xfId="11652" xr:uid="{4BBA5667-851D-42E7-86EB-53A157DE593A}"/>
    <cellStyle name="Comma 3 11 7 4 2" xfId="27856" xr:uid="{E9E34B6E-DE61-481D-B905-162034017207}"/>
    <cellStyle name="Comma 3 11 7 5" xfId="16933" xr:uid="{C5E4AAA2-6653-49B0-8D8B-9C0CE780800A}"/>
    <cellStyle name="Comma 3 11 7 5 2" xfId="33065" xr:uid="{FCB6A013-A89B-466E-B261-911A94A69ED6}"/>
    <cellStyle name="Comma 3 11 7 6" xfId="20293" xr:uid="{B4F74189-F1C2-458A-BE29-4A6C9AD5FE1C}"/>
    <cellStyle name="Comma 3 11 8" xfId="4514" xr:uid="{FD5A954B-F864-48C2-B1F4-B2511A25F9B7}"/>
    <cellStyle name="Comma 3 11 8 2" xfId="8184" xr:uid="{5E810B13-071D-450D-A08C-C9DE23FC9DC7}"/>
    <cellStyle name="Comma 3 11 8 2 2" xfId="15691" xr:uid="{03668E24-F6FA-41F2-B514-4D928E8480C4}"/>
    <cellStyle name="Comma 3 11 8 2 2 2" xfId="31895" xr:uid="{DA0ED20D-1089-4AB3-A48B-D30E776D5DF7}"/>
    <cellStyle name="Comma 3 11 8 2 3" xfId="24388" xr:uid="{BAD18907-5D3F-481D-B0E2-64F224EF79FD}"/>
    <cellStyle name="Comma 3 11 8 3" xfId="8951" xr:uid="{CF1CE5A9-BAAF-47E3-8BB7-A1274C643C06}"/>
    <cellStyle name="Comma 3 11 8 3 2" xfId="16446" xr:uid="{D2918C30-06EF-4D43-894B-8DEBD583FC6C}"/>
    <cellStyle name="Comma 3 11 8 3 2 2" xfId="32650" xr:uid="{B7E68ED7-62D1-49E9-954A-977EE4EAC9C1}"/>
    <cellStyle name="Comma 3 11 8 3 3" xfId="25155" xr:uid="{1DC2EAC6-E13C-48EE-9514-FBFCBC30AFA5}"/>
    <cellStyle name="Comma 3 11 8 4" xfId="12077" xr:uid="{81E04B8A-A5BB-4435-91AB-B69AEE79E66D}"/>
    <cellStyle name="Comma 3 11 8 4 2" xfId="28281" xr:uid="{B00DFBAC-25A1-4CEF-B5D5-7D9C73FED398}"/>
    <cellStyle name="Comma 3 11 8 5" xfId="16934" xr:uid="{52FB6314-9298-488A-B61A-91029D558C10}"/>
    <cellStyle name="Comma 3 11 8 5 2" xfId="33066" xr:uid="{BBFA34D4-B2E3-4715-9C09-E2241FD1A65C}"/>
    <cellStyle name="Comma 3 11 8 6" xfId="20718" xr:uid="{7D49A89E-35EE-4C51-B658-34048A5FBDE7}"/>
    <cellStyle name="Comma 3 11 9" xfId="4941" xr:uid="{18310D2A-BF01-4D36-AF3E-FE1C854F18D1}"/>
    <cellStyle name="Comma 3 11 9 2" xfId="8607" xr:uid="{D5ECB048-FE8F-4107-BC65-AB550B76D1FD}"/>
    <cellStyle name="Comma 3 11 9 2 2" xfId="16114" xr:uid="{F84A28CD-37A7-4D22-ACFA-FC134C4770CF}"/>
    <cellStyle name="Comma 3 11 9 2 2 2" xfId="32318" xr:uid="{3E800771-01F9-41A4-8FB9-74B7B868A3E8}"/>
    <cellStyle name="Comma 3 11 9 2 3" xfId="24811" xr:uid="{50E96A22-9B76-4F9F-A2A5-AD0E69F5AB29}"/>
    <cellStyle name="Comma 3 11 9 3" xfId="12499" xr:uid="{6A394239-08DC-4D71-A2E2-B3EA587D492B}"/>
    <cellStyle name="Comma 3 11 9 3 2" xfId="28703" xr:uid="{D59D5652-6791-41AB-8CDE-2B990C65AB13}"/>
    <cellStyle name="Comma 3 11 9 4" xfId="21145" xr:uid="{69F8ED41-648B-4C09-92AE-7AD3CBC74AED}"/>
    <cellStyle name="Comma 3 12" xfId="1759" xr:uid="{57A3F880-E7B9-4F7F-9613-1FA5FD9716E7}"/>
    <cellStyle name="Comma 3 12 10" xfId="5626" xr:uid="{338BB691-07F4-4904-8685-F4E262D6BFC0}"/>
    <cellStyle name="Comma 3 12 10 2" xfId="13141" xr:uid="{E4831192-E24C-4C15-9BB3-DBB1CCD3EE9C}"/>
    <cellStyle name="Comma 3 12 10 2 2" xfId="29345" xr:uid="{18F421CB-3427-48BA-BCA7-9E8D4DA8EA6A}"/>
    <cellStyle name="Comma 3 12 10 3" xfId="21830" xr:uid="{65561BED-159B-47DA-A850-041846FD6A02}"/>
    <cellStyle name="Comma 3 12 11" xfId="9554" xr:uid="{6D3BAE3E-0C94-4CA3-BDB7-6A4F205FCB3C}"/>
    <cellStyle name="Comma 3 12 11 2" xfId="25758" xr:uid="{0D4E9D1A-0073-48F6-A889-5133895C7FED}"/>
    <cellStyle name="Comma 3 12 12" xfId="16935" xr:uid="{4FB6C8D2-98EC-4E65-B0D0-BB00B811C16F}"/>
    <cellStyle name="Comma 3 12 12 2" xfId="33067" xr:uid="{AB45B329-AA7C-47E7-97C9-1C19BD83BD10}"/>
    <cellStyle name="Comma 3 12 13" xfId="18077" xr:uid="{D6F436E6-BB26-406F-9D75-A603DDDDF690}"/>
    <cellStyle name="Comma 3 12 2" xfId="1898" xr:uid="{48E5FECE-60C7-4849-815B-27CC6732AA98}"/>
    <cellStyle name="Comma 3 12 2 10" xfId="9678" xr:uid="{ADA59799-2293-4B20-9C96-F0280ECF0A73}"/>
    <cellStyle name="Comma 3 12 2 10 2" xfId="25882" xr:uid="{ED5D980B-1F4C-49D2-8850-A355CD2E2D40}"/>
    <cellStyle name="Comma 3 12 2 11" xfId="16936" xr:uid="{E7AF8F0A-5038-4EE2-9725-953470342EAA}"/>
    <cellStyle name="Comma 3 12 2 11 2" xfId="33068" xr:uid="{870457E0-8844-49EA-9F13-63BC22EA5B49}"/>
    <cellStyle name="Comma 3 12 2 12" xfId="18202" xr:uid="{57CC9012-B4E6-4C57-BA25-C6CD3A4F08F4}"/>
    <cellStyle name="Comma 3 12 2 2" xfId="2405" xr:uid="{FBA960D6-FE4D-4BDF-8A47-B85F708FF53F}"/>
    <cellStyle name="Comma 3 12 2 2 2" xfId="3252" xr:uid="{F790DAC3-AE8C-497A-BD32-9E1B062EA155}"/>
    <cellStyle name="Comma 3 12 2 2 2 2" xfId="7034" xr:uid="{AD7E7B75-AEA7-438B-AE52-0E7FEBD63C4B}"/>
    <cellStyle name="Comma 3 12 2 2 2 2 2" xfId="14545" xr:uid="{3A9B4FAF-FDF2-4EAC-887B-43F474DE5A7D}"/>
    <cellStyle name="Comma 3 12 2 2 2 2 2 2" xfId="30749" xr:uid="{9BAEC4A4-A796-4AE0-B53C-19BFD37588EA}"/>
    <cellStyle name="Comma 3 12 2 2 2 2 3" xfId="23238" xr:uid="{8B66D5AB-1444-4C0F-9D1D-B62B23A6CEA8}"/>
    <cellStyle name="Comma 3 12 2 2 2 3" xfId="9284" xr:uid="{795E1208-7F9F-4C15-AB2D-BDFC1CB33E24}"/>
    <cellStyle name="Comma 3 12 2 2 2 3 2" xfId="16742" xr:uid="{5FFD3BFF-B35A-445B-8E75-3C68C590B363}"/>
    <cellStyle name="Comma 3 12 2 2 2 3 2 2" xfId="32946" xr:uid="{925300FC-B167-4FAF-9C68-4DBD09840968}"/>
    <cellStyle name="Comma 3 12 2 2 2 3 3" xfId="25488" xr:uid="{7F50160B-5863-4F94-AA25-2F32763AA466}"/>
    <cellStyle name="Comma 3 12 2 2 2 4" xfId="10945" xr:uid="{C5607112-A436-4916-B6E6-7761EC57897F}"/>
    <cellStyle name="Comma 3 12 2 2 2 4 2" xfId="27149" xr:uid="{43A68734-0374-4733-9F08-FB33E162B8FE}"/>
    <cellStyle name="Comma 3 12 2 2 2 5" xfId="16938" xr:uid="{E00A9DF4-43BE-41E8-BD65-1DFD0B2B5BEB}"/>
    <cellStyle name="Comma 3 12 2 2 2 5 2" xfId="33070" xr:uid="{6E44EF05-4579-4152-9C65-26DD432E80E4}"/>
    <cellStyle name="Comma 3 12 2 2 2 6" xfId="19472" xr:uid="{4D29052D-3969-4ADE-9083-AC0B84409DDD}"/>
    <cellStyle name="Comma 3 12 2 2 3" xfId="6189" xr:uid="{10D6D3E4-F3B5-45DB-AC42-EAF173A40EC5}"/>
    <cellStyle name="Comma 3 12 2 2 3 2" xfId="13701" xr:uid="{E4839B06-D012-476E-B170-035AC16FA6CC}"/>
    <cellStyle name="Comma 3 12 2 2 3 2 2" xfId="29905" xr:uid="{1DACC817-98ED-45A3-8596-761A67631AA3}"/>
    <cellStyle name="Comma 3 12 2 2 3 3" xfId="22393" xr:uid="{E2070218-8A8F-45BD-93E8-0B0566874B79}"/>
    <cellStyle name="Comma 3 12 2 2 4" xfId="9001" xr:uid="{5CF42048-39C3-4780-8977-5B527F5AA98D}"/>
    <cellStyle name="Comma 3 12 2 2 4 2" xfId="16494" xr:uid="{5E13E3AE-6C68-4A6A-AE42-5EF1AE368F3F}"/>
    <cellStyle name="Comma 3 12 2 2 4 2 2" xfId="32698" xr:uid="{BD6410B1-8F78-4865-B088-FA49E1604C3C}"/>
    <cellStyle name="Comma 3 12 2 2 4 3" xfId="25205" xr:uid="{3A3E95FC-8427-4D13-8BD0-BEF1022646FB}"/>
    <cellStyle name="Comma 3 12 2 2 5" xfId="10101" xr:uid="{E88BB50C-39E1-4116-B4BA-85F539C1E27D}"/>
    <cellStyle name="Comma 3 12 2 2 5 2" xfId="26305" xr:uid="{2DF0015B-5629-43B1-9253-4D01A0478254}"/>
    <cellStyle name="Comma 3 12 2 2 6" xfId="16937" xr:uid="{14DE7848-55D5-4965-8656-6B809DA1A84D}"/>
    <cellStyle name="Comma 3 12 2 2 6 2" xfId="33069" xr:uid="{BEBAFE38-367A-49A0-B572-12D0E665AD1F}"/>
    <cellStyle name="Comma 3 12 2 2 7" xfId="18627" xr:uid="{A212DC32-BC38-45AA-B774-0B6E3EE37C60}"/>
    <cellStyle name="Comma 3 12 2 3" xfId="2827" xr:uid="{7EA89784-A899-40E4-81BE-4E13127A94B6}"/>
    <cellStyle name="Comma 3 12 2 3 2" xfId="6611" xr:uid="{14CA24F1-D64A-4BEB-A23D-244DB17714B3}"/>
    <cellStyle name="Comma 3 12 2 3 2 2" xfId="14123" xr:uid="{14D87055-4EEE-45CF-9267-665EC139993F}"/>
    <cellStyle name="Comma 3 12 2 3 2 2 2" xfId="30327" xr:uid="{E927DD01-7B7C-486A-9DEB-08AA09D52B33}"/>
    <cellStyle name="Comma 3 12 2 3 2 3" xfId="22815" xr:uid="{A4BAFCD3-F1CF-4812-8EE7-645CA1A2FFCF}"/>
    <cellStyle name="Comma 3 12 2 3 3" xfId="9107" xr:uid="{607F8979-81F2-4E2A-91DA-C17C642380EB}"/>
    <cellStyle name="Comma 3 12 2 3 3 2" xfId="16585" xr:uid="{EE0A3C05-0BED-43C5-855B-7F00CE226D01}"/>
    <cellStyle name="Comma 3 12 2 3 3 2 2" xfId="32789" xr:uid="{57506AE5-7DD0-4F59-87CB-413DB4E2A420}"/>
    <cellStyle name="Comma 3 12 2 3 3 3" xfId="25311" xr:uid="{C3576E96-FB3B-4D81-85CA-88C64D62DD3B}"/>
    <cellStyle name="Comma 3 12 2 3 4" xfId="10523" xr:uid="{B2BCF5D2-81D7-44F1-9669-33CD613679E6}"/>
    <cellStyle name="Comma 3 12 2 3 4 2" xfId="26727" xr:uid="{AC9D3AED-9677-4182-956D-F152A9C8539C}"/>
    <cellStyle name="Comma 3 12 2 3 5" xfId="16939" xr:uid="{2AABDD55-85E1-4344-9110-64FAB0D5E417}"/>
    <cellStyle name="Comma 3 12 2 3 5 2" xfId="33071" xr:uid="{C49F89DA-28DB-476E-85F9-97DF1EFFB6FD}"/>
    <cellStyle name="Comma 3 12 2 3 6" xfId="19049" xr:uid="{C3EE66B4-F7FC-4FC2-8DA9-928EDC433166}"/>
    <cellStyle name="Comma 3 12 2 4" xfId="3758" xr:uid="{61B7614D-F753-4327-B760-1DD6B6CF46B0}"/>
    <cellStyle name="Comma 3 12 2 4 2" xfId="7468" xr:uid="{A08904CF-EB4A-4326-9387-3ABD92B9795B}"/>
    <cellStyle name="Comma 3 12 2 4 2 2" xfId="14977" xr:uid="{7069C82A-A028-4F9B-A7E8-243F0B8B7DED}"/>
    <cellStyle name="Comma 3 12 2 4 2 2 2" xfId="31181" xr:uid="{CD3F11BF-F3FB-4B23-BDEB-AA1E5FB86CF1}"/>
    <cellStyle name="Comma 3 12 2 4 2 3" xfId="23672" xr:uid="{F5CBA55C-A00E-4A27-A10F-3337B089DC30}"/>
    <cellStyle name="Comma 3 12 2 4 3" xfId="9305" xr:uid="{7F35E4C1-85D3-4DB6-8A6A-61309B97E4EF}"/>
    <cellStyle name="Comma 3 12 2 4 3 2" xfId="16758" xr:uid="{C52F1C09-C2F3-4C68-BEEE-0DAC94F05850}"/>
    <cellStyle name="Comma 3 12 2 4 3 2 2" xfId="32962" xr:uid="{B876BCAF-292B-4641-A77B-B60888F0EADF}"/>
    <cellStyle name="Comma 3 12 2 4 3 3" xfId="25509" xr:uid="{22E85D7E-6F6E-4464-AAC6-ECD9E02BA9F8}"/>
    <cellStyle name="Comma 3 12 2 4 4" xfId="11368" xr:uid="{29D27F62-EF65-48AF-BC88-FECCE8EFB30B}"/>
    <cellStyle name="Comma 3 12 2 4 4 2" xfId="27572" xr:uid="{74DDEDED-66CC-47C9-8E99-76D5F7A6A7CA}"/>
    <cellStyle name="Comma 3 12 2 4 5" xfId="16940" xr:uid="{8F84DF4D-0401-481B-B59D-71C3A56C3E32}"/>
    <cellStyle name="Comma 3 12 2 4 5 2" xfId="33072" xr:uid="{B1E3E14D-1793-4E4E-A530-35CCE4399E83}"/>
    <cellStyle name="Comma 3 12 2 4 6" xfId="19967" xr:uid="{8E43108E-720F-4645-935A-F00D30AB9F49}"/>
    <cellStyle name="Comma 3 12 2 5" xfId="3597" xr:uid="{DB510A92-2E5E-42AE-96D3-14E98C875019}"/>
    <cellStyle name="Comma 3 12 2 5 2" xfId="9273" xr:uid="{E4FCD187-4D07-4BC0-B898-7944EE0A1DB3}"/>
    <cellStyle name="Comma 3 12 2 5 2 2" xfId="25477" xr:uid="{6379EDCB-F44D-4140-BDED-38C16A3DBE9F}"/>
    <cellStyle name="Comma 3 12 2 5 3" xfId="16941" xr:uid="{9BEFF328-6643-41A7-BE7D-0DF8428754CE}"/>
    <cellStyle name="Comma 3 12 2 5 3 2" xfId="33073" xr:uid="{9A51E531-9843-4409-9C25-6C35AFED32B8}"/>
    <cellStyle name="Comma 3 12 2 5 4" xfId="19807" xr:uid="{72D96322-3BC0-4A9B-A115-9AA6A9AE414D}"/>
    <cellStyle name="Comma 3 12 2 6" xfId="4227" xr:uid="{CA913011-8B4D-440E-8C61-D84D061F30C6}"/>
    <cellStyle name="Comma 3 12 2 6 2" xfId="7897" xr:uid="{BDABA38E-019B-4F66-B38B-87E1E976B279}"/>
    <cellStyle name="Comma 3 12 2 6 2 2" xfId="15404" xr:uid="{1734CA69-5EE6-408B-8295-F851A3E5CA34}"/>
    <cellStyle name="Comma 3 12 2 6 2 2 2" xfId="31608" xr:uid="{E99A9635-096C-4C8C-BAFE-AECD18F56D37}"/>
    <cellStyle name="Comma 3 12 2 6 2 3" xfId="24101" xr:uid="{3F7D9533-8D01-447E-8059-FE5DCE0D7ED5}"/>
    <cellStyle name="Comma 3 12 2 6 3" xfId="8948" xr:uid="{6515DBA5-CE3C-4306-A752-3AFC9ABA7034}"/>
    <cellStyle name="Comma 3 12 2 6 3 2" xfId="16444" xr:uid="{466BC072-B0B6-49B5-85D3-C344E7A885BF}"/>
    <cellStyle name="Comma 3 12 2 6 3 2 2" xfId="32648" xr:uid="{F94CE066-5DA8-4B6A-B505-92B5081A3B7D}"/>
    <cellStyle name="Comma 3 12 2 6 3 3" xfId="25152" xr:uid="{E5C2B210-EA95-480F-A948-5BFB725CCD71}"/>
    <cellStyle name="Comma 3 12 2 6 4" xfId="11790" xr:uid="{787E2A93-FBA8-40DB-867D-CAF9082DF97C}"/>
    <cellStyle name="Comma 3 12 2 6 4 2" xfId="27994" xr:uid="{DBE3852A-56E4-4E71-A827-743DEA577E62}"/>
    <cellStyle name="Comma 3 12 2 6 5" xfId="16942" xr:uid="{7C9262E1-16C9-4BEF-9DA5-53EA617472C4}"/>
    <cellStyle name="Comma 3 12 2 6 5 2" xfId="33074" xr:uid="{149CE8B8-0F12-4582-B397-214941D39B77}"/>
    <cellStyle name="Comma 3 12 2 6 6" xfId="20431" xr:uid="{2369FD86-C784-4B6B-839F-9B602CAF3E1A}"/>
    <cellStyle name="Comma 3 12 2 7" xfId="4652" xr:uid="{9FC6A00A-7A09-4F2D-AC28-611FCAA7A020}"/>
    <cellStyle name="Comma 3 12 2 7 2" xfId="8322" xr:uid="{94B4666F-AB99-44F5-BD28-63366C90DF47}"/>
    <cellStyle name="Comma 3 12 2 7 2 2" xfId="15829" xr:uid="{417A63E6-A0D9-4EDF-922F-896B9C8F2355}"/>
    <cellStyle name="Comma 3 12 2 7 2 2 2" xfId="32033" xr:uid="{38958836-7B96-4E20-8BBC-542AC4E919B5}"/>
    <cellStyle name="Comma 3 12 2 7 2 3" xfId="24526" xr:uid="{6B07F3DD-4995-4DD5-83A2-F5630D9FA7EB}"/>
    <cellStyle name="Comma 3 12 2 7 3" xfId="9272" xr:uid="{590CDC57-97B2-40B8-81D6-0F4FA21B5F2C}"/>
    <cellStyle name="Comma 3 12 2 7 3 2" xfId="16732" xr:uid="{DCF126F1-7F54-42DC-831E-91AFBCD28028}"/>
    <cellStyle name="Comma 3 12 2 7 3 2 2" xfId="32936" xr:uid="{45446EA3-5198-4459-8AF3-A1885C03A7A8}"/>
    <cellStyle name="Comma 3 12 2 7 3 3" xfId="25476" xr:uid="{B5679F8C-038C-4077-B78B-3D70C35567AD}"/>
    <cellStyle name="Comma 3 12 2 7 4" xfId="12215" xr:uid="{EF5F3CC2-9F9E-41CE-AD02-8703C1F41E23}"/>
    <cellStyle name="Comma 3 12 2 7 4 2" xfId="28419" xr:uid="{5E1EE48D-3935-48A9-BF02-EAD2F329E6C6}"/>
    <cellStyle name="Comma 3 12 2 7 5" xfId="16943" xr:uid="{6F77E56D-45FC-4F8A-9EAD-746A780E1E52}"/>
    <cellStyle name="Comma 3 12 2 7 5 2" xfId="33075" xr:uid="{9070FCD6-A605-4E05-94BC-947C677B81D6}"/>
    <cellStyle name="Comma 3 12 2 7 6" xfId="20856" xr:uid="{7B026DE8-3B9B-433B-810C-791CCFD4E638}"/>
    <cellStyle name="Comma 3 12 2 8" xfId="5080" xr:uid="{C93A05B4-81F5-45FA-B4FD-E29F94BEF45C}"/>
    <cellStyle name="Comma 3 12 2 8 2" xfId="8745" xr:uid="{7761ED34-29D5-4136-A23A-6E75EC6EBBD7}"/>
    <cellStyle name="Comma 3 12 2 8 2 2" xfId="16252" xr:uid="{71F47473-B9BC-4017-A9AE-72F60AB7A807}"/>
    <cellStyle name="Comma 3 12 2 8 2 2 2" xfId="32456" xr:uid="{17C71125-C77D-47DB-B498-4A8F8F040430}"/>
    <cellStyle name="Comma 3 12 2 8 2 3" xfId="24949" xr:uid="{84BD04C5-DA25-4203-B0F3-BE424E95C340}"/>
    <cellStyle name="Comma 3 12 2 8 3" xfId="12637" xr:uid="{515551FC-9D2C-47D8-BAFA-21CCF655F631}"/>
    <cellStyle name="Comma 3 12 2 8 3 2" xfId="28841" xr:uid="{F786561E-AEA3-4686-997C-6756DA1DAF8F}"/>
    <cellStyle name="Comma 3 12 2 8 4" xfId="21284" xr:uid="{4900C9B0-9979-4AC9-BF82-22E74294BEE5}"/>
    <cellStyle name="Comma 3 12 2 9" xfId="5751" xr:uid="{32E569AE-CC22-4BF4-A95C-D66C5D608845}"/>
    <cellStyle name="Comma 3 12 2 9 2" xfId="13266" xr:uid="{AE5AE08D-309D-4F4F-95A0-3CB812E6D9BF}"/>
    <cellStyle name="Comma 3 12 2 9 2 2" xfId="29470" xr:uid="{A59DEE8F-E14A-424E-AAF0-AC64DFBDA953}"/>
    <cellStyle name="Comma 3 12 2 9 3" xfId="21955" xr:uid="{C8A0B311-E62D-40AF-9D9D-090374004B9F}"/>
    <cellStyle name="Comma 3 12 3" xfId="2278" xr:uid="{84A7D5EA-7C91-473A-BCB5-975829AA1A04}"/>
    <cellStyle name="Comma 3 12 3 2" xfId="3128" xr:uid="{F58568B5-D37A-485A-AC71-96115F179548}"/>
    <cellStyle name="Comma 3 12 3 2 2" xfId="6910" xr:uid="{1381328C-E8A2-43E9-8EB2-8F92EE0392F0}"/>
    <cellStyle name="Comma 3 12 3 2 2 2" xfId="14421" xr:uid="{1917796B-8992-4DC8-9529-8F86D0084B98}"/>
    <cellStyle name="Comma 3 12 3 2 2 2 2" xfId="30625" xr:uid="{6057D8D7-E2B3-4BAB-BE5C-0CBD3E5B9B20}"/>
    <cellStyle name="Comma 3 12 3 2 2 3" xfId="23114" xr:uid="{0827DBC1-241A-4881-9B3F-E255492E3B22}"/>
    <cellStyle name="Comma 3 12 3 2 3" xfId="8966" xr:uid="{AB1C72C1-3C4F-44CE-A386-558193E0BB87}"/>
    <cellStyle name="Comma 3 12 3 2 3 2" xfId="16460" xr:uid="{3B5AD4A6-11FE-4487-8F90-13C7347E32E1}"/>
    <cellStyle name="Comma 3 12 3 2 3 2 2" xfId="32664" xr:uid="{E8FE42C1-E651-445D-ACA0-64B3963ED11D}"/>
    <cellStyle name="Comma 3 12 3 2 3 3" xfId="25170" xr:uid="{8DEB6176-536E-48C2-A4BE-45A3305CA4B7}"/>
    <cellStyle name="Comma 3 12 3 2 4" xfId="10821" xr:uid="{42191ADB-7A2B-4F95-B647-062B72EFA286}"/>
    <cellStyle name="Comma 3 12 3 2 4 2" xfId="27025" xr:uid="{93E5EC33-0D06-42B5-A0E1-BEBFE3EE28EC}"/>
    <cellStyle name="Comma 3 12 3 2 5" xfId="16945" xr:uid="{794905BB-AA18-4623-ADBB-955609A3DC6B}"/>
    <cellStyle name="Comma 3 12 3 2 5 2" xfId="33077" xr:uid="{F859EEDA-DF07-449B-86FF-74FE519CBED3}"/>
    <cellStyle name="Comma 3 12 3 2 6" xfId="19348" xr:uid="{EB0EA101-A122-4EB5-8D73-764FFAE0E541}"/>
    <cellStyle name="Comma 3 12 3 3" xfId="6065" xr:uid="{D6A9CA66-0BDB-4F55-832B-8747C25388F5}"/>
    <cellStyle name="Comma 3 12 3 3 2" xfId="13577" xr:uid="{F52A211F-9DC7-45DF-9E81-55EB0A83A321}"/>
    <cellStyle name="Comma 3 12 3 3 2 2" xfId="29781" xr:uid="{1FB208FA-94DF-40D0-A09F-410DEA552F85}"/>
    <cellStyle name="Comma 3 12 3 3 3" xfId="22269" xr:uid="{E017A48D-3A49-44DA-A306-F6068213E9A2}"/>
    <cellStyle name="Comma 3 12 3 4" xfId="9161" xr:uid="{6F751EAF-C139-4762-94D7-E930085D6D6D}"/>
    <cellStyle name="Comma 3 12 3 4 2" xfId="16636" xr:uid="{B0A607D1-5095-4389-985B-1ABE4F76059D}"/>
    <cellStyle name="Comma 3 12 3 4 2 2" xfId="32840" xr:uid="{FD634D3E-B78D-4B8F-99C7-D631204D6448}"/>
    <cellStyle name="Comma 3 12 3 4 3" xfId="25365" xr:uid="{7636C955-A8E6-4D86-B621-0C91C0D973E7}"/>
    <cellStyle name="Comma 3 12 3 5" xfId="9977" xr:uid="{DD4047A4-4C72-4768-946C-0E550110181C}"/>
    <cellStyle name="Comma 3 12 3 5 2" xfId="26181" xr:uid="{09B4AC8E-88B8-45CB-8301-A1478E423F77}"/>
    <cellStyle name="Comma 3 12 3 6" xfId="16944" xr:uid="{4FE56956-0108-4464-BD97-BC0BBB760626}"/>
    <cellStyle name="Comma 3 12 3 6 2" xfId="33076" xr:uid="{0E0B182D-718E-42F4-8D70-C29C0C725989}"/>
    <cellStyle name="Comma 3 12 3 7" xfId="18503" xr:uid="{E4BCE3F8-CEF6-4785-899C-ED6E558CF750}"/>
    <cellStyle name="Comma 3 12 4" xfId="2703" xr:uid="{AECBB9EB-DAEA-4C3A-A324-E40E527D6929}"/>
    <cellStyle name="Comma 3 12 4 2" xfId="6487" xr:uid="{09C46662-77FD-4364-BC11-D80165136E9E}"/>
    <cellStyle name="Comma 3 12 4 2 2" xfId="13999" xr:uid="{C5B65854-A874-4FB5-A1C6-71B68B268F27}"/>
    <cellStyle name="Comma 3 12 4 2 2 2" xfId="30203" xr:uid="{895A8203-E45B-4FD6-92E5-E593AF8E778C}"/>
    <cellStyle name="Comma 3 12 4 2 3" xfId="22691" xr:uid="{A90B6DA7-F4D4-472B-881E-1CEA8F5E711A}"/>
    <cellStyle name="Comma 3 12 4 3" xfId="9279" xr:uid="{8339AEC5-20A9-42E8-B5DC-1D6AE953DD97}"/>
    <cellStyle name="Comma 3 12 4 3 2" xfId="16738" xr:uid="{788CBA31-5623-40F3-8BDC-83AA8D0CDBD8}"/>
    <cellStyle name="Comma 3 12 4 3 2 2" xfId="32942" xr:uid="{9310FD35-23DF-4BE8-8E5A-2570D809D7A7}"/>
    <cellStyle name="Comma 3 12 4 3 3" xfId="25483" xr:uid="{AA7B94FB-F098-4080-9FE7-840210BC4E6A}"/>
    <cellStyle name="Comma 3 12 4 4" xfId="10399" xr:uid="{94F95D29-0247-4246-A0B5-26178A815F55}"/>
    <cellStyle name="Comma 3 12 4 4 2" xfId="26603" xr:uid="{3018DA17-509D-4854-B624-D0F722A5A207}"/>
    <cellStyle name="Comma 3 12 4 5" xfId="16946" xr:uid="{54FBD59E-2EF9-4D91-906C-C8F7B6364220}"/>
    <cellStyle name="Comma 3 12 4 5 2" xfId="33078" xr:uid="{340A7C0F-697B-471D-8340-EF6977BD61EF}"/>
    <cellStyle name="Comma 3 12 4 6" xfId="18925" xr:uid="{471ADFC0-0F9B-49EB-8547-2DF0723E3273}"/>
    <cellStyle name="Comma 3 12 5" xfId="3633" xr:uid="{82C3B877-5474-43E9-9781-28F8B74109EF}"/>
    <cellStyle name="Comma 3 12 5 2" xfId="7343" xr:uid="{6A99F406-1CAF-4C3A-B1B3-457443156066}"/>
    <cellStyle name="Comma 3 12 5 2 2" xfId="14852" xr:uid="{E67EBB24-441A-43DF-84BC-979FF56017F2}"/>
    <cellStyle name="Comma 3 12 5 2 2 2" xfId="31056" xr:uid="{F5E45B97-2D12-47EC-9468-04B6BE308094}"/>
    <cellStyle name="Comma 3 12 5 2 3" xfId="23547" xr:uid="{333DB178-5B6C-40C8-8ADF-41DCB4B2C1F9}"/>
    <cellStyle name="Comma 3 12 5 3" xfId="9094" xr:uid="{42D48BEE-5DF1-4163-909D-43719DCA9385}"/>
    <cellStyle name="Comma 3 12 5 3 2" xfId="16574" xr:uid="{3B9F3146-FF6D-4310-A512-D96E0ED1088B}"/>
    <cellStyle name="Comma 3 12 5 3 2 2" xfId="32778" xr:uid="{5718F6B9-976B-419E-84F0-832B0B0DB943}"/>
    <cellStyle name="Comma 3 12 5 3 3" xfId="25298" xr:uid="{CF74E3BA-79C8-4892-A961-9C869DD25327}"/>
    <cellStyle name="Comma 3 12 5 4" xfId="11244" xr:uid="{5BE8B05A-FE3F-48F6-A24C-1166A102B8AF}"/>
    <cellStyle name="Comma 3 12 5 4 2" xfId="27448" xr:uid="{7AD839D3-4F04-46D5-A34B-BC5F9B4AAE6B}"/>
    <cellStyle name="Comma 3 12 5 5" xfId="16947" xr:uid="{958F9B36-F848-4761-A691-5EB67A9AB650}"/>
    <cellStyle name="Comma 3 12 5 5 2" xfId="33079" xr:uid="{FA67EDAB-C432-4802-B023-C8B50B1B8886}"/>
    <cellStyle name="Comma 3 12 5 6" xfId="19842" xr:uid="{22946DC2-35BC-4387-B012-9734AAC7B011}"/>
    <cellStyle name="Comma 3 12 6" xfId="3921" xr:uid="{8FF6F693-8E57-43A6-9371-0CB2E3265E64}"/>
    <cellStyle name="Comma 3 12 6 2" xfId="9315" xr:uid="{B6C5AFA1-0878-436A-811A-259096663919}"/>
    <cellStyle name="Comma 3 12 6 2 2" xfId="25519" xr:uid="{AB21EEA0-9009-4035-8F06-8C6316C7CA81}"/>
    <cellStyle name="Comma 3 12 6 3" xfId="16948" xr:uid="{DBC3F7DE-CC3D-4D76-B0E6-F97C2C4EED6A}"/>
    <cellStyle name="Comma 3 12 6 3 2" xfId="33080" xr:uid="{94C0AA1B-A368-4147-9847-5B21A9CAECF4}"/>
    <cellStyle name="Comma 3 12 6 4" xfId="20127" xr:uid="{E6906C82-88EB-49E7-AECF-F5AE6C1CEB61}"/>
    <cellStyle name="Comma 3 12 7" xfId="4103" xr:uid="{9C08EDCB-7FF2-40CD-B408-4205DF016CC9}"/>
    <cellStyle name="Comma 3 12 7 2" xfId="7773" xr:uid="{9F47EFD7-7BD8-466F-9D8E-CF2B8037B124}"/>
    <cellStyle name="Comma 3 12 7 2 2" xfId="15280" xr:uid="{AEE5B737-BAAA-4759-A706-6A78F9D0E38E}"/>
    <cellStyle name="Comma 3 12 7 2 2 2" xfId="31484" xr:uid="{3575D16B-15A9-4EBB-A076-2335052CE79B}"/>
    <cellStyle name="Comma 3 12 7 2 3" xfId="23977" xr:uid="{D3A51FEB-0EDD-4AD0-8D0C-7241767E8079}"/>
    <cellStyle name="Comma 3 12 7 3" xfId="9239" xr:uid="{F5B860CD-C7F3-4245-A989-2DA87C12C918}"/>
    <cellStyle name="Comma 3 12 7 3 2" xfId="16702" xr:uid="{22C7E30C-553B-493B-BDBB-425F81FBAFF2}"/>
    <cellStyle name="Comma 3 12 7 3 2 2" xfId="32906" xr:uid="{C119FABD-C756-4610-B969-6FF29DC85EA4}"/>
    <cellStyle name="Comma 3 12 7 3 3" xfId="25443" xr:uid="{641588CF-84A5-4F4A-B9FC-228F8D3882DF}"/>
    <cellStyle name="Comma 3 12 7 4" xfId="11666" xr:uid="{4447012D-8057-49FC-BD51-BB169F077552}"/>
    <cellStyle name="Comma 3 12 7 4 2" xfId="27870" xr:uid="{07DAFF4D-3BEF-4EA9-A9CD-6EB99D66361C}"/>
    <cellStyle name="Comma 3 12 7 5" xfId="16949" xr:uid="{C2548B83-203A-4066-B249-C9E569D37FB8}"/>
    <cellStyle name="Comma 3 12 7 5 2" xfId="33081" xr:uid="{F8241E77-7B8E-489F-9E54-AA05D302D58A}"/>
    <cellStyle name="Comma 3 12 7 6" xfId="20307" xr:uid="{C9A19CB5-2742-4FEC-AD44-80EC98E34025}"/>
    <cellStyle name="Comma 3 12 8" xfId="4528" xr:uid="{EA824291-1126-40C8-B2DB-8703D8F764FF}"/>
    <cellStyle name="Comma 3 12 8 2" xfId="8198" xr:uid="{F63C8FE9-1053-4CED-9775-D10BB9DD64A9}"/>
    <cellStyle name="Comma 3 12 8 2 2" xfId="15705" xr:uid="{E046C277-22DC-41D3-8A81-0286E105188F}"/>
    <cellStyle name="Comma 3 12 8 2 2 2" xfId="31909" xr:uid="{7DF241FA-FB57-4841-A73E-C6EA2D088127}"/>
    <cellStyle name="Comma 3 12 8 2 3" xfId="24402" xr:uid="{9B7779F8-1273-4C1D-8D0C-3C5E07C86F26}"/>
    <cellStyle name="Comma 3 12 8 3" xfId="5211" xr:uid="{79C435AF-7EF9-4DCA-B5C3-CB608E771FC7}"/>
    <cellStyle name="Comma 3 12 8 3 2" xfId="12767" xr:uid="{7790641A-9FE8-4780-81BA-6AAA1B0A3775}"/>
    <cellStyle name="Comma 3 12 8 3 2 2" xfId="28971" xr:uid="{3C98880B-D3D3-4BF1-A3B9-8CD9FAA09B07}"/>
    <cellStyle name="Comma 3 12 8 3 3" xfId="21415" xr:uid="{4ED70E69-3E25-4350-809E-0DA07EF9B161}"/>
    <cellStyle name="Comma 3 12 8 4" xfId="12091" xr:uid="{AEB5351E-FAE6-4863-855C-0479413E4E02}"/>
    <cellStyle name="Comma 3 12 8 4 2" xfId="28295" xr:uid="{A840CC16-D006-44D0-8C8D-CA0076D826A6}"/>
    <cellStyle name="Comma 3 12 8 5" xfId="16950" xr:uid="{4CEC0A30-18D4-48D5-8197-A336E8FB1443}"/>
    <cellStyle name="Comma 3 12 8 5 2" xfId="33082" xr:uid="{3FB2D243-5DE9-4343-92AC-7EE2EE0067E8}"/>
    <cellStyle name="Comma 3 12 8 6" xfId="20732" xr:uid="{E9B217FD-FEFE-463A-9589-627F7D7312AB}"/>
    <cellStyle name="Comma 3 12 9" xfId="4955" xr:uid="{E6199BC2-192C-4E18-BE7E-97699BA60FA8}"/>
    <cellStyle name="Comma 3 12 9 2" xfId="8621" xr:uid="{45411E20-0980-428D-A1B2-C063A05B14A5}"/>
    <cellStyle name="Comma 3 12 9 2 2" xfId="16128" xr:uid="{F926E6CC-2390-43D9-8471-6D9D649CFF19}"/>
    <cellStyle name="Comma 3 12 9 2 2 2" xfId="32332" xr:uid="{F3352D4E-E1D5-479B-99D5-C041AE850347}"/>
    <cellStyle name="Comma 3 12 9 2 3" xfId="24825" xr:uid="{BE832AED-0825-4DD9-84DD-99EEA071A766}"/>
    <cellStyle name="Comma 3 12 9 3" xfId="12513" xr:uid="{28480D41-EE7C-4A29-8583-315B7B75DBF5}"/>
    <cellStyle name="Comma 3 12 9 3 2" xfId="28717" xr:uid="{1D073418-EDCB-42EC-9294-9AFADD41AA0B}"/>
    <cellStyle name="Comma 3 12 9 4" xfId="21159" xr:uid="{70C5B38A-AF38-4FB1-A3BC-A4C763F07DB2}"/>
    <cellStyle name="Comma 3 13" xfId="1777" xr:uid="{C77A50E3-68E5-404A-AE7A-C174B5A2BEF2}"/>
    <cellStyle name="Comma 3 13 10" xfId="5640" xr:uid="{D3593D2F-A1F7-469C-9124-A7E3B815131D}"/>
    <cellStyle name="Comma 3 13 10 2" xfId="13155" xr:uid="{3F1595C5-658C-451E-B2B1-4AE8FFEFA9FE}"/>
    <cellStyle name="Comma 3 13 10 2 2" xfId="29359" xr:uid="{04DFC709-E524-4E12-B524-F72402367D7C}"/>
    <cellStyle name="Comma 3 13 10 3" xfId="21844" xr:uid="{5F7DCCC6-4CCE-43D3-B311-D12D1F9F4916}"/>
    <cellStyle name="Comma 3 13 11" xfId="9568" xr:uid="{710966AD-BAE6-41A3-A83A-4E8A960D6680}"/>
    <cellStyle name="Comma 3 13 11 2" xfId="25772" xr:uid="{98F62DFA-830F-4EFB-8076-E19471820109}"/>
    <cellStyle name="Comma 3 13 12" xfId="16951" xr:uid="{32A82266-36EC-4F24-8465-6FAE7290CFDC}"/>
    <cellStyle name="Comma 3 13 12 2" xfId="33083" xr:uid="{7F56B466-4500-4A6A-B8BA-F62F7ABFE60D}"/>
    <cellStyle name="Comma 3 13 13" xfId="18091" xr:uid="{3BB901ED-BC71-42F2-81F5-6C1EBD24049A}"/>
    <cellStyle name="Comma 3 13 2" xfId="1899" xr:uid="{AE5E8695-A754-4648-84EC-EF4B744E42DD}"/>
    <cellStyle name="Comma 3 13 2 10" xfId="9679" xr:uid="{FC795C60-EBD4-4CFE-9378-42DBD916A4C8}"/>
    <cellStyle name="Comma 3 13 2 10 2" xfId="25883" xr:uid="{2EF5AEEF-4974-41DF-A54B-5B6ACB8F4E15}"/>
    <cellStyle name="Comma 3 13 2 11" xfId="16952" xr:uid="{C2197B5A-2899-4848-B0F6-05D9DADE5D94}"/>
    <cellStyle name="Comma 3 13 2 11 2" xfId="33084" xr:uid="{03D21C4F-4F8F-4208-AD87-1DA6C0769172}"/>
    <cellStyle name="Comma 3 13 2 12" xfId="18203" xr:uid="{3FF6818A-9AF6-4F7E-8F42-CC79E75AE315}"/>
    <cellStyle name="Comma 3 13 2 2" xfId="2406" xr:uid="{2A404C1E-C2D8-4985-B842-068B201FAB23}"/>
    <cellStyle name="Comma 3 13 2 2 2" xfId="3253" xr:uid="{9A53D182-B7D0-47AB-8523-4AF29D09E979}"/>
    <cellStyle name="Comma 3 13 2 2 2 2" xfId="7035" xr:uid="{EBBFD272-5E9A-479C-9D8E-4904361BB78F}"/>
    <cellStyle name="Comma 3 13 2 2 2 2 2" xfId="14546" xr:uid="{D4DAC961-E5B4-4A5C-AB5F-FBBAE5A6FB11}"/>
    <cellStyle name="Comma 3 13 2 2 2 2 2 2" xfId="30750" xr:uid="{E0638C0E-DB23-416B-BCC2-F8C4EAFA7532}"/>
    <cellStyle name="Comma 3 13 2 2 2 2 3" xfId="23239" xr:uid="{36C3C425-ACC3-4721-8510-BB37F3242AA2}"/>
    <cellStyle name="Comma 3 13 2 2 2 3" xfId="9232" xr:uid="{910A42F5-3CCC-4210-9B8A-C764745FFCFD}"/>
    <cellStyle name="Comma 3 13 2 2 2 3 2" xfId="16696" xr:uid="{F6429E8A-E42F-4064-A2B1-8817274C2C72}"/>
    <cellStyle name="Comma 3 13 2 2 2 3 2 2" xfId="32900" xr:uid="{D9776231-B174-4FCD-BC6C-48939DF12AC3}"/>
    <cellStyle name="Comma 3 13 2 2 2 3 3" xfId="25436" xr:uid="{D90B1A44-4D64-4598-8F01-C1C6407EDD79}"/>
    <cellStyle name="Comma 3 13 2 2 2 4" xfId="10946" xr:uid="{C850535C-BEEC-46A9-AE26-D15372E03505}"/>
    <cellStyle name="Comma 3 13 2 2 2 4 2" xfId="27150" xr:uid="{3CCD7CC3-31B9-425E-8FF8-8C26E257B929}"/>
    <cellStyle name="Comma 3 13 2 2 2 5" xfId="16954" xr:uid="{C5094400-400B-4178-8CEB-98EA6A8B914D}"/>
    <cellStyle name="Comma 3 13 2 2 2 5 2" xfId="33086" xr:uid="{86B09DA9-13E1-4AA3-BF9A-06B8FCD58B9E}"/>
    <cellStyle name="Comma 3 13 2 2 2 6" xfId="19473" xr:uid="{4FA9931F-DFDA-4627-BCD1-17B3D6D4742E}"/>
    <cellStyle name="Comma 3 13 2 2 3" xfId="6190" xr:uid="{B5849E83-C590-4377-AF66-B42896232AC4}"/>
    <cellStyle name="Comma 3 13 2 2 3 2" xfId="13702" xr:uid="{B2815DA1-2E28-497B-9E92-87A76E3EE312}"/>
    <cellStyle name="Comma 3 13 2 2 3 2 2" xfId="29906" xr:uid="{815A3316-24CF-4500-B72F-3BEF638F3671}"/>
    <cellStyle name="Comma 3 13 2 2 3 3" xfId="22394" xr:uid="{230C98BC-C71D-477E-9A22-45EC6F90CCEB}"/>
    <cellStyle name="Comma 3 13 2 2 4" xfId="9241" xr:uid="{DB965412-4488-43FA-813D-82DEA66E2E85}"/>
    <cellStyle name="Comma 3 13 2 2 4 2" xfId="16703" xr:uid="{4E65763A-3A40-48C4-9E2C-FCAE57DF81B4}"/>
    <cellStyle name="Comma 3 13 2 2 4 2 2" xfId="32907" xr:uid="{FE878A84-B246-4C52-945A-AA79AE35C378}"/>
    <cellStyle name="Comma 3 13 2 2 4 3" xfId="25445" xr:uid="{ECE9DF69-A9F6-4C6A-9CFE-8D211DE4D2D4}"/>
    <cellStyle name="Comma 3 13 2 2 5" xfId="10102" xr:uid="{218FB34A-E4A5-45D7-B842-F134E2A68ABC}"/>
    <cellStyle name="Comma 3 13 2 2 5 2" xfId="26306" xr:uid="{87924E7D-F4FA-406C-A14A-7C04EEFAD897}"/>
    <cellStyle name="Comma 3 13 2 2 6" xfId="16953" xr:uid="{DC2A678B-3305-43B2-B506-08A4C33CB319}"/>
    <cellStyle name="Comma 3 13 2 2 6 2" xfId="33085" xr:uid="{AAE4808F-2F31-433F-A511-047E5048FCB8}"/>
    <cellStyle name="Comma 3 13 2 2 7" xfId="18628" xr:uid="{79BEF2D6-CD92-4CA3-A87B-F4655CEDABE3}"/>
    <cellStyle name="Comma 3 13 2 3" xfId="2828" xr:uid="{41074644-3F19-4054-A401-79FB91A0E427}"/>
    <cellStyle name="Comma 3 13 2 3 2" xfId="6612" xr:uid="{DC4DD1A1-C353-45D1-8218-336E939987C6}"/>
    <cellStyle name="Comma 3 13 2 3 2 2" xfId="14124" xr:uid="{8465121B-CC2D-4E5C-A50B-33372DC6BB7E}"/>
    <cellStyle name="Comma 3 13 2 3 2 2 2" xfId="30328" xr:uid="{08A790AB-FDA5-494B-97A8-56FD37C7FB49}"/>
    <cellStyle name="Comma 3 13 2 3 2 3" xfId="22816" xr:uid="{E047B92C-CD30-4332-A03B-713BC19E9A76}"/>
    <cellStyle name="Comma 3 13 2 3 3" xfId="8956" xr:uid="{ED5D6AAA-A65F-4492-A7A1-CF0600FF3CC9}"/>
    <cellStyle name="Comma 3 13 2 3 3 2" xfId="16451" xr:uid="{BC8D7956-7A71-4E81-9D12-66C9280C94B2}"/>
    <cellStyle name="Comma 3 13 2 3 3 2 2" xfId="32655" xr:uid="{0E0548B5-7435-47BD-B50C-5B6AB427A3C5}"/>
    <cellStyle name="Comma 3 13 2 3 3 3" xfId="25160" xr:uid="{75F814F8-FF3B-4FD7-B780-564409C0FF66}"/>
    <cellStyle name="Comma 3 13 2 3 4" xfId="10524" xr:uid="{D452EFAF-F5C8-4494-8AFE-5766726738F5}"/>
    <cellStyle name="Comma 3 13 2 3 4 2" xfId="26728" xr:uid="{48A2B883-5525-488B-B522-24E7EE500708}"/>
    <cellStyle name="Comma 3 13 2 3 5" xfId="16955" xr:uid="{1DA459BB-AAE8-4964-8D7B-430E9BCAC3BE}"/>
    <cellStyle name="Comma 3 13 2 3 5 2" xfId="33087" xr:uid="{0608A8EF-44F3-45A5-BC04-D569012BAA9B}"/>
    <cellStyle name="Comma 3 13 2 3 6" xfId="19050" xr:uid="{4D2E6742-4F9A-4E27-82B0-1C1CD542232E}"/>
    <cellStyle name="Comma 3 13 2 4" xfId="3759" xr:uid="{2A2F9D6E-8213-4066-9576-E572778CD9F0}"/>
    <cellStyle name="Comma 3 13 2 4 2" xfId="7469" xr:uid="{03D52663-0FE3-49D0-ADCA-3EFA6BE364B0}"/>
    <cellStyle name="Comma 3 13 2 4 2 2" xfId="14978" xr:uid="{41D76B64-DDA4-43C1-972C-9396302F10C6}"/>
    <cellStyle name="Comma 3 13 2 4 2 2 2" xfId="31182" xr:uid="{6FB81F3B-C269-4A05-8040-9F18F25E7C5D}"/>
    <cellStyle name="Comma 3 13 2 4 2 3" xfId="23673" xr:uid="{912CF905-3210-457C-9420-305486490860}"/>
    <cellStyle name="Comma 3 13 2 4 3" xfId="5562" xr:uid="{1A3D3047-79B4-4D53-B306-04CF3E041DB6}"/>
    <cellStyle name="Comma 3 13 2 4 3 2" xfId="13081" xr:uid="{701A2C16-51E4-442D-A087-B31C57FB6413}"/>
    <cellStyle name="Comma 3 13 2 4 3 2 2" xfId="29285" xr:uid="{3BDB7617-E13E-413C-9F9F-BCAAD2032FA2}"/>
    <cellStyle name="Comma 3 13 2 4 3 3" xfId="21766" xr:uid="{FFDE6088-56B3-4225-A8F8-28F37A346AA0}"/>
    <cellStyle name="Comma 3 13 2 4 4" xfId="11369" xr:uid="{FF325323-DEBB-4D64-A95E-0860ECF43200}"/>
    <cellStyle name="Comma 3 13 2 4 4 2" xfId="27573" xr:uid="{531D5314-D7B8-4CF1-BA6F-99C3B55FFDD4}"/>
    <cellStyle name="Comma 3 13 2 4 5" xfId="16956" xr:uid="{F9E5DD7D-2823-4238-8697-FC2810BBAA1E}"/>
    <cellStyle name="Comma 3 13 2 4 5 2" xfId="33088" xr:uid="{9574F88D-F021-48E0-8419-4B26F8129CFF}"/>
    <cellStyle name="Comma 3 13 2 4 6" xfId="19968" xr:uid="{E8D3EB6C-F721-41ED-88D3-F69DA86630DE}"/>
    <cellStyle name="Comma 3 13 2 5" xfId="3407" xr:uid="{E348FC9D-DC15-4241-B850-AAB0243C34EB}"/>
    <cellStyle name="Comma 3 13 2 5 2" xfId="9309" xr:uid="{6972D727-9E54-423D-B704-B83A7E5C9906}"/>
    <cellStyle name="Comma 3 13 2 5 2 2" xfId="25513" xr:uid="{581BF701-25A2-4A91-A904-5189038BEEE2}"/>
    <cellStyle name="Comma 3 13 2 5 3" xfId="16957" xr:uid="{9681B9AD-D20B-4CF8-AEFF-3917D1A74BF8}"/>
    <cellStyle name="Comma 3 13 2 5 3 2" xfId="33089" xr:uid="{968920A1-23A2-427F-BF3F-23C2D5D98DAA}"/>
    <cellStyle name="Comma 3 13 2 5 4" xfId="19623" xr:uid="{18F1ED74-0698-48C2-AC98-4ADC11FFCE34}"/>
    <cellStyle name="Comma 3 13 2 6" xfId="4228" xr:uid="{5070ABA6-2CE2-442E-938A-1D92A0B85715}"/>
    <cellStyle name="Comma 3 13 2 6 2" xfId="7898" xr:uid="{7BCBBE48-BB24-426F-AD20-F6ED5B9CE4C4}"/>
    <cellStyle name="Comma 3 13 2 6 2 2" xfId="15405" xr:uid="{821C5F60-BF8E-445A-BC66-3E2C4DFE3EDC}"/>
    <cellStyle name="Comma 3 13 2 6 2 2 2" xfId="31609" xr:uid="{AE817F51-3C53-4A3A-B66F-9E7736C07D1F}"/>
    <cellStyle name="Comma 3 13 2 6 2 3" xfId="24102" xr:uid="{96D56E27-D830-4EC0-9F27-9347764C85BA}"/>
    <cellStyle name="Comma 3 13 2 6 3" xfId="9187" xr:uid="{5509945C-82F1-4A00-A6B8-F769C137BDCE}"/>
    <cellStyle name="Comma 3 13 2 6 3 2" xfId="16658" xr:uid="{9252212B-46F8-4B54-A1B3-E6D1A71FA980}"/>
    <cellStyle name="Comma 3 13 2 6 3 2 2" xfId="32862" xr:uid="{CB2682C1-1508-4005-B9B8-71E746B7DC2F}"/>
    <cellStyle name="Comma 3 13 2 6 3 3" xfId="25391" xr:uid="{4516BCDC-CFBF-4BFC-8763-0F4385BC0CF4}"/>
    <cellStyle name="Comma 3 13 2 6 4" xfId="11791" xr:uid="{4F5B7C66-2F4B-46DC-A42B-5688A67499E4}"/>
    <cellStyle name="Comma 3 13 2 6 4 2" xfId="27995" xr:uid="{EB1F51E7-6923-4041-A506-859F0CCB85DA}"/>
    <cellStyle name="Comma 3 13 2 6 5" xfId="16958" xr:uid="{BBEE6B06-BCD0-4959-AB94-AA612A0E6A3C}"/>
    <cellStyle name="Comma 3 13 2 6 5 2" xfId="33090" xr:uid="{0DA4E214-A05A-4A26-9904-982C3D4C9F8B}"/>
    <cellStyle name="Comma 3 13 2 6 6" xfId="20432" xr:uid="{192E9BB9-A037-4678-BA0E-8A11642287EA}"/>
    <cellStyle name="Comma 3 13 2 7" xfId="4653" xr:uid="{EF14EDEC-2CC1-4CC6-853C-294B0AD8A008}"/>
    <cellStyle name="Comma 3 13 2 7 2" xfId="8323" xr:uid="{BB9B83BB-7E8D-4AD5-95EC-29FED1CAA493}"/>
    <cellStyle name="Comma 3 13 2 7 2 2" xfId="15830" xr:uid="{B37C1497-5FBA-4CB2-A4BB-135CD7B4674B}"/>
    <cellStyle name="Comma 3 13 2 7 2 2 2" xfId="32034" xr:uid="{58BD98A5-D5B3-443B-8785-42F3C28D04E2}"/>
    <cellStyle name="Comma 3 13 2 7 2 3" xfId="24527" xr:uid="{9A94EFE4-53D4-460C-8FDA-26B6B1586E38}"/>
    <cellStyle name="Comma 3 13 2 7 3" xfId="5566" xr:uid="{EF72DC96-073D-439C-80B2-F813ADFC1D87}"/>
    <cellStyle name="Comma 3 13 2 7 3 2" xfId="13085" xr:uid="{1102B733-CA0B-4D72-BC12-1C56CC659B12}"/>
    <cellStyle name="Comma 3 13 2 7 3 2 2" xfId="29289" xr:uid="{5F8FC3E8-5C5A-4C0D-B55F-F91F16FF9EBB}"/>
    <cellStyle name="Comma 3 13 2 7 3 3" xfId="21770" xr:uid="{9087C3B0-91D3-4EE7-A609-500B069AF5B8}"/>
    <cellStyle name="Comma 3 13 2 7 4" xfId="12216" xr:uid="{1681901E-3A74-437A-B54D-03C40455F078}"/>
    <cellStyle name="Comma 3 13 2 7 4 2" xfId="28420" xr:uid="{A5AD89AC-4FCA-43E5-B2B7-C529E8A473EE}"/>
    <cellStyle name="Comma 3 13 2 7 5" xfId="16959" xr:uid="{AB01D8FF-8F0B-40A2-81A1-6F94DC3F4851}"/>
    <cellStyle name="Comma 3 13 2 7 5 2" xfId="33091" xr:uid="{C8C099BD-BB0A-4697-9C07-33B2C831B6AC}"/>
    <cellStyle name="Comma 3 13 2 7 6" xfId="20857" xr:uid="{FA28695B-6B48-4D7A-A5EA-CE8964FF0DBB}"/>
    <cellStyle name="Comma 3 13 2 8" xfId="5081" xr:uid="{B606A473-38D2-42A7-ACBA-9BB757A78805}"/>
    <cellStyle name="Comma 3 13 2 8 2" xfId="8746" xr:uid="{22D8347E-9651-4C2C-8F4D-CB077A6640F3}"/>
    <cellStyle name="Comma 3 13 2 8 2 2" xfId="16253" xr:uid="{760C762F-1855-4823-A94D-D25AB98A5236}"/>
    <cellStyle name="Comma 3 13 2 8 2 2 2" xfId="32457" xr:uid="{C123F547-60E0-4139-A134-B198AA3F662F}"/>
    <cellStyle name="Comma 3 13 2 8 2 3" xfId="24950" xr:uid="{4BC8FCF5-F5DC-495E-B749-C73C1454C2DC}"/>
    <cellStyle name="Comma 3 13 2 8 3" xfId="12638" xr:uid="{69361216-B283-4025-8075-FA6ABFE88F76}"/>
    <cellStyle name="Comma 3 13 2 8 3 2" xfId="28842" xr:uid="{1F6CAFC1-7D41-455A-A6E5-D67BB0852764}"/>
    <cellStyle name="Comma 3 13 2 8 4" xfId="21285" xr:uid="{553B9B13-ADFA-427B-ACA1-84D849224C7E}"/>
    <cellStyle name="Comma 3 13 2 9" xfId="5752" xr:uid="{95461703-5ADE-475C-8F70-DEA9594E501F}"/>
    <cellStyle name="Comma 3 13 2 9 2" xfId="13267" xr:uid="{F72BB462-BDF7-40A3-8D84-40404F1C6DCA}"/>
    <cellStyle name="Comma 3 13 2 9 2 2" xfId="29471" xr:uid="{38DA720C-20CA-4D3F-B410-5D8202D400C3}"/>
    <cellStyle name="Comma 3 13 2 9 3" xfId="21956" xr:uid="{A15DF19B-CBC5-430D-B06C-C8CDEF599B5B}"/>
    <cellStyle name="Comma 3 13 3" xfId="2294" xr:uid="{4B1B07BA-CB10-4117-9013-A7B8129F48F3}"/>
    <cellStyle name="Comma 3 13 3 2" xfId="3142" xr:uid="{E922AAFA-0827-4DC4-8E98-3305D55E1609}"/>
    <cellStyle name="Comma 3 13 3 2 2" xfId="6924" xr:uid="{F07302B8-C4DC-47D4-9135-EC28C8E60E9D}"/>
    <cellStyle name="Comma 3 13 3 2 2 2" xfId="14435" xr:uid="{B8F091AE-2182-44B1-80E3-6174F5AC27C8}"/>
    <cellStyle name="Comma 3 13 3 2 2 2 2" xfId="30639" xr:uid="{DF9617A2-D5C6-4788-88D0-3230DEF024CC}"/>
    <cellStyle name="Comma 3 13 3 2 2 3" xfId="23128" xr:uid="{F609FB78-A420-4748-90EA-51D7131CA835}"/>
    <cellStyle name="Comma 3 13 3 2 3" xfId="8959" xr:uid="{73CC1A38-4AE9-4B76-86C4-1AF3AA5DF41F}"/>
    <cellStyle name="Comma 3 13 3 2 3 2" xfId="16454" xr:uid="{9555780A-AE09-4CCF-9171-69A00DA438CA}"/>
    <cellStyle name="Comma 3 13 3 2 3 2 2" xfId="32658" xr:uid="{5B80F721-A70F-4267-9807-819DC95A0EF5}"/>
    <cellStyle name="Comma 3 13 3 2 3 3" xfId="25163" xr:uid="{616D0793-C2C4-41FF-BDCC-295A79143B9C}"/>
    <cellStyle name="Comma 3 13 3 2 4" xfId="10835" xr:uid="{FAC1DBED-2257-4AE3-A987-55B92577EEBB}"/>
    <cellStyle name="Comma 3 13 3 2 4 2" xfId="27039" xr:uid="{0AB01342-A3BD-4BB8-B160-2FFB85E5E151}"/>
    <cellStyle name="Comma 3 13 3 2 5" xfId="16961" xr:uid="{1AF42239-C8F1-49B5-B337-2564B94CC840}"/>
    <cellStyle name="Comma 3 13 3 2 5 2" xfId="33093" xr:uid="{FFE1AB1E-D8E5-4BEE-966C-A607BBC9C0D8}"/>
    <cellStyle name="Comma 3 13 3 2 6" xfId="19362" xr:uid="{A5E00DD6-FCCA-4F6C-9FEE-CB80F6209357}"/>
    <cellStyle name="Comma 3 13 3 3" xfId="6079" xr:uid="{68E2C030-A177-4A78-92EC-885CC26EA0B3}"/>
    <cellStyle name="Comma 3 13 3 3 2" xfId="13591" xr:uid="{1F032391-37DA-41C1-BE06-080905A54193}"/>
    <cellStyle name="Comma 3 13 3 3 2 2" xfId="29795" xr:uid="{D710A53E-6448-422A-B75C-EAF6A057E943}"/>
    <cellStyle name="Comma 3 13 3 3 3" xfId="22283" xr:uid="{6124B64B-936F-4E82-A49E-0B439FEDC619}"/>
    <cellStyle name="Comma 3 13 3 4" xfId="5441" xr:uid="{8E569B34-3EE0-4453-B12D-D3EC5EFF2C26}"/>
    <cellStyle name="Comma 3 13 3 4 2" xfId="12984" xr:uid="{95528F0D-326C-4CF3-B6A4-B08BC777AF8C}"/>
    <cellStyle name="Comma 3 13 3 4 2 2" xfId="29188" xr:uid="{C7D11A61-6599-4B6F-9659-82E0318CE96D}"/>
    <cellStyle name="Comma 3 13 3 4 3" xfId="21645" xr:uid="{069BF913-C5DE-43E0-ADB2-43C9D65FD392}"/>
    <cellStyle name="Comma 3 13 3 5" xfId="9991" xr:uid="{9BAC13C7-7624-4A61-99E5-45377993EFCB}"/>
    <cellStyle name="Comma 3 13 3 5 2" xfId="26195" xr:uid="{9C3246A1-EE44-48FF-9077-3E4F1E7BFCDD}"/>
    <cellStyle name="Comma 3 13 3 6" xfId="16960" xr:uid="{898BB39F-795A-4DCB-9C99-70771F975619}"/>
    <cellStyle name="Comma 3 13 3 6 2" xfId="33092" xr:uid="{B3009C08-14C0-4FDB-8924-3197FCECCA23}"/>
    <cellStyle name="Comma 3 13 3 7" xfId="18517" xr:uid="{B81014AA-79D6-4CAE-8AF0-0D0178840FD3}"/>
    <cellStyle name="Comma 3 13 4" xfId="2717" xr:uid="{2373F8D5-28F0-4512-81D7-C318F7715492}"/>
    <cellStyle name="Comma 3 13 4 2" xfId="6501" xr:uid="{015CA705-0545-4FB7-AD5A-CC652E52958D}"/>
    <cellStyle name="Comma 3 13 4 2 2" xfId="14013" xr:uid="{D589BF4B-A55C-4E08-A36D-E7AB719C8939}"/>
    <cellStyle name="Comma 3 13 4 2 2 2" xfId="30217" xr:uid="{343870A0-8E95-4596-B024-937B9E6BABEB}"/>
    <cellStyle name="Comma 3 13 4 2 3" xfId="22705" xr:uid="{B5C0EC90-B962-4E44-BE39-C37BA38BDAD6}"/>
    <cellStyle name="Comma 3 13 4 3" xfId="9367" xr:uid="{E8231D77-1E9B-4A14-8241-B7AFA7A42136}"/>
    <cellStyle name="Comma 3 13 4 3 2" xfId="16809" xr:uid="{332DF354-6EB0-4DF9-B234-020D707B999F}"/>
    <cellStyle name="Comma 3 13 4 3 2 2" xfId="33013" xr:uid="{4496AB8A-0166-49D1-BD9B-52A9EF74CE13}"/>
    <cellStyle name="Comma 3 13 4 3 3" xfId="25571" xr:uid="{7A4CFB40-8CFB-46D6-A2CC-949020AEBCF5}"/>
    <cellStyle name="Comma 3 13 4 4" xfId="10413" xr:uid="{469F4D27-4BC9-4470-B4E9-4B03E0D6EF14}"/>
    <cellStyle name="Comma 3 13 4 4 2" xfId="26617" xr:uid="{07FED70D-8C58-4EC3-81A8-34B246E922D7}"/>
    <cellStyle name="Comma 3 13 4 5" xfId="16962" xr:uid="{90E7444D-0A2A-4735-A696-B111BF0F25DC}"/>
    <cellStyle name="Comma 3 13 4 5 2" xfId="33094" xr:uid="{1B88B6A8-2606-41B3-94F8-CAB9DC4B4635}"/>
    <cellStyle name="Comma 3 13 4 6" xfId="18939" xr:uid="{1BB8E522-D61F-43DF-B9C2-BE1D2BF8BDC2}"/>
    <cellStyle name="Comma 3 13 5" xfId="3647" xr:uid="{BADCB1AA-4065-4EBE-8646-707052B430B0}"/>
    <cellStyle name="Comma 3 13 5 2" xfId="7357" xr:uid="{26D5E353-09CF-40B1-B482-90450FFC8471}"/>
    <cellStyle name="Comma 3 13 5 2 2" xfId="14866" xr:uid="{E83EAF2C-4369-41A2-B4DB-59B413C2AA2B}"/>
    <cellStyle name="Comma 3 13 5 2 2 2" xfId="31070" xr:uid="{13810312-6215-49AF-89AD-75BFF7C1D56E}"/>
    <cellStyle name="Comma 3 13 5 2 3" xfId="23561" xr:uid="{623889E1-6DBC-4ACD-A8A9-99324EDD65FB}"/>
    <cellStyle name="Comma 3 13 5 3" xfId="7161" xr:uid="{26D7A897-0095-4EFE-8FA6-DDD889DCC7E4}"/>
    <cellStyle name="Comma 3 13 5 3 2" xfId="14672" xr:uid="{A56BB110-81A2-43B5-BA9B-18A73C577571}"/>
    <cellStyle name="Comma 3 13 5 3 2 2" xfId="30876" xr:uid="{CCD6C9EB-4623-4976-87B7-6C09AEA13CD2}"/>
    <cellStyle name="Comma 3 13 5 3 3" xfId="23365" xr:uid="{18948DCF-A539-4AE6-9422-890E97C4FB95}"/>
    <cellStyle name="Comma 3 13 5 4" xfId="11258" xr:uid="{8DA93747-D55B-4EF6-9FA3-A65F8CFAEDF4}"/>
    <cellStyle name="Comma 3 13 5 4 2" xfId="27462" xr:uid="{2A742125-15F6-4CC4-8847-36F5865C3B5C}"/>
    <cellStyle name="Comma 3 13 5 5" xfId="16963" xr:uid="{AB811930-9C2F-413E-AA9F-1504B1A5E86B}"/>
    <cellStyle name="Comma 3 13 5 5 2" xfId="33095" xr:uid="{42C786BD-C384-45C7-9314-E989E7418CAE}"/>
    <cellStyle name="Comma 3 13 5 6" xfId="19856" xr:uid="{C15955EC-71EE-4262-8E04-9C8C72F6438F}"/>
    <cellStyle name="Comma 3 13 6" xfId="3395" xr:uid="{24081E23-BF52-49A5-82E6-92E65A7B63AC}"/>
    <cellStyle name="Comma 3 13 6 2" xfId="5420" xr:uid="{A1F445D1-8454-4173-8038-627BD83EE261}"/>
    <cellStyle name="Comma 3 13 6 2 2" xfId="21624" xr:uid="{5246A54B-A601-49CE-B972-FAB4E3BA155D}"/>
    <cellStyle name="Comma 3 13 6 3" xfId="16964" xr:uid="{EB494A42-A128-4139-85A5-351FF24F3894}"/>
    <cellStyle name="Comma 3 13 6 3 2" xfId="33096" xr:uid="{F819C4DB-053B-43F7-9AF5-24F58CDB5C62}"/>
    <cellStyle name="Comma 3 13 6 4" xfId="19611" xr:uid="{DD9CD6BF-B33A-469D-ADFD-F65D4D7718AF}"/>
    <cellStyle name="Comma 3 13 7" xfId="4117" xr:uid="{5FE2A512-D8D9-4F16-B90E-74AD30D007A9}"/>
    <cellStyle name="Comma 3 13 7 2" xfId="7787" xr:uid="{2A4948B7-AE9E-4A7D-A1E5-77113046EE8A}"/>
    <cellStyle name="Comma 3 13 7 2 2" xfId="15294" xr:uid="{BC149AC2-9A7D-4D81-9338-D0F8C7EE23DC}"/>
    <cellStyle name="Comma 3 13 7 2 2 2" xfId="31498" xr:uid="{CD0C5B9C-F682-42C5-81D8-317AD175E484}"/>
    <cellStyle name="Comma 3 13 7 2 3" xfId="23991" xr:uid="{35A4E7A5-92D5-4234-AD83-801D272248CB}"/>
    <cellStyle name="Comma 3 13 7 3" xfId="5256" xr:uid="{DF6BA870-7363-44A0-B6F6-A55CEB07AD12}"/>
    <cellStyle name="Comma 3 13 7 3 2" xfId="12805" xr:uid="{4610708E-36C2-4514-BE35-5E73DDCA10FC}"/>
    <cellStyle name="Comma 3 13 7 3 2 2" xfId="29009" xr:uid="{9B341FC3-6293-4041-86ED-AB0DA8F6330C}"/>
    <cellStyle name="Comma 3 13 7 3 3" xfId="21460" xr:uid="{C042355A-1AE3-49D2-873D-F8294225A555}"/>
    <cellStyle name="Comma 3 13 7 4" xfId="11680" xr:uid="{E283F746-7EB9-4EA6-AAA2-720D56A4A7FD}"/>
    <cellStyle name="Comma 3 13 7 4 2" xfId="27884" xr:uid="{59D800E7-EC16-4FDD-AE49-3790B800F5B5}"/>
    <cellStyle name="Comma 3 13 7 5" xfId="16965" xr:uid="{E27E6D85-7C5A-49FB-A7D0-583E635B0C91}"/>
    <cellStyle name="Comma 3 13 7 5 2" xfId="33097" xr:uid="{22318BFA-8271-484A-99C7-2DB343848FEB}"/>
    <cellStyle name="Comma 3 13 7 6" xfId="20321" xr:uid="{834C445D-ECB8-4C62-9D43-011FBED05073}"/>
    <cellStyle name="Comma 3 13 8" xfId="4542" xr:uid="{A88375F7-1E35-4CEA-8E0D-213B3CE64699}"/>
    <cellStyle name="Comma 3 13 8 2" xfId="8212" xr:uid="{7D6BFD06-A66D-4927-A756-3324BF52F064}"/>
    <cellStyle name="Comma 3 13 8 2 2" xfId="15719" xr:uid="{E2897EFC-0F05-4B41-AC2B-E27215984062}"/>
    <cellStyle name="Comma 3 13 8 2 2 2" xfId="31923" xr:uid="{41BC345F-A8ED-40C1-9092-84ED79452949}"/>
    <cellStyle name="Comma 3 13 8 2 3" xfId="24416" xr:uid="{9B965AAA-5D6A-41D3-9051-58B711A63810}"/>
    <cellStyle name="Comma 3 13 8 3" xfId="5220" xr:uid="{FA84F23F-0BC0-4A12-BE36-CF9FB8AB7E23}"/>
    <cellStyle name="Comma 3 13 8 3 2" xfId="12776" xr:uid="{9ACD5BCB-B17D-4E77-9532-183E1324F96A}"/>
    <cellStyle name="Comma 3 13 8 3 2 2" xfId="28980" xr:uid="{0D39B69D-248B-4DC9-9732-3A6549AAEF90}"/>
    <cellStyle name="Comma 3 13 8 3 3" xfId="21424" xr:uid="{97D3EB65-A621-420F-982F-BB2FA993F7DA}"/>
    <cellStyle name="Comma 3 13 8 4" xfId="12105" xr:uid="{9E664846-1D67-4B72-83C7-A2B9017865BD}"/>
    <cellStyle name="Comma 3 13 8 4 2" xfId="28309" xr:uid="{2353B98E-86D5-4BA3-A508-1681EBFE0CB0}"/>
    <cellStyle name="Comma 3 13 8 5" xfId="16966" xr:uid="{F6FF0F35-5DCD-4696-BA32-3C14AEE74CCD}"/>
    <cellStyle name="Comma 3 13 8 5 2" xfId="33098" xr:uid="{32A58D0B-3E1B-438B-BFB1-6784D6886E3D}"/>
    <cellStyle name="Comma 3 13 8 6" xfId="20746" xr:uid="{5A63C08F-7635-4BAA-B3A3-EF2EEF94FB4D}"/>
    <cellStyle name="Comma 3 13 9" xfId="4969" xr:uid="{9F1E2383-6B1E-468E-9FF6-F84C9EC08298}"/>
    <cellStyle name="Comma 3 13 9 2" xfId="8635" xr:uid="{C64A8C08-6225-48DC-82C1-2FBD24E0516C}"/>
    <cellStyle name="Comma 3 13 9 2 2" xfId="16142" xr:uid="{14F567D6-A73C-49F2-8B6B-E60A86616DA3}"/>
    <cellStyle name="Comma 3 13 9 2 2 2" xfId="32346" xr:uid="{4D085645-3B15-4C3C-99D3-4E7525CD0670}"/>
    <cellStyle name="Comma 3 13 9 2 3" xfId="24839" xr:uid="{954B65E4-8CB8-427F-B4AF-B6DF7103BA27}"/>
    <cellStyle name="Comma 3 13 9 3" xfId="12527" xr:uid="{A3AAC847-AF61-488C-95F6-9F2A706953A5}"/>
    <cellStyle name="Comma 3 13 9 3 2" xfId="28731" xr:uid="{8D40AAA0-BDF4-450E-A265-7385784E0B0D}"/>
    <cellStyle name="Comma 3 13 9 4" xfId="21173" xr:uid="{2DA7EAC2-1336-4C39-9C4C-D57DAFB4209D}"/>
    <cellStyle name="Comma 3 14" xfId="18032" xr:uid="{D9ECB3AE-E9BE-4039-997B-9568FDDE0C9F}"/>
    <cellStyle name="Comma 3 2" xfId="1157" xr:uid="{1927CF13-0CE5-49B4-A6D9-EA9C5E9F922E}"/>
    <cellStyle name="Comma 3 2 10" xfId="1778" xr:uid="{09425C36-D348-4F0D-A5B2-770165EBEE05}"/>
    <cellStyle name="Comma 3 2 10 10" xfId="5641" xr:uid="{1D23879A-A552-47FD-A571-8BCCEB60BA2E}"/>
    <cellStyle name="Comma 3 2 10 10 2" xfId="13156" xr:uid="{268AC41A-31E5-452E-83C2-423D9B4CD5FB}"/>
    <cellStyle name="Comma 3 2 10 10 2 2" xfId="29360" xr:uid="{47079066-B8B5-4821-B428-A80B4007D89D}"/>
    <cellStyle name="Comma 3 2 10 10 3" xfId="21845" xr:uid="{9150EACB-AC16-42D7-B314-2FBE1B45FB29}"/>
    <cellStyle name="Comma 3 2 10 11" xfId="9569" xr:uid="{83E3B62B-30E9-49E2-A61D-20DC08B29BE7}"/>
    <cellStyle name="Comma 3 2 10 11 2" xfId="25773" xr:uid="{2FC1A2A3-72E8-44CD-88A2-44E55A9C574D}"/>
    <cellStyle name="Comma 3 2 10 12" xfId="16968" xr:uid="{F18B85B5-B568-40BD-A61E-2BD7ADAA3C6A}"/>
    <cellStyle name="Comma 3 2 10 12 2" xfId="33100" xr:uid="{5CE95E40-E072-4A04-A2DB-AD53C98E47A6}"/>
    <cellStyle name="Comma 3 2 10 13" xfId="18092" xr:uid="{96D53A2E-E404-4575-B97B-4553A8A01830}"/>
    <cellStyle name="Comma 3 2 10 2" xfId="1900" xr:uid="{775FE4C2-6683-477E-8D77-973A9A3F733D}"/>
    <cellStyle name="Comma 3 2 10 2 10" xfId="9680" xr:uid="{9028A44E-7C11-47D9-933B-14F85553C1B6}"/>
    <cellStyle name="Comma 3 2 10 2 10 2" xfId="25884" xr:uid="{B7D5404B-CB0E-488A-9376-60976A647D20}"/>
    <cellStyle name="Comma 3 2 10 2 11" xfId="16969" xr:uid="{F6FCE9DE-7304-476A-B328-CF1DE6F4E4B5}"/>
    <cellStyle name="Comma 3 2 10 2 11 2" xfId="33101" xr:uid="{577E306E-5859-4254-AC61-C0300E26E7D5}"/>
    <cellStyle name="Comma 3 2 10 2 12" xfId="18204" xr:uid="{5524AD3E-3C0C-4468-A753-778C09AED397}"/>
    <cellStyle name="Comma 3 2 10 2 2" xfId="2407" xr:uid="{3DEE4A13-BA80-4789-9F7D-2372DA1805B3}"/>
    <cellStyle name="Comma 3 2 10 2 2 2" xfId="3254" xr:uid="{DB5F02DA-873B-45F4-8C53-FB346EA4B33E}"/>
    <cellStyle name="Comma 3 2 10 2 2 2 2" xfId="7036" xr:uid="{0943B3C6-72F2-472F-A264-D1F30E0B8C73}"/>
    <cellStyle name="Comma 3 2 10 2 2 2 2 2" xfId="14547" xr:uid="{88E7A95B-25B9-433D-A18A-492E20AC5C33}"/>
    <cellStyle name="Comma 3 2 10 2 2 2 2 2 2" xfId="30751" xr:uid="{3269C4DE-F866-4D47-8AFE-CAA05DEF509F}"/>
    <cellStyle name="Comma 3 2 10 2 2 2 2 3" xfId="23240" xr:uid="{9400D352-AA9C-40A6-81A2-66FB71DE503F}"/>
    <cellStyle name="Comma 3 2 10 2 2 2 3" xfId="9138" xr:uid="{656ACE52-4E68-40E0-B358-D008E4D353B0}"/>
    <cellStyle name="Comma 3 2 10 2 2 2 3 2" xfId="16615" xr:uid="{1F730919-A535-4ABA-886A-429A353C6440}"/>
    <cellStyle name="Comma 3 2 10 2 2 2 3 2 2" xfId="32819" xr:uid="{BC79ECCB-0899-402E-8A31-CBED6EFFE8CA}"/>
    <cellStyle name="Comma 3 2 10 2 2 2 3 3" xfId="25342" xr:uid="{F203DB84-D39D-4AB4-BED9-026823B79082}"/>
    <cellStyle name="Comma 3 2 10 2 2 2 4" xfId="10947" xr:uid="{EA42AAE8-53B2-4E78-A82E-0AB70FF72CF8}"/>
    <cellStyle name="Comma 3 2 10 2 2 2 4 2" xfId="27151" xr:uid="{F1B33316-DB6F-41DD-A501-692A477EFD10}"/>
    <cellStyle name="Comma 3 2 10 2 2 2 5" xfId="16971" xr:uid="{3FA5CA1F-C6B0-45CC-ABE6-50C3DA55A485}"/>
    <cellStyle name="Comma 3 2 10 2 2 2 5 2" xfId="33103" xr:uid="{C275B2B9-99B6-4275-8C7A-DEB530A48B8F}"/>
    <cellStyle name="Comma 3 2 10 2 2 2 6" xfId="19474" xr:uid="{3722C707-4053-4DA1-ADD7-F56246192236}"/>
    <cellStyle name="Comma 3 2 10 2 2 3" xfId="6191" xr:uid="{62E14FAE-CEDB-4276-A3C7-A1B7281DBEC4}"/>
    <cellStyle name="Comma 3 2 10 2 2 3 2" xfId="13703" xr:uid="{9FFFABCA-6C44-40C5-ABCB-585A35C7C26B}"/>
    <cellStyle name="Comma 3 2 10 2 2 3 2 2" xfId="29907" xr:uid="{A6A9E9EF-E52D-47F8-B42D-11526CB58979}"/>
    <cellStyle name="Comma 3 2 10 2 2 3 3" xfId="22395" xr:uid="{F8FA57F3-ED79-44E4-A5A4-D75DF9D07158}"/>
    <cellStyle name="Comma 3 2 10 2 2 4" xfId="9134" xr:uid="{DFB3DD0A-A12D-4F99-AD38-48A8CF9AC4C3}"/>
    <cellStyle name="Comma 3 2 10 2 2 4 2" xfId="16611" xr:uid="{AD7CA349-17A5-4F4D-AACA-3BCA1507C9E1}"/>
    <cellStyle name="Comma 3 2 10 2 2 4 2 2" xfId="32815" xr:uid="{8088111C-B28F-409E-8058-BF33F6BC87EE}"/>
    <cellStyle name="Comma 3 2 10 2 2 4 3" xfId="25338" xr:uid="{96A14500-D7D7-4550-8B87-5F018E3AFC11}"/>
    <cellStyle name="Comma 3 2 10 2 2 5" xfId="10103" xr:uid="{D7CC41EE-5424-4294-ACEE-BAA6D7351A2D}"/>
    <cellStyle name="Comma 3 2 10 2 2 5 2" xfId="26307" xr:uid="{2BE0EB91-C8B6-4E9A-991B-D083FF3C6682}"/>
    <cellStyle name="Comma 3 2 10 2 2 6" xfId="16970" xr:uid="{1D7CABCC-1F51-4E65-B8E1-F9304FD751C2}"/>
    <cellStyle name="Comma 3 2 10 2 2 6 2" xfId="33102" xr:uid="{443A262C-B143-41B4-BEE1-EE36B5F45A91}"/>
    <cellStyle name="Comma 3 2 10 2 2 7" xfId="18629" xr:uid="{46E096D1-CCEF-4C11-9E39-CF7EB0239F44}"/>
    <cellStyle name="Comma 3 2 10 2 3" xfId="2829" xr:uid="{D7CE0F59-47C7-4FBA-BE0B-E4DBC70720EF}"/>
    <cellStyle name="Comma 3 2 10 2 3 2" xfId="6613" xr:uid="{1A7E5271-8A6A-4376-B83D-373312A95182}"/>
    <cellStyle name="Comma 3 2 10 2 3 2 2" xfId="14125" xr:uid="{43B12C82-8ED5-4679-AB62-D0C9289E9738}"/>
    <cellStyle name="Comma 3 2 10 2 3 2 2 2" xfId="30329" xr:uid="{AEC3E2B7-7DB6-40DB-8347-8EABBEAB217A}"/>
    <cellStyle name="Comma 3 2 10 2 3 2 3" xfId="22817" xr:uid="{CA24142D-C044-4471-9519-CAD897A83215}"/>
    <cellStyle name="Comma 3 2 10 2 3 3" xfId="9301" xr:uid="{A66136AA-B129-406C-B8CA-DEFF574C4C54}"/>
    <cellStyle name="Comma 3 2 10 2 3 3 2" xfId="16755" xr:uid="{F65319E5-9952-4146-9C14-83108CFC3355}"/>
    <cellStyle name="Comma 3 2 10 2 3 3 2 2" xfId="32959" xr:uid="{4263AFB3-FC06-4999-8EA7-10DD1BD88E61}"/>
    <cellStyle name="Comma 3 2 10 2 3 3 3" xfId="25505" xr:uid="{E00F2796-14A1-4B08-ACF2-385123687E6C}"/>
    <cellStyle name="Comma 3 2 10 2 3 4" xfId="10525" xr:uid="{06220C46-582D-41FF-9CDF-60CF0DB8BAA8}"/>
    <cellStyle name="Comma 3 2 10 2 3 4 2" xfId="26729" xr:uid="{5EE26E17-0E03-4B82-93A9-B21999EE4192}"/>
    <cellStyle name="Comma 3 2 10 2 3 5" xfId="16972" xr:uid="{3CC90F28-FD48-481E-BA39-54E192081C37}"/>
    <cellStyle name="Comma 3 2 10 2 3 5 2" xfId="33104" xr:uid="{5541292B-3277-4458-ACC2-76BA33DBBA57}"/>
    <cellStyle name="Comma 3 2 10 2 3 6" xfId="19051" xr:uid="{DF6F05E6-73FC-4930-A34F-91FCC759B74F}"/>
    <cellStyle name="Comma 3 2 10 2 4" xfId="3760" xr:uid="{99215DBC-FFF9-49AE-A454-EACB6F39826D}"/>
    <cellStyle name="Comma 3 2 10 2 4 2" xfId="7470" xr:uid="{0A1FF93D-0818-4919-92CF-D464329DB430}"/>
    <cellStyle name="Comma 3 2 10 2 4 2 2" xfId="14979" xr:uid="{2B66644A-2E4D-48F9-B10D-E67BF297CC66}"/>
    <cellStyle name="Comma 3 2 10 2 4 2 2 2" xfId="31183" xr:uid="{0C66C33D-6A16-4F09-A18A-B71FC5D4C561}"/>
    <cellStyle name="Comma 3 2 10 2 4 2 3" xfId="23674" xr:uid="{BE945A38-A73D-4C02-8B7D-9020AB1CC5C0}"/>
    <cellStyle name="Comma 3 2 10 2 4 3" xfId="9102" xr:uid="{C7555425-11CF-4BEE-930A-0C3ACAB595D6}"/>
    <cellStyle name="Comma 3 2 10 2 4 3 2" xfId="16581" xr:uid="{2BBD05AD-E4BC-4200-A64B-E8CD6F446896}"/>
    <cellStyle name="Comma 3 2 10 2 4 3 2 2" xfId="32785" xr:uid="{BCA40BDD-B8AB-48F6-9C5D-BEB573337D38}"/>
    <cellStyle name="Comma 3 2 10 2 4 3 3" xfId="25306" xr:uid="{37667D8C-4802-4604-A4CB-44F2B0F09DD3}"/>
    <cellStyle name="Comma 3 2 10 2 4 4" xfId="11370" xr:uid="{AF60C714-1E75-4ACD-AE71-DD38DEF573E0}"/>
    <cellStyle name="Comma 3 2 10 2 4 4 2" xfId="27574" xr:uid="{5843CC4A-5FA6-4912-A075-7F928E77B506}"/>
    <cellStyle name="Comma 3 2 10 2 4 5" xfId="16973" xr:uid="{8272C289-0516-4536-8F76-DF459A49840C}"/>
    <cellStyle name="Comma 3 2 10 2 4 5 2" xfId="33105" xr:uid="{1629B50F-F186-44F8-AEF6-333D5FC30138}"/>
    <cellStyle name="Comma 3 2 10 2 4 6" xfId="19969" xr:uid="{062066E6-4975-48DB-B148-5D5B11716D70}"/>
    <cellStyle name="Comma 3 2 10 2 5" xfId="3590" xr:uid="{85AB92CD-C3CA-4949-B7F3-95F3B7686D31}"/>
    <cellStyle name="Comma 3 2 10 2 5 2" xfId="9307" xr:uid="{703DAF02-E363-45F1-8C63-349D4B7504B8}"/>
    <cellStyle name="Comma 3 2 10 2 5 2 2" xfId="25511" xr:uid="{7D2FCB57-8172-4F53-A76C-8E4739F1648D}"/>
    <cellStyle name="Comma 3 2 10 2 5 3" xfId="16974" xr:uid="{1B65CA38-62AB-47A1-86C3-60BAA2DF2EDF}"/>
    <cellStyle name="Comma 3 2 10 2 5 3 2" xfId="33106" xr:uid="{7731C1E4-15A0-4FC8-A6BE-CC221C1490A0}"/>
    <cellStyle name="Comma 3 2 10 2 5 4" xfId="19800" xr:uid="{D531A125-BA64-4C4A-9438-CA1A2BD9781B}"/>
    <cellStyle name="Comma 3 2 10 2 6" xfId="4229" xr:uid="{1EE66F71-3701-4359-A424-2C46929C48B8}"/>
    <cellStyle name="Comma 3 2 10 2 6 2" xfId="7899" xr:uid="{B1B51B5D-2BB9-4BA7-B074-F9951367FA3D}"/>
    <cellStyle name="Comma 3 2 10 2 6 2 2" xfId="15406" xr:uid="{890EA3E1-E21F-4913-9AD8-27380746EC3D}"/>
    <cellStyle name="Comma 3 2 10 2 6 2 2 2" xfId="31610" xr:uid="{3085A577-725B-4C11-B301-AB78076F079E}"/>
    <cellStyle name="Comma 3 2 10 2 6 2 3" xfId="24103" xr:uid="{335CF563-4182-4903-9396-3E4F31B40F4F}"/>
    <cellStyle name="Comma 3 2 10 2 6 3" xfId="9088" xr:uid="{54324C39-649B-4F6B-9314-77042B622C81}"/>
    <cellStyle name="Comma 3 2 10 2 6 3 2" xfId="16568" xr:uid="{334C5D4F-0D56-42F2-9B87-0B40061DF5B0}"/>
    <cellStyle name="Comma 3 2 10 2 6 3 2 2" xfId="32772" xr:uid="{08FA2F59-7426-42C9-B261-3DA52D06F9E2}"/>
    <cellStyle name="Comma 3 2 10 2 6 3 3" xfId="25292" xr:uid="{77C27581-477C-4B0C-8407-80F4524258F3}"/>
    <cellStyle name="Comma 3 2 10 2 6 4" xfId="11792" xr:uid="{02F47DF9-9728-43DE-9DEB-690A39747126}"/>
    <cellStyle name="Comma 3 2 10 2 6 4 2" xfId="27996" xr:uid="{3BACCE44-877A-4A35-BBE6-A75DCE756BC1}"/>
    <cellStyle name="Comma 3 2 10 2 6 5" xfId="16975" xr:uid="{5E59C29B-DF9B-46C0-BDC7-D3EEAE9CFF4D}"/>
    <cellStyle name="Comma 3 2 10 2 6 5 2" xfId="33107" xr:uid="{9E21D60C-3FC3-4BB8-A7B2-6EFC784FE22C}"/>
    <cellStyle name="Comma 3 2 10 2 6 6" xfId="20433" xr:uid="{E9483C29-8598-4553-9051-82B91FF19132}"/>
    <cellStyle name="Comma 3 2 10 2 7" xfId="4654" xr:uid="{511DFF38-53CE-4011-9E99-F92AF92AB806}"/>
    <cellStyle name="Comma 3 2 10 2 7 2" xfId="8324" xr:uid="{95154169-1F97-4F84-AA8F-A6BF57F6B6CB}"/>
    <cellStyle name="Comma 3 2 10 2 7 2 2" xfId="15831" xr:uid="{55F2B7FD-8D0A-4096-B360-0DEA04F40C8D}"/>
    <cellStyle name="Comma 3 2 10 2 7 2 2 2" xfId="32035" xr:uid="{A3873325-050A-45B6-A10C-852605301CBC}"/>
    <cellStyle name="Comma 3 2 10 2 7 2 3" xfId="24528" xr:uid="{30CA3F95-FB01-4C10-9848-3968B029B1B9}"/>
    <cellStyle name="Comma 3 2 10 2 7 3" xfId="9145" xr:uid="{334C2CFD-4903-454B-91D8-44EF0DE4F723}"/>
    <cellStyle name="Comma 3 2 10 2 7 3 2" xfId="16622" xr:uid="{9838D48D-3E47-4A1D-9428-3749BCD472A3}"/>
    <cellStyle name="Comma 3 2 10 2 7 3 2 2" xfId="32826" xr:uid="{C88A6F52-3068-4385-B6A6-DE4706BA63CC}"/>
    <cellStyle name="Comma 3 2 10 2 7 3 3" xfId="25349" xr:uid="{217BCDA9-D13B-467A-9867-DF584DCC2C56}"/>
    <cellStyle name="Comma 3 2 10 2 7 4" xfId="12217" xr:uid="{056B7581-D658-42C4-8F37-EF20DF9D2F18}"/>
    <cellStyle name="Comma 3 2 10 2 7 4 2" xfId="28421" xr:uid="{7417F4E6-4DD7-4A60-8963-6892948F7BE0}"/>
    <cellStyle name="Comma 3 2 10 2 7 5" xfId="16976" xr:uid="{7B12546B-DD02-4036-8684-16682B789102}"/>
    <cellStyle name="Comma 3 2 10 2 7 5 2" xfId="33108" xr:uid="{72065F1D-F4AE-415F-98D0-A8467D573E6F}"/>
    <cellStyle name="Comma 3 2 10 2 7 6" xfId="20858" xr:uid="{0C6B7A40-2046-4784-8F65-414B45B13266}"/>
    <cellStyle name="Comma 3 2 10 2 8" xfId="5082" xr:uid="{584BF601-788F-4244-8DDC-CA20376B5086}"/>
    <cellStyle name="Comma 3 2 10 2 8 2" xfId="8747" xr:uid="{5DC19EE9-FE10-436B-AC04-0E7422F65562}"/>
    <cellStyle name="Comma 3 2 10 2 8 2 2" xfId="16254" xr:uid="{F5860FDF-1B5B-434A-823E-589B05911AD6}"/>
    <cellStyle name="Comma 3 2 10 2 8 2 2 2" xfId="32458" xr:uid="{70378C76-C24F-4B40-AE8F-0AEECFA85EAD}"/>
    <cellStyle name="Comma 3 2 10 2 8 2 3" xfId="24951" xr:uid="{6CB56975-1E0D-4FEE-AEA4-7A83D4DB143B}"/>
    <cellStyle name="Comma 3 2 10 2 8 3" xfId="12639" xr:uid="{33F83060-B6B8-4B03-9302-8ABFEDAB16EF}"/>
    <cellStyle name="Comma 3 2 10 2 8 3 2" xfId="28843" xr:uid="{05A57157-C951-4FCF-879C-DD0FE9F5D923}"/>
    <cellStyle name="Comma 3 2 10 2 8 4" xfId="21286" xr:uid="{66C2B548-53F1-404F-BD6A-61F4672FC059}"/>
    <cellStyle name="Comma 3 2 10 2 9" xfId="5753" xr:uid="{4C3BD90C-25AF-4CE1-9AE8-158D4D828899}"/>
    <cellStyle name="Comma 3 2 10 2 9 2" xfId="13268" xr:uid="{81D32700-E416-4134-80C4-108A332FC7CA}"/>
    <cellStyle name="Comma 3 2 10 2 9 2 2" xfId="29472" xr:uid="{C335A794-B343-4654-9038-4C282B659C66}"/>
    <cellStyle name="Comma 3 2 10 2 9 3" xfId="21957" xr:uid="{734D7934-74AB-4917-AD12-E2A0E1154C36}"/>
    <cellStyle name="Comma 3 2 10 3" xfId="2295" xr:uid="{365D8F8C-161D-4EFF-99A8-8025FFD903A1}"/>
    <cellStyle name="Comma 3 2 10 3 2" xfId="3143" xr:uid="{D5627A8B-C7D7-4500-982F-760B395D1B4F}"/>
    <cellStyle name="Comma 3 2 10 3 2 2" xfId="6925" xr:uid="{A5B8BD44-5BCC-4721-9832-792FF65BCBF6}"/>
    <cellStyle name="Comma 3 2 10 3 2 2 2" xfId="14436" xr:uid="{339B3141-4484-4D01-9250-6A5A9A888C9E}"/>
    <cellStyle name="Comma 3 2 10 3 2 2 2 2" xfId="30640" xr:uid="{EA59299A-5ACA-4831-A0C7-F2F6D1B01C5B}"/>
    <cellStyle name="Comma 3 2 10 3 2 2 3" xfId="23129" xr:uid="{6611E983-4190-4D2C-B60F-29838EC5B52C}"/>
    <cellStyle name="Comma 3 2 10 3 2 3" xfId="5448" xr:uid="{5D62FDAC-59E0-41A4-A9A9-ED6801A5BD7D}"/>
    <cellStyle name="Comma 3 2 10 3 2 3 2" xfId="12991" xr:uid="{9FE067F7-5EA8-4903-B30B-67083A6E1460}"/>
    <cellStyle name="Comma 3 2 10 3 2 3 2 2" xfId="29195" xr:uid="{1D8D26EE-4923-4823-AEF1-29A9D0AD29ED}"/>
    <cellStyle name="Comma 3 2 10 3 2 3 3" xfId="21652" xr:uid="{B395C1EC-3E8D-492B-91FA-8F3DFAE53C76}"/>
    <cellStyle name="Comma 3 2 10 3 2 4" xfId="10836" xr:uid="{19445107-3695-4CAD-9141-614978A378F1}"/>
    <cellStyle name="Comma 3 2 10 3 2 4 2" xfId="27040" xr:uid="{D9BB21D6-4C37-41D6-A707-7CBCBD13F8C1}"/>
    <cellStyle name="Comma 3 2 10 3 2 5" xfId="16978" xr:uid="{302ECCA8-30DB-42D3-93FA-6A2F4A8C7830}"/>
    <cellStyle name="Comma 3 2 10 3 2 5 2" xfId="33110" xr:uid="{4C27F4B5-8C46-4114-8D55-25AB0D69D216}"/>
    <cellStyle name="Comma 3 2 10 3 2 6" xfId="19363" xr:uid="{6BCB62C7-167A-4575-9055-665CC0330DE1}"/>
    <cellStyle name="Comma 3 2 10 3 3" xfId="6080" xr:uid="{1688A817-747D-448F-B0C3-ABE595B29CDC}"/>
    <cellStyle name="Comma 3 2 10 3 3 2" xfId="13592" xr:uid="{4DA20C56-5DC9-49D4-9B5E-3D4DBD03458C}"/>
    <cellStyle name="Comma 3 2 10 3 3 2 2" xfId="29796" xr:uid="{CD78E4C5-7C6E-4814-A981-C2EFC756832A}"/>
    <cellStyle name="Comma 3 2 10 3 3 3" xfId="22284" xr:uid="{904FF87B-83DF-4187-AFE5-521EF77AC647}"/>
    <cellStyle name="Comma 3 2 10 3 4" xfId="5255" xr:uid="{DA751243-9173-428B-9559-D5A0F6D4E470}"/>
    <cellStyle name="Comma 3 2 10 3 4 2" xfId="12804" xr:uid="{C7558F47-2EF0-4F7B-AC98-62079623DE3E}"/>
    <cellStyle name="Comma 3 2 10 3 4 2 2" xfId="29008" xr:uid="{43DCC891-5E7E-4BB6-9306-9BFD27598D01}"/>
    <cellStyle name="Comma 3 2 10 3 4 3" xfId="21459" xr:uid="{E2EC0043-FEA5-4989-8859-E95CD6564FAD}"/>
    <cellStyle name="Comma 3 2 10 3 5" xfId="9992" xr:uid="{C9203CF3-7EC7-4AE4-9FE1-99E579A30177}"/>
    <cellStyle name="Comma 3 2 10 3 5 2" xfId="26196" xr:uid="{2832C58F-8CEF-4F84-964C-BB51532CD6C9}"/>
    <cellStyle name="Comma 3 2 10 3 6" xfId="16977" xr:uid="{86E7FA28-9409-4F93-B7BE-9DB6BDDE360C}"/>
    <cellStyle name="Comma 3 2 10 3 6 2" xfId="33109" xr:uid="{092C3809-89C4-48ED-B026-AB3275DF2D24}"/>
    <cellStyle name="Comma 3 2 10 3 7" xfId="18518" xr:uid="{0E19CC5E-B6AD-4D1B-A7B7-748AE18382EE}"/>
    <cellStyle name="Comma 3 2 10 4" xfId="2718" xr:uid="{C30B3EB1-300B-4BFE-8F53-807CA81601D2}"/>
    <cellStyle name="Comma 3 2 10 4 2" xfId="6502" xr:uid="{1E935817-31DC-437F-A6F3-6D1187CB8AE4}"/>
    <cellStyle name="Comma 3 2 10 4 2 2" xfId="14014" xr:uid="{4F2E3BED-6586-4354-B4A6-C2F824182421}"/>
    <cellStyle name="Comma 3 2 10 4 2 2 2" xfId="30218" xr:uid="{68A5F56B-4851-46DB-A976-423CA920D4F5}"/>
    <cellStyle name="Comma 3 2 10 4 2 3" xfId="22706" xr:uid="{7C7CEA9F-1681-4E6F-A38B-BBC126511E1F}"/>
    <cellStyle name="Comma 3 2 10 4 3" xfId="8953" xr:uid="{2D77826D-D671-4438-966B-0005FBC832EE}"/>
    <cellStyle name="Comma 3 2 10 4 3 2" xfId="16448" xr:uid="{0C511ECD-23AE-4F8D-944A-8380D05D8B3A}"/>
    <cellStyle name="Comma 3 2 10 4 3 2 2" xfId="32652" xr:uid="{D2CA74AA-53C7-4496-BF0F-32783C67066F}"/>
    <cellStyle name="Comma 3 2 10 4 3 3" xfId="25157" xr:uid="{348D2E6E-4949-4E0F-A8B1-CA47F457E699}"/>
    <cellStyle name="Comma 3 2 10 4 4" xfId="10414" xr:uid="{C68A1CEA-3DBA-4695-A908-0C1EF33AAD01}"/>
    <cellStyle name="Comma 3 2 10 4 4 2" xfId="26618" xr:uid="{0119E628-6D14-4AC3-A708-5C8F64DECF49}"/>
    <cellStyle name="Comma 3 2 10 4 5" xfId="16979" xr:uid="{6DF23CE5-0ACD-4E6C-9604-8587034DBED7}"/>
    <cellStyle name="Comma 3 2 10 4 5 2" xfId="33111" xr:uid="{904E8A8D-C3F4-492B-BD57-9250FC40CCA2}"/>
    <cellStyle name="Comma 3 2 10 4 6" xfId="18940" xr:uid="{A8F92C73-6048-4951-8457-CDC6B2FA96C2}"/>
    <cellStyle name="Comma 3 2 10 5" xfId="3648" xr:uid="{5AB9F41D-3A5E-4A0D-988D-AC62E094D66F}"/>
    <cellStyle name="Comma 3 2 10 5 2" xfId="7358" xr:uid="{157A43AF-0CA6-4794-8B85-C35B49F14D7C}"/>
    <cellStyle name="Comma 3 2 10 5 2 2" xfId="14867" xr:uid="{1DB0B073-F739-459C-B413-3C234E99832E}"/>
    <cellStyle name="Comma 3 2 10 5 2 2 2" xfId="31071" xr:uid="{43CE24BF-0C80-43E2-BD21-D38704B9293B}"/>
    <cellStyle name="Comma 3 2 10 5 2 3" xfId="23562" xr:uid="{3EEDD8A6-A2C5-4D65-9407-D9C11EFB2604}"/>
    <cellStyle name="Comma 3 2 10 5 3" xfId="5265" xr:uid="{628D0E50-986B-40A6-9A00-A83FFB05C1C2}"/>
    <cellStyle name="Comma 3 2 10 5 3 2" xfId="12814" xr:uid="{5FE53B73-345A-4100-9BCC-4338D6AFE47C}"/>
    <cellStyle name="Comma 3 2 10 5 3 2 2" xfId="29018" xr:uid="{04AF9ED4-E4CC-4E92-8A8A-A97F6724A11B}"/>
    <cellStyle name="Comma 3 2 10 5 3 3" xfId="21469" xr:uid="{23B68D23-17C3-46B6-AEA1-F30978AE02B2}"/>
    <cellStyle name="Comma 3 2 10 5 4" xfId="11259" xr:uid="{5C455AEC-2D0D-4501-9007-E136E2CB430B}"/>
    <cellStyle name="Comma 3 2 10 5 4 2" xfId="27463" xr:uid="{3B80EC59-637A-4808-ADEB-EEAF521E48E4}"/>
    <cellStyle name="Comma 3 2 10 5 5" xfId="16980" xr:uid="{B0E051DB-D3C1-4101-ACB3-06878A382C57}"/>
    <cellStyle name="Comma 3 2 10 5 5 2" xfId="33112" xr:uid="{CA5395F2-F810-4368-853E-66B2CEF21E5E}"/>
    <cellStyle name="Comma 3 2 10 5 6" xfId="19857" xr:uid="{FB49EDC0-50E3-4BE4-BE61-D34C0F047AFF}"/>
    <cellStyle name="Comma 3 2 10 6" xfId="3585" xr:uid="{83DC45A2-0346-43EB-801A-985F5D3CCBB4}"/>
    <cellStyle name="Comma 3 2 10 6 2" xfId="9054" xr:uid="{F6BD2958-3A44-407C-AD23-CF26204FE38F}"/>
    <cellStyle name="Comma 3 2 10 6 2 2" xfId="25258" xr:uid="{CBB222CD-1B7D-409F-876F-F5E0ACCA3B5F}"/>
    <cellStyle name="Comma 3 2 10 6 3" xfId="16981" xr:uid="{C3605ED8-04F3-4C5D-A69E-1314563119E7}"/>
    <cellStyle name="Comma 3 2 10 6 3 2" xfId="33113" xr:uid="{F9B8921A-0D86-49BE-8FDB-0A2DFB2DC60B}"/>
    <cellStyle name="Comma 3 2 10 6 4" xfId="19796" xr:uid="{3D0DC98B-D6F0-473A-8D3D-374103C71C6F}"/>
    <cellStyle name="Comma 3 2 10 7" xfId="4118" xr:uid="{E502B7A0-3336-4D70-A1A0-8B07A5BC1F4A}"/>
    <cellStyle name="Comma 3 2 10 7 2" xfId="7788" xr:uid="{165EB6F9-187A-49E6-96A7-37429CD85EF2}"/>
    <cellStyle name="Comma 3 2 10 7 2 2" xfId="15295" xr:uid="{FCF41DE0-7AC7-4E08-BCD2-33F96DC1E09E}"/>
    <cellStyle name="Comma 3 2 10 7 2 2 2" xfId="31499" xr:uid="{AC566E8E-DF19-45BD-B006-DEFFFB7D4C66}"/>
    <cellStyle name="Comma 3 2 10 7 2 3" xfId="23992" xr:uid="{78BA707B-FEAB-445E-837E-AD0586E3C0D0}"/>
    <cellStyle name="Comma 3 2 10 7 3" xfId="9019" xr:uid="{2100F153-EA81-48D8-B1D7-973AFF50C5AE}"/>
    <cellStyle name="Comma 3 2 10 7 3 2" xfId="16510" xr:uid="{8249AB94-8281-4159-A224-D1A9E71D737E}"/>
    <cellStyle name="Comma 3 2 10 7 3 2 2" xfId="32714" xr:uid="{C6367C46-85DE-4792-9545-5ECE614EDCE0}"/>
    <cellStyle name="Comma 3 2 10 7 3 3" xfId="25223" xr:uid="{52770F39-8BAE-4AE0-B600-0071A2C87CE5}"/>
    <cellStyle name="Comma 3 2 10 7 4" xfId="11681" xr:uid="{610C1352-184F-4B59-8C41-0FDC0ACA8640}"/>
    <cellStyle name="Comma 3 2 10 7 4 2" xfId="27885" xr:uid="{DF813BBF-3FAE-4B79-BED2-7015A95D7D96}"/>
    <cellStyle name="Comma 3 2 10 7 5" xfId="16982" xr:uid="{1BBF9746-C1DE-493B-B0D8-13EAB788DA27}"/>
    <cellStyle name="Comma 3 2 10 7 5 2" xfId="33114" xr:uid="{09EC089A-E90B-4DC8-8C40-C2964740A9CD}"/>
    <cellStyle name="Comma 3 2 10 7 6" xfId="20322" xr:uid="{27A6A853-1E76-4DCA-8572-FE8A57C1907C}"/>
    <cellStyle name="Comma 3 2 10 8" xfId="4543" xr:uid="{5E3900B3-4F5E-4E12-AB3E-EB55F479E542}"/>
    <cellStyle name="Comma 3 2 10 8 2" xfId="8213" xr:uid="{B83508B4-8CDD-4AA3-84D1-26FF3ABA5CC3}"/>
    <cellStyle name="Comma 3 2 10 8 2 2" xfId="15720" xr:uid="{4AF6AFAF-80A3-4052-955C-798853BB8DE7}"/>
    <cellStyle name="Comma 3 2 10 8 2 2 2" xfId="31924" xr:uid="{377459C6-2CAF-4A16-962B-2DE40F950F26}"/>
    <cellStyle name="Comma 3 2 10 8 2 3" xfId="24417" xr:uid="{55333697-0417-4199-9470-114A441284BE}"/>
    <cellStyle name="Comma 3 2 10 8 3" xfId="9128" xr:uid="{704E1CB0-30F2-4AB5-BAE5-E8120AD43D0D}"/>
    <cellStyle name="Comma 3 2 10 8 3 2" xfId="16606" xr:uid="{676036D8-B898-4328-BE00-51289831BD0E}"/>
    <cellStyle name="Comma 3 2 10 8 3 2 2" xfId="32810" xr:uid="{D5076C35-B0A3-422F-B6F4-5A87B57B1CF4}"/>
    <cellStyle name="Comma 3 2 10 8 3 3" xfId="25332" xr:uid="{1A488A6F-1A20-41A4-8C26-832579C93EAD}"/>
    <cellStyle name="Comma 3 2 10 8 4" xfId="12106" xr:uid="{05F92F17-DA00-4729-8DFA-4F16A853942B}"/>
    <cellStyle name="Comma 3 2 10 8 4 2" xfId="28310" xr:uid="{DF47B7D1-D69C-4009-A7D5-8DDCE80D0D2A}"/>
    <cellStyle name="Comma 3 2 10 8 5" xfId="16983" xr:uid="{C5AC3EAF-85AA-4517-B8A3-3019FF5352E8}"/>
    <cellStyle name="Comma 3 2 10 8 5 2" xfId="33115" xr:uid="{938DEECF-0D27-47BD-B10B-CF3C45C6F15F}"/>
    <cellStyle name="Comma 3 2 10 8 6" xfId="20747" xr:uid="{676ADA7A-1607-4E70-A341-5FF73E30EAB0}"/>
    <cellStyle name="Comma 3 2 10 9" xfId="4970" xr:uid="{166D3400-AD94-4192-92C6-D3E47CACC92E}"/>
    <cellStyle name="Comma 3 2 10 9 2" xfId="8636" xr:uid="{69EFCEFE-FE1E-4BE3-BD97-37CE5E891758}"/>
    <cellStyle name="Comma 3 2 10 9 2 2" xfId="16143" xr:uid="{CB4EDE56-9E87-4C3B-ACC4-143F2E686199}"/>
    <cellStyle name="Comma 3 2 10 9 2 2 2" xfId="32347" xr:uid="{5157342D-692A-4F9C-BAD4-24083535B42A}"/>
    <cellStyle name="Comma 3 2 10 9 2 3" xfId="24840" xr:uid="{D222A542-5769-45D2-BC03-ACA3BE647BF4}"/>
    <cellStyle name="Comma 3 2 10 9 3" xfId="12528" xr:uid="{BBA17C6E-1AD1-4BF1-A1F6-0D433825FC4B}"/>
    <cellStyle name="Comma 3 2 10 9 3 2" xfId="28732" xr:uid="{83453E38-9BB6-4D6E-B715-34CAE9A55830}"/>
    <cellStyle name="Comma 3 2 10 9 4" xfId="21174" xr:uid="{9CAA5B70-6B90-4519-B6BF-CB51F733169B}"/>
    <cellStyle name="Comma 3 2 11" xfId="1901" xr:uid="{3518A8E8-273E-4ADA-8BB2-B6DE138EF455}"/>
    <cellStyle name="Comma 3 2 11 10" xfId="9681" xr:uid="{B07B10C7-E523-4FF3-9BDB-39683CC8747B}"/>
    <cellStyle name="Comma 3 2 11 10 2" xfId="25885" xr:uid="{726D0BB6-4328-4AE5-AB2C-FB1BCBDA3BF1}"/>
    <cellStyle name="Comma 3 2 11 11" xfId="16984" xr:uid="{2BA2104B-3FC3-459E-A836-155FDA5B794A}"/>
    <cellStyle name="Comma 3 2 11 11 2" xfId="33116" xr:uid="{BDEBFEAC-10E8-4833-9B8E-271C8344930E}"/>
    <cellStyle name="Comma 3 2 11 12" xfId="18205" xr:uid="{D6F4513E-C152-4CA5-B5C7-86B50F82BAED}"/>
    <cellStyle name="Comma 3 2 11 2" xfId="2408" xr:uid="{27D866B6-2753-42D5-95DE-0C04BF34C6D3}"/>
    <cellStyle name="Comma 3 2 11 2 2" xfId="3255" xr:uid="{502C60A8-8E44-4F22-B893-F08EE8774FE5}"/>
    <cellStyle name="Comma 3 2 11 2 2 2" xfId="7037" xr:uid="{3824E1B2-FE5E-462B-8DF1-DA78A9AC5306}"/>
    <cellStyle name="Comma 3 2 11 2 2 2 2" xfId="14548" xr:uid="{4EF0A135-3D38-44F5-93E9-437112C37A7D}"/>
    <cellStyle name="Comma 3 2 11 2 2 2 2 2" xfId="30752" xr:uid="{1E16EFA9-FBCF-4900-9B93-4DAD2953D64B}"/>
    <cellStyle name="Comma 3 2 11 2 2 2 3" xfId="23241" xr:uid="{CCC236EB-3074-4EA6-92E3-4CA27650F392}"/>
    <cellStyle name="Comma 3 2 11 2 2 3" xfId="8982" xr:uid="{031347D1-EFCB-44FA-A42E-D0CD2E64DFE6}"/>
    <cellStyle name="Comma 3 2 11 2 2 3 2" xfId="16476" xr:uid="{B5062DBC-9157-4F99-9F56-CF17C1915215}"/>
    <cellStyle name="Comma 3 2 11 2 2 3 2 2" xfId="32680" xr:uid="{3E58C5A2-1671-4D09-97E5-A4E417F5FBCE}"/>
    <cellStyle name="Comma 3 2 11 2 2 3 3" xfId="25186" xr:uid="{BD7FA6B7-1ACF-4A59-A68C-784DF43A6492}"/>
    <cellStyle name="Comma 3 2 11 2 2 4" xfId="10948" xr:uid="{22D71060-F495-43CD-B725-C062CBFE7033}"/>
    <cellStyle name="Comma 3 2 11 2 2 4 2" xfId="27152" xr:uid="{FE567D11-8AB7-4C5D-8568-0256FA5B6D35}"/>
    <cellStyle name="Comma 3 2 11 2 2 5" xfId="16986" xr:uid="{C9A483F1-9A57-4BBD-B419-A707137E46A2}"/>
    <cellStyle name="Comma 3 2 11 2 2 5 2" xfId="33118" xr:uid="{00EAF58D-8CE6-44E5-AD32-ECBA2259BF94}"/>
    <cellStyle name="Comma 3 2 11 2 2 6" xfId="19475" xr:uid="{0F4505AD-1208-4E4D-8576-8201A6A494C8}"/>
    <cellStyle name="Comma 3 2 11 2 3" xfId="6192" xr:uid="{6CA7826C-5BA6-4E38-AC20-0EE8961CF1BD}"/>
    <cellStyle name="Comma 3 2 11 2 3 2" xfId="13704" xr:uid="{1CCDCB2C-F160-47F3-9EB7-9EAFA5200BC5}"/>
    <cellStyle name="Comma 3 2 11 2 3 2 2" xfId="29908" xr:uid="{40B50016-FE55-457D-9B00-01555EBF432C}"/>
    <cellStyle name="Comma 3 2 11 2 3 3" xfId="22396" xr:uid="{F4F7A05D-18F1-4EF3-9833-37BA24493CFA}"/>
    <cellStyle name="Comma 3 2 11 2 4" xfId="5523" xr:uid="{D68D8245-07E3-462C-BCD3-EBBCE22EA071}"/>
    <cellStyle name="Comma 3 2 11 2 4 2" xfId="13051" xr:uid="{636B1AF0-BF66-47B2-86CB-D1D251868AF4}"/>
    <cellStyle name="Comma 3 2 11 2 4 2 2" xfId="29255" xr:uid="{AAC43C9B-CA8A-4D69-B189-D29743C8F7D5}"/>
    <cellStyle name="Comma 3 2 11 2 4 3" xfId="21727" xr:uid="{D8D69F3B-071E-4BA0-B4E4-99A71D0671B6}"/>
    <cellStyle name="Comma 3 2 11 2 5" xfId="10104" xr:uid="{81237E89-9482-43DF-9729-8D6F182839D4}"/>
    <cellStyle name="Comma 3 2 11 2 5 2" xfId="26308" xr:uid="{83A5E971-0D63-4963-88E0-8F4C179F1FC1}"/>
    <cellStyle name="Comma 3 2 11 2 6" xfId="16985" xr:uid="{A4678963-0E3B-40CE-B3CD-8EA86754A468}"/>
    <cellStyle name="Comma 3 2 11 2 6 2" xfId="33117" xr:uid="{647DF653-39A6-43DD-924E-EEFCAF5444EF}"/>
    <cellStyle name="Comma 3 2 11 2 7" xfId="18630" xr:uid="{B2E81EB1-14CE-401A-80D9-719E8D9DCD48}"/>
    <cellStyle name="Comma 3 2 11 3" xfId="2830" xr:uid="{48959AEB-59DF-4D34-B308-C2E96D3AB463}"/>
    <cellStyle name="Comma 3 2 11 3 2" xfId="6614" xr:uid="{38C90085-59BD-4C2A-9ACD-7222DAB17B22}"/>
    <cellStyle name="Comma 3 2 11 3 2 2" xfId="14126" xr:uid="{2BA2DCD3-9164-4F85-83B5-13449E225176}"/>
    <cellStyle name="Comma 3 2 11 3 2 2 2" xfId="30330" xr:uid="{655BF375-CCC3-4662-A70C-779E93309FDD}"/>
    <cellStyle name="Comma 3 2 11 3 2 3" xfId="22818" xr:uid="{BAFAB0D9-0E2B-4BCF-A839-90B5AA3FE7AF}"/>
    <cellStyle name="Comma 3 2 11 3 3" xfId="5217" xr:uid="{9667E5E0-9102-4573-9954-1B96B8B7D820}"/>
    <cellStyle name="Comma 3 2 11 3 3 2" xfId="12773" xr:uid="{AF5E438D-FEF3-4D5E-A95A-7665A8225CAA}"/>
    <cellStyle name="Comma 3 2 11 3 3 2 2" xfId="28977" xr:uid="{8E51C2C9-49D1-4034-BA9C-10A1C87FD89F}"/>
    <cellStyle name="Comma 3 2 11 3 3 3" xfId="21421" xr:uid="{F04C506B-50EA-4FC5-8EBA-225322D6D848}"/>
    <cellStyle name="Comma 3 2 11 3 4" xfId="10526" xr:uid="{5B95C134-4697-4E25-B480-11D35AF2FD95}"/>
    <cellStyle name="Comma 3 2 11 3 4 2" xfId="26730" xr:uid="{BAEB019A-E6AB-48A0-9798-74B05B5410C1}"/>
    <cellStyle name="Comma 3 2 11 3 5" xfId="16987" xr:uid="{16D5E066-D57C-4D20-8FCD-B20C79A46896}"/>
    <cellStyle name="Comma 3 2 11 3 5 2" xfId="33119" xr:uid="{D997171E-9E3B-4C1B-974D-D88CB97D2D6A}"/>
    <cellStyle name="Comma 3 2 11 3 6" xfId="19052" xr:uid="{7F19EE4F-AB09-4416-B6AD-A0BA6683CD05}"/>
    <cellStyle name="Comma 3 2 11 4" xfId="3761" xr:uid="{70F699FC-263A-490E-A0B0-AB1D141E0EF2}"/>
    <cellStyle name="Comma 3 2 11 4 2" xfId="7471" xr:uid="{241523A3-FD20-4CD3-AEBA-549B990C7B85}"/>
    <cellStyle name="Comma 3 2 11 4 2 2" xfId="14980" xr:uid="{EAFBF8B2-B503-48CD-B685-09856E184C25}"/>
    <cellStyle name="Comma 3 2 11 4 2 2 2" xfId="31184" xr:uid="{D8C0AA6E-5844-49AF-B23C-A2635A2CA1C2}"/>
    <cellStyle name="Comma 3 2 11 4 2 3" xfId="23675" xr:uid="{9E62A02E-2342-4031-AC90-85108B2D9D8B}"/>
    <cellStyle name="Comma 3 2 11 4 3" xfId="5561" xr:uid="{A4444685-56CB-4BD9-88C3-C07404666FE0}"/>
    <cellStyle name="Comma 3 2 11 4 3 2" xfId="13080" xr:uid="{33D7C31D-36AB-4864-A521-02E4F2590E04}"/>
    <cellStyle name="Comma 3 2 11 4 3 2 2" xfId="29284" xr:uid="{8800E992-F4D0-4983-9423-045B51A26FB7}"/>
    <cellStyle name="Comma 3 2 11 4 3 3" xfId="21765" xr:uid="{AAAABD18-F051-4726-9CEC-0E61774F824B}"/>
    <cellStyle name="Comma 3 2 11 4 4" xfId="11371" xr:uid="{D85663AE-E54D-42C6-BD85-B8872E2830E6}"/>
    <cellStyle name="Comma 3 2 11 4 4 2" xfId="27575" xr:uid="{F7832FAD-D9CA-4FBF-AEE4-F7945DEF2759}"/>
    <cellStyle name="Comma 3 2 11 4 5" xfId="16988" xr:uid="{5B19FD1C-950A-4E68-AF43-28C16E413BA2}"/>
    <cellStyle name="Comma 3 2 11 4 5 2" xfId="33120" xr:uid="{93535BCE-A5E9-4301-A93F-66E036252622}"/>
    <cellStyle name="Comma 3 2 11 4 6" xfId="19970" xr:uid="{2F2F8333-447C-4954-ADD9-E8B5EFBB3DB1}"/>
    <cellStyle name="Comma 3 2 11 5" xfId="3618" xr:uid="{5746BBAD-1445-4878-8C6B-1FDFF7638037}"/>
    <cellStyle name="Comma 3 2 11 5 2" xfId="5494" xr:uid="{59782009-9DC4-4736-8B0F-AC1F2B5F412C}"/>
    <cellStyle name="Comma 3 2 11 5 2 2" xfId="21698" xr:uid="{B834CA4D-15E4-41E3-B2C3-E3725A2221B2}"/>
    <cellStyle name="Comma 3 2 11 5 3" xfId="16989" xr:uid="{CFA105E8-67EC-42F3-BE3D-A2D59BF802D3}"/>
    <cellStyle name="Comma 3 2 11 5 3 2" xfId="33121" xr:uid="{7D822C30-2F9B-450C-ABF5-04A5E936B1BB}"/>
    <cellStyle name="Comma 3 2 11 5 4" xfId="19827" xr:uid="{1B73C953-6DE8-41C0-B9B8-C55AA2F0B2BE}"/>
    <cellStyle name="Comma 3 2 11 6" xfId="4230" xr:uid="{A5014B7C-F990-4B56-B006-FD7AB1ACF648}"/>
    <cellStyle name="Comma 3 2 11 6 2" xfId="7900" xr:uid="{E8488BAB-8718-4B23-9FC7-1D15625B8E54}"/>
    <cellStyle name="Comma 3 2 11 6 2 2" xfId="15407" xr:uid="{4DBDD425-2CDD-4904-9D57-009552C6FF23}"/>
    <cellStyle name="Comma 3 2 11 6 2 2 2" xfId="31611" xr:uid="{76EAA5AE-50FE-4289-8554-D84DEC0FB027}"/>
    <cellStyle name="Comma 3 2 11 6 2 3" xfId="24104" xr:uid="{E664366E-9FAF-46B1-A353-94DC191B05CF}"/>
    <cellStyle name="Comma 3 2 11 6 3" xfId="8934" xr:uid="{4E532EC2-0529-4B1D-B95D-5A6B99AB64AB}"/>
    <cellStyle name="Comma 3 2 11 6 3 2" xfId="16433" xr:uid="{D57748C4-84AC-478D-830A-108C6DA7394E}"/>
    <cellStyle name="Comma 3 2 11 6 3 2 2" xfId="32637" xr:uid="{EF7969FC-3453-46CC-A506-AA4175F63481}"/>
    <cellStyle name="Comma 3 2 11 6 3 3" xfId="25138" xr:uid="{A514D98B-3A4E-4AF3-9B16-12D016343EE2}"/>
    <cellStyle name="Comma 3 2 11 6 4" xfId="11793" xr:uid="{9A4A369B-FBA4-444E-A57F-9CF8D3E6B60A}"/>
    <cellStyle name="Comma 3 2 11 6 4 2" xfId="27997" xr:uid="{14EB3827-4821-42FC-93E1-A85F12B03E29}"/>
    <cellStyle name="Comma 3 2 11 6 5" xfId="16990" xr:uid="{30D894FF-77D1-4E99-B979-37DCD0448393}"/>
    <cellStyle name="Comma 3 2 11 6 5 2" xfId="33122" xr:uid="{4BCE402B-6AC6-4364-A367-823358D99199}"/>
    <cellStyle name="Comma 3 2 11 6 6" xfId="20434" xr:uid="{34DA6A88-82DA-4A49-A3DE-C978B1353876}"/>
    <cellStyle name="Comma 3 2 11 7" xfId="4655" xr:uid="{3BB0D9B1-64D3-4924-96C0-88826A685A76}"/>
    <cellStyle name="Comma 3 2 11 7 2" xfId="8325" xr:uid="{5E2A2F6E-37D8-4836-8D9F-DFD2B5EDA672}"/>
    <cellStyle name="Comma 3 2 11 7 2 2" xfId="15832" xr:uid="{771658C3-E9D7-4851-89EA-B25C8A8C6013}"/>
    <cellStyle name="Comma 3 2 11 7 2 2 2" xfId="32036" xr:uid="{95A52B71-0A4A-4384-B212-47D067700320}"/>
    <cellStyle name="Comma 3 2 11 7 2 3" xfId="24529" xr:uid="{4E6D75BB-DE6E-4F21-8828-FDAB9F43FDE6}"/>
    <cellStyle name="Comma 3 2 11 7 3" xfId="9323" xr:uid="{AECEE5D9-92C2-46ED-BBEF-656C50BFBF93}"/>
    <cellStyle name="Comma 3 2 11 7 3 2" xfId="16769" xr:uid="{59D39332-F30D-45ED-AAD5-543EE149D177}"/>
    <cellStyle name="Comma 3 2 11 7 3 2 2" xfId="32973" xr:uid="{C9530674-08C4-4757-B207-5F00D9E4F5C1}"/>
    <cellStyle name="Comma 3 2 11 7 3 3" xfId="25527" xr:uid="{93198FCD-F1BA-4571-84F7-0C953BC8339E}"/>
    <cellStyle name="Comma 3 2 11 7 4" xfId="12218" xr:uid="{DCF4358F-B028-43AB-9FF1-5F21FA9C9CEE}"/>
    <cellStyle name="Comma 3 2 11 7 4 2" xfId="28422" xr:uid="{4D31222B-43AE-4FDD-833B-83B2F8CC4F42}"/>
    <cellStyle name="Comma 3 2 11 7 5" xfId="16991" xr:uid="{92F697F3-0F96-4A2E-B2EA-07641DD52917}"/>
    <cellStyle name="Comma 3 2 11 7 5 2" xfId="33123" xr:uid="{0E53D3E9-36D1-4B71-AED9-2C8DD098B820}"/>
    <cellStyle name="Comma 3 2 11 7 6" xfId="20859" xr:uid="{96B4B598-9754-4CD0-9E07-989A7DFCDC60}"/>
    <cellStyle name="Comma 3 2 11 8" xfId="5083" xr:uid="{52284096-3326-4B06-AE65-6A5977E23B6B}"/>
    <cellStyle name="Comma 3 2 11 8 2" xfId="8748" xr:uid="{BAB7E640-14BD-4516-806F-01EAA9A55C02}"/>
    <cellStyle name="Comma 3 2 11 8 2 2" xfId="16255" xr:uid="{1236A630-858B-414B-930C-C2FE31AE35BF}"/>
    <cellStyle name="Comma 3 2 11 8 2 2 2" xfId="32459" xr:uid="{B9CE64E9-B672-4D8C-8994-014A6506EA71}"/>
    <cellStyle name="Comma 3 2 11 8 2 3" xfId="24952" xr:uid="{2323C68C-7E64-4E80-B98F-B1D5EC1A4741}"/>
    <cellStyle name="Comma 3 2 11 8 3" xfId="12640" xr:uid="{E7345791-91B3-4B75-B320-E3673673C75F}"/>
    <cellStyle name="Comma 3 2 11 8 3 2" xfId="28844" xr:uid="{D2DD2487-25E2-49F3-A40C-788370A07226}"/>
    <cellStyle name="Comma 3 2 11 8 4" xfId="21287" xr:uid="{1C733E2B-8138-4E7F-873E-C112EEDCD6B9}"/>
    <cellStyle name="Comma 3 2 11 9" xfId="5754" xr:uid="{69D27775-F1D0-42DC-9DDA-0B6BE6A1B18D}"/>
    <cellStyle name="Comma 3 2 11 9 2" xfId="13269" xr:uid="{3618E858-ABBC-477E-AB4C-7A8CB05DB2A3}"/>
    <cellStyle name="Comma 3 2 11 9 2 2" xfId="29473" xr:uid="{3B3C105E-966D-49E5-9B99-CCFBF5034CCF}"/>
    <cellStyle name="Comma 3 2 11 9 3" xfId="21958" xr:uid="{DBC4FF7C-7010-4C32-A3E1-46764330FF49}"/>
    <cellStyle name="Comma 3 2 12" xfId="2193" xr:uid="{EC6CFDEB-FDD1-4A84-B74A-2D8452890795}"/>
    <cellStyle name="Comma 3 2 12 2" xfId="3101" xr:uid="{4099F2B0-1C9A-4921-A771-CD0EC2582E0A}"/>
    <cellStyle name="Comma 3 2 12 2 2" xfId="6883" xr:uid="{A055C684-A7A5-4D1C-88E9-8498A3D520E9}"/>
    <cellStyle name="Comma 3 2 12 2 2 2" xfId="14394" xr:uid="{15E134E2-27C6-4666-B1E3-B42AC0C1C3FD}"/>
    <cellStyle name="Comma 3 2 12 2 2 2 2" xfId="30598" xr:uid="{CF4AE295-738D-4AB1-AAE6-D277D10CAC56}"/>
    <cellStyle name="Comma 3 2 12 2 2 3" xfId="23087" xr:uid="{10427992-743F-412C-A834-DB41534ED91E}"/>
    <cellStyle name="Comma 3 2 12 2 3" xfId="9350" xr:uid="{E995CA76-7C31-407F-B2A3-3146582C8517}"/>
    <cellStyle name="Comma 3 2 12 2 3 2" xfId="16793" xr:uid="{033CBF38-82CF-488C-A3A8-DCF3BBF39739}"/>
    <cellStyle name="Comma 3 2 12 2 3 2 2" xfId="32997" xr:uid="{8D68CF47-E447-4D51-AD18-6DE40625FE58}"/>
    <cellStyle name="Comma 3 2 12 2 3 3" xfId="25554" xr:uid="{B4B92AD0-8CDD-4061-9502-B3A53BCF6412}"/>
    <cellStyle name="Comma 3 2 12 2 4" xfId="10794" xr:uid="{1D270235-5CBE-48E6-8CA3-6077BCBBD457}"/>
    <cellStyle name="Comma 3 2 12 2 4 2" xfId="26998" xr:uid="{2F831F84-C7E9-41A1-80FC-EB51916A6E80}"/>
    <cellStyle name="Comma 3 2 12 2 5" xfId="16993" xr:uid="{71DA39F1-0059-4678-B473-E4B03ACC5FFE}"/>
    <cellStyle name="Comma 3 2 12 2 5 2" xfId="33125" xr:uid="{9E56D8AE-9FC9-4187-A628-7BA9F0F7B3B0}"/>
    <cellStyle name="Comma 3 2 12 2 6" xfId="19321" xr:uid="{89C0DA81-E55B-4A97-8D9E-6C12ECE4E9E2}"/>
    <cellStyle name="Comma 3 2 12 3" xfId="6027" xr:uid="{EB76A15B-279C-4314-AB97-E2AE8513A329}"/>
    <cellStyle name="Comma 3 2 12 3 2" xfId="13541" xr:uid="{AFE718D5-E577-4C2E-B6D2-B892D3A074DF}"/>
    <cellStyle name="Comma 3 2 12 3 2 2" xfId="29745" xr:uid="{BE317EB6-548D-4FFD-8B10-EC6904F68CA4}"/>
    <cellStyle name="Comma 3 2 12 3 3" xfId="22231" xr:uid="{AD0D0B8C-596A-440D-B225-1C7D00E946B4}"/>
    <cellStyle name="Comma 3 2 12 4" xfId="8874" xr:uid="{6BDD7A8C-D3B3-4312-8F90-6E7F128A05A3}"/>
    <cellStyle name="Comma 3 2 12 4 2" xfId="16380" xr:uid="{B53FB59E-4681-447F-8419-A6AAD6B17FAB}"/>
    <cellStyle name="Comma 3 2 12 4 2 2" xfId="32584" xr:uid="{E296E55E-58C0-4E4B-9081-077185A55939}"/>
    <cellStyle name="Comma 3 2 12 4 3" xfId="25078" xr:uid="{D1D960EE-659F-4A53-9C5E-73D1152A0D93}"/>
    <cellStyle name="Comma 3 2 12 5" xfId="9950" xr:uid="{6CA3AB0F-8901-4F44-AA69-9F012DBFFB27}"/>
    <cellStyle name="Comma 3 2 12 5 2" xfId="26154" xr:uid="{DBC49339-6C82-4FC6-952E-C94A977B3933}"/>
    <cellStyle name="Comma 3 2 12 6" xfId="16992" xr:uid="{F44C1D22-8885-463D-B3F1-FD2CB944830C}"/>
    <cellStyle name="Comma 3 2 12 6 2" xfId="33124" xr:uid="{6C2D1D6F-9977-4B45-A680-090C71E4FEA1}"/>
    <cellStyle name="Comma 3 2 12 7" xfId="18476" xr:uid="{52C35EC0-7B7D-4127-9516-9B18D4371691}"/>
    <cellStyle name="Comma 3 2 13" xfId="2676" xr:uid="{A2244AA8-D91C-490D-B89E-D76825AB76FE}"/>
    <cellStyle name="Comma 3 2 13 2" xfId="6460" xr:uid="{29E5B48F-7B45-4334-B712-74EC36DD384F}"/>
    <cellStyle name="Comma 3 2 13 2 2" xfId="13972" xr:uid="{11FBECC5-ABC8-4ED0-90BA-A7AC903625E0}"/>
    <cellStyle name="Comma 3 2 13 2 2 2" xfId="30176" xr:uid="{62C20103-0AF1-4489-89AF-DA89CDD13610}"/>
    <cellStyle name="Comma 3 2 13 2 3" xfId="22664" xr:uid="{CC2F2656-6C94-4C97-A99D-E5840AB6A6E5}"/>
    <cellStyle name="Comma 3 2 13 3" xfId="5532" xr:uid="{61A1D9A5-B424-47A8-958C-B4B8A1065363}"/>
    <cellStyle name="Comma 3 2 13 3 2" xfId="13058" xr:uid="{A0A7992C-3607-4655-8308-D9D1BA08A310}"/>
    <cellStyle name="Comma 3 2 13 3 2 2" xfId="29262" xr:uid="{89BE8AF1-0884-4286-B1C2-4918FC1C2F18}"/>
    <cellStyle name="Comma 3 2 13 3 3" xfId="21736" xr:uid="{3EAFF0CD-D24B-4C7C-A0EF-3BEB4C99ABA1}"/>
    <cellStyle name="Comma 3 2 13 4" xfId="10372" xr:uid="{3A846EF6-4E3C-4651-96AC-74CB1B4EB974}"/>
    <cellStyle name="Comma 3 2 13 4 2" xfId="26576" xr:uid="{074F54EB-EFF5-4DD8-A271-E429E381C722}"/>
    <cellStyle name="Comma 3 2 13 5" xfId="16994" xr:uid="{E46AEEA6-4009-4165-82AD-30D8123EB20A}"/>
    <cellStyle name="Comma 3 2 13 5 2" xfId="33126" xr:uid="{2D467D4D-BF8B-490E-9CC2-81B487408A9E}"/>
    <cellStyle name="Comma 3 2 13 6" xfId="18898" xr:uid="{B7C1ED56-AA6B-4726-8283-E5085A6F7697}"/>
    <cellStyle name="Comma 3 2 14" xfId="3584" xr:uid="{9AE87BBD-B7ED-4628-BBC0-82194F200E32}"/>
    <cellStyle name="Comma 3 2 14 2" xfId="7313" xr:uid="{DBC7F608-831B-4F3F-83CD-A11D0143ABA0}"/>
    <cellStyle name="Comma 3 2 14 2 2" xfId="14822" xr:uid="{716042FC-9526-44ED-BE29-C87D17953DEA}"/>
    <cellStyle name="Comma 3 2 14 2 2 2" xfId="31026" xr:uid="{08735516-7DD8-4F2E-AF07-491D710BC89C}"/>
    <cellStyle name="Comma 3 2 14 2 3" xfId="23517" xr:uid="{AECCB673-3EB6-4363-9BE9-5A34FAEBC7B3}"/>
    <cellStyle name="Comma 3 2 14 3" xfId="5451" xr:uid="{94D3F001-DDB4-4D0C-9A4C-4FE35DE10CB8}"/>
    <cellStyle name="Comma 3 2 14 3 2" xfId="12994" xr:uid="{B98B77AA-DFB4-4110-9320-906EF937A866}"/>
    <cellStyle name="Comma 3 2 14 3 2 2" xfId="29198" xr:uid="{B7CCFCA5-F838-465F-BCDC-4668895A3641}"/>
    <cellStyle name="Comma 3 2 14 3 3" xfId="21655" xr:uid="{94E189A2-F895-48AC-BC96-49510AB655F6}"/>
    <cellStyle name="Comma 3 2 14 4" xfId="11217" xr:uid="{FC0532D8-69ED-42DF-B0E4-8D19667853DB}"/>
    <cellStyle name="Comma 3 2 14 4 2" xfId="27421" xr:uid="{907C1B62-75C5-4223-AE84-0325D3F4CA65}"/>
    <cellStyle name="Comma 3 2 14 5" xfId="16995" xr:uid="{729F64E7-E7B1-4914-8650-ED284D44D304}"/>
    <cellStyle name="Comma 3 2 14 5 2" xfId="33127" xr:uid="{58A8C851-7258-4D35-8411-D482E90F4FEE}"/>
    <cellStyle name="Comma 3 2 14 6" xfId="19795" xr:uid="{BD45E495-DA69-4CE1-990C-49749605DD3D}"/>
    <cellStyle name="Comma 3 2 15" xfId="3398" xr:uid="{7131AF68-B543-4B14-A459-F09165923EB4}"/>
    <cellStyle name="Comma 3 2 15 2" xfId="9329" xr:uid="{B81E3F1C-0653-4A5D-86B1-2B3303E1C0C9}"/>
    <cellStyle name="Comma 3 2 15 2 2" xfId="25533" xr:uid="{00CA7154-0519-4059-9FA9-0C3BA90341BF}"/>
    <cellStyle name="Comma 3 2 15 3" xfId="16996" xr:uid="{B973C12B-B090-484E-B2C9-DBB3592D2B93}"/>
    <cellStyle name="Comma 3 2 15 3 2" xfId="33128" xr:uid="{60EBB7DC-49E4-4000-BB5C-64BD42B2A4E1}"/>
    <cellStyle name="Comma 3 2 15 4" xfId="19614" xr:uid="{58B8C5FA-E9AA-49A2-94F5-1A2055C6BD21}"/>
    <cellStyle name="Comma 3 2 16" xfId="4076" xr:uid="{EBA4269E-60F2-4172-9872-37A60543A75A}"/>
    <cellStyle name="Comma 3 2 16 2" xfId="7746" xr:uid="{86120387-7F85-4348-936F-42F62D628536}"/>
    <cellStyle name="Comma 3 2 16 2 2" xfId="15253" xr:uid="{0C9651A0-2F79-4507-A499-3B8EC45442F6}"/>
    <cellStyle name="Comma 3 2 16 2 2 2" xfId="31457" xr:uid="{0498BD1F-73AE-4446-A442-C9191AB19DFF}"/>
    <cellStyle name="Comma 3 2 16 2 3" xfId="23950" xr:uid="{4815B63B-38AF-406A-B46D-8E3CC2FA806F}"/>
    <cellStyle name="Comma 3 2 16 3" xfId="9044" xr:uid="{BBFE345D-92F0-4AB8-BC04-33B8F8E8F418}"/>
    <cellStyle name="Comma 3 2 16 3 2" xfId="16533" xr:uid="{89D0919B-526B-4F1A-B742-2810F09584A6}"/>
    <cellStyle name="Comma 3 2 16 3 2 2" xfId="32737" xr:uid="{0CD5BDBA-C73A-4D69-B878-0873060AE3D9}"/>
    <cellStyle name="Comma 3 2 16 3 3" xfId="25248" xr:uid="{8F919621-09F4-407B-B89F-EFE260608910}"/>
    <cellStyle name="Comma 3 2 16 4" xfId="11639" xr:uid="{B1697D71-4ED9-4DA4-9B46-4E37B9EE223B}"/>
    <cellStyle name="Comma 3 2 16 4 2" xfId="27843" xr:uid="{5E99C134-5CC8-4F57-A535-417659D4B086}"/>
    <cellStyle name="Comma 3 2 16 5" xfId="16997" xr:uid="{FE41BCCD-88EF-4310-A6B2-F9711E2203E0}"/>
    <cellStyle name="Comma 3 2 16 5 2" xfId="33129" xr:uid="{C4DAA4C0-DE92-4C2C-9C79-2DAC6FC0895E}"/>
    <cellStyle name="Comma 3 2 16 6" xfId="20280" xr:uid="{BD5A1586-79CE-4A31-8C53-250D8E1D1750}"/>
    <cellStyle name="Comma 3 2 17" xfId="4501" xr:uid="{37A3C793-C81A-42D6-8619-B39480E7BF97}"/>
    <cellStyle name="Comma 3 2 17 2" xfId="8171" xr:uid="{DC802379-8FED-4550-A31A-87787BBE9F3B}"/>
    <cellStyle name="Comma 3 2 17 2 2" xfId="15678" xr:uid="{310CBF1F-2B67-4290-8280-02E48F45C633}"/>
    <cellStyle name="Comma 3 2 17 2 2 2" xfId="31882" xr:uid="{AEDF2DBC-1033-4067-B9A1-07EE427005B5}"/>
    <cellStyle name="Comma 3 2 17 2 3" xfId="24375" xr:uid="{263C1CAF-4E35-44EB-85B9-C549F24EC5A1}"/>
    <cellStyle name="Comma 3 2 17 3" xfId="9084" xr:uid="{B480FC39-0290-4A10-B7F4-7EE79D052D6C}"/>
    <cellStyle name="Comma 3 2 17 3 2" xfId="16564" xr:uid="{0DB5FA93-C455-4231-8FC5-7BF7BBF25203}"/>
    <cellStyle name="Comma 3 2 17 3 2 2" xfId="32768" xr:uid="{F5DAD2B6-2195-4261-98D0-31D72B1E248A}"/>
    <cellStyle name="Comma 3 2 17 3 3" xfId="25288" xr:uid="{61990A76-2BBB-4543-B484-251F9327CBBC}"/>
    <cellStyle name="Comma 3 2 17 4" xfId="12064" xr:uid="{9E348DA3-E18F-4376-8B2D-754B40491DA0}"/>
    <cellStyle name="Comma 3 2 17 4 2" xfId="28268" xr:uid="{CEA39205-4102-44BE-83F9-95D14EE70CC1}"/>
    <cellStyle name="Comma 3 2 17 5" xfId="16998" xr:uid="{B3EFC19B-6431-4B44-81DD-9E7C2514ACAD}"/>
    <cellStyle name="Comma 3 2 17 5 2" xfId="33130" xr:uid="{A90B48EF-32B7-4475-B557-71AF8BAFE31E}"/>
    <cellStyle name="Comma 3 2 17 6" xfId="20705" xr:uid="{9ABAE978-1FC6-4F9D-BE35-F44FB4D96749}"/>
    <cellStyle name="Comma 3 2 18" xfId="4928" xr:uid="{346F0FE2-DCFD-4A3E-8D37-CC4680142F57}"/>
    <cellStyle name="Comma 3 2 18 2" xfId="8594" xr:uid="{FF3063AA-D38A-4686-86B7-3359077F6B5D}"/>
    <cellStyle name="Comma 3 2 18 2 2" xfId="16101" xr:uid="{9316A53D-8950-49E6-B497-FEA9182C5840}"/>
    <cellStyle name="Comma 3 2 18 2 2 2" xfId="32305" xr:uid="{E772B272-678E-40FA-885E-28CE2809E499}"/>
    <cellStyle name="Comma 3 2 18 2 3" xfId="24798" xr:uid="{7C0E9747-F4B8-47F6-9E6C-DE49E904F17F}"/>
    <cellStyle name="Comma 3 2 18 3" xfId="12486" xr:uid="{234B5C1C-4E78-42EC-8BDB-04EC453BDD2B}"/>
    <cellStyle name="Comma 3 2 18 3 2" xfId="28690" xr:uid="{BFA89AD6-F28E-4105-8CB3-B2860E2A3C33}"/>
    <cellStyle name="Comma 3 2 18 4" xfId="21132" xr:uid="{A241C2AF-D9CE-4A07-8023-26311E367E9F}"/>
    <cellStyle name="Comma 3 2 19" xfId="5503" xr:uid="{81F88786-3F8C-4C05-9A20-55375003334A}"/>
    <cellStyle name="Comma 3 2 19 2" xfId="13037" xr:uid="{C925A567-C0CC-4EC6-AB53-9F4E28DB14D7}"/>
    <cellStyle name="Comma 3 2 19 2 2" xfId="29241" xr:uid="{CD094A0F-F91F-4334-8F0B-5FC83CB228E2}"/>
    <cellStyle name="Comma 3 2 19 3" xfId="21707" xr:uid="{AF4A6593-ADAD-45BE-9B90-134856AABEC4}"/>
    <cellStyle name="Comma 3 2 2" xfId="1580" xr:uid="{D72384CF-2990-4D32-88E3-965397B8C128}"/>
    <cellStyle name="Comma 3 2 2 10" xfId="4078" xr:uid="{C684956B-B97E-47A0-ABB7-2F3725DDC154}"/>
    <cellStyle name="Comma 3 2 2 10 2" xfId="7748" xr:uid="{6437E38C-2772-428A-8839-53346F746216}"/>
    <cellStyle name="Comma 3 2 2 10 2 2" xfId="15255" xr:uid="{1B227EB9-AB54-46AE-87D0-D6C02B3AA334}"/>
    <cellStyle name="Comma 3 2 2 10 2 2 2" xfId="31459" xr:uid="{8DDC4560-E7BD-4838-9B2C-A5DDAFF708AD}"/>
    <cellStyle name="Comma 3 2 2 10 2 3" xfId="23952" xr:uid="{40A306D7-B221-43AE-9361-B26665003987}"/>
    <cellStyle name="Comma 3 2 2 10 3" xfId="8943" xr:uid="{09AF5EF5-32AA-4A89-84F2-7D987E705276}"/>
    <cellStyle name="Comma 3 2 2 10 3 2" xfId="16441" xr:uid="{8229C34A-2DB3-4741-BAF0-7A998E2CF48C}"/>
    <cellStyle name="Comma 3 2 2 10 3 2 2" xfId="32645" xr:uid="{95DDA662-8927-40AC-A6FD-4650B10EDB39}"/>
    <cellStyle name="Comma 3 2 2 10 3 3" xfId="25147" xr:uid="{187ABC8E-8200-494F-9FF3-1DFA3D8DD207}"/>
    <cellStyle name="Comma 3 2 2 10 4" xfId="11641" xr:uid="{93758A8D-3583-4BC9-B1C4-C91120B76F58}"/>
    <cellStyle name="Comma 3 2 2 10 4 2" xfId="27845" xr:uid="{CFE35230-AB10-47E0-B286-27E6F3EC6324}"/>
    <cellStyle name="Comma 3 2 2 10 5" xfId="17000" xr:uid="{6CB0EF0A-4CCA-4CE7-B500-0DDBC4924CE3}"/>
    <cellStyle name="Comma 3 2 2 10 5 2" xfId="33132" xr:uid="{9C3164A2-EC7D-4567-81BB-AD32852A17C8}"/>
    <cellStyle name="Comma 3 2 2 10 6" xfId="20282" xr:uid="{0E368915-90AF-4EE5-86B7-22B386D13AD1}"/>
    <cellStyle name="Comma 3 2 2 11" xfId="4503" xr:uid="{624F42C8-18E4-47A9-AF7C-5339B061A9BA}"/>
    <cellStyle name="Comma 3 2 2 11 2" xfId="8173" xr:uid="{EC6C2886-F71C-41DE-AEDF-10DC1A04B2D0}"/>
    <cellStyle name="Comma 3 2 2 11 2 2" xfId="15680" xr:uid="{AF86FAC9-5AD3-4939-9C73-DEFDE7E3026C}"/>
    <cellStyle name="Comma 3 2 2 11 2 2 2" xfId="31884" xr:uid="{04093AA8-70FC-41FA-9A2A-171DB02C28BC}"/>
    <cellStyle name="Comma 3 2 2 11 2 3" xfId="24377" xr:uid="{33D196B8-62D5-4077-BB07-5B3741B086B9}"/>
    <cellStyle name="Comma 3 2 2 11 3" xfId="8985" xr:uid="{B22EE63D-ABFF-4CA6-B706-F1EA87F5C9C7}"/>
    <cellStyle name="Comma 3 2 2 11 3 2" xfId="16479" xr:uid="{5F7676C3-6810-4A94-9C13-CDFBB941B741}"/>
    <cellStyle name="Comma 3 2 2 11 3 2 2" xfId="32683" xr:uid="{AC78AB51-096F-4232-BC13-0C40F3551A2F}"/>
    <cellStyle name="Comma 3 2 2 11 3 3" xfId="25189" xr:uid="{CDCD850B-A461-4B05-AA99-69386CCFE0FE}"/>
    <cellStyle name="Comma 3 2 2 11 4" xfId="12066" xr:uid="{6BA97AA8-57BA-4517-9ED2-5608CE7DA228}"/>
    <cellStyle name="Comma 3 2 2 11 4 2" xfId="28270" xr:uid="{CC10F9A0-6182-41FD-98A8-1C42DC494548}"/>
    <cellStyle name="Comma 3 2 2 11 5" xfId="17001" xr:uid="{0CE9A686-D4A8-423F-BA6E-414212C0A290}"/>
    <cellStyle name="Comma 3 2 2 11 5 2" xfId="33133" xr:uid="{078D417C-4A53-49D4-98C3-E6254248300D}"/>
    <cellStyle name="Comma 3 2 2 11 6" xfId="20707" xr:uid="{0A23C7A6-D678-4B4C-936F-B93B2AAE58FA}"/>
    <cellStyle name="Comma 3 2 2 12" xfId="4930" xr:uid="{3CCAB2DA-C50E-40E5-9432-5D1CFB23A695}"/>
    <cellStyle name="Comma 3 2 2 12 2" xfId="8596" xr:uid="{F57B579E-FF7F-4633-BC6E-207517036FC7}"/>
    <cellStyle name="Comma 3 2 2 12 2 2" xfId="16103" xr:uid="{A700EC59-DA74-4E2F-B8BC-8EF63529BB76}"/>
    <cellStyle name="Comma 3 2 2 12 2 2 2" xfId="32307" xr:uid="{ED99AAE8-8C9E-4E5F-A3B9-8473FF104753}"/>
    <cellStyle name="Comma 3 2 2 12 2 3" xfId="24800" xr:uid="{F4293BA6-1F93-4174-8CE4-BE04B636E870}"/>
    <cellStyle name="Comma 3 2 2 12 3" xfId="12488" xr:uid="{48B19876-C33F-43B5-89B6-4C3BC1FA8765}"/>
    <cellStyle name="Comma 3 2 2 12 3 2" xfId="28692" xr:uid="{AB20FC02-A331-40F1-896E-1BCF16BFA6D6}"/>
    <cellStyle name="Comma 3 2 2 12 4" xfId="21134" xr:uid="{E8E1D00F-4FF7-478C-828E-61808B8274A8}"/>
    <cellStyle name="Comma 3 2 2 13" xfId="5569" xr:uid="{B5DE3D35-1671-4E24-91FF-6C945AA6B0E9}"/>
    <cellStyle name="Comma 3 2 2 13 2" xfId="13087" xr:uid="{AE05C07C-4AE2-46A8-8D67-1B4BE0D45D1E}"/>
    <cellStyle name="Comma 3 2 2 13 2 2" xfId="29291" xr:uid="{DAE844E4-C5ED-4A72-9312-B216878150EE}"/>
    <cellStyle name="Comma 3 2 2 13 3" xfId="21773" xr:uid="{243E2109-2004-4083-A071-D994930398D9}"/>
    <cellStyle name="Comma 3 2 2 14" xfId="9529" xr:uid="{4630351C-D41D-4070-AE3E-3DCD679AC39E}"/>
    <cellStyle name="Comma 3 2 2 14 2" xfId="25733" xr:uid="{8B2E831A-0429-47B4-8C05-EEE38B3F124E}"/>
    <cellStyle name="Comma 3 2 2 15" xfId="16999" xr:uid="{C1CA1323-EC80-485E-BA4A-2C5AF967ACB8}"/>
    <cellStyle name="Comma 3 2 2 15 2" xfId="33131" xr:uid="{AE1CE003-7DC5-4982-9049-8D7671473199}"/>
    <cellStyle name="Comma 3 2 2 16" xfId="18052" xr:uid="{FA2AE518-2BA4-4D56-B395-0127AA8F6E60}"/>
    <cellStyle name="Comma 3 2 2 2" xfId="1746" xr:uid="{6F93B2D1-ABA1-4566-8152-CC972412D2CF}"/>
    <cellStyle name="Comma 3 2 2 2 10" xfId="5615" xr:uid="{15AF9F65-0339-4E00-B422-E27FF7E87D80}"/>
    <cellStyle name="Comma 3 2 2 2 10 2" xfId="13130" xr:uid="{A1C10F51-C501-4980-BA3C-F26097F7FF03}"/>
    <cellStyle name="Comma 3 2 2 2 10 2 2" xfId="29334" xr:uid="{590A1685-B49C-48D9-B041-4C24C1E8F6AC}"/>
    <cellStyle name="Comma 3 2 2 2 10 3" xfId="21819" xr:uid="{D63D13AD-BDC3-42DC-A6EC-893F3B025B37}"/>
    <cellStyle name="Comma 3 2 2 2 11" xfId="9543" xr:uid="{A0CA6FEA-1925-4532-B93F-4348DA31363D}"/>
    <cellStyle name="Comma 3 2 2 2 11 2" xfId="25747" xr:uid="{246F9718-C3CC-4C52-B3D6-E10D47FA2A4B}"/>
    <cellStyle name="Comma 3 2 2 2 12" xfId="17002" xr:uid="{747CAAB0-319E-4A0C-8264-DDE870247151}"/>
    <cellStyle name="Comma 3 2 2 2 12 2" xfId="33134" xr:uid="{28233065-6933-4850-AC21-D997A80CF990}"/>
    <cellStyle name="Comma 3 2 2 2 13" xfId="18066" xr:uid="{BCA61EBE-C770-4BB7-88CE-3C2D593EA666}"/>
    <cellStyle name="Comma 3 2 2 2 2" xfId="1902" xr:uid="{CED1A88F-A684-49D4-92D2-B71543EA8D62}"/>
    <cellStyle name="Comma 3 2 2 2 2 10" xfId="9682" xr:uid="{36B58E56-AF63-464D-8105-C152B6DF531D}"/>
    <cellStyle name="Comma 3 2 2 2 2 10 2" xfId="25886" xr:uid="{0D4714BA-6E34-499F-A444-9BD8B31060EA}"/>
    <cellStyle name="Comma 3 2 2 2 2 11" xfId="17003" xr:uid="{ABDC93B6-C9E5-44F4-B290-176436C65BB8}"/>
    <cellStyle name="Comma 3 2 2 2 2 11 2" xfId="33135" xr:uid="{D31183C8-9DBB-4DDB-A729-82B83A69019E}"/>
    <cellStyle name="Comma 3 2 2 2 2 12" xfId="18206" xr:uid="{C723CD5B-624A-410E-AA91-09CB418C9981}"/>
    <cellStyle name="Comma 3 2 2 2 2 2" xfId="2409" xr:uid="{D443DF53-3026-4344-9A54-F68B162E447A}"/>
    <cellStyle name="Comma 3 2 2 2 2 2 2" xfId="3256" xr:uid="{FC6FFCB8-6292-4E33-B678-D8BB02341E0A}"/>
    <cellStyle name="Comma 3 2 2 2 2 2 2 2" xfId="7038" xr:uid="{88CAEC63-D53B-4474-BF2A-24F1D3E19582}"/>
    <cellStyle name="Comma 3 2 2 2 2 2 2 2 2" xfId="14549" xr:uid="{0785D015-8133-41AB-8945-AC236124ED0F}"/>
    <cellStyle name="Comma 3 2 2 2 2 2 2 2 2 2" xfId="30753" xr:uid="{F6D2A2E8-A1DF-4845-96E1-0EA2C1AB4BA3}"/>
    <cellStyle name="Comma 3 2 2 2 2 2 2 2 3" xfId="23242" xr:uid="{9520C826-8607-4966-AB2E-586AC8360B3C}"/>
    <cellStyle name="Comma 3 2 2 2 2 2 2 3" xfId="9141" xr:uid="{5E5D744E-4614-4C39-A73B-9F0D8EBE5A71}"/>
    <cellStyle name="Comma 3 2 2 2 2 2 2 3 2" xfId="16618" xr:uid="{7580EC2D-E2DA-43D9-8AA5-45AD6282A248}"/>
    <cellStyle name="Comma 3 2 2 2 2 2 2 3 2 2" xfId="32822" xr:uid="{503DE83C-30B2-4DD2-8F9C-DD29171BE752}"/>
    <cellStyle name="Comma 3 2 2 2 2 2 2 3 3" xfId="25345" xr:uid="{7F333071-DAF6-4BE7-BD35-0F8992361F44}"/>
    <cellStyle name="Comma 3 2 2 2 2 2 2 4" xfId="10949" xr:uid="{55CEE666-81F3-44B4-B120-3F1B683EFA07}"/>
    <cellStyle name="Comma 3 2 2 2 2 2 2 4 2" xfId="27153" xr:uid="{3736BD70-C314-44A8-92C1-51953BBCC0DD}"/>
    <cellStyle name="Comma 3 2 2 2 2 2 2 5" xfId="17005" xr:uid="{DABE6317-74DB-4CA5-911E-BDE814041A4B}"/>
    <cellStyle name="Comma 3 2 2 2 2 2 2 5 2" xfId="33137" xr:uid="{F269E283-9D30-4263-B2E2-7D409B0110BB}"/>
    <cellStyle name="Comma 3 2 2 2 2 2 2 6" xfId="19476" xr:uid="{0DCD5FDB-F295-49DD-9D1F-35FF09837551}"/>
    <cellStyle name="Comma 3 2 2 2 2 2 3" xfId="6193" xr:uid="{9443F466-0236-47F9-8341-F55F0B99ACD8}"/>
    <cellStyle name="Comma 3 2 2 2 2 2 3 2" xfId="13705" xr:uid="{AD1BE612-5A66-4496-8B30-B1C84F9146E2}"/>
    <cellStyle name="Comma 3 2 2 2 2 2 3 2 2" xfId="29909" xr:uid="{38D4B2AA-9941-4D10-A4B7-4D40E1C348AA}"/>
    <cellStyle name="Comma 3 2 2 2 2 2 3 3" xfId="22397" xr:uid="{D33B6F60-099E-414A-9A60-EC8240C85497}"/>
    <cellStyle name="Comma 3 2 2 2 2 2 4" xfId="9362" xr:uid="{6C9A1068-9450-496F-B113-61E7C34F106A}"/>
    <cellStyle name="Comma 3 2 2 2 2 2 4 2" xfId="16804" xr:uid="{2B342044-8359-4487-9972-607DBBD1A13C}"/>
    <cellStyle name="Comma 3 2 2 2 2 2 4 2 2" xfId="33008" xr:uid="{4788141E-20ED-41C5-BAD9-43323B640F6C}"/>
    <cellStyle name="Comma 3 2 2 2 2 2 4 3" xfId="25566" xr:uid="{BE65D8DC-CAA8-4F89-98F0-B71520077F0B}"/>
    <cellStyle name="Comma 3 2 2 2 2 2 5" xfId="10105" xr:uid="{68B2C316-3BE0-4E43-A997-37B42E53706E}"/>
    <cellStyle name="Comma 3 2 2 2 2 2 5 2" xfId="26309" xr:uid="{DBB764AC-3136-4A2A-86C0-627DE18514AD}"/>
    <cellStyle name="Comma 3 2 2 2 2 2 6" xfId="17004" xr:uid="{18921E46-DF20-41F0-A560-E5C9AFA819BA}"/>
    <cellStyle name="Comma 3 2 2 2 2 2 6 2" xfId="33136" xr:uid="{FF5F2139-4C74-418F-BD9A-C238007D2219}"/>
    <cellStyle name="Comma 3 2 2 2 2 2 7" xfId="18631" xr:uid="{0203C154-93F4-48E8-AEC0-A84F83F8C806}"/>
    <cellStyle name="Comma 3 2 2 2 2 3" xfId="2831" xr:uid="{4CB924AF-B01E-43D0-AC4F-92900BB6B24B}"/>
    <cellStyle name="Comma 3 2 2 2 2 3 2" xfId="6615" xr:uid="{BAD0FEDE-6A59-4B1A-9012-E7C438E6942A}"/>
    <cellStyle name="Comma 3 2 2 2 2 3 2 2" xfId="14127" xr:uid="{7B1D6DDD-FB07-4B38-B3A9-38E38A90AAC8}"/>
    <cellStyle name="Comma 3 2 2 2 2 3 2 2 2" xfId="30331" xr:uid="{611CAB1C-571A-41C9-8047-703155B1D941}"/>
    <cellStyle name="Comma 3 2 2 2 2 3 2 3" xfId="22819" xr:uid="{D4AA3F51-71AF-4320-865B-740970A0A67B}"/>
    <cellStyle name="Comma 3 2 2 2 2 3 3" xfId="9125" xr:uid="{61A6C66A-7A39-4816-AFDB-EA3C1B7609A9}"/>
    <cellStyle name="Comma 3 2 2 2 2 3 3 2" xfId="16603" xr:uid="{EE33BA9C-067D-4C3F-9BA8-F907D6A4D220}"/>
    <cellStyle name="Comma 3 2 2 2 2 3 3 2 2" xfId="32807" xr:uid="{13CCA317-BBE7-42A9-B7D4-BAD3D829AA2F}"/>
    <cellStyle name="Comma 3 2 2 2 2 3 3 3" xfId="25329" xr:uid="{B7595D0E-F71F-45DC-A312-B1132D80BB24}"/>
    <cellStyle name="Comma 3 2 2 2 2 3 4" xfId="10527" xr:uid="{CF84D7B0-D3FE-4C83-B06F-812ED739C23B}"/>
    <cellStyle name="Comma 3 2 2 2 2 3 4 2" xfId="26731" xr:uid="{BAE53F9F-AD06-4635-AACE-1C597074778C}"/>
    <cellStyle name="Comma 3 2 2 2 2 3 5" xfId="17006" xr:uid="{D3DC46A9-C46D-4580-9194-3A3B19378766}"/>
    <cellStyle name="Comma 3 2 2 2 2 3 5 2" xfId="33138" xr:uid="{26ECDB4F-7AC3-428D-8514-32E38E836102}"/>
    <cellStyle name="Comma 3 2 2 2 2 3 6" xfId="19053" xr:uid="{C498F593-BC32-4D8C-807B-EE80283B50D0}"/>
    <cellStyle name="Comma 3 2 2 2 2 4" xfId="3762" xr:uid="{855F972F-565A-4134-A1FC-E1A239B484A0}"/>
    <cellStyle name="Comma 3 2 2 2 2 4 2" xfId="7472" xr:uid="{921208E7-8D46-4A33-8693-6D535C27EB83}"/>
    <cellStyle name="Comma 3 2 2 2 2 4 2 2" xfId="14981" xr:uid="{D9B60E5D-C5DB-4CC6-A272-E9DC1CA1A721}"/>
    <cellStyle name="Comma 3 2 2 2 2 4 2 2 2" xfId="31185" xr:uid="{3253E530-FE45-476B-9150-326CB4DD7410}"/>
    <cellStyle name="Comma 3 2 2 2 2 4 2 3" xfId="23676" xr:uid="{F22F8133-73CB-424C-8502-805BA0502D97}"/>
    <cellStyle name="Comma 3 2 2 2 2 4 3" xfId="9205" xr:uid="{436A85E1-2FF7-4754-BB3D-CDA72639C1A1}"/>
    <cellStyle name="Comma 3 2 2 2 2 4 3 2" xfId="16675" xr:uid="{3AE8DD55-4309-4326-8A61-ED3CB2106523}"/>
    <cellStyle name="Comma 3 2 2 2 2 4 3 2 2" xfId="32879" xr:uid="{8324BD1D-067F-455B-97C9-9258FB73F5C3}"/>
    <cellStyle name="Comma 3 2 2 2 2 4 3 3" xfId="25409" xr:uid="{96DD56B5-8E02-4362-AAEA-5ECCDD47C591}"/>
    <cellStyle name="Comma 3 2 2 2 2 4 4" xfId="11372" xr:uid="{5118326B-58D3-4BC7-B34E-7A0060A80B42}"/>
    <cellStyle name="Comma 3 2 2 2 2 4 4 2" xfId="27576" xr:uid="{30950F87-95A8-4824-B820-852F1DA9A29D}"/>
    <cellStyle name="Comma 3 2 2 2 2 4 5" xfId="17007" xr:uid="{0551E114-22EA-4559-BA0D-19A173900459}"/>
    <cellStyle name="Comma 3 2 2 2 2 4 5 2" xfId="33139" xr:uid="{782C612A-512F-4CA3-8D89-D0F8EF5E5E05}"/>
    <cellStyle name="Comma 3 2 2 2 2 4 6" xfId="19971" xr:uid="{4F6D85CC-7F53-438C-AFD9-7A98951E01B9}"/>
    <cellStyle name="Comma 3 2 2 2 2 5" xfId="3391" xr:uid="{FD044BAB-D453-4EF7-86F9-B234A81107A3}"/>
    <cellStyle name="Comma 3 2 2 2 2 5 2" xfId="8965" xr:uid="{03D18DDC-9EFF-417B-AD1E-1D5A48AE1F7B}"/>
    <cellStyle name="Comma 3 2 2 2 2 5 2 2" xfId="25169" xr:uid="{14913735-44D8-4267-A956-5AA893193804}"/>
    <cellStyle name="Comma 3 2 2 2 2 5 3" xfId="17008" xr:uid="{FA48FC70-A6F2-487A-89E8-A254C2655C07}"/>
    <cellStyle name="Comma 3 2 2 2 2 5 3 2" xfId="33140" xr:uid="{6C12146A-AAB0-47EC-8A4D-9AAD94B82683}"/>
    <cellStyle name="Comma 3 2 2 2 2 5 4" xfId="19608" xr:uid="{11F7AA76-889E-47CF-A39B-F933EB623607}"/>
    <cellStyle name="Comma 3 2 2 2 2 6" xfId="4231" xr:uid="{6FA9987D-13F0-434C-B1AC-57DEC1D98351}"/>
    <cellStyle name="Comma 3 2 2 2 2 6 2" xfId="7901" xr:uid="{3A440092-1DB5-45DA-B12F-751DCCF5A0F7}"/>
    <cellStyle name="Comma 3 2 2 2 2 6 2 2" xfId="15408" xr:uid="{310E6B91-15EA-4AF5-B4CF-F38A83EDD38E}"/>
    <cellStyle name="Comma 3 2 2 2 2 6 2 2 2" xfId="31612" xr:uid="{23239F17-F615-4059-B35F-03E672E94E7C}"/>
    <cellStyle name="Comma 3 2 2 2 2 6 2 3" xfId="24105" xr:uid="{F7BD41F1-DA26-4BDA-A3F3-C08DFB5115F0}"/>
    <cellStyle name="Comma 3 2 2 2 2 6 3" xfId="9267" xr:uid="{E8336FE7-7E50-417C-AB84-339817B52D5C}"/>
    <cellStyle name="Comma 3 2 2 2 2 6 3 2" xfId="16727" xr:uid="{8D6B7455-5123-4994-9862-C475C537585B}"/>
    <cellStyle name="Comma 3 2 2 2 2 6 3 2 2" xfId="32931" xr:uid="{EA767546-4017-431B-B853-92CBA277C61D}"/>
    <cellStyle name="Comma 3 2 2 2 2 6 3 3" xfId="25471" xr:uid="{587CF9E8-93BD-4674-AB57-41F81E2BA11B}"/>
    <cellStyle name="Comma 3 2 2 2 2 6 4" xfId="11794" xr:uid="{13C31F03-4866-4757-B6E8-0317F4490F9A}"/>
    <cellStyle name="Comma 3 2 2 2 2 6 4 2" xfId="27998" xr:uid="{491443A4-94A0-4949-B72F-CF8044820753}"/>
    <cellStyle name="Comma 3 2 2 2 2 6 5" xfId="17009" xr:uid="{CD737605-E95E-4FC0-9F1C-CF1F89F415ED}"/>
    <cellStyle name="Comma 3 2 2 2 2 6 5 2" xfId="33141" xr:uid="{5C274EF2-BC86-48DC-870F-994F3FA020DD}"/>
    <cellStyle name="Comma 3 2 2 2 2 6 6" xfId="20435" xr:uid="{34F87043-F1DD-42D1-AF7D-6493742AE02E}"/>
    <cellStyle name="Comma 3 2 2 2 2 7" xfId="4656" xr:uid="{7898236B-DF6A-49BA-A58A-86B3ED18F01C}"/>
    <cellStyle name="Comma 3 2 2 2 2 7 2" xfId="8326" xr:uid="{2545B825-DF23-4A5D-B195-7C6E8F11D2F7}"/>
    <cellStyle name="Comma 3 2 2 2 2 7 2 2" xfId="15833" xr:uid="{A52FDC14-B4F3-40F6-B68D-CF0715A9AD0C}"/>
    <cellStyle name="Comma 3 2 2 2 2 7 2 2 2" xfId="32037" xr:uid="{A75CDC1A-99FD-41D8-B8E2-47EE86EEFB83}"/>
    <cellStyle name="Comma 3 2 2 2 2 7 2 3" xfId="24530" xr:uid="{5FAB2EAB-2F03-4E74-9BB2-F049D7353463}"/>
    <cellStyle name="Comma 3 2 2 2 2 7 3" xfId="5412" xr:uid="{7223C4F0-0A21-4DEB-945D-E1554932EDE9}"/>
    <cellStyle name="Comma 3 2 2 2 2 7 3 2" xfId="12959" xr:uid="{6EEC056D-4AA0-42B2-BA84-A0A2349B1600}"/>
    <cellStyle name="Comma 3 2 2 2 2 7 3 2 2" xfId="29163" xr:uid="{9C6C02C9-B051-4E63-8000-F2014CDA1169}"/>
    <cellStyle name="Comma 3 2 2 2 2 7 3 3" xfId="21616" xr:uid="{A9743A53-E53D-4B96-B303-AD18F5FA665F}"/>
    <cellStyle name="Comma 3 2 2 2 2 7 4" xfId="12219" xr:uid="{3F68D43E-EA42-4B6B-BE47-858F9C5AB643}"/>
    <cellStyle name="Comma 3 2 2 2 2 7 4 2" xfId="28423" xr:uid="{2C9B0BAA-FE7D-4C8E-9383-9E2A7A144C6F}"/>
    <cellStyle name="Comma 3 2 2 2 2 7 5" xfId="17010" xr:uid="{6BFF3292-AC8A-4CF8-BC64-B0CAA447C643}"/>
    <cellStyle name="Comma 3 2 2 2 2 7 5 2" xfId="33142" xr:uid="{49AE918E-029F-40B5-B0FF-20AE6EF9CCAC}"/>
    <cellStyle name="Comma 3 2 2 2 2 7 6" xfId="20860" xr:uid="{0A2E6632-768C-4950-AB8E-0A951912DF55}"/>
    <cellStyle name="Comma 3 2 2 2 2 8" xfId="5084" xr:uid="{39FC5D04-EBC2-44D3-BD4E-B93BBF7A2EBC}"/>
    <cellStyle name="Comma 3 2 2 2 2 8 2" xfId="8749" xr:uid="{D182305D-88E3-4C70-952D-FFD1CFDF88F5}"/>
    <cellStyle name="Comma 3 2 2 2 2 8 2 2" xfId="16256" xr:uid="{E2B5668E-DA23-428F-9959-649E0417479B}"/>
    <cellStyle name="Comma 3 2 2 2 2 8 2 2 2" xfId="32460" xr:uid="{88696C31-A710-431F-97EC-7E967F6B5CFF}"/>
    <cellStyle name="Comma 3 2 2 2 2 8 2 3" xfId="24953" xr:uid="{9FA3BF8F-81C7-4A21-99EC-DC6AE83CFB97}"/>
    <cellStyle name="Comma 3 2 2 2 2 8 3" xfId="12641" xr:uid="{13E2F046-B339-4BBF-9D79-941EEF201C9C}"/>
    <cellStyle name="Comma 3 2 2 2 2 8 3 2" xfId="28845" xr:uid="{23D810CB-5E9D-4A91-8572-1B449E380FDE}"/>
    <cellStyle name="Comma 3 2 2 2 2 8 4" xfId="21288" xr:uid="{DD3E42FF-73DA-4A35-8327-4F5C11936D4C}"/>
    <cellStyle name="Comma 3 2 2 2 2 9" xfId="5755" xr:uid="{C5C56BE8-6427-4B5A-9933-4071ABC63BD7}"/>
    <cellStyle name="Comma 3 2 2 2 2 9 2" xfId="13270" xr:uid="{840054A3-A53A-4DB9-89DC-122C69391396}"/>
    <cellStyle name="Comma 3 2 2 2 2 9 2 2" xfId="29474" xr:uid="{87120EEB-20DE-46C8-977F-D61FF72E2B7C}"/>
    <cellStyle name="Comma 3 2 2 2 2 9 3" xfId="21959" xr:uid="{990CC148-141A-4215-A57D-2B64F51BDACB}"/>
    <cellStyle name="Comma 3 2 2 2 3" xfId="2266" xr:uid="{DBE04F71-37CC-41F5-8B7F-ED2E499DA4C9}"/>
    <cellStyle name="Comma 3 2 2 2 3 2" xfId="3117" xr:uid="{6639DB0B-1523-4474-90B7-D1A9586C815C}"/>
    <cellStyle name="Comma 3 2 2 2 3 2 2" xfId="6899" xr:uid="{2EA63108-7F08-4114-AE78-F41208FA5A4C}"/>
    <cellStyle name="Comma 3 2 2 2 3 2 2 2" xfId="14410" xr:uid="{8EC4711F-8CBD-403F-954F-7952A983F608}"/>
    <cellStyle name="Comma 3 2 2 2 3 2 2 2 2" xfId="30614" xr:uid="{F14FE462-6CD1-475B-9E4D-C868F37F1F7E}"/>
    <cellStyle name="Comma 3 2 2 2 3 2 2 3" xfId="23103" xr:uid="{42858F08-8340-4A29-8B5C-BCD04F348334}"/>
    <cellStyle name="Comma 3 2 2 2 3 2 3" xfId="9343" xr:uid="{DD3F6628-9F5C-4A13-B63A-3FAAE1114F4F}"/>
    <cellStyle name="Comma 3 2 2 2 3 2 3 2" xfId="16786" xr:uid="{BF7CBFD2-B1B8-4668-9C0D-EC42144CC2F2}"/>
    <cellStyle name="Comma 3 2 2 2 3 2 3 2 2" xfId="32990" xr:uid="{084E711C-5CCF-4B63-8B09-2C2D89BC9FAC}"/>
    <cellStyle name="Comma 3 2 2 2 3 2 3 3" xfId="25547" xr:uid="{7D5556C1-4363-47AD-BEC1-4CAD8C7AD1DF}"/>
    <cellStyle name="Comma 3 2 2 2 3 2 4" xfId="10810" xr:uid="{91842D44-F878-49C8-BD4C-67E20EA61149}"/>
    <cellStyle name="Comma 3 2 2 2 3 2 4 2" xfId="27014" xr:uid="{CEE03BDE-5A41-4F6D-B731-0B7729FB53E4}"/>
    <cellStyle name="Comma 3 2 2 2 3 2 5" xfId="17012" xr:uid="{F4768491-5344-4422-9D3D-A20A04F743DA}"/>
    <cellStyle name="Comma 3 2 2 2 3 2 5 2" xfId="33144" xr:uid="{43DFA42E-D29B-4B84-969C-A6A43E5F68AA}"/>
    <cellStyle name="Comma 3 2 2 2 3 2 6" xfId="19337" xr:uid="{AA3396E9-4D91-442C-908F-248525E05282}"/>
    <cellStyle name="Comma 3 2 2 2 3 3" xfId="6054" xr:uid="{EF88F269-CD66-43D9-8195-CEE133C98569}"/>
    <cellStyle name="Comma 3 2 2 2 3 3 2" xfId="13566" xr:uid="{B2AE7B85-49C1-4FF8-AE18-E2ECBB838F17}"/>
    <cellStyle name="Comma 3 2 2 2 3 3 2 2" xfId="29770" xr:uid="{1A2C9D45-DC0E-44A7-A35B-08AA8E534113}"/>
    <cellStyle name="Comma 3 2 2 2 3 3 3" xfId="22258" xr:uid="{2CD6ACCC-F954-4BE8-9E04-EE8C85EB4886}"/>
    <cellStyle name="Comma 3 2 2 2 3 4" xfId="9010" xr:uid="{A76C084C-3C65-427D-A8A6-A0549BA0651F}"/>
    <cellStyle name="Comma 3 2 2 2 3 4 2" xfId="16501" xr:uid="{99D8375B-5607-4FB3-BAD1-AD58FBA63C56}"/>
    <cellStyle name="Comma 3 2 2 2 3 4 2 2" xfId="32705" xr:uid="{A202E86C-3F29-4D83-B6F5-C43CE0F1FCDF}"/>
    <cellStyle name="Comma 3 2 2 2 3 4 3" xfId="25214" xr:uid="{DBA263D4-0AFF-468E-8BCE-4DC85BCE06E1}"/>
    <cellStyle name="Comma 3 2 2 2 3 5" xfId="9966" xr:uid="{7BEEA2C3-AC9D-4E50-B221-BF6AF3C13322}"/>
    <cellStyle name="Comma 3 2 2 2 3 5 2" xfId="26170" xr:uid="{8B9DDBFF-28D8-4A4F-8237-323CB7D340FA}"/>
    <cellStyle name="Comma 3 2 2 2 3 6" xfId="17011" xr:uid="{21A3E445-C9C7-442C-879C-2B38441A657E}"/>
    <cellStyle name="Comma 3 2 2 2 3 6 2" xfId="33143" xr:uid="{F397FF7D-C661-4D71-92DF-97AEB6768439}"/>
    <cellStyle name="Comma 3 2 2 2 3 7" xfId="18492" xr:uid="{872A0B0C-90FC-4C81-BB8A-43FE37CF4B2B}"/>
    <cellStyle name="Comma 3 2 2 2 4" xfId="2692" xr:uid="{96517E68-F25D-40F9-BAD0-034AAB0C42FF}"/>
    <cellStyle name="Comma 3 2 2 2 4 2" xfId="6476" xr:uid="{71F73868-57CF-4247-891E-80199B61B7F6}"/>
    <cellStyle name="Comma 3 2 2 2 4 2 2" xfId="13988" xr:uid="{48F60547-B7A9-4E89-85B8-2B1E9A337B06}"/>
    <cellStyle name="Comma 3 2 2 2 4 2 2 2" xfId="30192" xr:uid="{15CB88A4-6927-4331-A9F3-92B50140F815}"/>
    <cellStyle name="Comma 3 2 2 2 4 2 3" xfId="22680" xr:uid="{AC231658-277D-4D29-AF6C-AB8CA04A534B}"/>
    <cellStyle name="Comma 3 2 2 2 4 3" xfId="8920" xr:uid="{B3EE9D91-BCD9-4A5E-962B-F08285340335}"/>
    <cellStyle name="Comma 3 2 2 2 4 3 2" xfId="16423" xr:uid="{7B4C96B6-6088-489B-AB34-2D81B7E7C71C}"/>
    <cellStyle name="Comma 3 2 2 2 4 3 2 2" xfId="32627" xr:uid="{A94DD98C-1D12-4749-AF84-4728817B2E45}"/>
    <cellStyle name="Comma 3 2 2 2 4 3 3" xfId="25124" xr:uid="{19DB79A7-5BAB-4C75-9E02-1847E71ADAEB}"/>
    <cellStyle name="Comma 3 2 2 2 4 4" xfId="10388" xr:uid="{22887DA1-C8A4-4FF7-87C4-D4C1FC926735}"/>
    <cellStyle name="Comma 3 2 2 2 4 4 2" xfId="26592" xr:uid="{B9E8F6C0-0E40-4EEB-92A0-64CE48269306}"/>
    <cellStyle name="Comma 3 2 2 2 4 5" xfId="17013" xr:uid="{C5852598-878B-426B-9AC8-433975E2F4C8}"/>
    <cellStyle name="Comma 3 2 2 2 4 5 2" xfId="33145" xr:uid="{8ABF8F53-37FA-4F4D-AF47-2FFAF0AA6226}"/>
    <cellStyle name="Comma 3 2 2 2 4 6" xfId="18914" xr:uid="{1ABAB3C4-88C4-4671-8C7F-CCD53EA70B0E}"/>
    <cellStyle name="Comma 3 2 2 2 5" xfId="3622" xr:uid="{E7919AF0-1689-411C-8643-BB6D4DC63F77}"/>
    <cellStyle name="Comma 3 2 2 2 5 2" xfId="7332" xr:uid="{8977798A-D01D-4319-8BA9-768C79EE109D}"/>
    <cellStyle name="Comma 3 2 2 2 5 2 2" xfId="14841" xr:uid="{9ACF8B7A-277C-4899-8968-083B1ADF8C09}"/>
    <cellStyle name="Comma 3 2 2 2 5 2 2 2" xfId="31045" xr:uid="{B56719E0-9BC2-42D6-9A3D-D487B31C38A4}"/>
    <cellStyle name="Comma 3 2 2 2 5 2 3" xfId="23536" xr:uid="{5C765E34-41EC-4CC1-8DC6-3BDDAEC8657E}"/>
    <cellStyle name="Comma 3 2 2 2 5 3" xfId="8984" xr:uid="{EC737985-70B6-4859-941C-BB27E19B532A}"/>
    <cellStyle name="Comma 3 2 2 2 5 3 2" xfId="16478" xr:uid="{DA85BFF2-A70C-4273-BB40-262D0E255786}"/>
    <cellStyle name="Comma 3 2 2 2 5 3 2 2" xfId="32682" xr:uid="{51410B56-01A5-4618-989A-575C44FC7384}"/>
    <cellStyle name="Comma 3 2 2 2 5 3 3" xfId="25188" xr:uid="{61B64FE6-4059-4645-8306-DDC6BB0E1B17}"/>
    <cellStyle name="Comma 3 2 2 2 5 4" xfId="11233" xr:uid="{E0B6400D-B8D8-40D7-8F0E-9E6462CECD63}"/>
    <cellStyle name="Comma 3 2 2 2 5 4 2" xfId="27437" xr:uid="{674A0944-5186-4D0E-AD4A-E6AF4B372173}"/>
    <cellStyle name="Comma 3 2 2 2 5 5" xfId="17014" xr:uid="{403B2223-3B07-4EEE-9A2E-75C8A292D934}"/>
    <cellStyle name="Comma 3 2 2 2 5 5 2" xfId="33146" xr:uid="{8A1D4F45-C0C1-475C-BCD4-7CB102E25820}"/>
    <cellStyle name="Comma 3 2 2 2 5 6" xfId="19831" xr:uid="{8914F356-783B-4F45-BAAD-307E8B9A6C87}"/>
    <cellStyle name="Comma 3 2 2 2 6" xfId="3882" xr:uid="{ABF9C37E-DE30-4932-A269-A89BBE9D6A66}"/>
    <cellStyle name="Comma 3 2 2 2 6 2" xfId="9217" xr:uid="{3BC80760-78F3-4263-B160-69FD66337DDA}"/>
    <cellStyle name="Comma 3 2 2 2 6 2 2" xfId="25421" xr:uid="{88BCA5A5-4A64-4D53-84DD-F6F0E79B41A1}"/>
    <cellStyle name="Comma 3 2 2 2 6 3" xfId="17015" xr:uid="{4ECEE0C4-2493-445F-B8E0-E0B7649A51DB}"/>
    <cellStyle name="Comma 3 2 2 2 6 3 2" xfId="33147" xr:uid="{7B061D44-937C-4111-A1AE-DB0DF74C458B}"/>
    <cellStyle name="Comma 3 2 2 2 6 4" xfId="20091" xr:uid="{B34710B5-CC83-4B7A-ADF8-C7607F698B22}"/>
    <cellStyle name="Comma 3 2 2 2 7" xfId="4092" xr:uid="{E1B77FB8-CDD9-451E-BD06-A8FFF91AA24C}"/>
    <cellStyle name="Comma 3 2 2 2 7 2" xfId="7762" xr:uid="{E23EEDEF-C14D-48EF-BB77-424A98D8FDEA}"/>
    <cellStyle name="Comma 3 2 2 2 7 2 2" xfId="15269" xr:uid="{0B1CAD28-B175-4AF1-94D0-F6337A9E405A}"/>
    <cellStyle name="Comma 3 2 2 2 7 2 2 2" xfId="31473" xr:uid="{53A83B1F-00DE-413D-BAB8-D8DDD1186BF4}"/>
    <cellStyle name="Comma 3 2 2 2 7 2 3" xfId="23966" xr:uid="{36E9C5F3-7794-465C-B3AF-BAA39CF42F9B}"/>
    <cellStyle name="Comma 3 2 2 2 7 3" xfId="5473" xr:uid="{22410EB2-2C50-466C-AB47-83351511582F}"/>
    <cellStyle name="Comma 3 2 2 2 7 3 2" xfId="13011" xr:uid="{965055EB-B929-4375-BC12-31A7C4207565}"/>
    <cellStyle name="Comma 3 2 2 2 7 3 2 2" xfId="29215" xr:uid="{398398DE-BCF8-495B-8514-980C81B70946}"/>
    <cellStyle name="Comma 3 2 2 2 7 3 3" xfId="21677" xr:uid="{0B2E5315-014B-4D97-8911-07A1AB95E958}"/>
    <cellStyle name="Comma 3 2 2 2 7 4" xfId="11655" xr:uid="{D6705C09-D964-4635-99A7-7CD3ABB2B09D}"/>
    <cellStyle name="Comma 3 2 2 2 7 4 2" xfId="27859" xr:uid="{DB0D9B42-6353-4FA0-8AC2-60DFCE88A0F2}"/>
    <cellStyle name="Comma 3 2 2 2 7 5" xfId="17016" xr:uid="{CCFEFECA-BE5D-4361-B209-DBB861FFFF0F}"/>
    <cellStyle name="Comma 3 2 2 2 7 5 2" xfId="33148" xr:uid="{98B46EF9-2547-438F-A427-33573065796F}"/>
    <cellStyle name="Comma 3 2 2 2 7 6" xfId="20296" xr:uid="{8898DCA8-5806-4BA2-8853-719E3C568DFD}"/>
    <cellStyle name="Comma 3 2 2 2 8" xfId="4517" xr:uid="{8A07CFBB-B7C0-444B-9A11-C8B734E215C0}"/>
    <cellStyle name="Comma 3 2 2 2 8 2" xfId="8187" xr:uid="{DF0575EA-E3B8-44CE-99D4-311A1AF4CFAD}"/>
    <cellStyle name="Comma 3 2 2 2 8 2 2" xfId="15694" xr:uid="{9D404A3D-D836-4BCA-90E8-227443D4EF1D}"/>
    <cellStyle name="Comma 3 2 2 2 8 2 2 2" xfId="31898" xr:uid="{73513639-2499-47C2-B249-719BB3D35D61}"/>
    <cellStyle name="Comma 3 2 2 2 8 2 3" xfId="24391" xr:uid="{6CE8B1D9-5156-45C1-ACDB-E994404598ED}"/>
    <cellStyle name="Comma 3 2 2 2 8 3" xfId="8899" xr:uid="{33F37696-E26A-4A39-B019-7759C5CF3B16}"/>
    <cellStyle name="Comma 3 2 2 2 8 3 2" xfId="16402" xr:uid="{99D5D66A-62B1-4004-8ECD-728D1204C235}"/>
    <cellStyle name="Comma 3 2 2 2 8 3 2 2" xfId="32606" xr:uid="{010649AC-89FD-4852-BF2F-853825ECFF77}"/>
    <cellStyle name="Comma 3 2 2 2 8 3 3" xfId="25103" xr:uid="{2E9A81DC-487E-4067-849F-3FBDD465B7DE}"/>
    <cellStyle name="Comma 3 2 2 2 8 4" xfId="12080" xr:uid="{9F0749A0-CFA3-4152-AFF9-224536C54A7D}"/>
    <cellStyle name="Comma 3 2 2 2 8 4 2" xfId="28284" xr:uid="{F3290C41-F902-4825-B8C7-AFE6642F62D8}"/>
    <cellStyle name="Comma 3 2 2 2 8 5" xfId="17017" xr:uid="{1BFDDD44-D9C4-4CCE-A9CB-49BD8D29C389}"/>
    <cellStyle name="Comma 3 2 2 2 8 5 2" xfId="33149" xr:uid="{10D8F54B-4740-4DE4-8219-6470C9494E96}"/>
    <cellStyle name="Comma 3 2 2 2 8 6" xfId="20721" xr:uid="{1DD99806-E43C-4245-A35A-479B95821788}"/>
    <cellStyle name="Comma 3 2 2 2 9" xfId="4944" xr:uid="{37EAF72C-414A-4E0D-BD0D-E499FCD812B0}"/>
    <cellStyle name="Comma 3 2 2 2 9 2" xfId="8610" xr:uid="{1B458618-E9C9-460C-829D-7E242400C108}"/>
    <cellStyle name="Comma 3 2 2 2 9 2 2" xfId="16117" xr:uid="{4B03BB28-9402-4A35-9DE5-F8DA84129786}"/>
    <cellStyle name="Comma 3 2 2 2 9 2 2 2" xfId="32321" xr:uid="{FD73A975-BA73-48CA-8C9D-5543FD4F3912}"/>
    <cellStyle name="Comma 3 2 2 2 9 2 3" xfId="24814" xr:uid="{F751F4AA-8C24-42B9-8580-8F18F30ED658}"/>
    <cellStyle name="Comma 3 2 2 2 9 3" xfId="12502" xr:uid="{D76E7FD7-0B41-43DE-8D43-C6A7C319F26E}"/>
    <cellStyle name="Comma 3 2 2 2 9 3 2" xfId="28706" xr:uid="{53E5BB8C-188C-40BA-82B3-B63D18D05090}"/>
    <cellStyle name="Comma 3 2 2 2 9 4" xfId="21148" xr:uid="{506766B3-86E7-4C4C-882D-C924FCD45BFD}"/>
    <cellStyle name="Comma 3 2 2 3" xfId="1764" xr:uid="{2AC03F3A-509F-422F-AB2C-59C4E7E803E8}"/>
    <cellStyle name="Comma 3 2 2 3 10" xfId="5629" xr:uid="{55E5F400-3367-482D-8969-F52FC4415129}"/>
    <cellStyle name="Comma 3 2 2 3 10 2" xfId="13144" xr:uid="{A27F13AB-ED9D-4D4A-9FB2-9A937B5CE02D}"/>
    <cellStyle name="Comma 3 2 2 3 10 2 2" xfId="29348" xr:uid="{23B35F34-6C09-4E19-A6B0-67AC39C206C2}"/>
    <cellStyle name="Comma 3 2 2 3 10 3" xfId="21833" xr:uid="{CD56FEC8-B328-46C8-BEF3-31D3A0AF2243}"/>
    <cellStyle name="Comma 3 2 2 3 11" xfId="9557" xr:uid="{D0C0311D-2C77-4FAA-A2E9-06A907AAEC31}"/>
    <cellStyle name="Comma 3 2 2 3 11 2" xfId="25761" xr:uid="{FDF8E609-3622-496A-9FB3-5940B9D3E4D8}"/>
    <cellStyle name="Comma 3 2 2 3 12" xfId="17018" xr:uid="{8CCF28EC-7B5B-4A47-A31E-E37EC1CA829F}"/>
    <cellStyle name="Comma 3 2 2 3 12 2" xfId="33150" xr:uid="{B3B18FB5-F1AE-417E-B42B-F194401E1877}"/>
    <cellStyle name="Comma 3 2 2 3 13" xfId="18080" xr:uid="{7852FC87-8C90-420A-821E-65748DABA772}"/>
    <cellStyle name="Comma 3 2 2 3 2" xfId="1903" xr:uid="{2035A2C5-41D3-4443-AA15-D8954817990A}"/>
    <cellStyle name="Comma 3 2 2 3 2 10" xfId="9683" xr:uid="{E5B54389-C5E1-412D-8443-CA4F464250BC}"/>
    <cellStyle name="Comma 3 2 2 3 2 10 2" xfId="25887" xr:uid="{C76DF997-DE6F-475D-B1FF-DBF1892AEE95}"/>
    <cellStyle name="Comma 3 2 2 3 2 11" xfId="17019" xr:uid="{437548E7-2852-4E32-AA00-B1B128264E3F}"/>
    <cellStyle name="Comma 3 2 2 3 2 11 2" xfId="33151" xr:uid="{8B7028D9-3D53-4001-A001-A6FAD3EAED85}"/>
    <cellStyle name="Comma 3 2 2 3 2 12" xfId="18207" xr:uid="{42962E04-AEC1-4C8E-A065-0F75AC7E5434}"/>
    <cellStyle name="Comma 3 2 2 3 2 2" xfId="2410" xr:uid="{6A670FC5-34CD-4B14-BAAE-18C62FF600E3}"/>
    <cellStyle name="Comma 3 2 2 3 2 2 2" xfId="3257" xr:uid="{D7794BCE-2083-479E-9226-59B801508EF8}"/>
    <cellStyle name="Comma 3 2 2 3 2 2 2 2" xfId="7039" xr:uid="{4DF635A3-FD19-46E1-9896-B589C3D1BBD9}"/>
    <cellStyle name="Comma 3 2 2 3 2 2 2 2 2" xfId="14550" xr:uid="{8423BF18-955F-4E8A-AEA4-7F0AE7EE84C9}"/>
    <cellStyle name="Comma 3 2 2 3 2 2 2 2 2 2" xfId="30754" xr:uid="{C96F9412-3458-4E75-B7BB-6093E5136ED6}"/>
    <cellStyle name="Comma 3 2 2 3 2 2 2 2 3" xfId="23243" xr:uid="{C3EC87AC-B444-4392-BB40-A6B1D6BE5943}"/>
    <cellStyle name="Comma 3 2 2 3 2 2 2 3" xfId="8980" xr:uid="{0E2C49EE-1FFD-4B58-ACE5-843414965C30}"/>
    <cellStyle name="Comma 3 2 2 3 2 2 2 3 2" xfId="16474" xr:uid="{A00DF200-0466-418B-8B3F-2A9A2379DFD3}"/>
    <cellStyle name="Comma 3 2 2 3 2 2 2 3 2 2" xfId="32678" xr:uid="{9DEB25CB-3BAE-4538-990D-BAE7B98D1056}"/>
    <cellStyle name="Comma 3 2 2 3 2 2 2 3 3" xfId="25184" xr:uid="{0074EAB3-DA19-4712-900B-C1A75EFD7C42}"/>
    <cellStyle name="Comma 3 2 2 3 2 2 2 4" xfId="10950" xr:uid="{D95693E2-FA37-4BCC-BC0C-4B2DFED0D519}"/>
    <cellStyle name="Comma 3 2 2 3 2 2 2 4 2" xfId="27154" xr:uid="{E3F06F2C-68AC-4CDC-AEE5-929263C86222}"/>
    <cellStyle name="Comma 3 2 2 3 2 2 2 5" xfId="17021" xr:uid="{029EA74B-2FBA-44F6-8EC6-EC6AAA2B93AA}"/>
    <cellStyle name="Comma 3 2 2 3 2 2 2 5 2" xfId="33153" xr:uid="{9092F12D-B400-45EF-B23E-71F131E6CFBA}"/>
    <cellStyle name="Comma 3 2 2 3 2 2 2 6" xfId="19477" xr:uid="{B21E8C7C-2DA3-4C5C-AF15-2A85149DD71D}"/>
    <cellStyle name="Comma 3 2 2 3 2 2 3" xfId="6194" xr:uid="{8EF8E934-39B3-4AA5-B70C-6DBA1CAD6D0D}"/>
    <cellStyle name="Comma 3 2 2 3 2 2 3 2" xfId="13706" xr:uid="{660793B4-24EC-473B-BF93-3EB1F1027DAB}"/>
    <cellStyle name="Comma 3 2 2 3 2 2 3 2 2" xfId="29910" xr:uid="{5A99FB67-9BE7-40A2-B2E6-C56B1D219A6C}"/>
    <cellStyle name="Comma 3 2 2 3 2 2 3 3" xfId="22398" xr:uid="{A0ECBEE1-2DD9-4C70-AD0D-82756799C876}"/>
    <cellStyle name="Comma 3 2 2 3 2 2 4" xfId="9314" xr:uid="{18066CAE-22C2-495C-A9C1-24B628881BC8}"/>
    <cellStyle name="Comma 3 2 2 3 2 2 4 2" xfId="16762" xr:uid="{F38F28D6-8CA1-48BF-A5C9-87911DB61209}"/>
    <cellStyle name="Comma 3 2 2 3 2 2 4 2 2" xfId="32966" xr:uid="{8402CD19-E70D-4BC4-9308-4713EA168AAB}"/>
    <cellStyle name="Comma 3 2 2 3 2 2 4 3" xfId="25518" xr:uid="{750DFE70-0E4E-4A1F-A6D9-7135074BC8CF}"/>
    <cellStyle name="Comma 3 2 2 3 2 2 5" xfId="10106" xr:uid="{7CE37944-0D3E-401B-8CBF-C3DEEDF84890}"/>
    <cellStyle name="Comma 3 2 2 3 2 2 5 2" xfId="26310" xr:uid="{4C67F9E7-CD1D-422B-8888-AA75282DAC0D}"/>
    <cellStyle name="Comma 3 2 2 3 2 2 6" xfId="17020" xr:uid="{8F63D6A7-FCDB-47E0-9960-7C71F63AE534}"/>
    <cellStyle name="Comma 3 2 2 3 2 2 6 2" xfId="33152" xr:uid="{8CA907E6-2FF9-481B-AF45-B224E76FD340}"/>
    <cellStyle name="Comma 3 2 2 3 2 2 7" xfId="18632" xr:uid="{2891CBD2-317C-4FDF-AD0B-306FE6788F6F}"/>
    <cellStyle name="Comma 3 2 2 3 2 3" xfId="2832" xr:uid="{7E106DFF-F1E0-41B5-99DE-E969EEA51048}"/>
    <cellStyle name="Comma 3 2 2 3 2 3 2" xfId="6616" xr:uid="{FBAD415B-B5E6-463A-A64B-1F9A424E8F9E}"/>
    <cellStyle name="Comma 3 2 2 3 2 3 2 2" xfId="14128" xr:uid="{2012312A-AD80-4B7F-BB86-81CF1FCA932E}"/>
    <cellStyle name="Comma 3 2 2 3 2 3 2 2 2" xfId="30332" xr:uid="{65FD9A4E-8CBF-4D96-94D8-0C999B74D371}"/>
    <cellStyle name="Comma 3 2 2 3 2 3 2 3" xfId="22820" xr:uid="{21962CDB-2FC3-402B-A5CE-1E3D5114CFCE}"/>
    <cellStyle name="Comma 3 2 2 3 2 3 3" xfId="6043" xr:uid="{3FE53E87-DEB7-4084-B50C-19247997B8CA}"/>
    <cellStyle name="Comma 3 2 2 3 2 3 3 2" xfId="13557" xr:uid="{06D887CA-6390-4A34-9977-73C80E608B51}"/>
    <cellStyle name="Comma 3 2 2 3 2 3 3 2 2" xfId="29761" xr:uid="{D241D4F2-298F-439E-824B-07644DA4E875}"/>
    <cellStyle name="Comma 3 2 2 3 2 3 3 3" xfId="22247" xr:uid="{B69CDDF3-7B3B-4E42-BB7A-CD69F7DF24FC}"/>
    <cellStyle name="Comma 3 2 2 3 2 3 4" xfId="10528" xr:uid="{806B6A34-7B1C-4C97-956F-35D11B5B25B6}"/>
    <cellStyle name="Comma 3 2 2 3 2 3 4 2" xfId="26732" xr:uid="{CD4967B8-8C2E-4ED4-A9D8-E30C4DE290FB}"/>
    <cellStyle name="Comma 3 2 2 3 2 3 5" xfId="17022" xr:uid="{8D388AAC-1EE2-4F90-AF10-1D923D10CF75}"/>
    <cellStyle name="Comma 3 2 2 3 2 3 5 2" xfId="33154" xr:uid="{BC5065C9-348E-469F-B965-EF92B10B5F98}"/>
    <cellStyle name="Comma 3 2 2 3 2 3 6" xfId="19054" xr:uid="{945F2AC0-6F9B-4711-80E9-7515F37B483F}"/>
    <cellStyle name="Comma 3 2 2 3 2 4" xfId="3763" xr:uid="{C6F956F1-02A8-4279-BEB4-6FADBC17E48F}"/>
    <cellStyle name="Comma 3 2 2 3 2 4 2" xfId="7473" xr:uid="{B9EC6305-B03B-49F2-B16E-FA4A55392635}"/>
    <cellStyle name="Comma 3 2 2 3 2 4 2 2" xfId="14982" xr:uid="{11222338-6AC8-401B-A04D-EDE84F009AAA}"/>
    <cellStyle name="Comma 3 2 2 3 2 4 2 2 2" xfId="31186" xr:uid="{8B63CA03-7C6B-4977-8900-DAD73DE0126E}"/>
    <cellStyle name="Comma 3 2 2 3 2 4 2 3" xfId="23677" xr:uid="{60E8483C-AC60-4ECD-997B-7F5A7DA7FD84}"/>
    <cellStyle name="Comma 3 2 2 3 2 4 3" xfId="5260" xr:uid="{99E4DE72-C0B4-454F-BE94-5C4379777CB8}"/>
    <cellStyle name="Comma 3 2 2 3 2 4 3 2" xfId="12809" xr:uid="{EF155908-5517-46E5-9588-3A9C0009B6A8}"/>
    <cellStyle name="Comma 3 2 2 3 2 4 3 2 2" xfId="29013" xr:uid="{44E9C79D-834C-46A0-8125-3C2B2C2377B3}"/>
    <cellStyle name="Comma 3 2 2 3 2 4 3 3" xfId="21464" xr:uid="{142F38FD-B824-43A4-8574-09E0CB568C4C}"/>
    <cellStyle name="Comma 3 2 2 3 2 4 4" xfId="11373" xr:uid="{9F598765-AD5B-4D86-B6E8-42CC3ED46528}"/>
    <cellStyle name="Comma 3 2 2 3 2 4 4 2" xfId="27577" xr:uid="{C04DDB8D-56FF-44CE-95BF-920ADADDEB00}"/>
    <cellStyle name="Comma 3 2 2 3 2 4 5" xfId="17023" xr:uid="{5A506AC5-1AE2-4CD2-B0EA-FFA6AB3C990E}"/>
    <cellStyle name="Comma 3 2 2 3 2 4 5 2" xfId="33155" xr:uid="{F5F6FD76-FD34-4D93-8695-F7DB94B59070}"/>
    <cellStyle name="Comma 3 2 2 3 2 4 6" xfId="19972" xr:uid="{B2C1FC29-07FA-4F43-A96A-FC54F0425EDD}"/>
    <cellStyle name="Comma 3 2 2 3 2 5" xfId="3616" xr:uid="{D340E805-D8BF-4704-87B5-7226105B221F}"/>
    <cellStyle name="Comma 3 2 2 3 2 5 2" xfId="9306" xr:uid="{6882926A-FFE6-425A-8048-ECC7A20109E5}"/>
    <cellStyle name="Comma 3 2 2 3 2 5 2 2" xfId="25510" xr:uid="{8AC89666-0569-4011-A975-38C7845C7879}"/>
    <cellStyle name="Comma 3 2 2 3 2 5 3" xfId="17024" xr:uid="{9FE169E9-7384-4129-8D9F-DBEA48556A64}"/>
    <cellStyle name="Comma 3 2 2 3 2 5 3 2" xfId="33156" xr:uid="{4DF36225-1DA0-45D1-8EDE-8E86F81DC570}"/>
    <cellStyle name="Comma 3 2 2 3 2 5 4" xfId="19825" xr:uid="{07BF262D-A24E-4989-8BAB-41DB97749970}"/>
    <cellStyle name="Comma 3 2 2 3 2 6" xfId="4232" xr:uid="{74EB0563-8A0E-4DF8-AF70-7C3B21FE37D5}"/>
    <cellStyle name="Comma 3 2 2 3 2 6 2" xfId="7902" xr:uid="{9FE7BB6D-7855-4B7D-BBB5-F954FFC1615A}"/>
    <cellStyle name="Comma 3 2 2 3 2 6 2 2" xfId="15409" xr:uid="{86802CA6-F9AA-428A-B0BB-CD104B520F7F}"/>
    <cellStyle name="Comma 3 2 2 3 2 6 2 2 2" xfId="31613" xr:uid="{FF32C65D-7283-4E44-8189-FBC4D3B18A4E}"/>
    <cellStyle name="Comma 3 2 2 3 2 6 2 3" xfId="24106" xr:uid="{066DB4C2-1F26-4C3F-9BF8-22987E750C55}"/>
    <cellStyle name="Comma 3 2 2 3 2 6 3" xfId="9354" xr:uid="{35FD6148-EEFE-4C81-B4F7-5E62023B5C41}"/>
    <cellStyle name="Comma 3 2 2 3 2 6 3 2" xfId="16796" xr:uid="{3D6131A5-E71D-405E-BD0A-11BF8A2D5176}"/>
    <cellStyle name="Comma 3 2 2 3 2 6 3 2 2" xfId="33000" xr:uid="{7BCAEA36-CE37-410B-B09C-AEE51FB5E7DD}"/>
    <cellStyle name="Comma 3 2 2 3 2 6 3 3" xfId="25558" xr:uid="{16E012BD-199C-4121-B4E7-0D0B62B6EB7C}"/>
    <cellStyle name="Comma 3 2 2 3 2 6 4" xfId="11795" xr:uid="{F8628F36-BF6E-4E63-B150-E41B961799F4}"/>
    <cellStyle name="Comma 3 2 2 3 2 6 4 2" xfId="27999" xr:uid="{36B1137F-E7DD-4414-AE14-8AB64378C51E}"/>
    <cellStyle name="Comma 3 2 2 3 2 6 5" xfId="17025" xr:uid="{D60D95C7-9638-4A30-940A-686BF3F1F302}"/>
    <cellStyle name="Comma 3 2 2 3 2 6 5 2" xfId="33157" xr:uid="{ED7C75F2-79F6-493E-8118-420FFFCF4C66}"/>
    <cellStyle name="Comma 3 2 2 3 2 6 6" xfId="20436" xr:uid="{D137CE21-E8BA-4B1C-8744-53077C8870AB}"/>
    <cellStyle name="Comma 3 2 2 3 2 7" xfId="4657" xr:uid="{F923A988-D59B-4A16-9CC9-E88BCE627BFA}"/>
    <cellStyle name="Comma 3 2 2 3 2 7 2" xfId="8327" xr:uid="{6091FD79-617D-4FD8-B52D-0D43879E5FE9}"/>
    <cellStyle name="Comma 3 2 2 3 2 7 2 2" xfId="15834" xr:uid="{78BCA990-477E-436A-BC63-9796CC3FC7CF}"/>
    <cellStyle name="Comma 3 2 2 3 2 7 2 2 2" xfId="32038" xr:uid="{BED01C39-1454-4E81-ABF3-5CC3897261E2}"/>
    <cellStyle name="Comma 3 2 2 3 2 7 2 3" xfId="24531" xr:uid="{D79C5EFC-BCB2-4B22-8E17-5E6A996551E7}"/>
    <cellStyle name="Comma 3 2 2 3 2 7 3" xfId="9179" xr:uid="{9AB0B7A3-EED7-485E-A104-95FD9D2DC34C}"/>
    <cellStyle name="Comma 3 2 2 3 2 7 3 2" xfId="16653" xr:uid="{909EDB99-5363-4BEC-A41C-43696566404E}"/>
    <cellStyle name="Comma 3 2 2 3 2 7 3 2 2" xfId="32857" xr:uid="{91457A06-4FA5-48C7-89D9-5B3030268469}"/>
    <cellStyle name="Comma 3 2 2 3 2 7 3 3" xfId="25383" xr:uid="{C3E35F66-3202-45AE-AB7B-2218767022CE}"/>
    <cellStyle name="Comma 3 2 2 3 2 7 4" xfId="12220" xr:uid="{4165335A-3626-4FAC-AA57-A126D7306FA0}"/>
    <cellStyle name="Comma 3 2 2 3 2 7 4 2" xfId="28424" xr:uid="{5B52A41B-C5AA-4174-8E02-6C370A272A08}"/>
    <cellStyle name="Comma 3 2 2 3 2 7 5" xfId="17026" xr:uid="{C4CA23E9-90C8-41E2-A4B7-6694C112F39B}"/>
    <cellStyle name="Comma 3 2 2 3 2 7 5 2" xfId="33158" xr:uid="{32CD04DB-A7D7-4D41-8DF2-B430E43DD10F}"/>
    <cellStyle name="Comma 3 2 2 3 2 7 6" xfId="20861" xr:uid="{6878AA5C-188C-4CF4-8D99-C38020E0CE38}"/>
    <cellStyle name="Comma 3 2 2 3 2 8" xfId="5085" xr:uid="{C5EAC637-8D6F-4402-9091-804032704988}"/>
    <cellStyle name="Comma 3 2 2 3 2 8 2" xfId="8750" xr:uid="{CFDD9777-64C7-4BD5-A353-10202D5337C2}"/>
    <cellStyle name="Comma 3 2 2 3 2 8 2 2" xfId="16257" xr:uid="{08262EC7-7CF6-4EBC-9188-A9DD02FAC3DB}"/>
    <cellStyle name="Comma 3 2 2 3 2 8 2 2 2" xfId="32461" xr:uid="{694BDA0D-E7B6-4409-B006-4F4294B88271}"/>
    <cellStyle name="Comma 3 2 2 3 2 8 2 3" xfId="24954" xr:uid="{086AFB87-A0E0-4B41-8C32-47A1C79527A7}"/>
    <cellStyle name="Comma 3 2 2 3 2 8 3" xfId="12642" xr:uid="{C08875A6-7FA4-46F0-A130-DD9250AD665F}"/>
    <cellStyle name="Comma 3 2 2 3 2 8 3 2" xfId="28846" xr:uid="{1AB27976-D318-4DEA-9C57-0C7073653CBF}"/>
    <cellStyle name="Comma 3 2 2 3 2 8 4" xfId="21289" xr:uid="{20482410-76D1-490F-A563-7D70BAD65739}"/>
    <cellStyle name="Comma 3 2 2 3 2 9" xfId="5756" xr:uid="{1EDCB5AB-3F3E-4AAD-B590-1BDFAF076409}"/>
    <cellStyle name="Comma 3 2 2 3 2 9 2" xfId="13271" xr:uid="{18AD2FDB-6F5B-4082-82E1-9F672952B89E}"/>
    <cellStyle name="Comma 3 2 2 3 2 9 2 2" xfId="29475" xr:uid="{B552636F-C57F-47E9-8911-A762EF3D34FC}"/>
    <cellStyle name="Comma 3 2 2 3 2 9 3" xfId="21960" xr:uid="{C6CD9D19-A060-4D2B-9B66-163B3D37A3F0}"/>
    <cellStyle name="Comma 3 2 2 3 3" xfId="2282" xr:uid="{11401851-6449-4661-80FF-FEC8EF8BC46D}"/>
    <cellStyle name="Comma 3 2 2 3 3 2" xfId="3131" xr:uid="{B229ABB0-2481-4F34-8494-EF66A0FCA135}"/>
    <cellStyle name="Comma 3 2 2 3 3 2 2" xfId="6913" xr:uid="{2E4670AB-91C0-46CF-A593-4325478A2900}"/>
    <cellStyle name="Comma 3 2 2 3 3 2 2 2" xfId="14424" xr:uid="{39308667-E7C5-400F-B994-29A96F20487F}"/>
    <cellStyle name="Comma 3 2 2 3 3 2 2 2 2" xfId="30628" xr:uid="{6CC10538-6328-463E-9A60-A9DF5493A05E}"/>
    <cellStyle name="Comma 3 2 2 3 3 2 2 3" xfId="23117" xr:uid="{66883815-507D-40CA-8B37-D07B9CFE8440}"/>
    <cellStyle name="Comma 3 2 2 3 3 2 3" xfId="9233" xr:uid="{BB22E031-786F-4EE1-9041-D2098C790838}"/>
    <cellStyle name="Comma 3 2 2 3 3 2 3 2" xfId="16697" xr:uid="{D4C8A5F7-1340-478D-BB11-2D4C901A7AF7}"/>
    <cellStyle name="Comma 3 2 2 3 3 2 3 2 2" xfId="32901" xr:uid="{4697A03D-C70D-4451-83EB-B1A1D86DD9FD}"/>
    <cellStyle name="Comma 3 2 2 3 3 2 3 3" xfId="25437" xr:uid="{30E1C830-B07C-4CBD-8DD1-C8AB4387142E}"/>
    <cellStyle name="Comma 3 2 2 3 3 2 4" xfId="10824" xr:uid="{9749457F-C3B0-4E64-9C57-B7F4CA62B280}"/>
    <cellStyle name="Comma 3 2 2 3 3 2 4 2" xfId="27028" xr:uid="{CC56366A-7007-486F-83D0-612BA2A56F6F}"/>
    <cellStyle name="Comma 3 2 2 3 3 2 5" xfId="17028" xr:uid="{9D0F3CD9-CE11-48D1-94CF-5933E184F0EF}"/>
    <cellStyle name="Comma 3 2 2 3 3 2 5 2" xfId="33160" xr:uid="{1D96F630-4FEA-4352-A490-141B984877BA}"/>
    <cellStyle name="Comma 3 2 2 3 3 2 6" xfId="19351" xr:uid="{5FE627A6-A3A6-45CE-A0AA-A466797EE26A}"/>
    <cellStyle name="Comma 3 2 2 3 3 3" xfId="6068" xr:uid="{E2BA9059-7F32-41EA-900E-E7E183870DBB}"/>
    <cellStyle name="Comma 3 2 2 3 3 3 2" xfId="13580" xr:uid="{C71B0CD2-CC50-4825-B5DA-E5F444FCCFE3}"/>
    <cellStyle name="Comma 3 2 2 3 3 3 2 2" xfId="29784" xr:uid="{F9878F8B-C3C9-4AA8-9D7E-9BC4356D88B0}"/>
    <cellStyle name="Comma 3 2 2 3 3 3 3" xfId="22272" xr:uid="{1FE64479-7D2D-4769-BCB6-5DF7580F8130}"/>
    <cellStyle name="Comma 3 2 2 3 3 4" xfId="9169" xr:uid="{3FC70F67-7CBF-4248-9491-2EAE25DB34E3}"/>
    <cellStyle name="Comma 3 2 2 3 3 4 2" xfId="16643" xr:uid="{22CF5C4D-BF87-4FDE-A45A-7D374772A280}"/>
    <cellStyle name="Comma 3 2 2 3 3 4 2 2" xfId="32847" xr:uid="{FDC2B7EB-6C00-49E2-9D1B-AB6935E0AD92}"/>
    <cellStyle name="Comma 3 2 2 3 3 4 3" xfId="25373" xr:uid="{2AAAE124-8A9C-4378-B061-9ABCCB3192FB}"/>
    <cellStyle name="Comma 3 2 2 3 3 5" xfId="9980" xr:uid="{052627AE-BED0-4158-AEA1-1B480D021FCE}"/>
    <cellStyle name="Comma 3 2 2 3 3 5 2" xfId="26184" xr:uid="{10DE00CF-503B-4CC3-BD38-651351B16953}"/>
    <cellStyle name="Comma 3 2 2 3 3 6" xfId="17027" xr:uid="{10EB3A48-8745-4EE2-9B60-751BFFE0D12E}"/>
    <cellStyle name="Comma 3 2 2 3 3 6 2" xfId="33159" xr:uid="{4C6B3D9B-1FBA-4F74-9502-4308AD4F6CFB}"/>
    <cellStyle name="Comma 3 2 2 3 3 7" xfId="18506" xr:uid="{49A50467-B0B2-41FD-95ED-AE3A7E0E8AEC}"/>
    <cellStyle name="Comma 3 2 2 3 4" xfId="2706" xr:uid="{9CF32D2D-BDDC-4B10-B929-6136AFDD35D6}"/>
    <cellStyle name="Comma 3 2 2 3 4 2" xfId="6490" xr:uid="{08E61D82-19EC-4EA6-AE72-A2F1C6366CC5}"/>
    <cellStyle name="Comma 3 2 2 3 4 2 2" xfId="14002" xr:uid="{8CE9D9CA-178C-4703-85AA-24B063230ECB}"/>
    <cellStyle name="Comma 3 2 2 3 4 2 2 2" xfId="30206" xr:uid="{C112286B-BE42-4360-9724-D3104FF2937D}"/>
    <cellStyle name="Comma 3 2 2 3 4 2 3" xfId="22694" xr:uid="{A2408144-CFAE-435C-BD3E-55D9D094E586}"/>
    <cellStyle name="Comma 3 2 2 3 4 3" xfId="5445" xr:uid="{E29BD2D8-AB29-459B-BBD2-3F7DBDDA1DBF}"/>
    <cellStyle name="Comma 3 2 2 3 4 3 2" xfId="12988" xr:uid="{97DF3E0E-1A08-40AD-9E33-4DDE4E2618DA}"/>
    <cellStyle name="Comma 3 2 2 3 4 3 2 2" xfId="29192" xr:uid="{55381EF8-412E-41BD-A859-1416B2211E83}"/>
    <cellStyle name="Comma 3 2 2 3 4 3 3" xfId="21649" xr:uid="{E7CB6000-8324-45B0-995B-F76392E0AB6E}"/>
    <cellStyle name="Comma 3 2 2 3 4 4" xfId="10402" xr:uid="{7C0C1D1F-B1BB-4C43-9F79-621E3FF99177}"/>
    <cellStyle name="Comma 3 2 2 3 4 4 2" xfId="26606" xr:uid="{B13426B8-A177-4A5D-8431-0223C759905B}"/>
    <cellStyle name="Comma 3 2 2 3 4 5" xfId="17029" xr:uid="{E0F47EB8-666B-49D4-9E3B-2CDD53F21CB6}"/>
    <cellStyle name="Comma 3 2 2 3 4 5 2" xfId="33161" xr:uid="{95BD09D4-1C49-4CCF-BAB5-B849888A57E3}"/>
    <cellStyle name="Comma 3 2 2 3 4 6" xfId="18928" xr:uid="{63980AF7-5789-4809-8F04-508ED2D2A1E8}"/>
    <cellStyle name="Comma 3 2 2 3 5" xfId="3636" xr:uid="{01215BB1-D2F7-4045-858D-F0931763A9AD}"/>
    <cellStyle name="Comma 3 2 2 3 5 2" xfId="7346" xr:uid="{1272140A-3F52-4B4B-9F6E-67ED4D1AB08B}"/>
    <cellStyle name="Comma 3 2 2 3 5 2 2" xfId="14855" xr:uid="{7D958221-877B-4BA6-9604-B67B3AB76C66}"/>
    <cellStyle name="Comma 3 2 2 3 5 2 2 2" xfId="31059" xr:uid="{23A8DF19-57A7-4BB6-B85E-E33341ED71DF}"/>
    <cellStyle name="Comma 3 2 2 3 5 2 3" xfId="23550" xr:uid="{D7B05EF1-05C9-4EA4-A227-B587CEB116F5}"/>
    <cellStyle name="Comma 3 2 2 3 5 3" xfId="9198" xr:uid="{A8CF8C02-EB4A-4F80-8F69-E2A2363B5BD2}"/>
    <cellStyle name="Comma 3 2 2 3 5 3 2" xfId="16668" xr:uid="{D640462F-E6D7-41A8-9287-D754DD337504}"/>
    <cellStyle name="Comma 3 2 2 3 5 3 2 2" xfId="32872" xr:uid="{7A0B40A1-BB8A-4625-8544-56598B639926}"/>
    <cellStyle name="Comma 3 2 2 3 5 3 3" xfId="25402" xr:uid="{9B8701B7-FE76-42F6-8606-4A71626B7847}"/>
    <cellStyle name="Comma 3 2 2 3 5 4" xfId="11247" xr:uid="{5C5F99AC-FE81-41F2-B6A5-C38E2CA3E86F}"/>
    <cellStyle name="Comma 3 2 2 3 5 4 2" xfId="27451" xr:uid="{8580331B-863A-4362-9F78-E0BB5E04CDF6}"/>
    <cellStyle name="Comma 3 2 2 3 5 5" xfId="17030" xr:uid="{95F0FD99-CD4E-42D1-BAE4-FE0FA93545F2}"/>
    <cellStyle name="Comma 3 2 2 3 5 5 2" xfId="33162" xr:uid="{DDA9C892-8311-47BE-96B4-E7CD1488E835}"/>
    <cellStyle name="Comma 3 2 2 3 5 6" xfId="19845" xr:uid="{C252A448-976F-4D05-9A97-1EC560605038}"/>
    <cellStyle name="Comma 3 2 2 3 6" xfId="3545" xr:uid="{F864D464-E246-4B27-8099-9958303F83D1}"/>
    <cellStyle name="Comma 3 2 2 3 6 2" xfId="9197" xr:uid="{1D888865-67BA-4F42-9DC9-939F8FBC441A}"/>
    <cellStyle name="Comma 3 2 2 3 6 2 2" xfId="25401" xr:uid="{310C7E3D-B731-47E6-9482-60F4955618A9}"/>
    <cellStyle name="Comma 3 2 2 3 6 3" xfId="17031" xr:uid="{E5ED8715-2275-43C0-995C-F1EE1E00E9B1}"/>
    <cellStyle name="Comma 3 2 2 3 6 3 2" xfId="33163" xr:uid="{7E876125-8134-43BD-9104-F82A6743B150}"/>
    <cellStyle name="Comma 3 2 2 3 6 4" xfId="19761" xr:uid="{EA764E31-8932-421F-A530-26EBF096CC8F}"/>
    <cellStyle name="Comma 3 2 2 3 7" xfId="4106" xr:uid="{5712DEBD-20DD-4244-A439-8F751F6C3616}"/>
    <cellStyle name="Comma 3 2 2 3 7 2" xfId="7776" xr:uid="{01386366-7016-46AA-9D6E-E537D8AF5F41}"/>
    <cellStyle name="Comma 3 2 2 3 7 2 2" xfId="15283" xr:uid="{A36E424F-3A44-47A0-B739-ACCB1F739B1D}"/>
    <cellStyle name="Comma 3 2 2 3 7 2 2 2" xfId="31487" xr:uid="{5B8F1EEC-D112-40BE-8E46-85A5A8C0B3D3}"/>
    <cellStyle name="Comma 3 2 2 3 7 2 3" xfId="23980" xr:uid="{90BC8676-844C-46F7-8681-040716B6A380}"/>
    <cellStyle name="Comma 3 2 2 3 7 3" xfId="9144" xr:uid="{BE63AFFB-C2C3-4E49-8CA3-E6324AE535E0}"/>
    <cellStyle name="Comma 3 2 2 3 7 3 2" xfId="16621" xr:uid="{0A43AAC0-7B41-41D6-9251-BAFD88FF400F}"/>
    <cellStyle name="Comma 3 2 2 3 7 3 2 2" xfId="32825" xr:uid="{D758B181-FD40-4272-81EC-02804F1A1CB6}"/>
    <cellStyle name="Comma 3 2 2 3 7 3 3" xfId="25348" xr:uid="{F9D61CA7-434E-4915-8459-5464FB3AF3BE}"/>
    <cellStyle name="Comma 3 2 2 3 7 4" xfId="11669" xr:uid="{C61BDDC8-C50E-4D5B-BAB7-7762A86D5017}"/>
    <cellStyle name="Comma 3 2 2 3 7 4 2" xfId="27873" xr:uid="{2A8C193F-AC11-4148-BF3C-22B937D891BE}"/>
    <cellStyle name="Comma 3 2 2 3 7 5" xfId="17032" xr:uid="{839F543F-6A82-4CF4-BF14-EEC249BB21F7}"/>
    <cellStyle name="Comma 3 2 2 3 7 5 2" xfId="33164" xr:uid="{33EEE598-A363-4DC8-BB2A-8BB704B877E9}"/>
    <cellStyle name="Comma 3 2 2 3 7 6" xfId="20310" xr:uid="{7B04E844-6AC8-46AB-8BEB-77C00CD777B5}"/>
    <cellStyle name="Comma 3 2 2 3 8" xfId="4531" xr:uid="{A14BE1BA-2044-4A5D-AE0F-B3880D392167}"/>
    <cellStyle name="Comma 3 2 2 3 8 2" xfId="8201" xr:uid="{79C74778-209D-477A-95CA-6D64D0C6ED4E}"/>
    <cellStyle name="Comma 3 2 2 3 8 2 2" xfId="15708" xr:uid="{6BF9964C-4DC4-4226-910D-425947A8A52F}"/>
    <cellStyle name="Comma 3 2 2 3 8 2 2 2" xfId="31912" xr:uid="{5EF3386D-E02C-4A1F-B52C-F271384EAB94}"/>
    <cellStyle name="Comma 3 2 2 3 8 2 3" xfId="24405" xr:uid="{6B213383-C8D2-4E1F-8618-486DC09317E7}"/>
    <cellStyle name="Comma 3 2 2 3 8 3" xfId="9190" xr:uid="{2CE0E3EE-1C0C-40DC-A305-5194629042C2}"/>
    <cellStyle name="Comma 3 2 2 3 8 3 2" xfId="16661" xr:uid="{B1A20CBC-9874-4EB6-B1B0-3167D0FDC934}"/>
    <cellStyle name="Comma 3 2 2 3 8 3 2 2" xfId="32865" xr:uid="{06286A1B-F322-4CAD-9C73-17DBDF3BAABD}"/>
    <cellStyle name="Comma 3 2 2 3 8 3 3" xfId="25394" xr:uid="{0717F600-F247-4039-8FE2-CD73C9CF1D9A}"/>
    <cellStyle name="Comma 3 2 2 3 8 4" xfId="12094" xr:uid="{A1070133-ECA3-47F3-873F-F55E532ECC01}"/>
    <cellStyle name="Comma 3 2 2 3 8 4 2" xfId="28298" xr:uid="{C3C522AA-9B35-461D-ABDF-ECF42B9B4F72}"/>
    <cellStyle name="Comma 3 2 2 3 8 5" xfId="17033" xr:uid="{65E78D87-07E3-4882-A745-15662E128CFA}"/>
    <cellStyle name="Comma 3 2 2 3 8 5 2" xfId="33165" xr:uid="{E26F9698-ABAE-4E15-A858-F4F0AC100461}"/>
    <cellStyle name="Comma 3 2 2 3 8 6" xfId="20735" xr:uid="{49CFCC8D-8CE3-42BF-AC27-EFC796AEB49F}"/>
    <cellStyle name="Comma 3 2 2 3 9" xfId="4958" xr:uid="{81724A23-BD35-4D9D-B0DB-869F803BD0C1}"/>
    <cellStyle name="Comma 3 2 2 3 9 2" xfId="8624" xr:uid="{553025A2-47CB-4DF9-B036-1821D45E13D3}"/>
    <cellStyle name="Comma 3 2 2 3 9 2 2" xfId="16131" xr:uid="{7FB09596-A108-4F68-951F-502B343AA663}"/>
    <cellStyle name="Comma 3 2 2 3 9 2 2 2" xfId="32335" xr:uid="{7B50F0C4-23B5-48C4-828F-B702BF8D8983}"/>
    <cellStyle name="Comma 3 2 2 3 9 2 3" xfId="24828" xr:uid="{3979F3AD-2510-4334-80BC-66C43968AF57}"/>
    <cellStyle name="Comma 3 2 2 3 9 3" xfId="12516" xr:uid="{D01FE1B7-2715-4104-BD89-312F51551452}"/>
    <cellStyle name="Comma 3 2 2 3 9 3 2" xfId="28720" xr:uid="{BED375E8-C42D-4E32-9310-0CE28E1A4785}"/>
    <cellStyle name="Comma 3 2 2 3 9 4" xfId="21162" xr:uid="{B48B320A-A29F-4C2E-A104-D0A8EFD82856}"/>
    <cellStyle name="Comma 3 2 2 4" xfId="1782" xr:uid="{1A08287D-1C52-45DA-A139-2E08E422589A}"/>
    <cellStyle name="Comma 3 2 2 4 10" xfId="5643" xr:uid="{E446D219-BF06-4279-B553-D4FADC2AC350}"/>
    <cellStyle name="Comma 3 2 2 4 10 2" xfId="13158" xr:uid="{F8C00241-2528-44B9-8962-1F8FABB91F79}"/>
    <cellStyle name="Comma 3 2 2 4 10 2 2" xfId="29362" xr:uid="{183E4D3C-6E76-45E8-8963-012566D86F41}"/>
    <cellStyle name="Comma 3 2 2 4 10 3" xfId="21847" xr:uid="{8619A383-2318-48E2-86D1-F1B19DAC5D2B}"/>
    <cellStyle name="Comma 3 2 2 4 11" xfId="9571" xr:uid="{9B4D39FD-CA33-4DA0-B2FA-E6F4B5CBC73E}"/>
    <cellStyle name="Comma 3 2 2 4 11 2" xfId="25775" xr:uid="{39C494E1-A3BD-45BC-B861-5B68D0DF57C8}"/>
    <cellStyle name="Comma 3 2 2 4 12" xfId="17034" xr:uid="{6AF99D57-4718-4424-804E-07CA18957E74}"/>
    <cellStyle name="Comma 3 2 2 4 12 2" xfId="33166" xr:uid="{6DDA9EE1-C074-470D-9531-62DCEFBC6E2B}"/>
    <cellStyle name="Comma 3 2 2 4 13" xfId="18094" xr:uid="{53FB5F1B-6465-4F66-981A-2D2F9CF56026}"/>
    <cellStyle name="Comma 3 2 2 4 2" xfId="1904" xr:uid="{C54B8F66-5D2D-48AA-87B6-877F3CDFAB94}"/>
    <cellStyle name="Comma 3 2 2 4 2 10" xfId="9684" xr:uid="{90FC3989-F237-4148-BFA1-5B543B1F86DD}"/>
    <cellStyle name="Comma 3 2 2 4 2 10 2" xfId="25888" xr:uid="{4E9A5FDF-13EF-4799-9B4A-E4882DE2BC4E}"/>
    <cellStyle name="Comma 3 2 2 4 2 11" xfId="17035" xr:uid="{085B4DF8-13E7-42C1-94FE-B72FB71F716F}"/>
    <cellStyle name="Comma 3 2 2 4 2 11 2" xfId="33167" xr:uid="{D19F9C76-3E0C-4191-A692-1E9244FE116C}"/>
    <cellStyle name="Comma 3 2 2 4 2 12" xfId="18208" xr:uid="{48C568CA-1919-4A1B-BAD2-CF92B608104F}"/>
    <cellStyle name="Comma 3 2 2 4 2 2" xfId="2411" xr:uid="{169006BB-7C17-4E99-A969-49F2B141E11B}"/>
    <cellStyle name="Comma 3 2 2 4 2 2 2" xfId="3258" xr:uid="{79A5739B-A14C-43D7-899F-EDB3AB82F5C4}"/>
    <cellStyle name="Comma 3 2 2 4 2 2 2 2" xfId="7040" xr:uid="{78768361-AC93-4D3D-84EF-B309A716E824}"/>
    <cellStyle name="Comma 3 2 2 4 2 2 2 2 2" xfId="14551" xr:uid="{A0AA8177-55F0-42E1-8C60-F0A7AD81EADA}"/>
    <cellStyle name="Comma 3 2 2 4 2 2 2 2 2 2" xfId="30755" xr:uid="{39BFB164-ACED-40B3-922A-97921543F78C}"/>
    <cellStyle name="Comma 3 2 2 4 2 2 2 2 3" xfId="23244" xr:uid="{F6C008C1-60DD-45EC-8AAE-50FCBDC1E91B}"/>
    <cellStyle name="Comma 3 2 2 4 2 2 2 3" xfId="9328" xr:uid="{F1E52E9A-2297-489A-9E3D-0FA9113F3E23}"/>
    <cellStyle name="Comma 3 2 2 4 2 2 2 3 2" xfId="16773" xr:uid="{1A01BD01-1E27-46DC-A4F3-2CD8720C370F}"/>
    <cellStyle name="Comma 3 2 2 4 2 2 2 3 2 2" xfId="32977" xr:uid="{5A1A4CE2-316E-4ABB-977F-29D99257C44E}"/>
    <cellStyle name="Comma 3 2 2 4 2 2 2 3 3" xfId="25532" xr:uid="{ED582176-A969-4116-ACEC-8E8413B77ECE}"/>
    <cellStyle name="Comma 3 2 2 4 2 2 2 4" xfId="10951" xr:uid="{83973B80-6488-4C7F-90DF-B38944FC597E}"/>
    <cellStyle name="Comma 3 2 2 4 2 2 2 4 2" xfId="27155" xr:uid="{CCF2A9D8-F42A-45A0-8FCF-9186CD2EF41F}"/>
    <cellStyle name="Comma 3 2 2 4 2 2 2 5" xfId="17037" xr:uid="{651F3D93-F439-48AB-8CFA-FE5A63483E2A}"/>
    <cellStyle name="Comma 3 2 2 4 2 2 2 5 2" xfId="33169" xr:uid="{D0C11890-F9DE-4CDA-B881-B06FC0A8C0EB}"/>
    <cellStyle name="Comma 3 2 2 4 2 2 2 6" xfId="19478" xr:uid="{1FC29C45-B2B8-4A8C-871E-28AF873C54D9}"/>
    <cellStyle name="Comma 3 2 2 4 2 2 3" xfId="6195" xr:uid="{3BEBB016-A2A2-43E2-8C31-90EC778D995E}"/>
    <cellStyle name="Comma 3 2 2 4 2 2 3 2" xfId="13707" xr:uid="{3374614F-D9AF-461B-97C9-20A84CD450DC}"/>
    <cellStyle name="Comma 3 2 2 4 2 2 3 2 2" xfId="29911" xr:uid="{360AB05B-0E8B-4FA0-80B2-811583A4FD26}"/>
    <cellStyle name="Comma 3 2 2 4 2 2 3 3" xfId="22399" xr:uid="{BB65F121-FB71-4D24-90B9-6308A99323D5}"/>
    <cellStyle name="Comma 3 2 2 4 2 2 4" xfId="8912" xr:uid="{EA7E564B-5D2E-48E5-88A4-E7ED6BCCCB69}"/>
    <cellStyle name="Comma 3 2 2 4 2 2 4 2" xfId="16415" xr:uid="{C69CBE06-5500-4E10-BC91-10A8CF894770}"/>
    <cellStyle name="Comma 3 2 2 4 2 2 4 2 2" xfId="32619" xr:uid="{8799441B-8235-4B18-AD82-C6E402708C20}"/>
    <cellStyle name="Comma 3 2 2 4 2 2 4 3" xfId="25116" xr:uid="{6BED8113-E537-46E2-89E5-16005E416482}"/>
    <cellStyle name="Comma 3 2 2 4 2 2 5" xfId="10107" xr:uid="{F98D4F68-CDB1-4970-9C0D-25510A655620}"/>
    <cellStyle name="Comma 3 2 2 4 2 2 5 2" xfId="26311" xr:uid="{F54FA515-B26F-4BB6-8437-5ABF3B101BC3}"/>
    <cellStyle name="Comma 3 2 2 4 2 2 6" xfId="17036" xr:uid="{329EC926-CAD5-42AC-A88E-87F9664EC3C7}"/>
    <cellStyle name="Comma 3 2 2 4 2 2 6 2" xfId="33168" xr:uid="{817EA982-B059-48E7-9337-18F67B7EE74E}"/>
    <cellStyle name="Comma 3 2 2 4 2 2 7" xfId="18633" xr:uid="{AB91404C-DDEC-4D1F-B86C-2FB808524023}"/>
    <cellStyle name="Comma 3 2 2 4 2 3" xfId="2833" xr:uid="{44B39ECF-D0A8-4E25-A15A-EF554B42B58E}"/>
    <cellStyle name="Comma 3 2 2 4 2 3 2" xfId="6617" xr:uid="{116C1634-2222-4494-BB0D-5A471135B3C6}"/>
    <cellStyle name="Comma 3 2 2 4 2 3 2 2" xfId="14129" xr:uid="{A3383426-AABF-49C8-8D2C-6F5E3C1FE793}"/>
    <cellStyle name="Comma 3 2 2 4 2 3 2 2 2" xfId="30333" xr:uid="{C5CBCF3F-D4AD-4E35-8146-BE20D4A3DDF5}"/>
    <cellStyle name="Comma 3 2 2 4 2 3 2 3" xfId="22821" xr:uid="{AFB6F4AC-9E27-44C0-AF0B-D18FD0313F2B}"/>
    <cellStyle name="Comma 3 2 2 4 2 3 3" xfId="8986" xr:uid="{45BA7286-5D3C-41C4-8439-6FF2A339C7A4}"/>
    <cellStyle name="Comma 3 2 2 4 2 3 3 2" xfId="16480" xr:uid="{26584094-4CCA-4A3A-AC32-72D06F38BB24}"/>
    <cellStyle name="Comma 3 2 2 4 2 3 3 2 2" xfId="32684" xr:uid="{A2D87B6E-0E56-4994-AEE6-099F545AE147}"/>
    <cellStyle name="Comma 3 2 2 4 2 3 3 3" xfId="25190" xr:uid="{7EEC0DBA-7AC0-4C41-90BB-613CBA6AB09E}"/>
    <cellStyle name="Comma 3 2 2 4 2 3 4" xfId="10529" xr:uid="{E827F157-ED60-4B21-91F2-D2DD9534CC69}"/>
    <cellStyle name="Comma 3 2 2 4 2 3 4 2" xfId="26733" xr:uid="{53124AE3-8E2A-411E-B403-F0BEEC2943CF}"/>
    <cellStyle name="Comma 3 2 2 4 2 3 5" xfId="17038" xr:uid="{AAAA94D0-A9F5-4716-B825-410DB19E3809}"/>
    <cellStyle name="Comma 3 2 2 4 2 3 5 2" xfId="33170" xr:uid="{E9110E88-61BF-416E-BDE0-7A5D2C989B99}"/>
    <cellStyle name="Comma 3 2 2 4 2 3 6" xfId="19055" xr:uid="{5D561E29-F4D7-4795-AC1C-FDC72B2FBFD5}"/>
    <cellStyle name="Comma 3 2 2 4 2 4" xfId="3764" xr:uid="{86E5D770-77A2-466A-BBAA-57C23932A234}"/>
    <cellStyle name="Comma 3 2 2 4 2 4 2" xfId="7474" xr:uid="{5F197FC9-34F8-40F1-9CAC-4CD2CCEF6607}"/>
    <cellStyle name="Comma 3 2 2 4 2 4 2 2" xfId="14983" xr:uid="{73E0606F-DC23-4966-9B6A-CCDC2339171B}"/>
    <cellStyle name="Comma 3 2 2 4 2 4 2 2 2" xfId="31187" xr:uid="{7120909C-C1D9-40C0-A1A1-31C21D8F2FE6}"/>
    <cellStyle name="Comma 3 2 2 4 2 4 2 3" xfId="23678" xr:uid="{F0861C6F-A47E-4580-ABCF-737AA74DC3E7}"/>
    <cellStyle name="Comma 3 2 2 4 2 4 3" xfId="9264" xr:uid="{ABE9342E-971A-4681-B061-2C8DA3631E6E}"/>
    <cellStyle name="Comma 3 2 2 4 2 4 3 2" xfId="16724" xr:uid="{30325A63-C6ED-44D9-8D79-0A8F27A41473}"/>
    <cellStyle name="Comma 3 2 2 4 2 4 3 2 2" xfId="32928" xr:uid="{845EFCF1-98EB-46E0-AB56-8CE54F2AF63B}"/>
    <cellStyle name="Comma 3 2 2 4 2 4 3 3" xfId="25468" xr:uid="{90CACD9A-F07C-4F88-A6AC-AAA4B0507DD8}"/>
    <cellStyle name="Comma 3 2 2 4 2 4 4" xfId="11374" xr:uid="{0B339BF3-F315-48BE-8CA5-F79E6CA784A1}"/>
    <cellStyle name="Comma 3 2 2 4 2 4 4 2" xfId="27578" xr:uid="{0AB63CB4-A029-4521-8958-FB547651DEE2}"/>
    <cellStyle name="Comma 3 2 2 4 2 4 5" xfId="17039" xr:uid="{5951DD43-7037-42D9-956E-723300F5675D}"/>
    <cellStyle name="Comma 3 2 2 4 2 4 5 2" xfId="33171" xr:uid="{55ABB2B1-A4B2-42DE-ACCB-6098D0DF4482}"/>
    <cellStyle name="Comma 3 2 2 4 2 4 6" xfId="19973" xr:uid="{4095B5D8-7B31-44A8-A558-58FC3EB00307}"/>
    <cellStyle name="Comma 3 2 2 4 2 5" xfId="3553" xr:uid="{EBDD2E68-A108-4021-9C5B-2413D00457C4}"/>
    <cellStyle name="Comma 3 2 2 4 2 5 2" xfId="9031" xr:uid="{BE54F148-67C9-4374-9CB8-2A7ECA49DC03}"/>
    <cellStyle name="Comma 3 2 2 4 2 5 2 2" xfId="25235" xr:uid="{092C22DE-2412-4173-B133-CA52681BBF8E}"/>
    <cellStyle name="Comma 3 2 2 4 2 5 3" xfId="17040" xr:uid="{86B7AB25-5B3A-438F-AA7A-02EC191FA2F1}"/>
    <cellStyle name="Comma 3 2 2 4 2 5 3 2" xfId="33172" xr:uid="{B1A3C45D-6D72-4AC3-8759-3CF789234BCD}"/>
    <cellStyle name="Comma 3 2 2 4 2 5 4" xfId="19769" xr:uid="{2956FD5E-C8AC-483F-8F56-612F8DA73F56}"/>
    <cellStyle name="Comma 3 2 2 4 2 6" xfId="4233" xr:uid="{15FBA0DB-0560-4B33-93B9-5D3151BAA377}"/>
    <cellStyle name="Comma 3 2 2 4 2 6 2" xfId="7903" xr:uid="{7A4DA8A8-983D-438C-B338-12602D932205}"/>
    <cellStyle name="Comma 3 2 2 4 2 6 2 2" xfId="15410" xr:uid="{DD26BF45-1AC3-4C67-8F8B-659D4E7EDFBE}"/>
    <cellStyle name="Comma 3 2 2 4 2 6 2 2 2" xfId="31614" xr:uid="{1B7D51F2-1D9F-40FF-8C4E-4C3884011CF7}"/>
    <cellStyle name="Comma 3 2 2 4 2 6 2 3" xfId="24107" xr:uid="{8A36B64C-08FB-48E5-B9DE-5D834F30FCF9}"/>
    <cellStyle name="Comma 3 2 2 4 2 6 3" xfId="5481" xr:uid="{5CB36DB0-94B2-40B9-AB4E-8EDE4B3013DF}"/>
    <cellStyle name="Comma 3 2 2 4 2 6 3 2" xfId="13019" xr:uid="{C4031C1B-CA47-4D5F-942A-A7D65E62FA14}"/>
    <cellStyle name="Comma 3 2 2 4 2 6 3 2 2" xfId="29223" xr:uid="{B441EBB4-E8F1-49D3-A965-26FA14D521F7}"/>
    <cellStyle name="Comma 3 2 2 4 2 6 3 3" xfId="21685" xr:uid="{29EEB541-BF97-40B5-B0F6-B89C5D9418F1}"/>
    <cellStyle name="Comma 3 2 2 4 2 6 4" xfId="11796" xr:uid="{590949AC-3188-4679-B171-3D2B427B7FCB}"/>
    <cellStyle name="Comma 3 2 2 4 2 6 4 2" xfId="28000" xr:uid="{8593D19D-3F31-4020-9DE0-A24DCE6144D2}"/>
    <cellStyle name="Comma 3 2 2 4 2 6 5" xfId="17041" xr:uid="{B0AF2DA8-C0D3-43EB-BD08-B94F6E1F6816}"/>
    <cellStyle name="Comma 3 2 2 4 2 6 5 2" xfId="33173" xr:uid="{7578CB73-E8DF-40E8-B12A-3D6C51E0FDB0}"/>
    <cellStyle name="Comma 3 2 2 4 2 6 6" xfId="20437" xr:uid="{430B6FB9-2BF8-4CE3-AC95-069985B4355E}"/>
    <cellStyle name="Comma 3 2 2 4 2 7" xfId="4658" xr:uid="{C86EFF3E-472D-4C8F-9BAE-3AEA4426B869}"/>
    <cellStyle name="Comma 3 2 2 4 2 7 2" xfId="8328" xr:uid="{2BACE498-8D8F-42A9-BB0F-E3ABA69BE3E0}"/>
    <cellStyle name="Comma 3 2 2 4 2 7 2 2" xfId="15835" xr:uid="{673BCA43-DA7E-4025-AE40-C0B743F44DD2}"/>
    <cellStyle name="Comma 3 2 2 4 2 7 2 2 2" xfId="32039" xr:uid="{3D9CBBE4-BF03-4ED6-87DC-E887E9527DF1}"/>
    <cellStyle name="Comma 3 2 2 4 2 7 2 3" xfId="24532" xr:uid="{8E012774-7021-4C42-B222-D8BD10FC600F}"/>
    <cellStyle name="Comma 3 2 2 4 2 7 3" xfId="8999" xr:uid="{8952531C-088E-4B41-ADEE-69A19ADFEC6A}"/>
    <cellStyle name="Comma 3 2 2 4 2 7 3 2" xfId="16492" xr:uid="{B0F0BDF5-BD45-425B-AE00-C1528B3070DC}"/>
    <cellStyle name="Comma 3 2 2 4 2 7 3 2 2" xfId="32696" xr:uid="{F4FB2858-BC73-408D-A191-B9137A5AA245}"/>
    <cellStyle name="Comma 3 2 2 4 2 7 3 3" xfId="25203" xr:uid="{1E48C1FD-A22C-46DA-B1A7-FAB3A5834A0A}"/>
    <cellStyle name="Comma 3 2 2 4 2 7 4" xfId="12221" xr:uid="{49E972E6-27CE-4521-A647-0C0F8E287C31}"/>
    <cellStyle name="Comma 3 2 2 4 2 7 4 2" xfId="28425" xr:uid="{739709A0-6C1F-4560-B1BB-2ADF3C864322}"/>
    <cellStyle name="Comma 3 2 2 4 2 7 5" xfId="17042" xr:uid="{1722C546-463C-4A68-B2F9-D8917EE392C0}"/>
    <cellStyle name="Comma 3 2 2 4 2 7 5 2" xfId="33174" xr:uid="{1E6F2713-8694-4671-913B-191475E06B5A}"/>
    <cellStyle name="Comma 3 2 2 4 2 7 6" xfId="20862" xr:uid="{85474D14-35C2-48F1-81C6-01DEE1DC5091}"/>
    <cellStyle name="Comma 3 2 2 4 2 8" xfId="5086" xr:uid="{19A27BB6-0C27-48D0-AACA-C48668015C3B}"/>
    <cellStyle name="Comma 3 2 2 4 2 8 2" xfId="8751" xr:uid="{4F780708-4B46-46D5-BAED-28D730910CB5}"/>
    <cellStyle name="Comma 3 2 2 4 2 8 2 2" xfId="16258" xr:uid="{C89E38D3-A090-4ED6-B9E9-AE444C69E3A1}"/>
    <cellStyle name="Comma 3 2 2 4 2 8 2 2 2" xfId="32462" xr:uid="{8D5CFB5A-E574-4157-B5DB-618833E43D27}"/>
    <cellStyle name="Comma 3 2 2 4 2 8 2 3" xfId="24955" xr:uid="{3944F961-FE7D-4CC8-B58E-900CCB320D14}"/>
    <cellStyle name="Comma 3 2 2 4 2 8 3" xfId="12643" xr:uid="{B1470C7D-175E-46C4-A189-770FD98FF23E}"/>
    <cellStyle name="Comma 3 2 2 4 2 8 3 2" xfId="28847" xr:uid="{D553CB21-D7DA-4B01-B080-ADC70FAE90DA}"/>
    <cellStyle name="Comma 3 2 2 4 2 8 4" xfId="21290" xr:uid="{CE8BC33A-C8D1-49D6-AD84-819560096CEB}"/>
    <cellStyle name="Comma 3 2 2 4 2 9" xfId="5757" xr:uid="{6DE4CC94-E006-4B03-9649-25890DDF7991}"/>
    <cellStyle name="Comma 3 2 2 4 2 9 2" xfId="13272" xr:uid="{7FF6BC26-80CF-4568-9302-A86AC25C95F3}"/>
    <cellStyle name="Comma 3 2 2 4 2 9 2 2" xfId="29476" xr:uid="{420F0EA6-161F-404D-9DC9-8733791E4109}"/>
    <cellStyle name="Comma 3 2 2 4 2 9 3" xfId="21961" xr:uid="{8A24DF20-A36E-4CE5-85E8-6923470AAC01}"/>
    <cellStyle name="Comma 3 2 2 4 3" xfId="2298" xr:uid="{755ACD38-5332-4C77-9BB1-4D423E6665E9}"/>
    <cellStyle name="Comma 3 2 2 4 3 2" xfId="3145" xr:uid="{76F2102B-C271-418E-A22A-D3C0E5BC69D5}"/>
    <cellStyle name="Comma 3 2 2 4 3 2 2" xfId="6927" xr:uid="{2A76FCA8-2DFA-4444-B619-325DC84A336A}"/>
    <cellStyle name="Comma 3 2 2 4 3 2 2 2" xfId="14438" xr:uid="{4A1DCA82-FD2C-41B2-B83B-5C116E7920AC}"/>
    <cellStyle name="Comma 3 2 2 4 3 2 2 2 2" xfId="30642" xr:uid="{8A0F50D5-1A00-4515-8260-AB81B88BFBDA}"/>
    <cellStyle name="Comma 3 2 2 4 3 2 2 3" xfId="23131" xr:uid="{E1CF669C-60FC-4A9A-A1A2-E93FD4805CB8}"/>
    <cellStyle name="Comma 3 2 2 4 3 2 3" xfId="8969" xr:uid="{1A245683-CEA5-4178-A6CB-3FBC6DAFCE81}"/>
    <cellStyle name="Comma 3 2 2 4 3 2 3 2" xfId="16463" xr:uid="{D493B509-2FF4-45AA-A814-D91CCAC529BC}"/>
    <cellStyle name="Comma 3 2 2 4 3 2 3 2 2" xfId="32667" xr:uid="{DB68CE13-BF45-4375-AFF1-6BE44F3B7A82}"/>
    <cellStyle name="Comma 3 2 2 4 3 2 3 3" xfId="25173" xr:uid="{62D88B9B-1F51-48F5-8C5B-CE4B0EE4F6B2}"/>
    <cellStyle name="Comma 3 2 2 4 3 2 4" xfId="10838" xr:uid="{C5F925AB-AA2C-466D-B656-207FE8810257}"/>
    <cellStyle name="Comma 3 2 2 4 3 2 4 2" xfId="27042" xr:uid="{6AE7DE26-1E7E-4621-8D34-92A97E4D087C}"/>
    <cellStyle name="Comma 3 2 2 4 3 2 5" xfId="17044" xr:uid="{ED16F9F5-5D49-40DD-A259-5F9F109CF5BD}"/>
    <cellStyle name="Comma 3 2 2 4 3 2 5 2" xfId="33176" xr:uid="{FE5A3368-9028-4E93-91A9-DDDF65E003A5}"/>
    <cellStyle name="Comma 3 2 2 4 3 2 6" xfId="19365" xr:uid="{8D78648D-B734-4C63-90AA-CFBED296EAFE}"/>
    <cellStyle name="Comma 3 2 2 4 3 3" xfId="6082" xr:uid="{DE2B592A-F8BA-40FC-AA83-51F924E27D28}"/>
    <cellStyle name="Comma 3 2 2 4 3 3 2" xfId="13594" xr:uid="{D39AE591-A909-4F1B-9C38-0194BDBF437C}"/>
    <cellStyle name="Comma 3 2 2 4 3 3 2 2" xfId="29798" xr:uid="{B18F675B-2EDB-4C4D-B7A5-6786298DFE31}"/>
    <cellStyle name="Comma 3 2 2 4 3 3 3" xfId="22286" xr:uid="{332417B2-5DA7-458B-9F8F-A89F5B674E4E}"/>
    <cellStyle name="Comma 3 2 2 4 3 4" xfId="8877" xr:uid="{19576AF0-186B-4F1D-954A-6B3A06E483DF}"/>
    <cellStyle name="Comma 3 2 2 4 3 4 2" xfId="16383" xr:uid="{097F33D9-0DCD-4E4C-84D7-599D9F7AFF68}"/>
    <cellStyle name="Comma 3 2 2 4 3 4 2 2" xfId="32587" xr:uid="{B6F2BED8-2F6D-4040-9745-CC38EF01AD68}"/>
    <cellStyle name="Comma 3 2 2 4 3 4 3" xfId="25081" xr:uid="{732C1913-F614-4CE2-BBDE-A53E9877D947}"/>
    <cellStyle name="Comma 3 2 2 4 3 5" xfId="9994" xr:uid="{7CDA2E19-E8D4-4B1F-9AEB-A9E6FD61593C}"/>
    <cellStyle name="Comma 3 2 2 4 3 5 2" xfId="26198" xr:uid="{83AA5A32-18BF-4448-9DC4-0E495E32DB03}"/>
    <cellStyle name="Comma 3 2 2 4 3 6" xfId="17043" xr:uid="{F2723E2E-3EDA-4446-A221-BD63607C488F}"/>
    <cellStyle name="Comma 3 2 2 4 3 6 2" xfId="33175" xr:uid="{5181E379-F5C1-451D-94E9-533A3E3CC980}"/>
    <cellStyle name="Comma 3 2 2 4 3 7" xfId="18520" xr:uid="{1CC96AE0-2F3E-470C-897A-B688B95427C7}"/>
    <cellStyle name="Comma 3 2 2 4 4" xfId="2720" xr:uid="{CC1FEF1A-06FD-4141-A2EA-0D6E34B3493B}"/>
    <cellStyle name="Comma 3 2 2 4 4 2" xfId="6504" xr:uid="{114D8950-A318-4D80-9BDA-2FE0EFBEF742}"/>
    <cellStyle name="Comma 3 2 2 4 4 2 2" xfId="14016" xr:uid="{5BE79EB4-0970-49FB-A9A9-F6E7E0096A0D}"/>
    <cellStyle name="Comma 3 2 2 4 4 2 2 2" xfId="30220" xr:uid="{1B905608-B3BC-408A-9022-194D8062F14E}"/>
    <cellStyle name="Comma 3 2 2 4 4 2 3" xfId="22708" xr:uid="{EC1EE781-B105-41AD-86BF-004A96959F13}"/>
    <cellStyle name="Comma 3 2 2 4 4 3" xfId="8949" xr:uid="{0657E295-E08E-4DA8-9082-1DAF3454887F}"/>
    <cellStyle name="Comma 3 2 2 4 4 3 2" xfId="16445" xr:uid="{E7C0E68B-8715-412C-B496-4269A7A5D24B}"/>
    <cellStyle name="Comma 3 2 2 4 4 3 2 2" xfId="32649" xr:uid="{598F6623-5EFB-4978-B704-E288CFBA790B}"/>
    <cellStyle name="Comma 3 2 2 4 4 3 3" xfId="25153" xr:uid="{C588FD04-F498-4882-8FB6-A33563455645}"/>
    <cellStyle name="Comma 3 2 2 4 4 4" xfId="10416" xr:uid="{6C37703C-1218-4B9D-98BE-2FF844C4827E}"/>
    <cellStyle name="Comma 3 2 2 4 4 4 2" xfId="26620" xr:uid="{EE50E6B9-6061-4DF7-9887-61BD5FA3ABB9}"/>
    <cellStyle name="Comma 3 2 2 4 4 5" xfId="17045" xr:uid="{25788812-CD70-4CEC-9FDF-8DB6031DB091}"/>
    <cellStyle name="Comma 3 2 2 4 4 5 2" xfId="33177" xr:uid="{DE1CC3A9-4130-48BE-ABA0-39FD23728739}"/>
    <cellStyle name="Comma 3 2 2 4 4 6" xfId="18942" xr:uid="{1AD820C0-CB80-4123-85A9-73117573C8B4}"/>
    <cellStyle name="Comma 3 2 2 4 5" xfId="3650" xr:uid="{22FDC842-D877-4EAF-BA10-E48C19013E6E}"/>
    <cellStyle name="Comma 3 2 2 4 5 2" xfId="7360" xr:uid="{4BC0CFC0-D4D0-49A3-BF1F-B1C333D8AD5D}"/>
    <cellStyle name="Comma 3 2 2 4 5 2 2" xfId="14869" xr:uid="{DB7F8858-46C7-4394-9492-8ADE29096D69}"/>
    <cellStyle name="Comma 3 2 2 4 5 2 2 2" xfId="31073" xr:uid="{5F2144AB-DE16-41B2-A7A3-7610658DE34F}"/>
    <cellStyle name="Comma 3 2 2 4 5 2 3" xfId="23564" xr:uid="{376C71EA-9438-43FB-BF53-E26CDABD1E4D}"/>
    <cellStyle name="Comma 3 2 2 4 5 3" xfId="9360" xr:uid="{9C9EDD74-EB97-45A5-943F-C84C1D429E16}"/>
    <cellStyle name="Comma 3 2 2 4 5 3 2" xfId="16802" xr:uid="{857D2AB0-13EC-4134-A8C9-B6757C410FCF}"/>
    <cellStyle name="Comma 3 2 2 4 5 3 2 2" xfId="33006" xr:uid="{BE78B38A-804E-4C1F-8AA1-36F6F8B1DA10}"/>
    <cellStyle name="Comma 3 2 2 4 5 3 3" xfId="25564" xr:uid="{FCADE202-B3CB-44C3-A7F4-4C5634D4803B}"/>
    <cellStyle name="Comma 3 2 2 4 5 4" xfId="11261" xr:uid="{7290B9AF-E0EB-450F-B325-7E304A4DA873}"/>
    <cellStyle name="Comma 3 2 2 4 5 4 2" xfId="27465" xr:uid="{F50D9143-3027-4DE2-860B-C82EB915065A}"/>
    <cellStyle name="Comma 3 2 2 4 5 5" xfId="17046" xr:uid="{00E56250-0D87-4BFC-8EC7-28B7B4FFF0FA}"/>
    <cellStyle name="Comma 3 2 2 4 5 5 2" xfId="33178" xr:uid="{809FC8DC-3724-48E7-A4F7-5FB48770EA27}"/>
    <cellStyle name="Comma 3 2 2 4 5 6" xfId="19859" xr:uid="{E44D76A2-467B-45AD-85F5-2F22E407DC0E}"/>
    <cellStyle name="Comma 3 2 2 4 6" xfId="3908" xr:uid="{A709513B-67A4-4050-B57E-E028AF8C17D8}"/>
    <cellStyle name="Comma 3 2 2 4 6 2" xfId="5529" xr:uid="{7FEF6E02-261D-42F9-A627-A06689BE1347}"/>
    <cellStyle name="Comma 3 2 2 4 6 2 2" xfId="21733" xr:uid="{75358BA5-8E16-439C-A1B7-D20FABCC6B26}"/>
    <cellStyle name="Comma 3 2 2 4 6 3" xfId="17047" xr:uid="{DA4B0ADA-25B0-47D5-BE28-2C86718AB680}"/>
    <cellStyle name="Comma 3 2 2 4 6 3 2" xfId="33179" xr:uid="{DCB56A4C-35CE-4417-AC0F-22709ADE538F}"/>
    <cellStyle name="Comma 3 2 2 4 6 4" xfId="20117" xr:uid="{C7D0D0F3-460F-4F8E-9132-84B9337DF368}"/>
    <cellStyle name="Comma 3 2 2 4 7" xfId="4120" xr:uid="{9F4BBBD2-3432-4CFC-869C-FB3D5F860581}"/>
    <cellStyle name="Comma 3 2 2 4 7 2" xfId="7790" xr:uid="{E0C68B5E-0758-48A2-A672-DFC5D5CDEF4A}"/>
    <cellStyle name="Comma 3 2 2 4 7 2 2" xfId="15297" xr:uid="{086D9074-73B5-46AF-A366-8BF21231FF62}"/>
    <cellStyle name="Comma 3 2 2 4 7 2 2 2" xfId="31501" xr:uid="{C89621CD-BEB2-4953-9781-F6739BF5439C}"/>
    <cellStyle name="Comma 3 2 2 4 7 2 3" xfId="23994" xr:uid="{BD4E9C20-CCC3-4F8F-88A4-47C9FE904D65}"/>
    <cellStyle name="Comma 3 2 2 4 7 3" xfId="9361" xr:uid="{F5AE13A8-495E-48A9-A8A6-AB453E10B13E}"/>
    <cellStyle name="Comma 3 2 2 4 7 3 2" xfId="16803" xr:uid="{6F2904FA-8505-43BF-8B95-893870435FFD}"/>
    <cellStyle name="Comma 3 2 2 4 7 3 2 2" xfId="33007" xr:uid="{64F3BF24-DEC0-47EF-927B-C0F80570B106}"/>
    <cellStyle name="Comma 3 2 2 4 7 3 3" xfId="25565" xr:uid="{31183ACA-1E49-479A-A3F3-1BFE8F3DF3F9}"/>
    <cellStyle name="Comma 3 2 2 4 7 4" xfId="11683" xr:uid="{71FF7C7F-9C4E-4927-80A2-3E9B5EF20C2B}"/>
    <cellStyle name="Comma 3 2 2 4 7 4 2" xfId="27887" xr:uid="{2FBE3A49-8C31-4CFD-B363-5F370009D983}"/>
    <cellStyle name="Comma 3 2 2 4 7 5" xfId="17048" xr:uid="{E87FCBB8-1F4D-4506-B247-83E05FF6A86B}"/>
    <cellStyle name="Comma 3 2 2 4 7 5 2" xfId="33180" xr:uid="{E6DE30DE-C11A-4E6F-A501-7BDBC66E8040}"/>
    <cellStyle name="Comma 3 2 2 4 7 6" xfId="20324" xr:uid="{59DDD2FB-590B-482F-B947-764B5510711C}"/>
    <cellStyle name="Comma 3 2 2 4 8" xfId="4545" xr:uid="{0F97477F-3498-4A1E-A1D0-D28145096708}"/>
    <cellStyle name="Comma 3 2 2 4 8 2" xfId="8215" xr:uid="{647AC380-396C-448B-BE3F-625917D480BF}"/>
    <cellStyle name="Comma 3 2 2 4 8 2 2" xfId="15722" xr:uid="{811126FF-DAB1-4878-B973-4CD6136CB42D}"/>
    <cellStyle name="Comma 3 2 2 4 8 2 2 2" xfId="31926" xr:uid="{0502338F-0032-4D0F-B764-D72F2DDD35A8}"/>
    <cellStyle name="Comma 3 2 2 4 8 2 3" xfId="24419" xr:uid="{30A233D9-A726-42F6-BAAD-264B21621F98}"/>
    <cellStyle name="Comma 3 2 2 4 8 3" xfId="9172" xr:uid="{8F2C661F-2E1C-4B96-9209-4C11E00CDC5E}"/>
    <cellStyle name="Comma 3 2 2 4 8 3 2" xfId="16646" xr:uid="{2489F764-698A-4B7B-B241-F24ADA3F43B8}"/>
    <cellStyle name="Comma 3 2 2 4 8 3 2 2" xfId="32850" xr:uid="{A1C90307-66E1-46B0-A8FD-74EFED9B2579}"/>
    <cellStyle name="Comma 3 2 2 4 8 3 3" xfId="25376" xr:uid="{1E532AF2-3ABE-49E1-B53B-B05F134FE34D}"/>
    <cellStyle name="Comma 3 2 2 4 8 4" xfId="12108" xr:uid="{86FECB8C-3639-44CB-AE88-FB318043D11E}"/>
    <cellStyle name="Comma 3 2 2 4 8 4 2" xfId="28312" xr:uid="{2C7B44A3-7BED-45F5-9AE5-11D392C0C747}"/>
    <cellStyle name="Comma 3 2 2 4 8 5" xfId="17049" xr:uid="{A54873EE-3A84-4782-A448-8108FC5F4C96}"/>
    <cellStyle name="Comma 3 2 2 4 8 5 2" xfId="33181" xr:uid="{5B9B386D-A889-4436-99B1-B428AD130DE1}"/>
    <cellStyle name="Comma 3 2 2 4 8 6" xfId="20749" xr:uid="{A18B5B3F-A725-4F20-AFC8-3FEF10D15200}"/>
    <cellStyle name="Comma 3 2 2 4 9" xfId="4972" xr:uid="{192D73FF-E785-4DD0-9B4B-CA8B7591FBF4}"/>
    <cellStyle name="Comma 3 2 2 4 9 2" xfId="8638" xr:uid="{B1089806-3DCA-4F7C-822B-0FED6C505522}"/>
    <cellStyle name="Comma 3 2 2 4 9 2 2" xfId="16145" xr:uid="{207402A9-6CBB-4909-AB7B-98D510CBA814}"/>
    <cellStyle name="Comma 3 2 2 4 9 2 2 2" xfId="32349" xr:uid="{D2E92166-EF15-4973-AD05-39A9D7D0B167}"/>
    <cellStyle name="Comma 3 2 2 4 9 2 3" xfId="24842" xr:uid="{A0D9A5B9-3D9A-4617-BA2D-A5608E6B97B3}"/>
    <cellStyle name="Comma 3 2 2 4 9 3" xfId="12530" xr:uid="{44E6EA33-0807-466C-8A87-37E718471299}"/>
    <cellStyle name="Comma 3 2 2 4 9 3 2" xfId="28734" xr:uid="{58A081D8-A733-4228-A788-CF31C731A895}"/>
    <cellStyle name="Comma 3 2 2 4 9 4" xfId="21176" xr:uid="{1C9F3847-17E5-4845-BBAD-20EC508AA535}"/>
    <cellStyle name="Comma 3 2 2 5" xfId="1905" xr:uid="{5F034578-0E18-44CA-85EE-5F090A246CA2}"/>
    <cellStyle name="Comma 3 2 2 5 10" xfId="9685" xr:uid="{CB9148B0-CC66-4D0F-9BBF-B588AAB48FC1}"/>
    <cellStyle name="Comma 3 2 2 5 10 2" xfId="25889" xr:uid="{839CCB9E-87F8-4554-A9B2-27D57FE4C6C6}"/>
    <cellStyle name="Comma 3 2 2 5 11" xfId="17050" xr:uid="{3FF08342-A540-49A9-9AFC-135F57E03BBF}"/>
    <cellStyle name="Comma 3 2 2 5 11 2" xfId="33182" xr:uid="{250C88D3-281C-4D74-A35A-EFB3E85FFC5F}"/>
    <cellStyle name="Comma 3 2 2 5 12" xfId="18209" xr:uid="{7AD68FE3-8E1E-48E0-9D81-45690096DFA3}"/>
    <cellStyle name="Comma 3 2 2 5 2" xfId="2412" xr:uid="{44D3B5BB-6380-452B-BD26-DC9D8728698B}"/>
    <cellStyle name="Comma 3 2 2 5 2 2" xfId="3259" xr:uid="{AAA2ECBB-1644-4880-8907-06F99A345CC3}"/>
    <cellStyle name="Comma 3 2 2 5 2 2 2" xfId="7041" xr:uid="{4BE1E1F8-8A38-4054-8B96-2B885C8C555D}"/>
    <cellStyle name="Comma 3 2 2 5 2 2 2 2" xfId="14552" xr:uid="{1803D9B0-87F7-4781-ADB6-71ABE913238E}"/>
    <cellStyle name="Comma 3 2 2 5 2 2 2 2 2" xfId="30756" xr:uid="{F11135AF-E474-479A-B737-5690B3991007}"/>
    <cellStyle name="Comma 3 2 2 5 2 2 2 3" xfId="23245" xr:uid="{AF30DAE5-8C18-435F-8BBB-089B6A9363D9}"/>
    <cellStyle name="Comma 3 2 2 5 2 2 3" xfId="8957" xr:uid="{FE8E341B-FE99-4C36-AD72-5022B830EB3A}"/>
    <cellStyle name="Comma 3 2 2 5 2 2 3 2" xfId="16452" xr:uid="{DCB95EA6-8B41-4978-913A-4828C561EAB9}"/>
    <cellStyle name="Comma 3 2 2 5 2 2 3 2 2" xfId="32656" xr:uid="{3ED735CE-C9F2-40DF-8E71-2BB82ED47DE1}"/>
    <cellStyle name="Comma 3 2 2 5 2 2 3 3" xfId="25161" xr:uid="{0689614A-4008-41C9-92A2-733CAEC15740}"/>
    <cellStyle name="Comma 3 2 2 5 2 2 4" xfId="10952" xr:uid="{BF3659DA-41E2-4A95-BFD0-781A2BF4CDC7}"/>
    <cellStyle name="Comma 3 2 2 5 2 2 4 2" xfId="27156" xr:uid="{CA033428-26FF-4EC2-8810-42FB17CAAE1A}"/>
    <cellStyle name="Comma 3 2 2 5 2 2 5" xfId="17052" xr:uid="{844A29A4-B337-429D-ADA2-0EB76B065B9E}"/>
    <cellStyle name="Comma 3 2 2 5 2 2 5 2" xfId="33184" xr:uid="{CE50500E-E103-4BE1-9829-16D3FB8248AE}"/>
    <cellStyle name="Comma 3 2 2 5 2 2 6" xfId="19479" xr:uid="{964CAB05-4879-401C-8A4A-9D1B1165236C}"/>
    <cellStyle name="Comma 3 2 2 5 2 3" xfId="6196" xr:uid="{5FA16404-6F9F-4ABA-B85E-2B61B880EBCE}"/>
    <cellStyle name="Comma 3 2 2 5 2 3 2" xfId="13708" xr:uid="{223546A3-08E2-4E44-A510-AD4D0C1C5326}"/>
    <cellStyle name="Comma 3 2 2 5 2 3 2 2" xfId="29912" xr:uid="{0E6CF793-F162-4EDA-AF23-167A7AEDFAAB}"/>
    <cellStyle name="Comma 3 2 2 5 2 3 3" xfId="22400" xr:uid="{E3CD7A38-3964-407C-A0B9-623D9B745BD9}"/>
    <cellStyle name="Comma 3 2 2 5 2 4" xfId="9076" xr:uid="{B8662348-8534-425C-AC7F-C1263A1FA7A6}"/>
    <cellStyle name="Comma 3 2 2 5 2 4 2" xfId="16558" xr:uid="{2BAA11C5-5393-4A1C-8E7C-5816703CEFDF}"/>
    <cellStyle name="Comma 3 2 2 5 2 4 2 2" xfId="32762" xr:uid="{979DA032-C2DA-43E9-945C-12734622CEDF}"/>
    <cellStyle name="Comma 3 2 2 5 2 4 3" xfId="25280" xr:uid="{D2A95E56-2AAB-44C1-AB3A-A05A659E5EAD}"/>
    <cellStyle name="Comma 3 2 2 5 2 5" xfId="10108" xr:uid="{B7A8EEFD-B5C9-4B55-8C3B-349E80D79AC2}"/>
    <cellStyle name="Comma 3 2 2 5 2 5 2" xfId="26312" xr:uid="{C0944BF6-7144-40AE-9B74-D3BA3CDF62A1}"/>
    <cellStyle name="Comma 3 2 2 5 2 6" xfId="17051" xr:uid="{AF54F4AA-93CD-408F-A9FC-B9D2B7A1DCCE}"/>
    <cellStyle name="Comma 3 2 2 5 2 6 2" xfId="33183" xr:uid="{5A011C3B-9B28-4050-BC62-D115DF6F0F53}"/>
    <cellStyle name="Comma 3 2 2 5 2 7" xfId="18634" xr:uid="{5A0F2F42-23E3-4FD7-BA46-304BC8C22D7D}"/>
    <cellStyle name="Comma 3 2 2 5 3" xfId="2834" xr:uid="{C7425A5D-696E-4A07-B9B0-45D409D07981}"/>
    <cellStyle name="Comma 3 2 2 5 3 2" xfId="6618" xr:uid="{60B85480-DA92-4FAE-9C9D-2C6C5767FDE5}"/>
    <cellStyle name="Comma 3 2 2 5 3 2 2" xfId="14130" xr:uid="{1B4634FC-96E8-486F-8288-86C5FB33D47E}"/>
    <cellStyle name="Comma 3 2 2 5 3 2 2 2" xfId="30334" xr:uid="{1E5F3226-145E-4DD0-BA20-16C7DE1F00E4}"/>
    <cellStyle name="Comma 3 2 2 5 3 2 3" xfId="22822" xr:uid="{8D580D1A-9E8F-41D9-8F67-CD00E9DD9BE2}"/>
    <cellStyle name="Comma 3 2 2 5 3 3" xfId="5241" xr:uid="{9F6F0081-5132-4DE4-B261-D766F4B0C948}"/>
    <cellStyle name="Comma 3 2 2 5 3 3 2" xfId="12792" xr:uid="{EC659D19-506D-4EED-8629-4D0FAAB19209}"/>
    <cellStyle name="Comma 3 2 2 5 3 3 2 2" xfId="28996" xr:uid="{6EFA7FD6-83D8-4D8C-9A1F-88E1985A596D}"/>
    <cellStyle name="Comma 3 2 2 5 3 3 3" xfId="21445" xr:uid="{CBB2C060-0E79-4429-AE6C-610790DEA721}"/>
    <cellStyle name="Comma 3 2 2 5 3 4" xfId="10530" xr:uid="{AEA98716-F831-41AA-A9A8-7DFD3936499C}"/>
    <cellStyle name="Comma 3 2 2 5 3 4 2" xfId="26734" xr:uid="{8E09A17B-FC23-45C4-B0CC-03D30063A2F1}"/>
    <cellStyle name="Comma 3 2 2 5 3 5" xfId="17053" xr:uid="{0FC3B029-2453-4ADA-83BF-7321AB379460}"/>
    <cellStyle name="Comma 3 2 2 5 3 5 2" xfId="33185" xr:uid="{55FE1BDF-8A71-4D2A-BD82-6AB9298F8E40}"/>
    <cellStyle name="Comma 3 2 2 5 3 6" xfId="19056" xr:uid="{BF507876-291F-4708-A0EA-1ADF7321E064}"/>
    <cellStyle name="Comma 3 2 2 5 4" xfId="3765" xr:uid="{E0329B75-D8E4-4F7C-A5B0-78D275BFC347}"/>
    <cellStyle name="Comma 3 2 2 5 4 2" xfId="7475" xr:uid="{55CD2F77-C0CE-40F3-8146-3A5B9278762E}"/>
    <cellStyle name="Comma 3 2 2 5 4 2 2" xfId="14984" xr:uid="{10689C9E-BBAF-4EAE-B184-1A11D990F401}"/>
    <cellStyle name="Comma 3 2 2 5 4 2 2 2" xfId="31188" xr:uid="{6153E6EB-3B52-4F94-828C-E1CC7B253E5E}"/>
    <cellStyle name="Comma 3 2 2 5 4 2 3" xfId="23679" xr:uid="{A67D2967-E450-4D02-9F34-392CC6E16B3E}"/>
    <cellStyle name="Comma 3 2 2 5 4 3" xfId="5409" xr:uid="{73DC9211-7778-418F-A670-6B28258F4E85}"/>
    <cellStyle name="Comma 3 2 2 5 4 3 2" xfId="12956" xr:uid="{DE032A8E-1896-441B-9D35-BFC5AA579A94}"/>
    <cellStyle name="Comma 3 2 2 5 4 3 2 2" xfId="29160" xr:uid="{9F522AD9-CFB2-4455-810A-EB7AA36AB4F3}"/>
    <cellStyle name="Comma 3 2 2 5 4 3 3" xfId="21613" xr:uid="{53D379C3-F13B-4D2A-8560-239B5190A3AF}"/>
    <cellStyle name="Comma 3 2 2 5 4 4" xfId="11375" xr:uid="{3AC022B5-C7A1-4D60-A245-8C89077C047A}"/>
    <cellStyle name="Comma 3 2 2 5 4 4 2" xfId="27579" xr:uid="{BC0983D8-1E26-44B1-9388-5DE44245ECD8}"/>
    <cellStyle name="Comma 3 2 2 5 4 5" xfId="17054" xr:uid="{283F1099-7383-43EC-BC0B-270BABA96A39}"/>
    <cellStyle name="Comma 3 2 2 5 4 5 2" xfId="33186" xr:uid="{C5A77692-5720-40F2-88C4-57339211C9B4}"/>
    <cellStyle name="Comma 3 2 2 5 4 6" xfId="19974" xr:uid="{44337DBD-5EDC-4BC3-8C52-9DB947F5A26B}"/>
    <cellStyle name="Comma 3 2 2 5 5" xfId="3415" xr:uid="{DB3E5654-FEC4-4B16-9CF5-9F599994E1C5}"/>
    <cellStyle name="Comma 3 2 2 5 5 2" xfId="9287" xr:uid="{D0F8B17B-829D-4C86-BDF2-BD9850C9F847}"/>
    <cellStyle name="Comma 3 2 2 5 5 2 2" xfId="25491" xr:uid="{4764494B-D290-4625-85F9-1CF5928A504E}"/>
    <cellStyle name="Comma 3 2 2 5 5 3" xfId="17055" xr:uid="{9A2D7AA6-4C25-42D2-8BC0-CB62AFC831EE}"/>
    <cellStyle name="Comma 3 2 2 5 5 3 2" xfId="33187" xr:uid="{7B61C969-12C7-4D95-A3FA-8A42E052213C}"/>
    <cellStyle name="Comma 3 2 2 5 5 4" xfId="19631" xr:uid="{2B141948-74A0-431B-94CA-7DA6A71B992C}"/>
    <cellStyle name="Comma 3 2 2 5 6" xfId="4234" xr:uid="{76097DDE-DE8F-4C52-AEDC-E893C188A33D}"/>
    <cellStyle name="Comma 3 2 2 5 6 2" xfId="7904" xr:uid="{8703C5A4-7617-489A-B008-2001B55D568F}"/>
    <cellStyle name="Comma 3 2 2 5 6 2 2" xfId="15411" xr:uid="{58B6558E-40FE-4CA0-8633-E882F0C747C8}"/>
    <cellStyle name="Comma 3 2 2 5 6 2 2 2" xfId="31615" xr:uid="{6915DA95-0083-42EA-8FFA-83D827EE264F}"/>
    <cellStyle name="Comma 3 2 2 5 6 2 3" xfId="24108" xr:uid="{3F52C45C-B463-4A48-BE80-B69055DBDA3D}"/>
    <cellStyle name="Comma 3 2 2 5 6 3" xfId="5571" xr:uid="{DC1DA3BA-E346-4CF3-B96A-954DDAABD183}"/>
    <cellStyle name="Comma 3 2 2 5 6 3 2" xfId="13089" xr:uid="{9FF84BEF-36E5-4E50-9141-8A8AF34DCE59}"/>
    <cellStyle name="Comma 3 2 2 5 6 3 2 2" xfId="29293" xr:uid="{D9993A87-CC63-47A3-8670-501A139F2534}"/>
    <cellStyle name="Comma 3 2 2 5 6 3 3" xfId="21775" xr:uid="{AEBA3188-DDB9-421C-9AF1-8B6E70519F6B}"/>
    <cellStyle name="Comma 3 2 2 5 6 4" xfId="11797" xr:uid="{459460D0-01CF-4803-B496-92E1E5111BEA}"/>
    <cellStyle name="Comma 3 2 2 5 6 4 2" xfId="28001" xr:uid="{9D74C474-858C-4041-B03C-D530AA75712C}"/>
    <cellStyle name="Comma 3 2 2 5 6 5" xfId="17056" xr:uid="{4DB88E9C-10CF-4327-A973-BE7F0ABEDDC0}"/>
    <cellStyle name="Comma 3 2 2 5 6 5 2" xfId="33188" xr:uid="{B936DFDB-5D36-4233-A7E1-B017A4D544B0}"/>
    <cellStyle name="Comma 3 2 2 5 6 6" xfId="20438" xr:uid="{6851A82D-840C-4EC4-8922-FDF2FBE5BA6F}"/>
    <cellStyle name="Comma 3 2 2 5 7" xfId="4659" xr:uid="{B223CEB6-B1F1-4888-889C-02CD45B06FCA}"/>
    <cellStyle name="Comma 3 2 2 5 7 2" xfId="8329" xr:uid="{FC27BF72-ADE8-4E57-810A-3319337996AC}"/>
    <cellStyle name="Comma 3 2 2 5 7 2 2" xfId="15836" xr:uid="{8BB71FAA-3A6C-4F9B-8C84-593B753BFFE2}"/>
    <cellStyle name="Comma 3 2 2 5 7 2 2 2" xfId="32040" xr:uid="{DE60CC76-5890-4522-AD4C-F119422809AF}"/>
    <cellStyle name="Comma 3 2 2 5 7 2 3" xfId="24533" xr:uid="{B768826C-50C0-447D-97D7-3A4D9302DB5D}"/>
    <cellStyle name="Comma 3 2 2 5 7 3" xfId="9288" xr:uid="{B63269B4-7A4C-48E8-9E73-5682D9CD5936}"/>
    <cellStyle name="Comma 3 2 2 5 7 3 2" xfId="16745" xr:uid="{07A59AE2-702D-4B64-8022-38AA1180CCDD}"/>
    <cellStyle name="Comma 3 2 2 5 7 3 2 2" xfId="32949" xr:uid="{3FD76EDA-D59B-45F3-A504-D8407269ED23}"/>
    <cellStyle name="Comma 3 2 2 5 7 3 3" xfId="25492" xr:uid="{E26AB9DE-AFB5-47A0-8956-C7A828413666}"/>
    <cellStyle name="Comma 3 2 2 5 7 4" xfId="12222" xr:uid="{77C962E5-B5A3-4216-87A6-39678A8DF747}"/>
    <cellStyle name="Comma 3 2 2 5 7 4 2" xfId="28426" xr:uid="{54CAB14B-B7D3-49A5-81FE-73899D3A7510}"/>
    <cellStyle name="Comma 3 2 2 5 7 5" xfId="17057" xr:uid="{0D0B38FE-D706-454E-BCE9-00589085A1C8}"/>
    <cellStyle name="Comma 3 2 2 5 7 5 2" xfId="33189" xr:uid="{C3C95680-88E4-485E-97B0-BCE3A1E20226}"/>
    <cellStyle name="Comma 3 2 2 5 7 6" xfId="20863" xr:uid="{3AD8B79F-F8D6-4F1F-9B3B-BD50384AED26}"/>
    <cellStyle name="Comma 3 2 2 5 8" xfId="5087" xr:uid="{E8290F4A-E8C6-4416-8B3A-E866C3B0E35A}"/>
    <cellStyle name="Comma 3 2 2 5 8 2" xfId="8752" xr:uid="{AB3F3107-853F-48FB-BEAF-99B00AE5190D}"/>
    <cellStyle name="Comma 3 2 2 5 8 2 2" xfId="16259" xr:uid="{BEB189E0-82E7-40A9-B538-0CD755120BC7}"/>
    <cellStyle name="Comma 3 2 2 5 8 2 2 2" xfId="32463" xr:uid="{C792B3B1-5A9D-4EC5-916E-EE48B1E146C7}"/>
    <cellStyle name="Comma 3 2 2 5 8 2 3" xfId="24956" xr:uid="{C5F773AB-7921-4068-8ADD-8250928A1440}"/>
    <cellStyle name="Comma 3 2 2 5 8 3" xfId="12644" xr:uid="{A9E5D5A3-1FFC-4F6D-874F-24D3157A7B70}"/>
    <cellStyle name="Comma 3 2 2 5 8 3 2" xfId="28848" xr:uid="{BBA8E6E4-184D-4C01-89DF-2D7CBC07BE85}"/>
    <cellStyle name="Comma 3 2 2 5 8 4" xfId="21291" xr:uid="{5CAFB060-EEF3-49D1-98C5-4A37FBD75EA5}"/>
    <cellStyle name="Comma 3 2 2 5 9" xfId="5758" xr:uid="{1A8BDCC6-979B-4819-B9CC-352212E9D6EE}"/>
    <cellStyle name="Comma 3 2 2 5 9 2" xfId="13273" xr:uid="{8788E6D8-1CC5-4002-B960-7EF5857DB7DB}"/>
    <cellStyle name="Comma 3 2 2 5 9 2 2" xfId="29477" xr:uid="{88ED0844-57B9-4D5F-9532-10FCF60E1B0D}"/>
    <cellStyle name="Comma 3 2 2 5 9 3" xfId="21962" xr:uid="{38481D06-5F31-4F5A-A947-7A392FAF74A4}"/>
    <cellStyle name="Comma 3 2 2 6" xfId="2195" xr:uid="{9B6D01A2-505E-4D68-BA0F-10377A661115}"/>
    <cellStyle name="Comma 3 2 2 6 2" xfId="3103" xr:uid="{AD6FE417-DC63-423D-904D-DD7629D9206B}"/>
    <cellStyle name="Comma 3 2 2 6 2 2" xfId="6885" xr:uid="{EE8273B6-3A54-41E9-ADB5-9358EF19D36A}"/>
    <cellStyle name="Comma 3 2 2 6 2 2 2" xfId="14396" xr:uid="{CAB3E428-8A77-46D7-9226-017E73DE92A4}"/>
    <cellStyle name="Comma 3 2 2 6 2 2 2 2" xfId="30600" xr:uid="{7F217BF1-4790-4AFD-A8F3-5C7C7AECA396}"/>
    <cellStyle name="Comma 3 2 2 6 2 2 3" xfId="23089" xr:uid="{0EC472FA-74F5-458A-A0CC-DC7E48572706}"/>
    <cellStyle name="Comma 3 2 2 6 2 3" xfId="8893" xr:uid="{E2AE2E8A-AFEE-4B97-8C21-220BEA140BF1}"/>
    <cellStyle name="Comma 3 2 2 6 2 3 2" xfId="16396" xr:uid="{AC557F56-1D33-42BE-94B0-A6AB9D646EB8}"/>
    <cellStyle name="Comma 3 2 2 6 2 3 2 2" xfId="32600" xr:uid="{CB734DBF-AC00-4DDF-A56C-E388E72A5606}"/>
    <cellStyle name="Comma 3 2 2 6 2 3 3" xfId="25097" xr:uid="{8C26CCBC-FFB2-4CB1-B9FA-EC42AB5D5F54}"/>
    <cellStyle name="Comma 3 2 2 6 2 4" xfId="10796" xr:uid="{4955AEEF-6CA7-45A3-AB02-9322DB1DC666}"/>
    <cellStyle name="Comma 3 2 2 6 2 4 2" xfId="27000" xr:uid="{66FD3689-123A-4E7A-9E6D-A9769212AC84}"/>
    <cellStyle name="Comma 3 2 2 6 2 5" xfId="17059" xr:uid="{5268EEFC-C417-4999-9D74-1AC0607192F7}"/>
    <cellStyle name="Comma 3 2 2 6 2 5 2" xfId="33191" xr:uid="{98B6F929-9F6B-4B6C-A853-FD0BF1FFBED0}"/>
    <cellStyle name="Comma 3 2 2 6 2 6" xfId="19323" xr:uid="{1F9AD21F-5D0F-4068-B0B5-86B004978CD9}"/>
    <cellStyle name="Comma 3 2 2 6 3" xfId="6029" xr:uid="{80AE7AD5-D1F2-41B3-951A-68E740EE12FA}"/>
    <cellStyle name="Comma 3 2 2 6 3 2" xfId="13543" xr:uid="{48F5C99D-778C-442E-B547-DFE40E174DAF}"/>
    <cellStyle name="Comma 3 2 2 6 3 2 2" xfId="29747" xr:uid="{7B0AEC1C-1EDC-403A-BC1C-D9432956EE75}"/>
    <cellStyle name="Comma 3 2 2 6 3 3" xfId="22233" xr:uid="{AFFCBE4A-0A4D-4F7E-B6F5-A3E061E3E749}"/>
    <cellStyle name="Comma 3 2 2 6 4" xfId="5230" xr:uid="{02A81B05-8E51-4858-8208-B64899188108}"/>
    <cellStyle name="Comma 3 2 2 6 4 2" xfId="12785" xr:uid="{86C276C9-7C3F-4A06-B42A-BDE006C0F7E8}"/>
    <cellStyle name="Comma 3 2 2 6 4 2 2" xfId="28989" xr:uid="{FCC548F0-55C1-43B0-A6EE-FE650F9E89E2}"/>
    <cellStyle name="Comma 3 2 2 6 4 3" xfId="21434" xr:uid="{2DEE0CC9-278F-430B-9979-EBDA7E78C787}"/>
    <cellStyle name="Comma 3 2 2 6 5" xfId="9952" xr:uid="{45B71EF4-A767-40B3-A0C6-D423D41284D7}"/>
    <cellStyle name="Comma 3 2 2 6 5 2" xfId="26156" xr:uid="{760F4B28-9B2E-4FF1-9539-CD47B35F884E}"/>
    <cellStyle name="Comma 3 2 2 6 6" xfId="17058" xr:uid="{6204F74C-F3C8-45F4-9301-A03A4B895B02}"/>
    <cellStyle name="Comma 3 2 2 6 6 2" xfId="33190" xr:uid="{F36498A3-57D6-4E85-98FD-478ABA6A9879}"/>
    <cellStyle name="Comma 3 2 2 6 7" xfId="18478" xr:uid="{53B420FA-33D9-42E0-AF7C-C64C5C8C74FC}"/>
    <cellStyle name="Comma 3 2 2 7" xfId="2678" xr:uid="{FBACFBC2-2102-47DD-B22A-E845A5B840C7}"/>
    <cellStyle name="Comma 3 2 2 7 2" xfId="6462" xr:uid="{7CF7CA11-AEDE-46AE-9899-D13EAA2796C3}"/>
    <cellStyle name="Comma 3 2 2 7 2 2" xfId="13974" xr:uid="{B8467688-B473-4BAC-8597-C6FC3B77C0AB}"/>
    <cellStyle name="Comma 3 2 2 7 2 2 2" xfId="30178" xr:uid="{0C5C3C81-4C4E-4BB8-A220-5EB8F2D29430}"/>
    <cellStyle name="Comma 3 2 2 7 2 3" xfId="22666" xr:uid="{AC87C7E5-8C02-4144-8D79-04A3FC8CBA4B}"/>
    <cellStyle name="Comma 3 2 2 7 3" xfId="9123" xr:uid="{DACFADC7-52F7-4B5E-9AAF-C2B511425F51}"/>
    <cellStyle name="Comma 3 2 2 7 3 2" xfId="16601" xr:uid="{3271F7A5-493D-4815-9110-7E79C2B9542F}"/>
    <cellStyle name="Comma 3 2 2 7 3 2 2" xfId="32805" xr:uid="{B6DDCD5B-05E9-42A7-B322-889EA7CDEC21}"/>
    <cellStyle name="Comma 3 2 2 7 3 3" xfId="25327" xr:uid="{111D23F7-7F94-49ED-A28F-E9224B82008A}"/>
    <cellStyle name="Comma 3 2 2 7 4" xfId="10374" xr:uid="{A30B2134-B034-4ECF-9CC3-2DE65E36D407}"/>
    <cellStyle name="Comma 3 2 2 7 4 2" xfId="26578" xr:uid="{A7D7988E-1137-4C1E-A34D-D598C5FA1E7E}"/>
    <cellStyle name="Comma 3 2 2 7 5" xfId="17060" xr:uid="{3F25BCF3-0843-4203-A42F-AFA2BE200B2A}"/>
    <cellStyle name="Comma 3 2 2 7 5 2" xfId="33192" xr:uid="{EB4CBD40-F6A2-4C1D-BC44-FE4DA67417E9}"/>
    <cellStyle name="Comma 3 2 2 7 6" xfId="18900" xr:uid="{3B21C409-C03F-4B5E-9566-9AAD655DB469}"/>
    <cellStyle name="Comma 3 2 2 8" xfId="3605" xr:uid="{1B4159F8-A403-4859-AEC8-E990B3238AD7}"/>
    <cellStyle name="Comma 3 2 2 8 2" xfId="7318" xr:uid="{8F341504-2E74-4148-8A15-DCFB98E6F5C7}"/>
    <cellStyle name="Comma 3 2 2 8 2 2" xfId="14827" xr:uid="{891572AB-5F44-466F-8CF2-8A000384752E}"/>
    <cellStyle name="Comma 3 2 2 8 2 2 2" xfId="31031" xr:uid="{D308B277-240A-4CD1-847C-8F118EEC1AF4}"/>
    <cellStyle name="Comma 3 2 2 8 2 3" xfId="23522" xr:uid="{04DF650D-CF76-4113-ACAF-18C1BBED2945}"/>
    <cellStyle name="Comma 3 2 2 8 3" xfId="9368" xr:uid="{BDDE579C-36CD-41D3-97B8-863D6EC731CC}"/>
    <cellStyle name="Comma 3 2 2 8 3 2" xfId="16810" xr:uid="{519E9B3A-AB45-44A3-A5CA-C2635A4169E8}"/>
    <cellStyle name="Comma 3 2 2 8 3 2 2" xfId="33014" xr:uid="{DE1E5D5D-9B77-40A8-9F01-B6E64B2406EA}"/>
    <cellStyle name="Comma 3 2 2 8 3 3" xfId="25572" xr:uid="{042F737C-443B-4423-B6E5-E35586F59DDE}"/>
    <cellStyle name="Comma 3 2 2 8 4" xfId="11219" xr:uid="{58B831E3-D511-419E-B1E5-0A89A5041E24}"/>
    <cellStyle name="Comma 3 2 2 8 4 2" xfId="27423" xr:uid="{5E844288-E511-48F9-A2E6-9C109C27401D}"/>
    <cellStyle name="Comma 3 2 2 8 5" xfId="17061" xr:uid="{EA8AF133-CC5B-469E-8E20-E11375AB022A}"/>
    <cellStyle name="Comma 3 2 2 8 5 2" xfId="33193" xr:uid="{F261DAF4-1C39-4599-9FA9-ED363B5C6F03}"/>
    <cellStyle name="Comma 3 2 2 8 6" xfId="19814" xr:uid="{3F9DF808-F19A-42F9-8969-C67EDD6C45C4}"/>
    <cellStyle name="Comma 3 2 2 9" xfId="3412" xr:uid="{8F4EBC97-A568-4C0B-BB83-0EC7FE6DD0A9}"/>
    <cellStyle name="Comma 3 2 2 9 2" xfId="5453" xr:uid="{42BE6941-0B51-45DE-8B23-17F1F79124CD}"/>
    <cellStyle name="Comma 3 2 2 9 2 2" xfId="21657" xr:uid="{95EB8414-47B3-46D4-95C7-83493A7AB89C}"/>
    <cellStyle name="Comma 3 2 2 9 3" xfId="17062" xr:uid="{D8DEBA8D-9EEF-43C0-BDAD-219A4907266A}"/>
    <cellStyle name="Comma 3 2 2 9 3 2" xfId="33194" xr:uid="{D6B4DEF9-62BA-4FA9-AC5A-38528BA6CCE1}"/>
    <cellStyle name="Comma 3 2 2 9 4" xfId="19628" xr:uid="{7EB5048F-7862-4519-93DB-F8496354969A}"/>
    <cellStyle name="Comma 3 2 20" xfId="9527" xr:uid="{00E50A1C-52E5-460D-AA74-11813A268D25}"/>
    <cellStyle name="Comma 3 2 20 2" xfId="25731" xr:uid="{63CBA3C4-81FB-4797-9BFB-3C0C52A111F3}"/>
    <cellStyle name="Comma 3 2 21" xfId="16967" xr:uid="{C72233EB-6174-4374-B1F3-D2B0083EDFED}"/>
    <cellStyle name="Comma 3 2 21 2" xfId="33099" xr:uid="{CA9F4419-E06D-4E78-B958-89E994A324EC}"/>
    <cellStyle name="Comma 3 2 22" xfId="18048" xr:uid="{13887818-BAB5-42F4-AFEC-AED2CA146F74}"/>
    <cellStyle name="Comma 3 2 3" xfId="1617" xr:uid="{679C02AD-77BB-4E3A-99ED-DFC5EE29188F}"/>
    <cellStyle name="Comma 3 2 3 10" xfId="4080" xr:uid="{C3FDE9E7-C425-4AAA-8F97-B5719821AA60}"/>
    <cellStyle name="Comma 3 2 3 10 2" xfId="7750" xr:uid="{C06F3C05-94B2-4556-814F-31DF758131D8}"/>
    <cellStyle name="Comma 3 2 3 10 2 2" xfId="15257" xr:uid="{8AC47472-5DF2-41C8-A35F-3375D742F453}"/>
    <cellStyle name="Comma 3 2 3 10 2 2 2" xfId="31461" xr:uid="{DB351C9E-1AF8-4EF7-B90B-DDADBA70FFA3}"/>
    <cellStyle name="Comma 3 2 3 10 2 3" xfId="23954" xr:uid="{6C06FD2D-4A35-42F7-BD0C-76718BCCA5EA}"/>
    <cellStyle name="Comma 3 2 3 10 3" xfId="5408" xr:uid="{30BFD71A-E17F-49C6-A96D-03596F9C2D1F}"/>
    <cellStyle name="Comma 3 2 3 10 3 2" xfId="12955" xr:uid="{85AFB705-E5FA-4613-8EA3-3AEC191210AD}"/>
    <cellStyle name="Comma 3 2 3 10 3 2 2" xfId="29159" xr:uid="{125BE0CA-4E6C-4A52-9297-7F8B69C082AB}"/>
    <cellStyle name="Comma 3 2 3 10 3 3" xfId="21612" xr:uid="{6470F97B-2D37-489B-96D7-F94B80ECCD8A}"/>
    <cellStyle name="Comma 3 2 3 10 4" xfId="11643" xr:uid="{826C46FA-9814-499B-AA3B-70C3B59359E4}"/>
    <cellStyle name="Comma 3 2 3 10 4 2" xfId="27847" xr:uid="{CBDD733B-82D4-405B-A666-49C69EE10E65}"/>
    <cellStyle name="Comma 3 2 3 10 5" xfId="17064" xr:uid="{20BA637F-39FA-4ACE-889D-48C4D332C023}"/>
    <cellStyle name="Comma 3 2 3 10 5 2" xfId="33196" xr:uid="{CB84396D-A0D0-4570-8C82-4DB322C26D69}"/>
    <cellStyle name="Comma 3 2 3 10 6" xfId="20284" xr:uid="{E1651240-1B6B-4B39-A8EC-E287A95B3E80}"/>
    <cellStyle name="Comma 3 2 3 11" xfId="4505" xr:uid="{9FFCC720-B9AD-4773-B9E1-1AE51459AEC6}"/>
    <cellStyle name="Comma 3 2 3 11 2" xfId="8175" xr:uid="{457C4501-9FC3-4DD5-983F-AFF6E30CC608}"/>
    <cellStyle name="Comma 3 2 3 11 2 2" xfId="15682" xr:uid="{C0CE6D9C-3593-4DA6-858C-F57F6076D9A9}"/>
    <cellStyle name="Comma 3 2 3 11 2 2 2" xfId="31886" xr:uid="{0C229538-14F6-486E-A345-BE9868C162EC}"/>
    <cellStyle name="Comma 3 2 3 11 2 3" xfId="24379" xr:uid="{3192E08F-596A-4E59-B8A3-D8FC47416AC8}"/>
    <cellStyle name="Comma 3 2 3 11 3" xfId="8919" xr:uid="{4057CA7A-5106-4BE3-898C-F62E64A15BE2}"/>
    <cellStyle name="Comma 3 2 3 11 3 2" xfId="16422" xr:uid="{B0CEBD7D-67D2-4A5D-B27D-B0B878DD0EAF}"/>
    <cellStyle name="Comma 3 2 3 11 3 2 2" xfId="32626" xr:uid="{DCCC11F3-3834-4453-93B1-E4C8D204B0A8}"/>
    <cellStyle name="Comma 3 2 3 11 3 3" xfId="25123" xr:uid="{0E98D876-82DA-4380-B74C-DA36BBF27DE5}"/>
    <cellStyle name="Comma 3 2 3 11 4" xfId="12068" xr:uid="{F957948B-428E-4FFD-8EA6-9D6706F3B321}"/>
    <cellStyle name="Comma 3 2 3 11 4 2" xfId="28272" xr:uid="{F047A878-28D0-4A8A-AB1A-3945B1512E6D}"/>
    <cellStyle name="Comma 3 2 3 11 5" xfId="17065" xr:uid="{6DAE5259-B92B-4E1A-920E-924E8E4804FD}"/>
    <cellStyle name="Comma 3 2 3 11 5 2" xfId="33197" xr:uid="{85D06A0F-DE21-4CF6-8067-347D8BE64180}"/>
    <cellStyle name="Comma 3 2 3 11 6" xfId="20709" xr:uid="{B9DAE05C-A0F6-4C41-9FFF-1BF97E4D22B2}"/>
    <cellStyle name="Comma 3 2 3 12" xfId="4932" xr:uid="{5F24EBA3-D5E9-49BB-8CB4-3D605D29C8E4}"/>
    <cellStyle name="Comma 3 2 3 12 2" xfId="8598" xr:uid="{18E47CD4-4C38-4849-8D77-3658523A2CDB}"/>
    <cellStyle name="Comma 3 2 3 12 2 2" xfId="16105" xr:uid="{90ABE168-10BE-4F3F-9BBD-D40E2F43CA16}"/>
    <cellStyle name="Comma 3 2 3 12 2 2 2" xfId="32309" xr:uid="{9D041A29-EA9C-4218-A751-D44102732856}"/>
    <cellStyle name="Comma 3 2 3 12 2 3" xfId="24802" xr:uid="{DCA1F91C-6917-45D2-B197-14ED9B1C02B8}"/>
    <cellStyle name="Comma 3 2 3 12 3" xfId="12490" xr:uid="{295B1C1E-2072-4B1E-96E4-393708C1DC2D}"/>
    <cellStyle name="Comma 3 2 3 12 3 2" xfId="28694" xr:uid="{61820BD3-1AD3-4D87-AC64-381C19CBCED4}"/>
    <cellStyle name="Comma 3 2 3 12 4" xfId="21136" xr:uid="{AC7ECB55-6DA6-4056-ADF3-23D4BE597560}"/>
    <cellStyle name="Comma 3 2 3 13" xfId="5578" xr:uid="{ADABA34F-B3E0-494F-B02D-8C5A64EABD9A}"/>
    <cellStyle name="Comma 3 2 3 13 2" xfId="13095" xr:uid="{E79FE4D1-6922-46A4-A5E6-9E06625E132F}"/>
    <cellStyle name="Comma 3 2 3 13 2 2" xfId="29299" xr:uid="{B4401453-024B-4C3C-A979-91D88DFC1A6A}"/>
    <cellStyle name="Comma 3 2 3 13 3" xfId="21782" xr:uid="{0EE1230B-1807-4CAA-A15A-36E10059E01B}"/>
    <cellStyle name="Comma 3 2 3 14" xfId="9531" xr:uid="{16221F8C-BC72-4CA4-8664-EC8F166CFC4F}"/>
    <cellStyle name="Comma 3 2 3 14 2" xfId="25735" xr:uid="{4F592619-7432-4273-B46B-3E23E899FBE1}"/>
    <cellStyle name="Comma 3 2 3 15" xfId="17063" xr:uid="{8438B278-20AA-423D-887C-CE66148F6E55}"/>
    <cellStyle name="Comma 3 2 3 15 2" xfId="33195" xr:uid="{50225942-3902-4940-B77A-265DB5D04663}"/>
    <cellStyle name="Comma 3 2 3 16" xfId="18054" xr:uid="{E235C23A-4CFA-4596-B96B-028617E3B328}"/>
    <cellStyle name="Comma 3 2 3 2" xfId="1748" xr:uid="{95F3D29A-0871-4359-83F5-44F2C1C06F62}"/>
    <cellStyle name="Comma 3 2 3 2 10" xfId="5617" xr:uid="{493211F8-A22D-47D1-880B-F39AB4222810}"/>
    <cellStyle name="Comma 3 2 3 2 10 2" xfId="13132" xr:uid="{AB0642C6-5E7C-4145-B475-AA2A1E1948AA}"/>
    <cellStyle name="Comma 3 2 3 2 10 2 2" xfId="29336" xr:uid="{C9BE0C5B-D74C-4005-88B8-B5B763F67137}"/>
    <cellStyle name="Comma 3 2 3 2 10 3" xfId="21821" xr:uid="{8E8D1F11-3035-430B-A8C6-F2202495CE0C}"/>
    <cellStyle name="Comma 3 2 3 2 11" xfId="9545" xr:uid="{A3C8CB09-09D3-4433-9FA1-4FCB48C5D334}"/>
    <cellStyle name="Comma 3 2 3 2 11 2" xfId="25749" xr:uid="{B578AED6-25B1-4765-85A5-79B4547D8191}"/>
    <cellStyle name="Comma 3 2 3 2 12" xfId="17066" xr:uid="{5F1ADE78-7E2A-4038-ACCA-4CC7E4E6743F}"/>
    <cellStyle name="Comma 3 2 3 2 12 2" xfId="33198" xr:uid="{AB3DEB60-A797-49A0-A171-7A69FF611510}"/>
    <cellStyle name="Comma 3 2 3 2 13" xfId="18068" xr:uid="{4D2F8A16-2079-47B1-887C-F7C19A10FA61}"/>
    <cellStyle name="Comma 3 2 3 2 2" xfId="1906" xr:uid="{E834FFAA-31D9-43B3-B0A4-9417B547EDB8}"/>
    <cellStyle name="Comma 3 2 3 2 2 10" xfId="9686" xr:uid="{E1BD0595-8748-4A74-82EE-AE0E014933B7}"/>
    <cellStyle name="Comma 3 2 3 2 2 10 2" xfId="25890" xr:uid="{3FE130B5-9112-48BE-8301-DB701B6F8DA8}"/>
    <cellStyle name="Comma 3 2 3 2 2 11" xfId="17067" xr:uid="{DC307B3E-48E2-4D90-8B45-C5236EC54100}"/>
    <cellStyle name="Comma 3 2 3 2 2 11 2" xfId="33199" xr:uid="{FC23314F-B8EA-4B24-B121-0C513B0D1253}"/>
    <cellStyle name="Comma 3 2 3 2 2 12" xfId="18210" xr:uid="{A47E1CE6-2807-41DD-BD3E-02B4CCF99CDC}"/>
    <cellStyle name="Comma 3 2 3 2 2 2" xfId="2413" xr:uid="{EA84453F-3CC2-4E31-A52C-BE5DCEC9CE35}"/>
    <cellStyle name="Comma 3 2 3 2 2 2 2" xfId="3260" xr:uid="{CBFA0EF4-00BC-4A4D-88E3-1D10240EB783}"/>
    <cellStyle name="Comma 3 2 3 2 2 2 2 2" xfId="7042" xr:uid="{507B3254-0C1E-4DC3-BD6F-9D148F335755}"/>
    <cellStyle name="Comma 3 2 3 2 2 2 2 2 2" xfId="14553" xr:uid="{E7D9089A-F571-4865-ABAE-58AB5257685A}"/>
    <cellStyle name="Comma 3 2 3 2 2 2 2 2 2 2" xfId="30757" xr:uid="{D719BE4C-CDCB-4918-B2D2-C3A8C4AA9594}"/>
    <cellStyle name="Comma 3 2 3 2 2 2 2 2 3" xfId="23246" xr:uid="{70EF44EF-A140-4669-8296-D2EC3ADB79EF}"/>
    <cellStyle name="Comma 3 2 3 2 2 2 2 3" xfId="5558" xr:uid="{D38A54B8-8DB6-46DE-878E-AB4DFD10A590}"/>
    <cellStyle name="Comma 3 2 3 2 2 2 2 3 2" xfId="13077" xr:uid="{0ABC9E17-7AD3-4991-84A9-0BC1429A4864}"/>
    <cellStyle name="Comma 3 2 3 2 2 2 2 3 2 2" xfId="29281" xr:uid="{FD26D507-C908-413C-887A-FF6478F0AEAF}"/>
    <cellStyle name="Comma 3 2 3 2 2 2 2 3 3" xfId="21762" xr:uid="{18DA05C5-20E4-4569-83EF-5AA2A310D2F2}"/>
    <cellStyle name="Comma 3 2 3 2 2 2 2 4" xfId="10953" xr:uid="{182D7330-A307-4237-B1C2-C950AF9E50F8}"/>
    <cellStyle name="Comma 3 2 3 2 2 2 2 4 2" xfId="27157" xr:uid="{E6E713DA-DFAE-4E1B-A827-4BC455796140}"/>
    <cellStyle name="Comma 3 2 3 2 2 2 2 5" xfId="17069" xr:uid="{F5D7771B-EE62-4645-8869-6870E76F9BCD}"/>
    <cellStyle name="Comma 3 2 3 2 2 2 2 5 2" xfId="33201" xr:uid="{F126817C-22F8-4AE2-BB0D-C5841E4DA4BA}"/>
    <cellStyle name="Comma 3 2 3 2 2 2 2 6" xfId="19480" xr:uid="{D1F1716D-41D6-40ED-935D-9DB68FE97D25}"/>
    <cellStyle name="Comma 3 2 3 2 2 2 3" xfId="6197" xr:uid="{127CA347-4C5B-4D0E-8AC8-B94443C736FD}"/>
    <cellStyle name="Comma 3 2 3 2 2 2 3 2" xfId="13709" xr:uid="{B1A78914-F661-4FCF-B73C-E6B5CFB62CD5}"/>
    <cellStyle name="Comma 3 2 3 2 2 2 3 2 2" xfId="29913" xr:uid="{AB2F28FF-5642-418D-BA92-53C57069D6F2}"/>
    <cellStyle name="Comma 3 2 3 2 2 2 3 3" xfId="22401" xr:uid="{E9A97269-065B-4D74-9989-D41DA578730D}"/>
    <cellStyle name="Comma 3 2 3 2 2 2 4" xfId="5587" xr:uid="{4CA72456-A776-48D7-BAF0-6D5C0C019255}"/>
    <cellStyle name="Comma 3 2 3 2 2 2 4 2" xfId="13104" xr:uid="{4AD20507-E0E9-41C3-AA15-2B9DE7C33B47}"/>
    <cellStyle name="Comma 3 2 3 2 2 2 4 2 2" xfId="29308" xr:uid="{73F58D5C-49B1-423B-9A18-DF32F4B5ACBE}"/>
    <cellStyle name="Comma 3 2 3 2 2 2 4 3" xfId="21791" xr:uid="{47554034-8BF2-42FB-9B6A-CACE7F5E5E92}"/>
    <cellStyle name="Comma 3 2 3 2 2 2 5" xfId="10109" xr:uid="{5AC92D34-0CBC-4165-A2C4-B66F12D4D260}"/>
    <cellStyle name="Comma 3 2 3 2 2 2 5 2" xfId="26313" xr:uid="{C62DFAAF-106C-4EE0-A8FA-1D4031BA32E6}"/>
    <cellStyle name="Comma 3 2 3 2 2 2 6" xfId="17068" xr:uid="{48AF3DAA-AD6F-4763-B4A1-7B99072F7AC2}"/>
    <cellStyle name="Comma 3 2 3 2 2 2 6 2" xfId="33200" xr:uid="{3C8C7EC6-F175-4451-9F1A-5969CBA5322A}"/>
    <cellStyle name="Comma 3 2 3 2 2 2 7" xfId="18635" xr:uid="{DF1631C0-564E-4211-9123-C07694D0F2DD}"/>
    <cellStyle name="Comma 3 2 3 2 2 3" xfId="2835" xr:uid="{33C17689-49F2-4051-B753-0A67D5694248}"/>
    <cellStyle name="Comma 3 2 3 2 2 3 2" xfId="6619" xr:uid="{BA6A8091-057C-4213-A17D-A7B544582ED6}"/>
    <cellStyle name="Comma 3 2 3 2 2 3 2 2" xfId="14131" xr:uid="{09A89465-0871-44B9-86D1-9077D3ACB101}"/>
    <cellStyle name="Comma 3 2 3 2 2 3 2 2 2" xfId="30335" xr:uid="{1A0A3DC7-2218-469C-B863-45B99055FE0F}"/>
    <cellStyle name="Comma 3 2 3 2 2 3 2 3" xfId="22823" xr:uid="{72B7E733-E39A-40FB-9630-6AD82DD864C7}"/>
    <cellStyle name="Comma 3 2 3 2 2 3 3" xfId="5514" xr:uid="{45B59053-B8B7-4D68-8102-66839E615D37}"/>
    <cellStyle name="Comma 3 2 3 2 2 3 3 2" xfId="13044" xr:uid="{29044A20-E3E6-43E1-9D67-1C683614C77E}"/>
    <cellStyle name="Comma 3 2 3 2 2 3 3 2 2" xfId="29248" xr:uid="{B185A44B-AE68-482F-B06A-C9CEC1F0BD9C}"/>
    <cellStyle name="Comma 3 2 3 2 2 3 3 3" xfId="21718" xr:uid="{CCD234B8-B53E-450D-A4E7-577AFD026106}"/>
    <cellStyle name="Comma 3 2 3 2 2 3 4" xfId="10531" xr:uid="{C3A1A446-D27D-42CD-AEC9-01CAB7C8B87B}"/>
    <cellStyle name="Comma 3 2 3 2 2 3 4 2" xfId="26735" xr:uid="{BC290DED-AE06-4314-9FA2-A79E65970F45}"/>
    <cellStyle name="Comma 3 2 3 2 2 3 5" xfId="17070" xr:uid="{22975019-20C1-4D14-AB6D-59E309FEA103}"/>
    <cellStyle name="Comma 3 2 3 2 2 3 5 2" xfId="33202" xr:uid="{B4937FED-18A4-4E18-AB3D-4D6DF130EA76}"/>
    <cellStyle name="Comma 3 2 3 2 2 3 6" xfId="19057" xr:uid="{45BD669C-F845-47C4-8A73-8820E7A85482}"/>
    <cellStyle name="Comma 3 2 3 2 2 4" xfId="3766" xr:uid="{0D6D5725-4570-45FD-AFA3-0F9BB81DCB27}"/>
    <cellStyle name="Comma 3 2 3 2 2 4 2" xfId="7476" xr:uid="{745DD2CC-84DB-4ACE-9A12-0287438BF14E}"/>
    <cellStyle name="Comma 3 2 3 2 2 4 2 2" xfId="14985" xr:uid="{ADA98A6B-7F4A-429E-861A-EDC49265785C}"/>
    <cellStyle name="Comma 3 2 3 2 2 4 2 2 2" xfId="31189" xr:uid="{37A60CFB-0EAE-4FC0-BEDA-4DD184EF5564}"/>
    <cellStyle name="Comma 3 2 3 2 2 4 2 3" xfId="23680" xr:uid="{857D53D6-EA12-4875-8F40-CEEED6D55AC6}"/>
    <cellStyle name="Comma 3 2 3 2 2 4 3" xfId="7315" xr:uid="{229D97BB-761C-4133-986D-D8E031758C14}"/>
    <cellStyle name="Comma 3 2 3 2 2 4 3 2" xfId="14824" xr:uid="{C8CF8E00-2662-42B7-AEBF-33BBB2A94182}"/>
    <cellStyle name="Comma 3 2 3 2 2 4 3 2 2" xfId="31028" xr:uid="{494433C0-0574-4F78-A6EE-AD5E8BFCC0B7}"/>
    <cellStyle name="Comma 3 2 3 2 2 4 3 3" xfId="23519" xr:uid="{6A060A29-0EAD-4800-A028-C88893BAA757}"/>
    <cellStyle name="Comma 3 2 3 2 2 4 4" xfId="11376" xr:uid="{6D3FC02F-AD72-41BB-8FE0-C84339C4F980}"/>
    <cellStyle name="Comma 3 2 3 2 2 4 4 2" xfId="27580" xr:uid="{74913E77-3B09-427A-B8AF-914747E65AD9}"/>
    <cellStyle name="Comma 3 2 3 2 2 4 5" xfId="17071" xr:uid="{74CA017C-95C6-4467-9AED-899145925A02}"/>
    <cellStyle name="Comma 3 2 3 2 2 4 5 2" xfId="33203" xr:uid="{2E1D74C7-481F-442F-B1B7-8E62B13516E2}"/>
    <cellStyle name="Comma 3 2 3 2 2 4 6" xfId="19975" xr:uid="{DB0BC86F-266F-4C49-A5B2-B9CF374A97F4}"/>
    <cellStyle name="Comma 3 2 3 2 2 5" xfId="3586" xr:uid="{1CF53DDB-E2CD-4FC3-A75B-4AEBE78374EE}"/>
    <cellStyle name="Comma 3 2 3 2 2 5 2" xfId="9052" xr:uid="{4B863738-A76B-40D6-A196-FB3CD13D168C}"/>
    <cellStyle name="Comma 3 2 3 2 2 5 2 2" xfId="25256" xr:uid="{138D8ABF-3538-4B7F-8667-E349A9EC9F02}"/>
    <cellStyle name="Comma 3 2 3 2 2 5 3" xfId="17072" xr:uid="{D41160AA-9C2D-410C-BFCC-5448025934D9}"/>
    <cellStyle name="Comma 3 2 3 2 2 5 3 2" xfId="33204" xr:uid="{E286356F-3420-490A-8B23-0C7B5DE21EBE}"/>
    <cellStyle name="Comma 3 2 3 2 2 5 4" xfId="19797" xr:uid="{76FEA21B-580F-4512-972C-40E6B2CCF231}"/>
    <cellStyle name="Comma 3 2 3 2 2 6" xfId="4235" xr:uid="{30C330BD-5C10-496C-9A1E-C39D83B2C6FB}"/>
    <cellStyle name="Comma 3 2 3 2 2 6 2" xfId="7905" xr:uid="{FC24F063-475A-47AC-A018-45F6081CD601}"/>
    <cellStyle name="Comma 3 2 3 2 2 6 2 2" xfId="15412" xr:uid="{4DB648B8-0074-4C51-9180-D24057066607}"/>
    <cellStyle name="Comma 3 2 3 2 2 6 2 2 2" xfId="31616" xr:uid="{5377ED37-2FD3-4C76-970F-42AEC1EFA03B}"/>
    <cellStyle name="Comma 3 2 3 2 2 6 2 3" xfId="24109" xr:uid="{A8E8ECA4-178C-42E0-96A3-733D351B6491}"/>
    <cellStyle name="Comma 3 2 3 2 2 6 3" xfId="5449" xr:uid="{B150D2EA-2274-405F-8222-0A8A48252BAF}"/>
    <cellStyle name="Comma 3 2 3 2 2 6 3 2" xfId="12992" xr:uid="{60A6CA80-B4D2-4759-8C66-BBC6320A692C}"/>
    <cellStyle name="Comma 3 2 3 2 2 6 3 2 2" xfId="29196" xr:uid="{C7AC7DD2-41C0-442B-8385-3514E4AE0417}"/>
    <cellStyle name="Comma 3 2 3 2 2 6 3 3" xfId="21653" xr:uid="{DD2B9610-E0EC-44AC-9CD3-E5365BD4E005}"/>
    <cellStyle name="Comma 3 2 3 2 2 6 4" xfId="11798" xr:uid="{892F2003-4A74-4E2D-97E6-F5A589CFD98C}"/>
    <cellStyle name="Comma 3 2 3 2 2 6 4 2" xfId="28002" xr:uid="{658FFE87-9A4E-4D14-9ACA-EA477149108B}"/>
    <cellStyle name="Comma 3 2 3 2 2 6 5" xfId="17073" xr:uid="{6C4CD555-F4BB-47B7-BF96-EEAEF9830141}"/>
    <cellStyle name="Comma 3 2 3 2 2 6 5 2" xfId="33205" xr:uid="{6E13E88F-AF83-40DC-B221-912532BB79B4}"/>
    <cellStyle name="Comma 3 2 3 2 2 6 6" xfId="20439" xr:uid="{1077582B-0B86-4B70-8A53-1C4DE5D31CAE}"/>
    <cellStyle name="Comma 3 2 3 2 2 7" xfId="4660" xr:uid="{0203E146-A3EF-4EC3-A5FA-2FDDA48A907A}"/>
    <cellStyle name="Comma 3 2 3 2 2 7 2" xfId="8330" xr:uid="{48FED6F3-49BF-4AFB-8378-46BD285C3019}"/>
    <cellStyle name="Comma 3 2 3 2 2 7 2 2" xfId="15837" xr:uid="{FE2C769F-C87D-4400-A7F6-54CBE691746B}"/>
    <cellStyle name="Comma 3 2 3 2 2 7 2 2 2" xfId="32041" xr:uid="{B851B72F-1074-426A-8B2C-BF5E61EDEDD3}"/>
    <cellStyle name="Comma 3 2 3 2 2 7 2 3" xfId="24534" xr:uid="{F54BB423-FE24-415F-AC19-54D726F300B1}"/>
    <cellStyle name="Comma 3 2 3 2 2 7 3" xfId="8895" xr:uid="{49C6CDAE-8B76-48D9-9C5A-0305AF97F863}"/>
    <cellStyle name="Comma 3 2 3 2 2 7 3 2" xfId="16398" xr:uid="{3D375BBB-2DC8-4DEC-9F1F-BE980E04EC40}"/>
    <cellStyle name="Comma 3 2 3 2 2 7 3 2 2" xfId="32602" xr:uid="{D38BA86D-CA2A-40B9-91A8-5B733EBE7DA9}"/>
    <cellStyle name="Comma 3 2 3 2 2 7 3 3" xfId="25099" xr:uid="{3DF1D084-AD39-4E10-90B3-E4F28CD5C104}"/>
    <cellStyle name="Comma 3 2 3 2 2 7 4" xfId="12223" xr:uid="{8F57A302-91D4-4B0A-A04C-3C7F5B23F772}"/>
    <cellStyle name="Comma 3 2 3 2 2 7 4 2" xfId="28427" xr:uid="{EC49C2E3-A5EA-4C22-AA4B-C525C3FCCD5F}"/>
    <cellStyle name="Comma 3 2 3 2 2 7 5" xfId="17074" xr:uid="{03160D26-9805-418C-9615-C0A011B22CE8}"/>
    <cellStyle name="Comma 3 2 3 2 2 7 5 2" xfId="33206" xr:uid="{3300BDFB-6A75-4C51-94F7-45C97FB98B9F}"/>
    <cellStyle name="Comma 3 2 3 2 2 7 6" xfId="20864" xr:uid="{BB452B7F-72FD-4034-A0FD-A773BF66F9F9}"/>
    <cellStyle name="Comma 3 2 3 2 2 8" xfId="5088" xr:uid="{6B3D1075-73C1-45B1-B262-88052E7E990F}"/>
    <cellStyle name="Comma 3 2 3 2 2 8 2" xfId="8753" xr:uid="{7DBD8A23-F5E4-40B2-85BB-A6AD1EEBBC60}"/>
    <cellStyle name="Comma 3 2 3 2 2 8 2 2" xfId="16260" xr:uid="{4B212F80-1BB4-4E92-A4EE-221880E7A6C9}"/>
    <cellStyle name="Comma 3 2 3 2 2 8 2 2 2" xfId="32464" xr:uid="{28EE1116-09AF-4681-A68E-009FF86708B6}"/>
    <cellStyle name="Comma 3 2 3 2 2 8 2 3" xfId="24957" xr:uid="{D224E751-7267-4842-B05B-7CEAEEDE72A7}"/>
    <cellStyle name="Comma 3 2 3 2 2 8 3" xfId="12645" xr:uid="{1D0AF9A8-1AFD-483D-9D5D-9CACC16DB0FD}"/>
    <cellStyle name="Comma 3 2 3 2 2 8 3 2" xfId="28849" xr:uid="{92227C40-5A16-459F-ABD5-F7C6A8CEB3C8}"/>
    <cellStyle name="Comma 3 2 3 2 2 8 4" xfId="21292" xr:uid="{99459FD7-69F2-40DF-90FD-F553A1A6155E}"/>
    <cellStyle name="Comma 3 2 3 2 2 9" xfId="5759" xr:uid="{1F705C60-EE57-4423-A4BC-A1C8793BD551}"/>
    <cellStyle name="Comma 3 2 3 2 2 9 2" xfId="13274" xr:uid="{6376400C-B10F-4429-9CBB-183BA5BE2668}"/>
    <cellStyle name="Comma 3 2 3 2 2 9 2 2" xfId="29478" xr:uid="{CB056013-A970-4854-BC30-164C39875F9B}"/>
    <cellStyle name="Comma 3 2 3 2 2 9 3" xfId="21963" xr:uid="{8AA4F5FB-5437-43D6-8F1A-6892CABA9A66}"/>
    <cellStyle name="Comma 3 2 3 2 3" xfId="2268" xr:uid="{774694CD-A4BF-4B5A-93C5-E4102607A76C}"/>
    <cellStyle name="Comma 3 2 3 2 3 2" xfId="3119" xr:uid="{F222D9DA-8631-44EB-9FFD-7F735DAAF9EB}"/>
    <cellStyle name="Comma 3 2 3 2 3 2 2" xfId="6901" xr:uid="{0028FEC5-39B0-4744-BF4B-794B5F19D656}"/>
    <cellStyle name="Comma 3 2 3 2 3 2 2 2" xfId="14412" xr:uid="{3C614CD0-3134-4E45-AF3D-937C627F0310}"/>
    <cellStyle name="Comma 3 2 3 2 3 2 2 2 2" xfId="30616" xr:uid="{EFB92411-325B-4242-9C88-C67943DD73B9}"/>
    <cellStyle name="Comma 3 2 3 2 3 2 2 3" xfId="23105" xr:uid="{2B4B744A-2578-4618-83E0-0B9E66FE317F}"/>
    <cellStyle name="Comma 3 2 3 2 3 2 3" xfId="5498" xr:uid="{D543D716-7CD4-436B-9D71-D67FD2EAE37F}"/>
    <cellStyle name="Comma 3 2 3 2 3 2 3 2" xfId="13033" xr:uid="{04F3E438-9EFD-4EDD-81CF-BE14ED15D1E0}"/>
    <cellStyle name="Comma 3 2 3 2 3 2 3 2 2" xfId="29237" xr:uid="{447928D7-C844-4E7A-9598-7C976AD36A59}"/>
    <cellStyle name="Comma 3 2 3 2 3 2 3 3" xfId="21702" xr:uid="{8442572E-B2CF-4D68-89A9-FCDA6338B6C7}"/>
    <cellStyle name="Comma 3 2 3 2 3 2 4" xfId="10812" xr:uid="{6BC7048D-ABA4-4F9C-BEDF-150916CDB4E8}"/>
    <cellStyle name="Comma 3 2 3 2 3 2 4 2" xfId="27016" xr:uid="{4C6D1874-C500-43FD-96E0-072229272B3F}"/>
    <cellStyle name="Comma 3 2 3 2 3 2 5" xfId="17076" xr:uid="{E9028F78-FA19-4A53-BDBC-1ACA9F22E1E9}"/>
    <cellStyle name="Comma 3 2 3 2 3 2 5 2" xfId="33208" xr:uid="{055766B9-F82B-44DC-A22C-7ACAA215356B}"/>
    <cellStyle name="Comma 3 2 3 2 3 2 6" xfId="19339" xr:uid="{20B04C4F-B146-4A8A-BB96-5A31969B1CFF}"/>
    <cellStyle name="Comma 3 2 3 2 3 3" xfId="6056" xr:uid="{0C8A76F9-D47B-4E30-A3B1-7638A2CBF31A}"/>
    <cellStyle name="Comma 3 2 3 2 3 3 2" xfId="13568" xr:uid="{F67D83A1-7B33-452B-8E2E-1ABBC98380CB}"/>
    <cellStyle name="Comma 3 2 3 2 3 3 2 2" xfId="29772" xr:uid="{2389A826-9DE3-44E0-9D6A-6AE55DA22EB5}"/>
    <cellStyle name="Comma 3 2 3 2 3 3 3" xfId="22260" xr:uid="{874B16B7-ACB7-4E0A-B314-0E808E218C34}"/>
    <cellStyle name="Comma 3 2 3 2 3 4" xfId="8931" xr:uid="{38BA0952-BDD0-42B6-AA5E-EB9856302EC9}"/>
    <cellStyle name="Comma 3 2 3 2 3 4 2" xfId="16430" xr:uid="{97E799DB-DCCC-439E-927E-3E1E544FC29D}"/>
    <cellStyle name="Comma 3 2 3 2 3 4 2 2" xfId="32634" xr:uid="{01E85E12-2A93-4DDB-B1EC-AA2602DD16BE}"/>
    <cellStyle name="Comma 3 2 3 2 3 4 3" xfId="25135" xr:uid="{2F52D044-9F02-4DAA-A0B3-A62F9964AD64}"/>
    <cellStyle name="Comma 3 2 3 2 3 5" xfId="9968" xr:uid="{37070019-9FE4-451C-9BAD-1D4BD3527823}"/>
    <cellStyle name="Comma 3 2 3 2 3 5 2" xfId="26172" xr:uid="{06D2353C-3B75-4151-A283-FEBEA11E7597}"/>
    <cellStyle name="Comma 3 2 3 2 3 6" xfId="17075" xr:uid="{0602DEF2-A336-471D-95D5-F7CAC8742210}"/>
    <cellStyle name="Comma 3 2 3 2 3 6 2" xfId="33207" xr:uid="{79F7D7C8-2F6C-4D25-95D7-61B8874AA0A5}"/>
    <cellStyle name="Comma 3 2 3 2 3 7" xfId="18494" xr:uid="{49ABB16B-F643-412E-84F6-C3C53C0C6A4B}"/>
    <cellStyle name="Comma 3 2 3 2 4" xfId="2694" xr:uid="{617EAD23-5245-4F76-8D0A-055E53C819B0}"/>
    <cellStyle name="Comma 3 2 3 2 4 2" xfId="6478" xr:uid="{B61B879D-DBE1-43AB-83B3-11CBE13CACB9}"/>
    <cellStyle name="Comma 3 2 3 2 4 2 2" xfId="13990" xr:uid="{1BD42F84-A86B-4CFA-90BF-A15926330664}"/>
    <cellStyle name="Comma 3 2 3 2 4 2 2 2" xfId="30194" xr:uid="{C53A5751-C8A3-4207-A9B3-FBD625B7DD36}"/>
    <cellStyle name="Comma 3 2 3 2 4 2 3" xfId="22682" xr:uid="{5A77A2E2-C8B4-4D94-9B88-91E311457E95}"/>
    <cellStyle name="Comma 3 2 3 2 4 3" xfId="9021" xr:uid="{3FB08521-A67D-443A-ACBB-5DC74C629AB9}"/>
    <cellStyle name="Comma 3 2 3 2 4 3 2" xfId="16512" xr:uid="{9888CB30-714B-45E0-A610-54DFCE34B310}"/>
    <cellStyle name="Comma 3 2 3 2 4 3 2 2" xfId="32716" xr:uid="{81193024-D2C0-4FAC-BF4C-8A9E31B9BB5C}"/>
    <cellStyle name="Comma 3 2 3 2 4 3 3" xfId="25225" xr:uid="{F2F0E4E3-93E6-44EA-A3F7-DE7E6D747AA1}"/>
    <cellStyle name="Comma 3 2 3 2 4 4" xfId="10390" xr:uid="{52EBCFE9-4F82-4D67-8F2B-CC9007713BF6}"/>
    <cellStyle name="Comma 3 2 3 2 4 4 2" xfId="26594" xr:uid="{7E21C1F4-0120-4626-8CFA-23E49CCCF071}"/>
    <cellStyle name="Comma 3 2 3 2 4 5" xfId="17077" xr:uid="{D56DB6E0-B796-41B5-99E2-EEE4F1A02576}"/>
    <cellStyle name="Comma 3 2 3 2 4 5 2" xfId="33209" xr:uid="{2DAB8A9D-5130-4689-A545-2B9ECBD7F8D4}"/>
    <cellStyle name="Comma 3 2 3 2 4 6" xfId="18916" xr:uid="{71114D66-E85F-4277-997B-5170FE6E34BC}"/>
    <cellStyle name="Comma 3 2 3 2 5" xfId="3624" xr:uid="{44166FE0-F95B-40DC-ADD4-931081C63909}"/>
    <cellStyle name="Comma 3 2 3 2 5 2" xfId="7334" xr:uid="{9A6B3A4D-FB6D-4401-9166-1A8FA70D659F}"/>
    <cellStyle name="Comma 3 2 3 2 5 2 2" xfId="14843" xr:uid="{5B22EF8C-00A5-4FFD-BDDD-C31E4CF20508}"/>
    <cellStyle name="Comma 3 2 3 2 5 2 2 2" xfId="31047" xr:uid="{CB9D9C4D-E280-4171-98C0-6AF015831B8D}"/>
    <cellStyle name="Comma 3 2 3 2 5 2 3" xfId="23538" xr:uid="{77463614-183A-439A-9580-F758A19BDCBC}"/>
    <cellStyle name="Comma 3 2 3 2 5 3" xfId="7595" xr:uid="{863420BC-461B-4939-BFBD-DD780B01B0B3}"/>
    <cellStyle name="Comma 3 2 3 2 5 3 2" xfId="15103" xr:uid="{BBBFEFD0-B254-4F4D-B7A1-9418D7F4A891}"/>
    <cellStyle name="Comma 3 2 3 2 5 3 2 2" xfId="31307" xr:uid="{361C869B-2423-43DE-8561-38D1458E59C0}"/>
    <cellStyle name="Comma 3 2 3 2 5 3 3" xfId="23799" xr:uid="{69A580C1-96C3-4803-A4E8-B1866E0C6D7B}"/>
    <cellStyle name="Comma 3 2 3 2 5 4" xfId="11235" xr:uid="{1EECC4BC-B921-4150-A5BA-C6768A06B1BB}"/>
    <cellStyle name="Comma 3 2 3 2 5 4 2" xfId="27439" xr:uid="{9087B647-B178-4227-99FE-CCA0C5E0F5C9}"/>
    <cellStyle name="Comma 3 2 3 2 5 5" xfId="17078" xr:uid="{BEE9F1DA-4C9C-4956-9A0D-E4FBA878AC37}"/>
    <cellStyle name="Comma 3 2 3 2 5 5 2" xfId="33210" xr:uid="{59CB9104-F27B-4313-97E6-10728A84EA14}"/>
    <cellStyle name="Comma 3 2 3 2 5 6" xfId="19833" xr:uid="{FFC68001-E0F2-4A78-A2EA-3811351AB66E}"/>
    <cellStyle name="Comma 3 2 3 2 6" xfId="3898" xr:uid="{3C0F27BC-18FD-42B5-8CF8-BA5B0331B08F}"/>
    <cellStyle name="Comma 3 2 3 2 6 2" xfId="9312" xr:uid="{35FFB2A9-A3FB-4E65-8E4D-69C4A4FF4D16}"/>
    <cellStyle name="Comma 3 2 3 2 6 2 2" xfId="25516" xr:uid="{E16D5135-35D1-4BBE-BECD-7F34F005CA10}"/>
    <cellStyle name="Comma 3 2 3 2 6 3" xfId="17079" xr:uid="{DC68F789-222F-4365-A054-6615D4E4EAC5}"/>
    <cellStyle name="Comma 3 2 3 2 6 3 2" xfId="33211" xr:uid="{25228FEE-98CB-4A00-84FE-490947BE8E3E}"/>
    <cellStyle name="Comma 3 2 3 2 6 4" xfId="20107" xr:uid="{A0DE0645-843B-47AE-809F-AD4165FC652A}"/>
    <cellStyle name="Comma 3 2 3 2 7" xfId="4094" xr:uid="{D44BE447-B18B-44B1-B1E8-11C2393919C8}"/>
    <cellStyle name="Comma 3 2 3 2 7 2" xfId="7764" xr:uid="{ADAF8415-88F1-4EFC-B767-DAF28DCA8741}"/>
    <cellStyle name="Comma 3 2 3 2 7 2 2" xfId="15271" xr:uid="{EB8A119D-A32D-4BE4-B0B0-D2DDCB1BD30F}"/>
    <cellStyle name="Comma 3 2 3 2 7 2 2 2" xfId="31475" xr:uid="{BE43AEEC-605F-44D3-BB3F-BAA39ED62F0D}"/>
    <cellStyle name="Comma 3 2 3 2 7 2 3" xfId="23968" xr:uid="{7EAEC7BC-6ADD-4B2F-8D5A-7DAD1688B06C}"/>
    <cellStyle name="Comma 3 2 3 2 7 3" xfId="9029" xr:uid="{A423CAC3-F4CF-4601-8393-3D58A15588EE}"/>
    <cellStyle name="Comma 3 2 3 2 7 3 2" xfId="16520" xr:uid="{F63EE2DB-705D-4333-A5E7-C1822A88440D}"/>
    <cellStyle name="Comma 3 2 3 2 7 3 2 2" xfId="32724" xr:uid="{82332C3C-AB29-4133-B745-46000589BD02}"/>
    <cellStyle name="Comma 3 2 3 2 7 3 3" xfId="25233" xr:uid="{06C751AA-F03F-4F72-967E-FAA3905226F0}"/>
    <cellStyle name="Comma 3 2 3 2 7 4" xfId="11657" xr:uid="{D32FD1D1-B5FE-4960-A33A-224E94BF31E0}"/>
    <cellStyle name="Comma 3 2 3 2 7 4 2" xfId="27861" xr:uid="{D5F61BDE-6C53-44F0-B99C-0B28D8816129}"/>
    <cellStyle name="Comma 3 2 3 2 7 5" xfId="17080" xr:uid="{F9413E20-3582-42DE-AFE6-91E9933F6ADC}"/>
    <cellStyle name="Comma 3 2 3 2 7 5 2" xfId="33212" xr:uid="{B8183233-CB4C-4494-8AF4-80013DC55E32}"/>
    <cellStyle name="Comma 3 2 3 2 7 6" xfId="20298" xr:uid="{082F5494-2DA3-4FA5-9F31-7830B5CC0782}"/>
    <cellStyle name="Comma 3 2 3 2 8" xfId="4519" xr:uid="{3D44AB5D-D77F-45B7-952B-22D6FD4411A7}"/>
    <cellStyle name="Comma 3 2 3 2 8 2" xfId="8189" xr:uid="{A5E5D79C-B284-4947-89CD-A3DA80B642A5}"/>
    <cellStyle name="Comma 3 2 3 2 8 2 2" xfId="15696" xr:uid="{22274450-EF92-4781-AC82-E77E304EA2CA}"/>
    <cellStyle name="Comma 3 2 3 2 8 2 2 2" xfId="31900" xr:uid="{D966433D-5D79-45B7-83DC-72668855F274}"/>
    <cellStyle name="Comma 3 2 3 2 8 2 3" xfId="24393" xr:uid="{42615435-7F14-459B-92FF-AC12C8C12B55}"/>
    <cellStyle name="Comma 3 2 3 2 8 3" xfId="9059" xr:uid="{9EABDFF9-D448-4261-9FC0-F8C8C853B0AE}"/>
    <cellStyle name="Comma 3 2 3 2 8 3 2" xfId="16545" xr:uid="{D111F676-3029-4A23-AF31-52B0DBFC58D8}"/>
    <cellStyle name="Comma 3 2 3 2 8 3 2 2" xfId="32749" xr:uid="{51893A72-C5B2-49A3-98B1-5543DA6F30E9}"/>
    <cellStyle name="Comma 3 2 3 2 8 3 3" xfId="25263" xr:uid="{6FCCC07F-5E2D-42CB-B184-909E7E6995F6}"/>
    <cellStyle name="Comma 3 2 3 2 8 4" xfId="12082" xr:uid="{F32E82C0-05BB-426E-961A-EE99C5AF61CB}"/>
    <cellStyle name="Comma 3 2 3 2 8 4 2" xfId="28286" xr:uid="{C675A3D3-CBD3-4140-A1EE-66C91F451265}"/>
    <cellStyle name="Comma 3 2 3 2 8 5" xfId="17081" xr:uid="{8EE2B0F4-4B78-43EB-8934-D252BDB6644C}"/>
    <cellStyle name="Comma 3 2 3 2 8 5 2" xfId="33213" xr:uid="{2DBF997C-638C-4D62-947D-0359E5267196}"/>
    <cellStyle name="Comma 3 2 3 2 8 6" xfId="20723" xr:uid="{64FCC18B-C9F5-46EC-8B6B-F5DCB0B14235}"/>
    <cellStyle name="Comma 3 2 3 2 9" xfId="4946" xr:uid="{83C04E8E-8AAB-4AE8-91A1-5F714316C932}"/>
    <cellStyle name="Comma 3 2 3 2 9 2" xfId="8612" xr:uid="{BD8C246F-8703-42D9-8B64-F05EEC5C2EF7}"/>
    <cellStyle name="Comma 3 2 3 2 9 2 2" xfId="16119" xr:uid="{1B1D6F2B-EB71-45CE-BB06-BECC03C7B698}"/>
    <cellStyle name="Comma 3 2 3 2 9 2 2 2" xfId="32323" xr:uid="{E630CBBF-FA25-4787-B46A-847A3B0353E9}"/>
    <cellStyle name="Comma 3 2 3 2 9 2 3" xfId="24816" xr:uid="{DD870394-1EF8-4D57-BE4E-F3621D0E3D7B}"/>
    <cellStyle name="Comma 3 2 3 2 9 3" xfId="12504" xr:uid="{38C35357-22C4-431A-B739-9DCF561774DB}"/>
    <cellStyle name="Comma 3 2 3 2 9 3 2" xfId="28708" xr:uid="{81841C46-7592-4C10-8215-3B3B55B06702}"/>
    <cellStyle name="Comma 3 2 3 2 9 4" xfId="21150" xr:uid="{EC863CB6-B18A-4A79-B178-C821C4D1A25B}"/>
    <cellStyle name="Comma 3 2 3 3" xfId="1766" xr:uid="{0A04EFBE-709B-43F4-92D4-528F0F7A53CC}"/>
    <cellStyle name="Comma 3 2 3 3 10" xfId="5631" xr:uid="{A911B985-8BFA-4B10-8113-19746BF833B0}"/>
    <cellStyle name="Comma 3 2 3 3 10 2" xfId="13146" xr:uid="{D2DB49D4-569B-4106-BF8D-6C57E28AD5B4}"/>
    <cellStyle name="Comma 3 2 3 3 10 2 2" xfId="29350" xr:uid="{85934B83-F90B-441A-AA9D-33BFCCB58970}"/>
    <cellStyle name="Comma 3 2 3 3 10 3" xfId="21835" xr:uid="{B8D88312-747A-49BE-9CED-19FC5CCF012F}"/>
    <cellStyle name="Comma 3 2 3 3 11" xfId="9559" xr:uid="{1D175E89-487D-476D-9EA3-B466E0D7CEA9}"/>
    <cellStyle name="Comma 3 2 3 3 11 2" xfId="25763" xr:uid="{AB3C6EC8-EA0C-4884-B7DC-FC9BC37D566F}"/>
    <cellStyle name="Comma 3 2 3 3 12" xfId="17082" xr:uid="{29DB997C-9BE8-41B6-9086-97A4958F8910}"/>
    <cellStyle name="Comma 3 2 3 3 12 2" xfId="33214" xr:uid="{9A205175-F716-4852-826F-246B5BBB55F4}"/>
    <cellStyle name="Comma 3 2 3 3 13" xfId="18082" xr:uid="{15DD116A-6C0E-4EDB-B5AE-9A5242BA08C9}"/>
    <cellStyle name="Comma 3 2 3 3 2" xfId="1907" xr:uid="{246E4993-84D0-442B-9A31-D66A649A8840}"/>
    <cellStyle name="Comma 3 2 3 3 2 10" xfId="9687" xr:uid="{64746F20-763D-4A3A-BECA-CDE70E1749AA}"/>
    <cellStyle name="Comma 3 2 3 3 2 10 2" xfId="25891" xr:uid="{7E134E8C-B370-41A5-AED1-1E41E236717A}"/>
    <cellStyle name="Comma 3 2 3 3 2 11" xfId="17083" xr:uid="{FCE2588A-674A-449E-8997-F3CCD88A3C05}"/>
    <cellStyle name="Comma 3 2 3 3 2 11 2" xfId="33215" xr:uid="{14947377-D7EF-4108-9FE9-630A81581A09}"/>
    <cellStyle name="Comma 3 2 3 3 2 12" xfId="18211" xr:uid="{5E9C10CB-65BA-4ABB-853B-3F8B541564E1}"/>
    <cellStyle name="Comma 3 2 3 3 2 2" xfId="2414" xr:uid="{D779BC0E-C2CB-4F92-8398-C05A505E93BF}"/>
    <cellStyle name="Comma 3 2 3 3 2 2 2" xfId="3261" xr:uid="{F081B84D-626F-4C9A-9652-341D677F868E}"/>
    <cellStyle name="Comma 3 2 3 3 2 2 2 2" xfId="7043" xr:uid="{A3EEB3F2-F1C7-4820-B5BB-2AD23A8A700D}"/>
    <cellStyle name="Comma 3 2 3 3 2 2 2 2 2" xfId="14554" xr:uid="{19BC1596-1933-4940-A677-0F5DBFD61F71}"/>
    <cellStyle name="Comma 3 2 3 3 2 2 2 2 2 2" xfId="30758" xr:uid="{37979EA9-D261-4B3E-8C1E-86CBD2BDFCA0}"/>
    <cellStyle name="Comma 3 2 3 3 2 2 2 2 3" xfId="23247" xr:uid="{1BD91862-2112-454C-9A28-3F00B1413B4D}"/>
    <cellStyle name="Comma 3 2 3 3 2 2 2 3" xfId="9067" xr:uid="{F5776121-748C-4BC1-B950-AF6F35BE0F5D}"/>
    <cellStyle name="Comma 3 2 3 3 2 2 2 3 2" xfId="16552" xr:uid="{5E9DEA6C-DCE6-40B2-80E1-81F3AFFFE8A7}"/>
    <cellStyle name="Comma 3 2 3 3 2 2 2 3 2 2" xfId="32756" xr:uid="{F7C119FD-8E55-4329-9D3F-81AD97F8A03C}"/>
    <cellStyle name="Comma 3 2 3 3 2 2 2 3 3" xfId="25271" xr:uid="{C8C7893B-DFB5-4927-97D5-D51B691A3C0F}"/>
    <cellStyle name="Comma 3 2 3 3 2 2 2 4" xfId="10954" xr:uid="{CEDBB4DF-DA83-4011-BDFE-31DCEF79F352}"/>
    <cellStyle name="Comma 3 2 3 3 2 2 2 4 2" xfId="27158" xr:uid="{5B9235C7-662A-4F88-8A22-FE93CEC21630}"/>
    <cellStyle name="Comma 3 2 3 3 2 2 2 5" xfId="17085" xr:uid="{5E40DCCB-DCBD-4165-861C-C2A4D50BED5C}"/>
    <cellStyle name="Comma 3 2 3 3 2 2 2 5 2" xfId="33217" xr:uid="{80BC15C3-4723-4120-863C-85E2E7E39C10}"/>
    <cellStyle name="Comma 3 2 3 3 2 2 2 6" xfId="19481" xr:uid="{098F4D4E-C19F-4B8D-9A77-056987D96DFD}"/>
    <cellStyle name="Comma 3 2 3 3 2 2 3" xfId="6198" xr:uid="{E9F3C9B3-CA80-4ABA-BA2F-4FAFEFAC1592}"/>
    <cellStyle name="Comma 3 2 3 3 2 2 3 2" xfId="13710" xr:uid="{5A0B3808-61BB-4F3D-BEB5-408939097245}"/>
    <cellStyle name="Comma 3 2 3 3 2 2 3 2 2" xfId="29914" xr:uid="{F1668650-FA2C-4DBF-8577-8E676CA22F99}"/>
    <cellStyle name="Comma 3 2 3 3 2 2 3 3" xfId="22402" xr:uid="{4BFB5CED-9163-428F-9603-D429E88EB511}"/>
    <cellStyle name="Comma 3 2 3 3 2 2 4" xfId="5548" xr:uid="{762A0EB2-DFA7-4A00-B986-71C82ED619D2}"/>
    <cellStyle name="Comma 3 2 3 3 2 2 4 2" xfId="13071" xr:uid="{FE3FB4A1-A4F8-4194-800A-EFEE13A3AE32}"/>
    <cellStyle name="Comma 3 2 3 3 2 2 4 2 2" xfId="29275" xr:uid="{3995C12E-1B3F-478C-A425-A1E7696ED2FC}"/>
    <cellStyle name="Comma 3 2 3 3 2 2 4 3" xfId="21752" xr:uid="{AC60107E-4CD6-4536-BA28-824A5A2EC523}"/>
    <cellStyle name="Comma 3 2 3 3 2 2 5" xfId="10110" xr:uid="{59413AA2-6287-4FA9-8230-5A912695B223}"/>
    <cellStyle name="Comma 3 2 3 3 2 2 5 2" xfId="26314" xr:uid="{A7377615-8A3E-4418-88BF-115B93AE69C2}"/>
    <cellStyle name="Comma 3 2 3 3 2 2 6" xfId="17084" xr:uid="{90A2444F-6F04-4BED-AEAF-7AC72DCF009F}"/>
    <cellStyle name="Comma 3 2 3 3 2 2 6 2" xfId="33216" xr:uid="{58003BA8-141D-4523-82E7-ACC9C537ADD4}"/>
    <cellStyle name="Comma 3 2 3 3 2 2 7" xfId="18636" xr:uid="{E35353A4-AFEA-42CE-AB4E-EFF301757071}"/>
    <cellStyle name="Comma 3 2 3 3 2 3" xfId="2836" xr:uid="{37EF744F-8949-4AE5-B005-1EF07E8F3860}"/>
    <cellStyle name="Comma 3 2 3 3 2 3 2" xfId="6620" xr:uid="{C100E6DD-C4A5-410F-9A40-A0B912F3EE56}"/>
    <cellStyle name="Comma 3 2 3 3 2 3 2 2" xfId="14132" xr:uid="{62D406BF-5870-4956-9FBF-21DA0284ED33}"/>
    <cellStyle name="Comma 3 2 3 3 2 3 2 2 2" xfId="30336" xr:uid="{155BE61D-FD86-41B5-9F0F-7DB231E1B5B7}"/>
    <cellStyle name="Comma 3 2 3 3 2 3 2 3" xfId="22824" xr:uid="{1F465CD7-EB72-49F7-8666-E24DACEDF63A}"/>
    <cellStyle name="Comma 3 2 3 3 2 3 3" xfId="8944" xr:uid="{BA1C2C7B-5934-4DAE-9368-2EA926AF81C2}"/>
    <cellStyle name="Comma 3 2 3 3 2 3 3 2" xfId="16442" xr:uid="{96501A54-9158-469E-8CA2-0D0DE39A8357}"/>
    <cellStyle name="Comma 3 2 3 3 2 3 3 2 2" xfId="32646" xr:uid="{0FB95CA2-DC30-4F94-A9EF-5370ACB05231}"/>
    <cellStyle name="Comma 3 2 3 3 2 3 3 3" xfId="25148" xr:uid="{6C947FBD-20A3-40A0-BA8A-02E7DEED896D}"/>
    <cellStyle name="Comma 3 2 3 3 2 3 4" xfId="10532" xr:uid="{6B5D7824-A25D-40B7-966C-E6F831F5729E}"/>
    <cellStyle name="Comma 3 2 3 3 2 3 4 2" xfId="26736" xr:uid="{0EA4D2D6-FB80-493A-AFEA-797DF8171259}"/>
    <cellStyle name="Comma 3 2 3 3 2 3 5" xfId="17086" xr:uid="{81C0EB1C-AAA6-4B28-9A69-5FA13D99D691}"/>
    <cellStyle name="Comma 3 2 3 3 2 3 5 2" xfId="33218" xr:uid="{1625D261-561D-4642-A6A3-255185ED0E4A}"/>
    <cellStyle name="Comma 3 2 3 3 2 3 6" xfId="19058" xr:uid="{A4213590-D51A-4177-97F4-75A3E7463A33}"/>
    <cellStyle name="Comma 3 2 3 3 2 4" xfId="3767" xr:uid="{6E0535AF-C4D6-4021-892E-75D680E9F7B9}"/>
    <cellStyle name="Comma 3 2 3 3 2 4 2" xfId="7477" xr:uid="{4F8AE290-4D75-4D03-9390-247CE185789C}"/>
    <cellStyle name="Comma 3 2 3 3 2 4 2 2" xfId="14986" xr:uid="{93B9F491-F245-4F92-B53A-E9769069B527}"/>
    <cellStyle name="Comma 3 2 3 3 2 4 2 2 2" xfId="31190" xr:uid="{7A25F3A8-4B23-4749-95C2-A0EED3F8B3EC}"/>
    <cellStyle name="Comma 3 2 3 3 2 4 2 3" xfId="23681" xr:uid="{13E08934-EDB1-4CE3-859E-8057C509FF1A}"/>
    <cellStyle name="Comma 3 2 3 3 2 4 3" xfId="9011" xr:uid="{BA35D024-2EA9-43FB-9EEC-6614C0F6D1C0}"/>
    <cellStyle name="Comma 3 2 3 3 2 4 3 2" xfId="16502" xr:uid="{9B347ED4-D8CE-4EC1-B41F-4CA154305C25}"/>
    <cellStyle name="Comma 3 2 3 3 2 4 3 2 2" xfId="32706" xr:uid="{458B1018-028C-4EF2-A549-88FD36DF7AF3}"/>
    <cellStyle name="Comma 3 2 3 3 2 4 3 3" xfId="25215" xr:uid="{79FBC02B-1B94-4EEB-A76C-FC54E3AB49E3}"/>
    <cellStyle name="Comma 3 2 3 3 2 4 4" xfId="11377" xr:uid="{BA6C3CB0-5B3D-46B7-B73C-D15904C24256}"/>
    <cellStyle name="Comma 3 2 3 3 2 4 4 2" xfId="27581" xr:uid="{DBE6E9B6-B6B8-4CF5-9C27-515E983A25AF}"/>
    <cellStyle name="Comma 3 2 3 3 2 4 5" xfId="17087" xr:uid="{91604261-3425-4F50-9B54-265E8F92A94F}"/>
    <cellStyle name="Comma 3 2 3 3 2 4 5 2" xfId="33219" xr:uid="{0352A5AC-9A30-48FB-802F-F1076455FF92}"/>
    <cellStyle name="Comma 3 2 3 3 2 4 6" xfId="19976" xr:uid="{F0FB0FAF-8B4A-4DF0-9059-321330679732}"/>
    <cellStyle name="Comma 3 2 3 3 2 5" xfId="3572" xr:uid="{5C289ACA-7712-4364-BCB8-93FB69E9439A}"/>
    <cellStyle name="Comma 3 2 3 3 2 5 2" xfId="5552" xr:uid="{C354D741-9E94-4377-B0D6-80E552F80484}"/>
    <cellStyle name="Comma 3 2 3 3 2 5 2 2" xfId="21756" xr:uid="{98483108-50CA-475E-A26B-66C7646FDBF1}"/>
    <cellStyle name="Comma 3 2 3 3 2 5 3" xfId="17088" xr:uid="{4406BF90-6839-447F-8FC9-5129C9072754}"/>
    <cellStyle name="Comma 3 2 3 3 2 5 3 2" xfId="33220" xr:uid="{CCE6D75B-9373-4239-8020-3C3FFDB8C1F0}"/>
    <cellStyle name="Comma 3 2 3 3 2 5 4" xfId="19784" xr:uid="{17859D7A-A259-4541-91AB-84B7C33EBE4E}"/>
    <cellStyle name="Comma 3 2 3 3 2 6" xfId="4236" xr:uid="{A210C525-2DF1-4761-A681-F9CBFCCDAC57}"/>
    <cellStyle name="Comma 3 2 3 3 2 6 2" xfId="7906" xr:uid="{6BC15FB7-8685-42AB-A9EE-B01EF14988F5}"/>
    <cellStyle name="Comma 3 2 3 3 2 6 2 2" xfId="15413" xr:uid="{D2D34159-5314-4EBD-88E3-44763B3FC345}"/>
    <cellStyle name="Comma 3 2 3 3 2 6 2 2 2" xfId="31617" xr:uid="{18B86703-5C8E-4E25-85C5-8A45D70A0F79}"/>
    <cellStyle name="Comma 3 2 3 3 2 6 2 3" xfId="24110" xr:uid="{D39C187A-87AE-4910-9ABC-ACECB13F7EAA}"/>
    <cellStyle name="Comma 3 2 3 3 2 6 3" xfId="9313" xr:uid="{CB2ED26F-998F-4BF9-B9E4-0A613687DA6E}"/>
    <cellStyle name="Comma 3 2 3 3 2 6 3 2" xfId="16761" xr:uid="{F7969C70-CC93-4AF8-BCED-1842777D97D0}"/>
    <cellStyle name="Comma 3 2 3 3 2 6 3 2 2" xfId="32965" xr:uid="{4C7B76D0-1EF6-4F2F-B5D8-E5EB46ADCD05}"/>
    <cellStyle name="Comma 3 2 3 3 2 6 3 3" xfId="25517" xr:uid="{E7A9357C-2107-4CE4-9250-391F14D68467}"/>
    <cellStyle name="Comma 3 2 3 3 2 6 4" xfId="11799" xr:uid="{68B914E1-5E42-42F5-BEBA-64349E5241D1}"/>
    <cellStyle name="Comma 3 2 3 3 2 6 4 2" xfId="28003" xr:uid="{3D869024-B236-4C0F-BD55-5DC0BBE1F99A}"/>
    <cellStyle name="Comma 3 2 3 3 2 6 5" xfId="17089" xr:uid="{C1FF77C3-D929-4CAB-B116-AEF0883A34D4}"/>
    <cellStyle name="Comma 3 2 3 3 2 6 5 2" xfId="33221" xr:uid="{810DCEBA-52F0-492C-BE7A-EF17E209BDC7}"/>
    <cellStyle name="Comma 3 2 3 3 2 6 6" xfId="20440" xr:uid="{882409AC-D482-4D3E-B1AA-198C125CAD3F}"/>
    <cellStyle name="Comma 3 2 3 3 2 7" xfId="4661" xr:uid="{320534ED-D5AF-4DD1-8E87-D0D86CF31E61}"/>
    <cellStyle name="Comma 3 2 3 3 2 7 2" xfId="8331" xr:uid="{095DB6E9-93F4-4A5B-99FE-CEE7622B7E95}"/>
    <cellStyle name="Comma 3 2 3 3 2 7 2 2" xfId="15838" xr:uid="{297BD3FE-2A26-4464-9D9E-983861DF4F09}"/>
    <cellStyle name="Comma 3 2 3 3 2 7 2 2 2" xfId="32042" xr:uid="{837A2F63-6D62-46A4-A412-D8D49078E100}"/>
    <cellStyle name="Comma 3 2 3 3 2 7 2 3" xfId="24535" xr:uid="{35CB1AFC-BC65-4D15-97C5-ECA10874F409}"/>
    <cellStyle name="Comma 3 2 3 3 2 7 3" xfId="9115" xr:uid="{CFF6BFD6-31EA-4398-A680-9C9BE8FA4145}"/>
    <cellStyle name="Comma 3 2 3 3 2 7 3 2" xfId="16593" xr:uid="{012118B6-C9C2-4303-86BB-64060226BEB6}"/>
    <cellStyle name="Comma 3 2 3 3 2 7 3 2 2" xfId="32797" xr:uid="{C259282A-D061-4869-B476-E0A0F5242285}"/>
    <cellStyle name="Comma 3 2 3 3 2 7 3 3" xfId="25319" xr:uid="{96DCB376-A104-416D-9ACA-D9F3E1DF1E26}"/>
    <cellStyle name="Comma 3 2 3 3 2 7 4" xfId="12224" xr:uid="{3CFBFFCF-812B-4BC0-A3C9-9E0E1F12E3BF}"/>
    <cellStyle name="Comma 3 2 3 3 2 7 4 2" xfId="28428" xr:uid="{92FCEAE1-C856-43A3-B731-195080467270}"/>
    <cellStyle name="Comma 3 2 3 3 2 7 5" xfId="17090" xr:uid="{BFD854BA-2B02-479B-B40E-9C835FC6820A}"/>
    <cellStyle name="Comma 3 2 3 3 2 7 5 2" xfId="33222" xr:uid="{9B1077B0-5095-4888-9310-F08A7A99A6EE}"/>
    <cellStyle name="Comma 3 2 3 3 2 7 6" xfId="20865" xr:uid="{8BD4C0E6-472E-4E48-9EE1-38819A0BA8F2}"/>
    <cellStyle name="Comma 3 2 3 3 2 8" xfId="5089" xr:uid="{20164D3B-33DA-41A0-BA61-85C2B6AADD2F}"/>
    <cellStyle name="Comma 3 2 3 3 2 8 2" xfId="8754" xr:uid="{8FA2C172-9820-4541-8011-4B304D18E012}"/>
    <cellStyle name="Comma 3 2 3 3 2 8 2 2" xfId="16261" xr:uid="{94382C63-47E5-4778-9959-32ADB3273DD6}"/>
    <cellStyle name="Comma 3 2 3 3 2 8 2 2 2" xfId="32465" xr:uid="{9FF4694C-8346-4F42-9274-AAB4DA5F1E6B}"/>
    <cellStyle name="Comma 3 2 3 3 2 8 2 3" xfId="24958" xr:uid="{A8BC311C-1C39-4B30-B85E-794EA2DE06BF}"/>
    <cellStyle name="Comma 3 2 3 3 2 8 3" xfId="12646" xr:uid="{04C63B47-84BA-403C-B65F-F604EBAAFB85}"/>
    <cellStyle name="Comma 3 2 3 3 2 8 3 2" xfId="28850" xr:uid="{531278F8-7896-45D7-BB8A-6871EA96EEF3}"/>
    <cellStyle name="Comma 3 2 3 3 2 8 4" xfId="21293" xr:uid="{6BF30097-DBA0-4F2A-9124-CCFEAAD05CA1}"/>
    <cellStyle name="Comma 3 2 3 3 2 9" xfId="5760" xr:uid="{4AC693F6-1693-4320-80B9-857452678850}"/>
    <cellStyle name="Comma 3 2 3 3 2 9 2" xfId="13275" xr:uid="{E920ED90-D8BD-43D9-AC12-DC8B993EE3CA}"/>
    <cellStyle name="Comma 3 2 3 3 2 9 2 2" xfId="29479" xr:uid="{0C260A18-A429-4BF4-949C-E5DEA38AFA6C}"/>
    <cellStyle name="Comma 3 2 3 3 2 9 3" xfId="21964" xr:uid="{1E8CFFB9-192F-4F95-B27A-7616AED5CFB0}"/>
    <cellStyle name="Comma 3 2 3 3 3" xfId="2284" xr:uid="{819C1483-2AF9-4A38-B8F1-1B7463FC551C}"/>
    <cellStyle name="Comma 3 2 3 3 3 2" xfId="3133" xr:uid="{7881A23D-8B47-4024-9242-0DBC5594318D}"/>
    <cellStyle name="Comma 3 2 3 3 3 2 2" xfId="6915" xr:uid="{80C77F34-653B-41C1-A4E6-4D7234795F57}"/>
    <cellStyle name="Comma 3 2 3 3 3 2 2 2" xfId="14426" xr:uid="{08FD2058-EBFA-4B70-BA1B-21E165A9078C}"/>
    <cellStyle name="Comma 3 2 3 3 3 2 2 2 2" xfId="30630" xr:uid="{ACC6063E-9DDF-4459-A65D-643C3C04828E}"/>
    <cellStyle name="Comma 3 2 3 3 3 2 2 3" xfId="23119" xr:uid="{07A21232-737F-425F-9B94-05ECC5052093}"/>
    <cellStyle name="Comma 3 2 3 3 3 2 3" xfId="9112" xr:uid="{49A753A1-5960-46F2-8FDA-A50F11C8AA03}"/>
    <cellStyle name="Comma 3 2 3 3 3 2 3 2" xfId="16590" xr:uid="{FCC8A339-4E9F-4A49-81F1-9DBF6C360B4B}"/>
    <cellStyle name="Comma 3 2 3 3 3 2 3 2 2" xfId="32794" xr:uid="{84C08A16-8949-4203-BA14-0657C2311178}"/>
    <cellStyle name="Comma 3 2 3 3 3 2 3 3" xfId="25316" xr:uid="{86B13D74-9353-4BF0-8A1A-998D0B369062}"/>
    <cellStyle name="Comma 3 2 3 3 3 2 4" xfId="10826" xr:uid="{B017E807-A338-444C-9FFB-CDD007A90172}"/>
    <cellStyle name="Comma 3 2 3 3 3 2 4 2" xfId="27030" xr:uid="{F574870B-1A5E-4BFE-ADDE-943BD9FA3429}"/>
    <cellStyle name="Comma 3 2 3 3 3 2 5" xfId="17092" xr:uid="{3C3B5CE3-1AAE-4FD7-8F42-D8AFEC262005}"/>
    <cellStyle name="Comma 3 2 3 3 3 2 5 2" xfId="33224" xr:uid="{546862EF-E71C-4276-993A-DD7DA05F1A46}"/>
    <cellStyle name="Comma 3 2 3 3 3 2 6" xfId="19353" xr:uid="{D870A318-5C9C-48FB-B82E-99EA36E13353}"/>
    <cellStyle name="Comma 3 2 3 3 3 3" xfId="6070" xr:uid="{2A36FB7B-A95F-4F83-BA4D-52A52C763B18}"/>
    <cellStyle name="Comma 3 2 3 3 3 3 2" xfId="13582" xr:uid="{322B13F4-9240-4CE5-980B-4A69D1019945}"/>
    <cellStyle name="Comma 3 2 3 3 3 3 2 2" xfId="29786" xr:uid="{DA392D0A-49D3-47EF-9A8F-064B8CFFCED0}"/>
    <cellStyle name="Comma 3 2 3 3 3 3 3" xfId="22274" xr:uid="{792F94A0-4CDE-406D-8CCF-0D0F4357C203}"/>
    <cellStyle name="Comma 3 2 3 3 3 4" xfId="9083" xr:uid="{3F627976-D81A-4A1A-8573-A1282757D8A0}"/>
    <cellStyle name="Comma 3 2 3 3 3 4 2" xfId="16563" xr:uid="{44F6B743-6468-44DA-8C1B-1DB055A2341D}"/>
    <cellStyle name="Comma 3 2 3 3 3 4 2 2" xfId="32767" xr:uid="{16783A02-FB48-447F-A241-7BB80CF31494}"/>
    <cellStyle name="Comma 3 2 3 3 3 4 3" xfId="25287" xr:uid="{D16F8406-65F2-41C3-8EA9-01799C101AA3}"/>
    <cellStyle name="Comma 3 2 3 3 3 5" xfId="9982" xr:uid="{79CABF46-F1D1-493C-96CF-5F589A79B020}"/>
    <cellStyle name="Comma 3 2 3 3 3 5 2" xfId="26186" xr:uid="{2D6879EF-4AF7-41CD-8561-9F07545FC3CD}"/>
    <cellStyle name="Comma 3 2 3 3 3 6" xfId="17091" xr:uid="{66C1DBA2-868D-4E2A-8387-C4BBDAF9A1F4}"/>
    <cellStyle name="Comma 3 2 3 3 3 6 2" xfId="33223" xr:uid="{A80A6599-5DDC-411D-900E-3E8C88A34E9A}"/>
    <cellStyle name="Comma 3 2 3 3 3 7" xfId="18508" xr:uid="{F2617977-4051-4C18-AD4B-708F1AF46626}"/>
    <cellStyle name="Comma 3 2 3 3 4" xfId="2708" xr:uid="{34471B11-810E-40A4-83E4-FD321CED0A51}"/>
    <cellStyle name="Comma 3 2 3 3 4 2" xfId="6492" xr:uid="{84FD2857-87C7-4979-8BC9-548E09A9A5F5}"/>
    <cellStyle name="Comma 3 2 3 3 4 2 2" xfId="14004" xr:uid="{43D29985-6969-421B-97FE-8431609C5165}"/>
    <cellStyle name="Comma 3 2 3 3 4 2 2 2" xfId="30208" xr:uid="{E4CCECFA-3893-47BD-9C9A-3B72775D736F}"/>
    <cellStyle name="Comma 3 2 3 3 4 2 3" xfId="22696" xr:uid="{07D1164A-1463-46DD-B971-35CB5E8B0128}"/>
    <cellStyle name="Comma 3 2 3 3 4 3" xfId="5226" xr:uid="{CFADD8DB-813D-4A44-B846-6EF0EF56B197}"/>
    <cellStyle name="Comma 3 2 3 3 4 3 2" xfId="12782" xr:uid="{459E982A-2068-41C7-A76B-740DF47B06D7}"/>
    <cellStyle name="Comma 3 2 3 3 4 3 2 2" xfId="28986" xr:uid="{C6BB217C-66F5-492B-B60F-367A1DF0EA56}"/>
    <cellStyle name="Comma 3 2 3 3 4 3 3" xfId="21430" xr:uid="{C6CA614E-4DB7-4AAC-8C9C-BC38F0C01839}"/>
    <cellStyle name="Comma 3 2 3 3 4 4" xfId="10404" xr:uid="{2A09BCD9-D095-485E-B1A3-529E26C96EB5}"/>
    <cellStyle name="Comma 3 2 3 3 4 4 2" xfId="26608" xr:uid="{F2837C17-D124-4A36-AE0A-D232F2602E02}"/>
    <cellStyle name="Comma 3 2 3 3 4 5" xfId="17093" xr:uid="{6C314F8A-A21C-4776-8467-B04E86CE5647}"/>
    <cellStyle name="Comma 3 2 3 3 4 5 2" xfId="33225" xr:uid="{E583E125-A551-42A9-A826-BB0B10F10AA3}"/>
    <cellStyle name="Comma 3 2 3 3 4 6" xfId="18930" xr:uid="{1670F5F6-64F6-411A-B92D-5AFA62B235AC}"/>
    <cellStyle name="Comma 3 2 3 3 5" xfId="3638" xr:uid="{21944C40-D1B1-4881-B6EF-279F3DA0B5C9}"/>
    <cellStyle name="Comma 3 2 3 3 5 2" xfId="7348" xr:uid="{91956DC5-732C-4692-B22B-ABF0EA8DBA37}"/>
    <cellStyle name="Comma 3 2 3 3 5 2 2" xfId="14857" xr:uid="{F5C24EDE-8235-4395-B3DB-702816432889}"/>
    <cellStyle name="Comma 3 2 3 3 5 2 2 2" xfId="31061" xr:uid="{F009FACA-9E1D-479D-A0CB-9740781C4ECD}"/>
    <cellStyle name="Comma 3 2 3 3 5 2 3" xfId="23552" xr:uid="{1ABAA324-2723-4D77-9A84-835195E822F7}"/>
    <cellStyle name="Comma 3 2 3 3 5 3" xfId="5541" xr:uid="{C9FBB93B-0F7D-41C8-B860-B7087A37C4EF}"/>
    <cellStyle name="Comma 3 2 3 3 5 3 2" xfId="13066" xr:uid="{0B3F4B30-2142-4179-85F8-3222D1658F87}"/>
    <cellStyle name="Comma 3 2 3 3 5 3 2 2" xfId="29270" xr:uid="{924A30BE-8BAC-4FCC-9F1E-4E296F16722A}"/>
    <cellStyle name="Comma 3 2 3 3 5 3 3" xfId="21745" xr:uid="{F9387B43-91A1-4ED4-9410-6A2E930D485F}"/>
    <cellStyle name="Comma 3 2 3 3 5 4" xfId="11249" xr:uid="{168693EB-6CE3-4359-BF35-5B39367032B8}"/>
    <cellStyle name="Comma 3 2 3 3 5 4 2" xfId="27453" xr:uid="{7CA67291-2534-4774-AD31-459C9E1E2749}"/>
    <cellStyle name="Comma 3 2 3 3 5 5" xfId="17094" xr:uid="{6525F00C-4E79-4148-A71D-17FF2DEBD16B}"/>
    <cellStyle name="Comma 3 2 3 3 5 5 2" xfId="33226" xr:uid="{EA8D96E0-4E92-423E-B8FF-140EC3444B58}"/>
    <cellStyle name="Comma 3 2 3 3 5 6" xfId="19847" xr:uid="{93AAC599-80C5-495A-AD77-8F1BD1364F57}"/>
    <cellStyle name="Comma 3 2 3 3 6" xfId="3905" xr:uid="{8259A1B9-BECD-4FDC-8FDF-E876E99C6CDC}"/>
    <cellStyle name="Comma 3 2 3 3 6 2" xfId="9293" xr:uid="{E3B22709-602B-493A-9486-5CE99E135348}"/>
    <cellStyle name="Comma 3 2 3 3 6 2 2" xfId="25497" xr:uid="{59CD5B55-68EC-4F41-A333-9A8C92744A7C}"/>
    <cellStyle name="Comma 3 2 3 3 6 3" xfId="17095" xr:uid="{4923D821-0EF0-485B-846B-4FD22338A25C}"/>
    <cellStyle name="Comma 3 2 3 3 6 3 2" xfId="33227" xr:uid="{E9254588-4EF7-48AC-9B3A-EB62861BC998}"/>
    <cellStyle name="Comma 3 2 3 3 6 4" xfId="20114" xr:uid="{8D02A07C-CDDD-41A8-B79B-5D734A4E1BD6}"/>
    <cellStyle name="Comma 3 2 3 3 7" xfId="4108" xr:uid="{ADE133AB-693C-4414-B2DE-1F6394C56D30}"/>
    <cellStyle name="Comma 3 2 3 3 7 2" xfId="7778" xr:uid="{03D75818-7762-4C85-A0B9-2F728264ADEB}"/>
    <cellStyle name="Comma 3 2 3 3 7 2 2" xfId="15285" xr:uid="{002CB9CA-2330-46FC-8BA1-43FA593DD81F}"/>
    <cellStyle name="Comma 3 2 3 3 7 2 2 2" xfId="31489" xr:uid="{9B761B3B-D2D6-4125-8CEE-E862C3B1189F}"/>
    <cellStyle name="Comma 3 2 3 3 7 2 3" xfId="23982" xr:uid="{959D800F-6CD3-45A0-B8A4-E5B2B4D97EC6}"/>
    <cellStyle name="Comma 3 2 3 3 7 3" xfId="9258" xr:uid="{554515B3-5F5A-45D5-8C2F-2CFAB4090435}"/>
    <cellStyle name="Comma 3 2 3 3 7 3 2" xfId="16719" xr:uid="{7AD4A4A0-E02B-48C8-A347-9C5CD205DCFD}"/>
    <cellStyle name="Comma 3 2 3 3 7 3 2 2" xfId="32923" xr:uid="{26C54C84-48E0-4025-9282-3D88D5A7CB8B}"/>
    <cellStyle name="Comma 3 2 3 3 7 3 3" xfId="25462" xr:uid="{4D0B2E10-734D-4F50-89A7-E97E816EA710}"/>
    <cellStyle name="Comma 3 2 3 3 7 4" xfId="11671" xr:uid="{205D6ECD-144C-480D-8BD2-723DBBDFA21D}"/>
    <cellStyle name="Comma 3 2 3 3 7 4 2" xfId="27875" xr:uid="{D5D8EDB0-EB27-4C83-8189-9ED46829B611}"/>
    <cellStyle name="Comma 3 2 3 3 7 5" xfId="17096" xr:uid="{BA638DC9-DF56-4D4B-9F02-A08C40499533}"/>
    <cellStyle name="Comma 3 2 3 3 7 5 2" xfId="33228" xr:uid="{53CA1168-2BC4-4DA0-B158-D402E617B9C2}"/>
    <cellStyle name="Comma 3 2 3 3 7 6" xfId="20312" xr:uid="{5579C817-716F-4E91-899B-3458597AAFC7}"/>
    <cellStyle name="Comma 3 2 3 3 8" xfId="4533" xr:uid="{1B092CC2-D490-4FFA-9F7E-3E9AEF0A4117}"/>
    <cellStyle name="Comma 3 2 3 3 8 2" xfId="8203" xr:uid="{C3DF7362-C05D-44BC-9476-207107D4B4FD}"/>
    <cellStyle name="Comma 3 2 3 3 8 2 2" xfId="15710" xr:uid="{7B7D0C24-89EF-41C2-A640-ADD6E6A8FF62}"/>
    <cellStyle name="Comma 3 2 3 3 8 2 2 2" xfId="31914" xr:uid="{C72E48D7-E097-44A7-A6E7-C366E5563290}"/>
    <cellStyle name="Comma 3 2 3 3 8 2 3" xfId="24407" xr:uid="{38205F4E-805E-4BB4-8222-CD9C8F55B375}"/>
    <cellStyle name="Comma 3 2 3 3 8 3" xfId="9188" xr:uid="{E5FFAE46-E00C-4E94-9FAE-833CF8803B28}"/>
    <cellStyle name="Comma 3 2 3 3 8 3 2" xfId="16659" xr:uid="{B26AE313-2701-4E15-AFE6-6941BF8F8019}"/>
    <cellStyle name="Comma 3 2 3 3 8 3 2 2" xfId="32863" xr:uid="{2C335253-63AB-4235-896D-9BCBAB765EC2}"/>
    <cellStyle name="Comma 3 2 3 3 8 3 3" xfId="25392" xr:uid="{511A723C-755E-4B7E-8B2C-39E5522A3718}"/>
    <cellStyle name="Comma 3 2 3 3 8 4" xfId="12096" xr:uid="{83D5F469-8025-44C5-9F47-76F08E4AF36B}"/>
    <cellStyle name="Comma 3 2 3 3 8 4 2" xfId="28300" xr:uid="{A36D873C-F45D-4EB7-A6BE-E3874498FFD5}"/>
    <cellStyle name="Comma 3 2 3 3 8 5" xfId="17097" xr:uid="{B8749799-C5F6-42AD-ABA8-76DE9D5AE7EE}"/>
    <cellStyle name="Comma 3 2 3 3 8 5 2" xfId="33229" xr:uid="{767284BE-5480-40FE-94B8-A26805EFC918}"/>
    <cellStyle name="Comma 3 2 3 3 8 6" xfId="20737" xr:uid="{279E03C2-C81D-47CC-A5BE-1AD6C872AA10}"/>
    <cellStyle name="Comma 3 2 3 3 9" xfId="4960" xr:uid="{1E56AA20-5D85-4FA1-A936-5067403BF43C}"/>
    <cellStyle name="Comma 3 2 3 3 9 2" xfId="8626" xr:uid="{F43DD854-002E-404A-A79D-F9C1B1E9C4CE}"/>
    <cellStyle name="Comma 3 2 3 3 9 2 2" xfId="16133" xr:uid="{9E4794C7-6694-4553-B66B-F9009530A439}"/>
    <cellStyle name="Comma 3 2 3 3 9 2 2 2" xfId="32337" xr:uid="{3E86F2A8-67E1-443B-B72B-1B619CCC6F09}"/>
    <cellStyle name="Comma 3 2 3 3 9 2 3" xfId="24830" xr:uid="{D18C2908-B7DB-4476-9A41-3A9968EFE9BE}"/>
    <cellStyle name="Comma 3 2 3 3 9 3" xfId="12518" xr:uid="{FAD3AAD6-70C6-476A-99FB-265E65D9B7A6}"/>
    <cellStyle name="Comma 3 2 3 3 9 3 2" xfId="28722" xr:uid="{2516C7E2-7661-4CB4-ACCF-05A348AA94AA}"/>
    <cellStyle name="Comma 3 2 3 3 9 4" xfId="21164" xr:uid="{EF2510EF-2722-4431-A214-78A4636CE420}"/>
    <cellStyle name="Comma 3 2 3 4" xfId="1784" xr:uid="{669686A2-1970-4824-ABD6-199B4B2FE002}"/>
    <cellStyle name="Comma 3 2 3 4 10" xfId="5645" xr:uid="{082CCCEA-046E-47A3-B8B4-7CDA62C7CDE7}"/>
    <cellStyle name="Comma 3 2 3 4 10 2" xfId="13160" xr:uid="{4032BC73-9910-4E4C-8DD7-E1253F1004FD}"/>
    <cellStyle name="Comma 3 2 3 4 10 2 2" xfId="29364" xr:uid="{36427E24-3603-4659-AF11-DE740497B247}"/>
    <cellStyle name="Comma 3 2 3 4 10 3" xfId="21849" xr:uid="{336CA0C7-0606-44F1-99BE-FDCDD6E65560}"/>
    <cellStyle name="Comma 3 2 3 4 11" xfId="9573" xr:uid="{4FE58314-D04C-4BD6-A22C-4D5664236EBF}"/>
    <cellStyle name="Comma 3 2 3 4 11 2" xfId="25777" xr:uid="{CF6A6ABA-439B-475F-8AAA-81B5C5E21675}"/>
    <cellStyle name="Comma 3 2 3 4 12" xfId="17098" xr:uid="{A95D37AD-801F-49E7-842F-2581EF46E929}"/>
    <cellStyle name="Comma 3 2 3 4 12 2" xfId="33230" xr:uid="{E48F6671-6DFA-418D-BBB0-7192F0EB4643}"/>
    <cellStyle name="Comma 3 2 3 4 13" xfId="18096" xr:uid="{1948D98B-8F1E-46FF-9FE6-8CFCB31ADD8B}"/>
    <cellStyle name="Comma 3 2 3 4 2" xfId="1908" xr:uid="{4F605D23-AA6F-47C4-ADD8-AADFA482A907}"/>
    <cellStyle name="Comma 3 2 3 4 2 10" xfId="9688" xr:uid="{F6020FBD-A6CF-478D-8866-C9D25BF40B1E}"/>
    <cellStyle name="Comma 3 2 3 4 2 10 2" xfId="25892" xr:uid="{B39B67D7-E7BA-4CCC-A39F-667D98069F6F}"/>
    <cellStyle name="Comma 3 2 3 4 2 11" xfId="17099" xr:uid="{6D569F52-A55A-4A1D-B049-C808A635368D}"/>
    <cellStyle name="Comma 3 2 3 4 2 11 2" xfId="33231" xr:uid="{174BB21B-49EC-4D28-BCF8-8039B0230459}"/>
    <cellStyle name="Comma 3 2 3 4 2 12" xfId="18212" xr:uid="{4E3E1B85-88C0-4A4E-B1F6-D4FB55B1A27A}"/>
    <cellStyle name="Comma 3 2 3 4 2 2" xfId="2415" xr:uid="{F7B9A90A-8366-4C1C-81A5-86B8CE377821}"/>
    <cellStyle name="Comma 3 2 3 4 2 2 2" xfId="3262" xr:uid="{006B0DF6-F27C-4E3D-AD8F-988D0214BF0A}"/>
    <cellStyle name="Comma 3 2 3 4 2 2 2 2" xfId="7044" xr:uid="{0A16E5D2-E98B-40E8-86E7-49A5AB8165D6}"/>
    <cellStyle name="Comma 3 2 3 4 2 2 2 2 2" xfId="14555" xr:uid="{BF64A881-EFA7-449D-B8ED-EBA378FAF55D}"/>
    <cellStyle name="Comma 3 2 3 4 2 2 2 2 2 2" xfId="30759" xr:uid="{DE2EF4B6-72F2-4F78-9D2B-C5AA5C426327}"/>
    <cellStyle name="Comma 3 2 3 4 2 2 2 2 3" xfId="23248" xr:uid="{C797B73B-32CC-40BE-855D-3BD0E20F50D7}"/>
    <cellStyle name="Comma 3 2 3 4 2 2 2 3" xfId="9245" xr:uid="{4C5C136F-5B6D-4F33-A602-B99D46E9C1CD}"/>
    <cellStyle name="Comma 3 2 3 4 2 2 2 3 2" xfId="16707" xr:uid="{BF113389-F43B-44B0-A10A-A92B285D407F}"/>
    <cellStyle name="Comma 3 2 3 4 2 2 2 3 2 2" xfId="32911" xr:uid="{6309A9BC-5081-4682-ACA2-2D5636FA3972}"/>
    <cellStyle name="Comma 3 2 3 4 2 2 2 3 3" xfId="25449" xr:uid="{85C017A7-7E72-4951-B885-4CBF2578D2FF}"/>
    <cellStyle name="Comma 3 2 3 4 2 2 2 4" xfId="10955" xr:uid="{5FB4620B-0207-4A64-8385-89D78CD6AF11}"/>
    <cellStyle name="Comma 3 2 3 4 2 2 2 4 2" xfId="27159" xr:uid="{8C16A123-A3E9-4CB1-861F-CE3B7E1CB7A4}"/>
    <cellStyle name="Comma 3 2 3 4 2 2 2 5" xfId="17101" xr:uid="{CC552CB4-CDB1-447A-8B8F-213A0CAF389E}"/>
    <cellStyle name="Comma 3 2 3 4 2 2 2 5 2" xfId="33233" xr:uid="{D0D69223-7D40-4582-989A-8D0909E7E245}"/>
    <cellStyle name="Comma 3 2 3 4 2 2 2 6" xfId="19482" xr:uid="{65A38886-1C8B-4ED1-8BCB-E78E1BBCCAC7}"/>
    <cellStyle name="Comma 3 2 3 4 2 2 3" xfId="6199" xr:uid="{0DC3D7BA-406D-4A9D-B18D-CE54CA3CCF01}"/>
    <cellStyle name="Comma 3 2 3 4 2 2 3 2" xfId="13711" xr:uid="{749BF1B3-CE09-4CD8-8757-5DF840408E48}"/>
    <cellStyle name="Comma 3 2 3 4 2 2 3 2 2" xfId="29915" xr:uid="{77670E31-EEAF-4671-9E21-2A3EA01BAE9D}"/>
    <cellStyle name="Comma 3 2 3 4 2 2 3 3" xfId="22403" xr:uid="{8456A6D2-BF9C-432C-AC53-DA42D8C8AEBF}"/>
    <cellStyle name="Comma 3 2 3 4 2 2 4" xfId="9353" xr:uid="{393C1119-3B1B-49E7-B4B8-5C465F84E03A}"/>
    <cellStyle name="Comma 3 2 3 4 2 2 4 2" xfId="16795" xr:uid="{24293FE4-E99B-4085-9BFE-E554A16535D8}"/>
    <cellStyle name="Comma 3 2 3 4 2 2 4 2 2" xfId="32999" xr:uid="{9E1E8440-2E4C-43E5-8AD9-F4190C5662D3}"/>
    <cellStyle name="Comma 3 2 3 4 2 2 4 3" xfId="25557" xr:uid="{A1074093-F7C1-4EDD-9495-64AA5E45E969}"/>
    <cellStyle name="Comma 3 2 3 4 2 2 5" xfId="10111" xr:uid="{5E32209E-926C-477F-888D-916CBD860181}"/>
    <cellStyle name="Comma 3 2 3 4 2 2 5 2" xfId="26315" xr:uid="{26ED8C99-CE77-4592-8A63-0AAC32B38CA0}"/>
    <cellStyle name="Comma 3 2 3 4 2 2 6" xfId="17100" xr:uid="{F6F8A3F6-C7FE-419B-AC76-767B88211FB1}"/>
    <cellStyle name="Comma 3 2 3 4 2 2 6 2" xfId="33232" xr:uid="{675B4F5D-48A1-47D7-A446-D52BA21A641B}"/>
    <cellStyle name="Comma 3 2 3 4 2 2 7" xfId="18637" xr:uid="{86195472-25F6-4175-BE11-044B6E3F8829}"/>
    <cellStyle name="Comma 3 2 3 4 2 3" xfId="2837" xr:uid="{E618FDD9-54CA-4116-BD1A-30D615BA449A}"/>
    <cellStyle name="Comma 3 2 3 4 2 3 2" xfId="6621" xr:uid="{8B73A40C-C8F2-484B-AAE4-49AF7042A9D4}"/>
    <cellStyle name="Comma 3 2 3 4 2 3 2 2" xfId="14133" xr:uid="{FECBA5BC-35BB-466A-9C92-F623CE172EB7}"/>
    <cellStyle name="Comma 3 2 3 4 2 3 2 2 2" xfId="30337" xr:uid="{AC0C49A2-698C-4C17-B56F-B056B2146B9D}"/>
    <cellStyle name="Comma 3 2 3 4 2 3 2 3" xfId="22825" xr:uid="{E6BA32A4-7E1F-4F82-8F0A-B6429DDFC2DC}"/>
    <cellStyle name="Comma 3 2 3 4 2 3 3" xfId="5484" xr:uid="{94A5E97E-1BC5-4B27-9CFB-828B97109326}"/>
    <cellStyle name="Comma 3 2 3 4 2 3 3 2" xfId="13022" xr:uid="{0933A0C5-9CA0-4795-841C-975455F6CAEB}"/>
    <cellStyle name="Comma 3 2 3 4 2 3 3 2 2" xfId="29226" xr:uid="{90784132-59C9-4096-8495-8D95AB1CAE36}"/>
    <cellStyle name="Comma 3 2 3 4 2 3 3 3" xfId="21688" xr:uid="{5CF5A954-A1C1-4E9C-8E94-6DA3F8A043DF}"/>
    <cellStyle name="Comma 3 2 3 4 2 3 4" xfId="10533" xr:uid="{325CC173-4A75-42A9-B94A-C9C176CA82C3}"/>
    <cellStyle name="Comma 3 2 3 4 2 3 4 2" xfId="26737" xr:uid="{FF53194E-B78F-4D31-9372-F4F049739750}"/>
    <cellStyle name="Comma 3 2 3 4 2 3 5" xfId="17102" xr:uid="{C0034BDA-0E14-490B-98FB-625BC74FB017}"/>
    <cellStyle name="Comma 3 2 3 4 2 3 5 2" xfId="33234" xr:uid="{E8C9894F-19FF-4A7A-9FC8-92C21F38626B}"/>
    <cellStyle name="Comma 3 2 3 4 2 3 6" xfId="19059" xr:uid="{D5EBD8C8-85AB-48B5-8A8D-797995EAE0FA}"/>
    <cellStyle name="Comma 3 2 3 4 2 4" xfId="3768" xr:uid="{6C6394C8-99DF-4C28-B811-A41EC61351F4}"/>
    <cellStyle name="Comma 3 2 3 4 2 4 2" xfId="7478" xr:uid="{0A5EFE7B-F97B-4FAB-9011-0FAC59DB037F}"/>
    <cellStyle name="Comma 3 2 3 4 2 4 2 2" xfId="14987" xr:uid="{08EF62F0-2637-4DB2-BEB7-2163C253F8AD}"/>
    <cellStyle name="Comma 3 2 3 4 2 4 2 2 2" xfId="31191" xr:uid="{18460DC3-1C56-4650-8920-909309BD0D74}"/>
    <cellStyle name="Comma 3 2 3 4 2 4 2 3" xfId="23682" xr:uid="{F190C40F-5DC1-4987-BB25-D3A40E9917C6}"/>
    <cellStyle name="Comma 3 2 3 4 2 4 3" xfId="9356" xr:uid="{0EE7C6CB-95F9-4062-A200-590A463876E1}"/>
    <cellStyle name="Comma 3 2 3 4 2 4 3 2" xfId="16798" xr:uid="{E37352ED-54D4-4C00-BC80-2157E09F611B}"/>
    <cellStyle name="Comma 3 2 3 4 2 4 3 2 2" xfId="33002" xr:uid="{CA97619D-CE0F-41B0-A86B-C902AC678C35}"/>
    <cellStyle name="Comma 3 2 3 4 2 4 3 3" xfId="25560" xr:uid="{015B37CB-718F-4B02-ACB9-E06A94A2A832}"/>
    <cellStyle name="Comma 3 2 3 4 2 4 4" xfId="11378" xr:uid="{2BBA9542-582B-40FC-A9AC-AAF757040505}"/>
    <cellStyle name="Comma 3 2 3 4 2 4 4 2" xfId="27582" xr:uid="{304E1A9B-B051-461C-AD30-080CEFB5466C}"/>
    <cellStyle name="Comma 3 2 3 4 2 4 5" xfId="17103" xr:uid="{32D9191D-F516-4BAC-A8F4-40E20B2649A5}"/>
    <cellStyle name="Comma 3 2 3 4 2 4 5 2" xfId="33235" xr:uid="{70BD2278-B326-46AB-B189-2BEC0D46893A}"/>
    <cellStyle name="Comma 3 2 3 4 2 4 6" xfId="19977" xr:uid="{C642BCF2-61A4-4D00-83DE-3A46EBC3BE89}"/>
    <cellStyle name="Comma 3 2 3 4 2 5" xfId="3600" xr:uid="{EF60841F-ECCD-4884-A883-6675AC8E54F8}"/>
    <cellStyle name="Comma 3 2 3 4 2 5 2" xfId="9002" xr:uid="{FF794344-4828-4B1B-BDF0-7F7C43576755}"/>
    <cellStyle name="Comma 3 2 3 4 2 5 2 2" xfId="25206" xr:uid="{AB5CF7FD-A3EE-4AE1-90F2-E9B750DF2223}"/>
    <cellStyle name="Comma 3 2 3 4 2 5 3" xfId="17104" xr:uid="{FD261F4D-137B-4137-A3E1-0C0511F78081}"/>
    <cellStyle name="Comma 3 2 3 4 2 5 3 2" xfId="33236" xr:uid="{8D76A9C1-F3CA-4ED0-AAF9-0DB2216274AC}"/>
    <cellStyle name="Comma 3 2 3 4 2 5 4" xfId="19810" xr:uid="{5915ECDE-DA79-4C56-95A8-417A798CB046}"/>
    <cellStyle name="Comma 3 2 3 4 2 6" xfId="4237" xr:uid="{DED42B85-5CF0-4420-8FF8-3477882717FE}"/>
    <cellStyle name="Comma 3 2 3 4 2 6 2" xfId="7907" xr:uid="{B65EAB14-DB95-4CE8-9786-B3BA2634B004}"/>
    <cellStyle name="Comma 3 2 3 4 2 6 2 2" xfId="15414" xr:uid="{26C64635-435E-4981-BF48-2276D7458E46}"/>
    <cellStyle name="Comma 3 2 3 4 2 6 2 2 2" xfId="31618" xr:uid="{C80BEDDA-9770-41A3-9B15-62E07D026F7C}"/>
    <cellStyle name="Comma 3 2 3 4 2 6 2 3" xfId="24111" xr:uid="{F46A11FB-83D3-41D0-9E93-1CC06EA5265F}"/>
    <cellStyle name="Comma 3 2 3 4 2 6 3" xfId="8914" xr:uid="{584C5812-82EF-457C-9DF4-73A68BB428AC}"/>
    <cellStyle name="Comma 3 2 3 4 2 6 3 2" xfId="16417" xr:uid="{0E4CF2E6-DBCC-49D6-82DB-442B4BE99092}"/>
    <cellStyle name="Comma 3 2 3 4 2 6 3 2 2" xfId="32621" xr:uid="{87088F1E-E667-4B18-9737-9DA1CE645971}"/>
    <cellStyle name="Comma 3 2 3 4 2 6 3 3" xfId="25118" xr:uid="{BCD2E400-0176-4588-AF74-E67BF992A65B}"/>
    <cellStyle name="Comma 3 2 3 4 2 6 4" xfId="11800" xr:uid="{03EE55AE-D0DA-4306-A4DE-4E13ED0F6914}"/>
    <cellStyle name="Comma 3 2 3 4 2 6 4 2" xfId="28004" xr:uid="{27D0D059-9054-477F-B1EA-E345D58E50DA}"/>
    <cellStyle name="Comma 3 2 3 4 2 6 5" xfId="17105" xr:uid="{F0AA2724-3C2C-4EEC-994D-C54FD20CEA25}"/>
    <cellStyle name="Comma 3 2 3 4 2 6 5 2" xfId="33237" xr:uid="{AA381392-4976-4AAB-85A7-A9DFA8127C05}"/>
    <cellStyle name="Comma 3 2 3 4 2 6 6" xfId="20441" xr:uid="{983CBC12-9D62-4699-A2ED-A3A99FBE773F}"/>
    <cellStyle name="Comma 3 2 3 4 2 7" xfId="4662" xr:uid="{073E4CCF-8395-4EF7-A839-70F8C937BC2F}"/>
    <cellStyle name="Comma 3 2 3 4 2 7 2" xfId="8332" xr:uid="{D4070C1C-8E4C-44E3-B13E-9D5227E00520}"/>
    <cellStyle name="Comma 3 2 3 4 2 7 2 2" xfId="15839" xr:uid="{562B2BCC-9851-4590-8E98-8C0A0C5814E8}"/>
    <cellStyle name="Comma 3 2 3 4 2 7 2 2 2" xfId="32043" xr:uid="{4D28FB78-8233-44C5-8292-A729FE7E19C2}"/>
    <cellStyle name="Comma 3 2 3 4 2 7 2 3" xfId="24536" xr:uid="{9A50D12D-EA8D-4B95-BEF8-86EF6515FA29}"/>
    <cellStyle name="Comma 3 2 3 4 2 7 3" xfId="9143" xr:uid="{DAAAE7FD-524E-4192-96D3-3DC7EDB0F78F}"/>
    <cellStyle name="Comma 3 2 3 4 2 7 3 2" xfId="16620" xr:uid="{4EE7482F-AD26-49D8-9FC7-A9F5FF6043BE}"/>
    <cellStyle name="Comma 3 2 3 4 2 7 3 2 2" xfId="32824" xr:uid="{77C691C1-6AFC-4F39-84D6-ADAD40D84621}"/>
    <cellStyle name="Comma 3 2 3 4 2 7 3 3" xfId="25347" xr:uid="{28E5EA18-5624-46D2-9AB3-1D043F69F1E3}"/>
    <cellStyle name="Comma 3 2 3 4 2 7 4" xfId="12225" xr:uid="{C622A126-66BD-49A9-8AC4-BB8C1973B45E}"/>
    <cellStyle name="Comma 3 2 3 4 2 7 4 2" xfId="28429" xr:uid="{19BB26BF-A4B0-41BF-82AD-0537B4BA5A82}"/>
    <cellStyle name="Comma 3 2 3 4 2 7 5" xfId="17106" xr:uid="{F4D263F8-A7F7-48D4-A703-800C0F10AB01}"/>
    <cellStyle name="Comma 3 2 3 4 2 7 5 2" xfId="33238" xr:uid="{28A61762-6501-4653-8D32-B5607E4E2E3B}"/>
    <cellStyle name="Comma 3 2 3 4 2 7 6" xfId="20866" xr:uid="{E069592E-7168-4FF4-8CB5-CB8A6CADC52B}"/>
    <cellStyle name="Comma 3 2 3 4 2 8" xfId="5090" xr:uid="{7CCB8FAF-BCB2-404F-ACA7-113F3E06DB02}"/>
    <cellStyle name="Comma 3 2 3 4 2 8 2" xfId="8755" xr:uid="{7B316664-706B-4E1A-B3A8-FF5ABEE1A6D5}"/>
    <cellStyle name="Comma 3 2 3 4 2 8 2 2" xfId="16262" xr:uid="{F0F4D674-9F73-4D9D-AD5F-DF2D4B9BFD2D}"/>
    <cellStyle name="Comma 3 2 3 4 2 8 2 2 2" xfId="32466" xr:uid="{8F0075C7-92B4-4F38-9A47-B3C5479C1141}"/>
    <cellStyle name="Comma 3 2 3 4 2 8 2 3" xfId="24959" xr:uid="{574E975E-29B0-4CFC-8202-3AB682446DA8}"/>
    <cellStyle name="Comma 3 2 3 4 2 8 3" xfId="12647" xr:uid="{D284F53C-501A-4F75-97DB-A572EA25BCD0}"/>
    <cellStyle name="Comma 3 2 3 4 2 8 3 2" xfId="28851" xr:uid="{1657AA6C-9D64-450D-B55F-D6B8C171C8E7}"/>
    <cellStyle name="Comma 3 2 3 4 2 8 4" xfId="21294" xr:uid="{F54672C9-D5B4-45B3-A8C3-F98852A24843}"/>
    <cellStyle name="Comma 3 2 3 4 2 9" xfId="5761" xr:uid="{649ACA7E-94C3-4991-BFFF-60E6512EC2EC}"/>
    <cellStyle name="Comma 3 2 3 4 2 9 2" xfId="13276" xr:uid="{A141FC09-0513-448B-AAA2-D9D6AC2F0495}"/>
    <cellStyle name="Comma 3 2 3 4 2 9 2 2" xfId="29480" xr:uid="{AE4AA7AB-67B9-4751-8E0E-BA4B22C3B04E}"/>
    <cellStyle name="Comma 3 2 3 4 2 9 3" xfId="21965" xr:uid="{BD48A25F-C27A-4A68-B7A8-5C359A3951B5}"/>
    <cellStyle name="Comma 3 2 3 4 3" xfId="2300" xr:uid="{022ABC5E-1985-4615-9BA4-048D6EFFCF56}"/>
    <cellStyle name="Comma 3 2 3 4 3 2" xfId="3147" xr:uid="{747BF421-8D84-4192-903A-EECF9E2785B4}"/>
    <cellStyle name="Comma 3 2 3 4 3 2 2" xfId="6929" xr:uid="{08131821-70DC-42C1-B0C4-FEC76077D7C0}"/>
    <cellStyle name="Comma 3 2 3 4 3 2 2 2" xfId="14440" xr:uid="{C2473A60-59EC-454F-AFFF-6728D61DCEA2}"/>
    <cellStyle name="Comma 3 2 3 4 3 2 2 2 2" xfId="30644" xr:uid="{0685348E-CFEA-43CD-B1E2-8392EC8D040A}"/>
    <cellStyle name="Comma 3 2 3 4 3 2 2 3" xfId="23133" xr:uid="{262A155C-20D6-49A6-B8A5-CBF837A776D5}"/>
    <cellStyle name="Comma 3 2 3 4 3 2 3" xfId="7311" xr:uid="{5F33FA2A-1560-42C8-B909-988EC10F24F4}"/>
    <cellStyle name="Comma 3 2 3 4 3 2 3 2" xfId="14820" xr:uid="{8449A970-F4CA-4938-8F0E-AC593639B0BE}"/>
    <cellStyle name="Comma 3 2 3 4 3 2 3 2 2" xfId="31024" xr:uid="{B46C0684-196F-49B5-857D-872B73AF2D98}"/>
    <cellStyle name="Comma 3 2 3 4 3 2 3 3" xfId="23515" xr:uid="{43654C97-CF92-43DD-BB24-1E52CE663081}"/>
    <cellStyle name="Comma 3 2 3 4 3 2 4" xfId="10840" xr:uid="{839DF12F-682E-4554-90D8-4040D519151D}"/>
    <cellStyle name="Comma 3 2 3 4 3 2 4 2" xfId="27044" xr:uid="{AAC21DD2-83A1-4595-98B3-39E91CA8A880}"/>
    <cellStyle name="Comma 3 2 3 4 3 2 5" xfId="17108" xr:uid="{31BC5EC6-5008-4122-9AEC-30EB5AC0A453}"/>
    <cellStyle name="Comma 3 2 3 4 3 2 5 2" xfId="33240" xr:uid="{FDFDEF33-53DA-4AB8-87E2-ACFD4B47C556}"/>
    <cellStyle name="Comma 3 2 3 4 3 2 6" xfId="19367" xr:uid="{1017F17C-C3D6-4F94-9F5F-E9A783EEEF08}"/>
    <cellStyle name="Comma 3 2 3 4 3 3" xfId="6084" xr:uid="{E7144614-B584-4599-8367-4AC4498F1B03}"/>
    <cellStyle name="Comma 3 2 3 4 3 3 2" xfId="13596" xr:uid="{0DD9A472-66D2-4E8D-A473-9C4873233089}"/>
    <cellStyle name="Comma 3 2 3 4 3 3 2 2" xfId="29800" xr:uid="{CB4A91A3-C6C7-4A86-882F-84B124C48304}"/>
    <cellStyle name="Comma 3 2 3 4 3 3 3" xfId="22288" xr:uid="{20D5C88C-A131-4DA5-B7D9-7CF7454F3A30}"/>
    <cellStyle name="Comma 3 2 3 4 3 4" xfId="8898" xr:uid="{83F8B00D-96B0-4127-BAD3-053A7C105F84}"/>
    <cellStyle name="Comma 3 2 3 4 3 4 2" xfId="16401" xr:uid="{A90A56D5-1839-486D-BB2C-32CD2D99083A}"/>
    <cellStyle name="Comma 3 2 3 4 3 4 2 2" xfId="32605" xr:uid="{8C8653E4-368D-4162-B3BB-E3D1F3B33D40}"/>
    <cellStyle name="Comma 3 2 3 4 3 4 3" xfId="25102" xr:uid="{26B555A7-5CCE-4BAA-BF30-6FC4261B5170}"/>
    <cellStyle name="Comma 3 2 3 4 3 5" xfId="9996" xr:uid="{E3E66C04-F567-40D9-A628-200E04495116}"/>
    <cellStyle name="Comma 3 2 3 4 3 5 2" xfId="26200" xr:uid="{BDE0E55C-F6A0-4BDA-A94C-1E8B11C77ED4}"/>
    <cellStyle name="Comma 3 2 3 4 3 6" xfId="17107" xr:uid="{F035CD9D-D98A-4D36-8DC5-DA6CF266C668}"/>
    <cellStyle name="Comma 3 2 3 4 3 6 2" xfId="33239" xr:uid="{84955A82-17E8-408E-9B6C-F26CD5D9CECF}"/>
    <cellStyle name="Comma 3 2 3 4 3 7" xfId="18522" xr:uid="{59693752-A631-43B4-A6C6-6612EE207F28}"/>
    <cellStyle name="Comma 3 2 3 4 4" xfId="2722" xr:uid="{9049E292-C422-405F-82D9-82CECF6778FD}"/>
    <cellStyle name="Comma 3 2 3 4 4 2" xfId="6506" xr:uid="{9711F605-37A0-40ED-ACFE-83E2A82A80B7}"/>
    <cellStyle name="Comma 3 2 3 4 4 2 2" xfId="14018" xr:uid="{B171E69E-6B45-4FCA-8A71-01B5CEB00C62}"/>
    <cellStyle name="Comma 3 2 3 4 4 2 2 2" xfId="30222" xr:uid="{8176F40E-D7AB-4C11-B44D-4AD118E4D403}"/>
    <cellStyle name="Comma 3 2 3 4 4 2 3" xfId="22710" xr:uid="{62EC0E2C-2C05-49AF-96F0-1FEA222E5DD3}"/>
    <cellStyle name="Comma 3 2 3 4 4 3" xfId="9291" xr:uid="{5DEA8363-2E83-4F8C-8350-0EED0705362D}"/>
    <cellStyle name="Comma 3 2 3 4 4 3 2" xfId="16748" xr:uid="{F279C99C-F4FC-4E21-AAC9-8C8581EE8921}"/>
    <cellStyle name="Comma 3 2 3 4 4 3 2 2" xfId="32952" xr:uid="{35F4DBF3-7EA3-4CA6-9358-29E5C6269902}"/>
    <cellStyle name="Comma 3 2 3 4 4 3 3" xfId="25495" xr:uid="{96FD631D-D09C-459C-AC55-7792E3250FBE}"/>
    <cellStyle name="Comma 3 2 3 4 4 4" xfId="10418" xr:uid="{7A5FA258-CA20-49C9-B9F4-05E9F2665949}"/>
    <cellStyle name="Comma 3 2 3 4 4 4 2" xfId="26622" xr:uid="{1E28B471-C441-4FD4-A74F-A22317483303}"/>
    <cellStyle name="Comma 3 2 3 4 4 5" xfId="17109" xr:uid="{A49768CA-7026-42D6-879C-9F201308339C}"/>
    <cellStyle name="Comma 3 2 3 4 4 5 2" xfId="33241" xr:uid="{0F336DF5-1B30-41DD-8DB6-3D323D23C565}"/>
    <cellStyle name="Comma 3 2 3 4 4 6" xfId="18944" xr:uid="{2DE8B721-3208-4905-B790-4A83E2D3CC34}"/>
    <cellStyle name="Comma 3 2 3 4 5" xfId="3652" xr:uid="{4FDA896A-A995-482A-823C-718425A65C46}"/>
    <cellStyle name="Comma 3 2 3 4 5 2" xfId="7362" xr:uid="{A3A95E41-8ABA-46C7-B10E-C460580016DC}"/>
    <cellStyle name="Comma 3 2 3 4 5 2 2" xfId="14871" xr:uid="{3BED0EE3-09A0-4EB5-B64B-DB3F6F115A9B}"/>
    <cellStyle name="Comma 3 2 3 4 5 2 2 2" xfId="31075" xr:uid="{E5ADD594-AFCE-42AA-9699-9A354518C2E1}"/>
    <cellStyle name="Comma 3 2 3 4 5 2 3" xfId="23566" xr:uid="{65898122-94D8-4AED-90BA-8F9E4C3D607E}"/>
    <cellStyle name="Comma 3 2 3 4 5 3" xfId="9108" xr:uid="{7766410C-0BE1-4290-B9EF-F719415867CE}"/>
    <cellStyle name="Comma 3 2 3 4 5 3 2" xfId="16586" xr:uid="{701A48DD-E01C-4C65-AC8A-2A6AB939949B}"/>
    <cellStyle name="Comma 3 2 3 4 5 3 2 2" xfId="32790" xr:uid="{9C64FCFD-DCE1-4964-993C-9E7435F5B570}"/>
    <cellStyle name="Comma 3 2 3 4 5 3 3" xfId="25312" xr:uid="{B68DD4CA-621E-454F-9451-5E7A043DA9A2}"/>
    <cellStyle name="Comma 3 2 3 4 5 4" xfId="11263" xr:uid="{97AED06F-31FA-44F3-8B64-417C9769775B}"/>
    <cellStyle name="Comma 3 2 3 4 5 4 2" xfId="27467" xr:uid="{4B5A24B7-394A-47E0-A307-50FE2E6F9589}"/>
    <cellStyle name="Comma 3 2 3 4 5 5" xfId="17110" xr:uid="{C2F274B3-7B51-49BE-BF73-BB98ADE5A3CA}"/>
    <cellStyle name="Comma 3 2 3 4 5 5 2" xfId="33242" xr:uid="{D5E23A40-BCFD-496D-8402-D0A6300CD36F}"/>
    <cellStyle name="Comma 3 2 3 4 5 6" xfId="19861" xr:uid="{6F41C650-8ADE-4151-9324-42E5D5B7E6F0}"/>
    <cellStyle name="Comma 3 2 3 4 6" xfId="3544" xr:uid="{308D5291-608E-4073-B922-01753772B262}"/>
    <cellStyle name="Comma 3 2 3 4 6 2" xfId="5234" xr:uid="{E179233E-8C20-4831-A947-3ABE132E333D}"/>
    <cellStyle name="Comma 3 2 3 4 6 2 2" xfId="21438" xr:uid="{99F78450-7730-4E8F-B27C-E8F28B73C27D}"/>
    <cellStyle name="Comma 3 2 3 4 6 3" xfId="17111" xr:uid="{DDBD0C41-9BD4-4ED1-AB9C-CF40616FC4D8}"/>
    <cellStyle name="Comma 3 2 3 4 6 3 2" xfId="33243" xr:uid="{58F5DA91-A553-4ADE-9815-B601517EBD99}"/>
    <cellStyle name="Comma 3 2 3 4 6 4" xfId="19760" xr:uid="{CA53D694-0D4F-4B94-80E3-46619737EFB2}"/>
    <cellStyle name="Comma 3 2 3 4 7" xfId="4122" xr:uid="{8F1D2EF7-675E-44B7-84A7-48DAA97DA074}"/>
    <cellStyle name="Comma 3 2 3 4 7 2" xfId="7792" xr:uid="{2E08D55E-62F1-493E-A03B-95CD503DAC9F}"/>
    <cellStyle name="Comma 3 2 3 4 7 2 2" xfId="15299" xr:uid="{C6E78DB9-46F6-44DC-949E-A0577FD5FE4C}"/>
    <cellStyle name="Comma 3 2 3 4 7 2 2 2" xfId="31503" xr:uid="{AFB2FEDF-0E71-4F2F-857F-B05B8C4EA0CE}"/>
    <cellStyle name="Comma 3 2 3 4 7 2 3" xfId="23996" xr:uid="{B67FC0AB-9D29-4B5D-B479-DAF40F06B409}"/>
    <cellStyle name="Comma 3 2 3 4 7 3" xfId="9244" xr:uid="{19EB3F67-7FF1-4566-904D-952C71D87C2E}"/>
    <cellStyle name="Comma 3 2 3 4 7 3 2" xfId="16706" xr:uid="{6061476E-45F3-44D7-919A-0D2FA7213DD5}"/>
    <cellStyle name="Comma 3 2 3 4 7 3 2 2" xfId="32910" xr:uid="{D9D7D037-1B95-4447-9C58-201D781FC150}"/>
    <cellStyle name="Comma 3 2 3 4 7 3 3" xfId="25448" xr:uid="{BB7BE3A3-2AE9-461A-8ED1-C987C608ED38}"/>
    <cellStyle name="Comma 3 2 3 4 7 4" xfId="11685" xr:uid="{F6687C9F-BD77-41BC-B85A-DD1D85FD2D3C}"/>
    <cellStyle name="Comma 3 2 3 4 7 4 2" xfId="27889" xr:uid="{2AD68585-C5AD-4658-B5BE-D12A7E941192}"/>
    <cellStyle name="Comma 3 2 3 4 7 5" xfId="17112" xr:uid="{B10CF05F-6CB3-42FD-AE42-5EA20A196C98}"/>
    <cellStyle name="Comma 3 2 3 4 7 5 2" xfId="33244" xr:uid="{401782FE-0F99-4653-9B86-085688BBFBC7}"/>
    <cellStyle name="Comma 3 2 3 4 7 6" xfId="20326" xr:uid="{ADB87C29-14FF-42BA-A890-088A0A6472B4}"/>
    <cellStyle name="Comma 3 2 3 4 8" xfId="4547" xr:uid="{F66601FD-5128-4167-B469-02492D27409F}"/>
    <cellStyle name="Comma 3 2 3 4 8 2" xfId="8217" xr:uid="{20AFDB97-5585-46FA-AC36-EDBDE95DCE1B}"/>
    <cellStyle name="Comma 3 2 3 4 8 2 2" xfId="15724" xr:uid="{1C41E2F6-A105-4E8F-A68F-67E8790D4539}"/>
    <cellStyle name="Comma 3 2 3 4 8 2 2 2" xfId="31928" xr:uid="{B9FE0E39-6416-4107-847C-49B0894D3F69}"/>
    <cellStyle name="Comma 3 2 3 4 8 2 3" xfId="24421" xr:uid="{C738AB61-6B00-48DB-8088-E64E2EBC456E}"/>
    <cellStyle name="Comma 3 2 3 4 8 3" xfId="5502" xr:uid="{4EAA5160-1BAD-43B6-97D5-DF37B9982CDE}"/>
    <cellStyle name="Comma 3 2 3 4 8 3 2" xfId="13036" xr:uid="{88446551-0837-4F97-879C-1BC37B6C06B7}"/>
    <cellStyle name="Comma 3 2 3 4 8 3 2 2" xfId="29240" xr:uid="{927D04A7-F39E-4859-9F02-EE8877BDFA7E}"/>
    <cellStyle name="Comma 3 2 3 4 8 3 3" xfId="21706" xr:uid="{C44EF879-0A4F-42ED-9854-9CF5AC35B2FF}"/>
    <cellStyle name="Comma 3 2 3 4 8 4" xfId="12110" xr:uid="{E14F82F5-7076-4291-B43D-9D8E6D88A990}"/>
    <cellStyle name="Comma 3 2 3 4 8 4 2" xfId="28314" xr:uid="{D75B3993-46C6-4A2D-832B-01C8BD888F20}"/>
    <cellStyle name="Comma 3 2 3 4 8 5" xfId="17113" xr:uid="{238A3346-E658-409B-A1F9-7C047338D640}"/>
    <cellStyle name="Comma 3 2 3 4 8 5 2" xfId="33245" xr:uid="{253D044A-BD30-484F-8F55-7934CD525543}"/>
    <cellStyle name="Comma 3 2 3 4 8 6" xfId="20751" xr:uid="{122130E7-CD96-4F7A-9262-2D044B7BF229}"/>
    <cellStyle name="Comma 3 2 3 4 9" xfId="4974" xr:uid="{791D23C3-2ED9-4168-83DB-ED3C29EED2E4}"/>
    <cellStyle name="Comma 3 2 3 4 9 2" xfId="8640" xr:uid="{DA4C73B8-E61B-4F5E-8134-6D019E8EDD2E}"/>
    <cellStyle name="Comma 3 2 3 4 9 2 2" xfId="16147" xr:uid="{601DDB17-9041-4B53-93BB-14DA568ABDE8}"/>
    <cellStyle name="Comma 3 2 3 4 9 2 2 2" xfId="32351" xr:uid="{EE28B7F0-7FF1-4EF3-8CF0-B87543E67C73}"/>
    <cellStyle name="Comma 3 2 3 4 9 2 3" xfId="24844" xr:uid="{70C59D46-1E91-4F07-A558-4D75DB2F6028}"/>
    <cellStyle name="Comma 3 2 3 4 9 3" xfId="12532" xr:uid="{59F9EAC0-E787-4F91-9E6D-17E0C3C82B42}"/>
    <cellStyle name="Comma 3 2 3 4 9 3 2" xfId="28736" xr:uid="{BC84C01A-BCEA-4531-8636-27AFD083BB82}"/>
    <cellStyle name="Comma 3 2 3 4 9 4" xfId="21178" xr:uid="{B396955A-DF2D-4C29-88D6-2AC7CF08EADA}"/>
    <cellStyle name="Comma 3 2 3 5" xfId="1909" xr:uid="{094F24EE-4BDD-4E9B-941A-A4D3158F0DEE}"/>
    <cellStyle name="Comma 3 2 3 5 10" xfId="9689" xr:uid="{A4E5CA65-880E-4B1D-A0DF-8514C958BF51}"/>
    <cellStyle name="Comma 3 2 3 5 10 2" xfId="25893" xr:uid="{5B581E81-6D50-4E80-A7A5-CB773B4E8EE4}"/>
    <cellStyle name="Comma 3 2 3 5 11" xfId="17114" xr:uid="{721FFA13-B564-4DCA-8961-0731DFDCA070}"/>
    <cellStyle name="Comma 3 2 3 5 11 2" xfId="33246" xr:uid="{CE0FF186-71CB-4367-B1B5-968263B28513}"/>
    <cellStyle name="Comma 3 2 3 5 12" xfId="18213" xr:uid="{1F010410-7AF4-4726-A8DB-802BEBECE514}"/>
    <cellStyle name="Comma 3 2 3 5 2" xfId="2416" xr:uid="{243B1BC2-5D62-4A0D-965A-3060086F4AD1}"/>
    <cellStyle name="Comma 3 2 3 5 2 2" xfId="3263" xr:uid="{759D3B7C-3199-469D-A94A-3D28309C75C5}"/>
    <cellStyle name="Comma 3 2 3 5 2 2 2" xfId="7045" xr:uid="{2895BC83-68E0-4A38-ADEA-E68B963E4BA3}"/>
    <cellStyle name="Comma 3 2 3 5 2 2 2 2" xfId="14556" xr:uid="{CE02DB11-9DE8-4C3D-B879-195B45E5D0D1}"/>
    <cellStyle name="Comma 3 2 3 5 2 2 2 2 2" xfId="30760" xr:uid="{85DF3141-DAD5-411F-896A-C678A69255A4}"/>
    <cellStyle name="Comma 3 2 3 5 2 2 2 3" xfId="23249" xr:uid="{1C051796-3E8D-4AE2-9653-035EE102DDB5}"/>
    <cellStyle name="Comma 3 2 3 5 2 2 3" xfId="9248" xr:uid="{612CC650-D79A-46BD-8094-57489A7F2094}"/>
    <cellStyle name="Comma 3 2 3 5 2 2 3 2" xfId="16710" xr:uid="{C009F88D-951E-4A46-8B85-73870F32A7B5}"/>
    <cellStyle name="Comma 3 2 3 5 2 2 3 2 2" xfId="32914" xr:uid="{6CBFF253-1D6F-4F72-A5AE-8115FEF4A6AF}"/>
    <cellStyle name="Comma 3 2 3 5 2 2 3 3" xfId="25452" xr:uid="{BC9C0283-3B79-425F-8B32-884106322EA2}"/>
    <cellStyle name="Comma 3 2 3 5 2 2 4" xfId="10956" xr:uid="{B15AC577-32CB-4AD5-94F8-2B756E8F8AA5}"/>
    <cellStyle name="Comma 3 2 3 5 2 2 4 2" xfId="27160" xr:uid="{B0A345C1-9F9E-4268-9414-0709A6E9F73C}"/>
    <cellStyle name="Comma 3 2 3 5 2 2 5" xfId="17116" xr:uid="{94B39FED-13A5-4872-B08B-9FEAFA6971F9}"/>
    <cellStyle name="Comma 3 2 3 5 2 2 5 2" xfId="33248" xr:uid="{2AA8E309-EAC3-4C10-A335-B13F47490709}"/>
    <cellStyle name="Comma 3 2 3 5 2 2 6" xfId="19483" xr:uid="{364DA33D-8A23-4EF2-BB31-E7733A5F229A}"/>
    <cellStyle name="Comma 3 2 3 5 2 3" xfId="6200" xr:uid="{C450E270-DDD0-42AA-BB8D-189F0E777CDE}"/>
    <cellStyle name="Comma 3 2 3 5 2 3 2" xfId="13712" xr:uid="{6E5A2481-F584-489E-B820-4C62173D580D}"/>
    <cellStyle name="Comma 3 2 3 5 2 3 2 2" xfId="29916" xr:uid="{44C07501-2429-4C68-8730-A29DD558EC97}"/>
    <cellStyle name="Comma 3 2 3 5 2 3 3" xfId="22404" xr:uid="{A0FE2DBB-6FCE-43A8-9186-6D400139B4FC}"/>
    <cellStyle name="Comma 3 2 3 5 2 4" xfId="9110" xr:uid="{0C5D9B2B-23CC-4680-B384-0BFC02AE6B61}"/>
    <cellStyle name="Comma 3 2 3 5 2 4 2" xfId="16588" xr:uid="{471BFD32-6CFF-47F8-9D26-6F179DB9FD6D}"/>
    <cellStyle name="Comma 3 2 3 5 2 4 2 2" xfId="32792" xr:uid="{A6AF71F8-0B3B-48CB-8951-E3DFE5A2AF8F}"/>
    <cellStyle name="Comma 3 2 3 5 2 4 3" xfId="25314" xr:uid="{A4E8A49A-8A39-4351-A451-5DC354FECBDA}"/>
    <cellStyle name="Comma 3 2 3 5 2 5" xfId="10112" xr:uid="{D6AC2398-648B-4D0C-8920-ABDED388E3AE}"/>
    <cellStyle name="Comma 3 2 3 5 2 5 2" xfId="26316" xr:uid="{D5097CA0-27F4-420F-941E-8EE2C29CF042}"/>
    <cellStyle name="Comma 3 2 3 5 2 6" xfId="17115" xr:uid="{5E6272F2-C0F2-4F4C-ABBB-DBEE80BDFB9D}"/>
    <cellStyle name="Comma 3 2 3 5 2 6 2" xfId="33247" xr:uid="{EDC4BCCE-F380-4E15-9E9B-AA5D2763ADDE}"/>
    <cellStyle name="Comma 3 2 3 5 2 7" xfId="18638" xr:uid="{9BC38255-FBD6-4A92-9E88-79E4B8852EED}"/>
    <cellStyle name="Comma 3 2 3 5 3" xfId="2838" xr:uid="{79C83A8C-2FC1-47BA-A664-79F1C36A3093}"/>
    <cellStyle name="Comma 3 2 3 5 3 2" xfId="6622" xr:uid="{83A28732-FD80-4CAF-9700-99F070E90EDE}"/>
    <cellStyle name="Comma 3 2 3 5 3 2 2" xfId="14134" xr:uid="{296EB565-6A57-4DDD-B2E0-347AC0ED420D}"/>
    <cellStyle name="Comma 3 2 3 5 3 2 2 2" xfId="30338" xr:uid="{E9C8246B-054B-42BB-84F4-9037362279D4}"/>
    <cellStyle name="Comma 3 2 3 5 3 2 3" xfId="22826" xr:uid="{F1D91229-93A7-4191-B36F-94063EE0EDAB}"/>
    <cellStyle name="Comma 3 2 3 5 3 3" xfId="8954" xr:uid="{314BFECF-8064-49C1-B8BF-16CA7E7E6138}"/>
    <cellStyle name="Comma 3 2 3 5 3 3 2" xfId="16449" xr:uid="{09CA7953-0493-4674-9702-6851BF07AAA7}"/>
    <cellStyle name="Comma 3 2 3 5 3 3 2 2" xfId="32653" xr:uid="{6DF33B09-8EC7-4B64-A87E-FD8CC19B0134}"/>
    <cellStyle name="Comma 3 2 3 5 3 3 3" xfId="25158" xr:uid="{7092F92E-4D80-494D-9AAB-46B351AECAF4}"/>
    <cellStyle name="Comma 3 2 3 5 3 4" xfId="10534" xr:uid="{5B043066-697D-4632-9F31-B854CED42A04}"/>
    <cellStyle name="Comma 3 2 3 5 3 4 2" xfId="26738" xr:uid="{38E8C435-DA81-4742-8447-E56EA84257FD}"/>
    <cellStyle name="Comma 3 2 3 5 3 5" xfId="17117" xr:uid="{AC6C85A0-A505-475A-A49F-EF8F9DC0A476}"/>
    <cellStyle name="Comma 3 2 3 5 3 5 2" xfId="33249" xr:uid="{CA0AB4E1-90F3-4F26-9FD6-E2CC74A8831A}"/>
    <cellStyle name="Comma 3 2 3 5 3 6" xfId="19060" xr:uid="{2B0B3C4A-FCA4-4E11-93C4-DFE94347F446}"/>
    <cellStyle name="Comma 3 2 3 5 4" xfId="3769" xr:uid="{BFF211DD-78CB-48BD-824B-B7FF64467563}"/>
    <cellStyle name="Comma 3 2 3 5 4 2" xfId="7479" xr:uid="{71C085C2-3FF8-4FA2-BC7B-01F1D6C37B1D}"/>
    <cellStyle name="Comma 3 2 3 5 4 2 2" xfId="14988" xr:uid="{0806A58B-C276-460D-BD7B-859961A59A45}"/>
    <cellStyle name="Comma 3 2 3 5 4 2 2 2" xfId="31192" xr:uid="{BD19239A-595B-44ED-B50F-3AF999C62E90}"/>
    <cellStyle name="Comma 3 2 3 5 4 2 3" xfId="23683" xr:uid="{0E3EB90A-0D9E-40BD-A777-905799EB1A0C}"/>
    <cellStyle name="Comma 3 2 3 5 4 3" xfId="9278" xr:uid="{C4B598DE-A6D0-4272-926E-F96D26AC8C92}"/>
    <cellStyle name="Comma 3 2 3 5 4 3 2" xfId="16737" xr:uid="{58051353-F7B5-4184-8200-3D9030B75E7E}"/>
    <cellStyle name="Comma 3 2 3 5 4 3 2 2" xfId="32941" xr:uid="{B6F2D86B-EB91-4FAE-B82A-3969D1093C5B}"/>
    <cellStyle name="Comma 3 2 3 5 4 3 3" xfId="25482" xr:uid="{237EABF8-3F84-4D52-BDD4-26D1F5A45734}"/>
    <cellStyle name="Comma 3 2 3 5 4 4" xfId="11379" xr:uid="{3844BF3B-DB19-4680-A46E-56DF0A9DD556}"/>
    <cellStyle name="Comma 3 2 3 5 4 4 2" xfId="27583" xr:uid="{5FEFDF45-9880-4E1A-833A-79858F39ED6B}"/>
    <cellStyle name="Comma 3 2 3 5 4 5" xfId="17118" xr:uid="{8600C801-B685-4425-B160-19D8BA260222}"/>
    <cellStyle name="Comma 3 2 3 5 4 5 2" xfId="33250" xr:uid="{87C70C4A-5FBE-4E1D-9A7D-4007047341B9}"/>
    <cellStyle name="Comma 3 2 3 5 4 6" xfId="19978" xr:uid="{4A039D49-880E-4D50-AB94-562248EB90D2}"/>
    <cellStyle name="Comma 3 2 3 5 5" xfId="3578" xr:uid="{2FB7D1A8-86E6-4187-A179-B55D1F217DBF}"/>
    <cellStyle name="Comma 3 2 3 5 5 2" xfId="5880" xr:uid="{5EC9AFE8-ADAD-41A2-87F1-397843253C6F}"/>
    <cellStyle name="Comma 3 2 3 5 5 2 2" xfId="22084" xr:uid="{95B1C9B8-B1F5-4383-821A-5A586A05905D}"/>
    <cellStyle name="Comma 3 2 3 5 5 3" xfId="17119" xr:uid="{C9C0C6A9-AD5C-4C3E-AA6C-7E4AC4AFEA91}"/>
    <cellStyle name="Comma 3 2 3 5 5 3 2" xfId="33251" xr:uid="{3E0A8BBD-04AD-48B4-B71F-39319B63967F}"/>
    <cellStyle name="Comma 3 2 3 5 5 4" xfId="19790" xr:uid="{0BBE2482-51C1-44EA-8A49-EE244CCA04B2}"/>
    <cellStyle name="Comma 3 2 3 5 6" xfId="4238" xr:uid="{237360D7-6311-41AE-856D-69A8FCAE777A}"/>
    <cellStyle name="Comma 3 2 3 5 6 2" xfId="7908" xr:uid="{C1ABBA56-F112-4C0A-95DA-E616AFC8F497}"/>
    <cellStyle name="Comma 3 2 3 5 6 2 2" xfId="15415" xr:uid="{A54AE4F5-A124-4C4B-8DC8-7AA6A2AFB7ED}"/>
    <cellStyle name="Comma 3 2 3 5 6 2 2 2" xfId="31619" xr:uid="{5900540B-E1AD-4ABB-9C18-793A61A4A22C}"/>
    <cellStyle name="Comma 3 2 3 5 6 2 3" xfId="24112" xr:uid="{0FB992A1-9374-4643-9258-1A7A8B1DBC85}"/>
    <cellStyle name="Comma 3 2 3 5 6 3" xfId="8989" xr:uid="{18756C1A-BF82-419F-B95A-B560B794B309}"/>
    <cellStyle name="Comma 3 2 3 5 6 3 2" xfId="16483" xr:uid="{FB40FEF9-E33F-4621-9ECB-5A35FFD88D7B}"/>
    <cellStyle name="Comma 3 2 3 5 6 3 2 2" xfId="32687" xr:uid="{F074322B-9B8F-4579-BCE6-3A467814E89F}"/>
    <cellStyle name="Comma 3 2 3 5 6 3 3" xfId="25193" xr:uid="{25798917-9639-43EA-9B77-655E5A9C9073}"/>
    <cellStyle name="Comma 3 2 3 5 6 4" xfId="11801" xr:uid="{F9BC874B-9FB4-4B22-A244-F16733985370}"/>
    <cellStyle name="Comma 3 2 3 5 6 4 2" xfId="28005" xr:uid="{77F3AA1A-B492-4536-AF9C-CA82F7711752}"/>
    <cellStyle name="Comma 3 2 3 5 6 5" xfId="17120" xr:uid="{724A49AC-C8C6-4A6A-954C-52E965227CE7}"/>
    <cellStyle name="Comma 3 2 3 5 6 5 2" xfId="33252" xr:uid="{DDD13FB9-8B50-49A1-B3FC-D521F4D3E07C}"/>
    <cellStyle name="Comma 3 2 3 5 6 6" xfId="20442" xr:uid="{0D9C860F-83D5-449A-BE73-1FA0E1A48C16}"/>
    <cellStyle name="Comma 3 2 3 5 7" xfId="4663" xr:uid="{1FCD7F19-792A-4E6A-91CD-942B4E538B68}"/>
    <cellStyle name="Comma 3 2 3 5 7 2" xfId="8333" xr:uid="{DB8ED54F-FD6F-4B58-BBB4-3D3024830176}"/>
    <cellStyle name="Comma 3 2 3 5 7 2 2" xfId="15840" xr:uid="{E3A1B89A-CDA8-4210-89D0-EBD2DE2F0708}"/>
    <cellStyle name="Comma 3 2 3 5 7 2 2 2" xfId="32044" xr:uid="{B043F8B7-2AD8-4CE0-8221-6D7D799345F7}"/>
    <cellStyle name="Comma 3 2 3 5 7 2 3" xfId="24537" xr:uid="{116EB392-EF65-4F6E-8852-790823846366}"/>
    <cellStyle name="Comma 3 2 3 5 7 3" xfId="5875" xr:uid="{DAFAFE80-3DC7-4450-9415-D00521E8406D}"/>
    <cellStyle name="Comma 3 2 3 5 7 3 2" xfId="13390" xr:uid="{C95E2301-BA6A-44EC-8E36-C82BBE576EDA}"/>
    <cellStyle name="Comma 3 2 3 5 7 3 2 2" xfId="29594" xr:uid="{6834BB45-56D1-44B5-9EE5-3CDF489A0C7A}"/>
    <cellStyle name="Comma 3 2 3 5 7 3 3" xfId="22079" xr:uid="{C8AFE568-D032-4728-B5E8-EDC9C6B42907}"/>
    <cellStyle name="Comma 3 2 3 5 7 4" xfId="12226" xr:uid="{FD3A7343-A925-4643-BA66-351DDBB398FA}"/>
    <cellStyle name="Comma 3 2 3 5 7 4 2" xfId="28430" xr:uid="{2ED47F5E-8C29-4156-8078-E599AD2F95A0}"/>
    <cellStyle name="Comma 3 2 3 5 7 5" xfId="17121" xr:uid="{A87BF4BE-D6F1-4314-BEB5-508B8D93E8A7}"/>
    <cellStyle name="Comma 3 2 3 5 7 5 2" xfId="33253" xr:uid="{DEADB400-3E5B-4889-A969-0ABB49FB4CB4}"/>
    <cellStyle name="Comma 3 2 3 5 7 6" xfId="20867" xr:uid="{A9973654-F233-4ACD-A569-FD0052515109}"/>
    <cellStyle name="Comma 3 2 3 5 8" xfId="5091" xr:uid="{B63DE77E-6409-4171-958F-615B4498504B}"/>
    <cellStyle name="Comma 3 2 3 5 8 2" xfId="8756" xr:uid="{56BBFB06-E744-4596-A4B5-665A76FE31AA}"/>
    <cellStyle name="Comma 3 2 3 5 8 2 2" xfId="16263" xr:uid="{D0C91AA7-B9BA-484F-B2C0-09D521863765}"/>
    <cellStyle name="Comma 3 2 3 5 8 2 2 2" xfId="32467" xr:uid="{F7C60682-3C7D-4B6A-AA15-61EF5127B343}"/>
    <cellStyle name="Comma 3 2 3 5 8 2 3" xfId="24960" xr:uid="{A07EBD0E-520F-4503-85D4-67022141D894}"/>
    <cellStyle name="Comma 3 2 3 5 8 3" xfId="12648" xr:uid="{2AE0A8FA-6730-4393-8C18-B713AA89A812}"/>
    <cellStyle name="Comma 3 2 3 5 8 3 2" xfId="28852" xr:uid="{86818AEB-DC3B-4FD3-BFE9-5669FA8F8801}"/>
    <cellStyle name="Comma 3 2 3 5 8 4" xfId="21295" xr:uid="{DCCFD916-BF2E-4DF5-8077-AE9DD4438521}"/>
    <cellStyle name="Comma 3 2 3 5 9" xfId="5762" xr:uid="{23467AAB-691D-41A4-9695-77A753C9033B}"/>
    <cellStyle name="Comma 3 2 3 5 9 2" xfId="13277" xr:uid="{0989D398-B8EB-401F-B235-F084B3E7DE74}"/>
    <cellStyle name="Comma 3 2 3 5 9 2 2" xfId="29481" xr:uid="{4111A086-23F2-4FD6-B1CE-97723E1C2A21}"/>
    <cellStyle name="Comma 3 2 3 5 9 3" xfId="21966" xr:uid="{B65FDAB6-15BE-493E-8DEF-55374E4F28EB}"/>
    <cellStyle name="Comma 3 2 3 6" xfId="2197" xr:uid="{67CA0DBC-DFA0-487C-8B54-4BD43ABF31BD}"/>
    <cellStyle name="Comma 3 2 3 6 2" xfId="3105" xr:uid="{5A4EA984-9460-4034-8C2E-6C897BEA38CA}"/>
    <cellStyle name="Comma 3 2 3 6 2 2" xfId="6887" xr:uid="{AEFEC13D-8CAA-4BFB-9F35-8C8E7205640B}"/>
    <cellStyle name="Comma 3 2 3 6 2 2 2" xfId="14398" xr:uid="{D32AF44D-133A-45DD-899A-4C5D57EF659D}"/>
    <cellStyle name="Comma 3 2 3 6 2 2 2 2" xfId="30602" xr:uid="{D1F79F72-17D4-42AD-9896-1108D753F24C}"/>
    <cellStyle name="Comma 3 2 3 6 2 2 3" xfId="23091" xr:uid="{A24986F5-1121-4AB2-9F45-CE7920B0D8BD}"/>
    <cellStyle name="Comma 3 2 3 6 2 3" xfId="5262" xr:uid="{D8A72E4E-1C84-460E-A282-4492700BAE72}"/>
    <cellStyle name="Comma 3 2 3 6 2 3 2" xfId="12811" xr:uid="{68ABCBDD-277E-4C28-AF11-7618F71D68AC}"/>
    <cellStyle name="Comma 3 2 3 6 2 3 2 2" xfId="29015" xr:uid="{4C29679B-8A73-4F07-A5D1-981755656FC6}"/>
    <cellStyle name="Comma 3 2 3 6 2 3 3" xfId="21466" xr:uid="{359793D2-1EC7-4477-8108-234C16343446}"/>
    <cellStyle name="Comma 3 2 3 6 2 4" xfId="10798" xr:uid="{B738A79E-9933-4E01-AFCC-AC13DF06730B}"/>
    <cellStyle name="Comma 3 2 3 6 2 4 2" xfId="27002" xr:uid="{22063667-8CB4-445A-B192-9E1C6450CC88}"/>
    <cellStyle name="Comma 3 2 3 6 2 5" xfId="17123" xr:uid="{EF0402F9-14D3-448D-A4D7-DD10377B2195}"/>
    <cellStyle name="Comma 3 2 3 6 2 5 2" xfId="33255" xr:uid="{7E826F75-E52E-40C8-971A-262824F32953}"/>
    <cellStyle name="Comma 3 2 3 6 2 6" xfId="19325" xr:uid="{42E97D26-7BEA-4142-84C7-C9E676C22776}"/>
    <cellStyle name="Comma 3 2 3 6 3" xfId="6031" xr:uid="{9013C9A4-D779-43B7-9D71-F01070805BF5}"/>
    <cellStyle name="Comma 3 2 3 6 3 2" xfId="13545" xr:uid="{6B55DD9B-D9C7-4D52-96D5-96B83A15DCA3}"/>
    <cellStyle name="Comma 3 2 3 6 3 2 2" xfId="29749" xr:uid="{57A023FE-4BF3-4D6F-9E77-4DFCDE4F605F}"/>
    <cellStyle name="Comma 3 2 3 6 3 3" xfId="22235" xr:uid="{F4A383E9-08F3-4269-B60F-A42AB6B66582}"/>
    <cellStyle name="Comma 3 2 3 6 4" xfId="8979" xr:uid="{C9307E99-E882-402C-8637-2CE42D4CEE02}"/>
    <cellStyle name="Comma 3 2 3 6 4 2" xfId="16473" xr:uid="{A1ECB5C0-E193-4F31-9E8A-92A42CC160DB}"/>
    <cellStyle name="Comma 3 2 3 6 4 2 2" xfId="32677" xr:uid="{CAC64D69-E8D1-41B9-B0D4-2DAB3B2367E8}"/>
    <cellStyle name="Comma 3 2 3 6 4 3" xfId="25183" xr:uid="{35B68BA3-367F-4DF0-A4D8-5CCD3A5E2212}"/>
    <cellStyle name="Comma 3 2 3 6 5" xfId="9954" xr:uid="{EBAD2D4A-AA5E-4008-8B3D-4637AF66EE40}"/>
    <cellStyle name="Comma 3 2 3 6 5 2" xfId="26158" xr:uid="{49076740-1729-4660-B907-D0FA06D037B2}"/>
    <cellStyle name="Comma 3 2 3 6 6" xfId="17122" xr:uid="{9886E759-1D3E-4A1B-91EC-1EC7FD8D6CB5}"/>
    <cellStyle name="Comma 3 2 3 6 6 2" xfId="33254" xr:uid="{325F9E7D-B261-4AC8-B806-5CCED248EA2E}"/>
    <cellStyle name="Comma 3 2 3 6 7" xfId="18480" xr:uid="{F5155A22-4CAD-4D36-9912-787553FDBBD0}"/>
    <cellStyle name="Comma 3 2 3 7" xfId="2680" xr:uid="{84C2A07B-B47B-4096-A9B4-E8A321663705}"/>
    <cellStyle name="Comma 3 2 3 7 2" xfId="6464" xr:uid="{DD8762F4-0A08-4907-9570-1EF5C8C42476}"/>
    <cellStyle name="Comma 3 2 3 7 2 2" xfId="13976" xr:uid="{2106FFCC-E362-4C0E-8E0F-813A68E786CF}"/>
    <cellStyle name="Comma 3 2 3 7 2 2 2" xfId="30180" xr:uid="{D077BE6F-F678-48A0-AE2F-EC520981F911}"/>
    <cellStyle name="Comma 3 2 3 7 2 3" xfId="22668" xr:uid="{484EAB66-14D6-4593-86DF-414D8AC32E35}"/>
    <cellStyle name="Comma 3 2 3 7 3" xfId="9006" xr:uid="{6A23BF2A-A0B9-4E28-8260-DC68096E9169}"/>
    <cellStyle name="Comma 3 2 3 7 3 2" xfId="16498" xr:uid="{A75F8F65-A48F-4D67-87B4-8D7507B4802E}"/>
    <cellStyle name="Comma 3 2 3 7 3 2 2" xfId="32702" xr:uid="{A110A53D-ED3C-4661-86A3-CC2066736983}"/>
    <cellStyle name="Comma 3 2 3 7 3 3" xfId="25210" xr:uid="{A123CCE7-09AE-43A0-9CE4-BF7FA55AA81C}"/>
    <cellStyle name="Comma 3 2 3 7 4" xfId="10376" xr:uid="{71DDFEE2-0A0A-4B61-BEC1-BF52ECE5AFD3}"/>
    <cellStyle name="Comma 3 2 3 7 4 2" xfId="26580" xr:uid="{62EC0D72-8BB0-4BAA-9A5D-4331B87AFA7A}"/>
    <cellStyle name="Comma 3 2 3 7 5" xfId="17124" xr:uid="{C581E161-10D3-496A-8A44-5A87A99F6593}"/>
    <cellStyle name="Comma 3 2 3 7 5 2" xfId="33256" xr:uid="{76918C5F-F53D-4DDD-9CBB-BFF03DF4D85D}"/>
    <cellStyle name="Comma 3 2 3 7 6" xfId="18902" xr:uid="{E3C09811-907C-4517-A84C-ACF38890BD2E}"/>
    <cellStyle name="Comma 3 2 3 8" xfId="3607" xr:uid="{FFAA077F-DC31-47E5-BB8F-72887CE929B4}"/>
    <cellStyle name="Comma 3 2 3 8 2" xfId="7320" xr:uid="{943719C6-0D69-472C-867E-51B12F9223C1}"/>
    <cellStyle name="Comma 3 2 3 8 2 2" xfId="14829" xr:uid="{19A95FDF-689F-4D8D-965D-EE9C5452B9CC}"/>
    <cellStyle name="Comma 3 2 3 8 2 2 2" xfId="31033" xr:uid="{D9A68389-2508-4538-9EAE-47AAC1FFCD7F}"/>
    <cellStyle name="Comma 3 2 3 8 2 3" xfId="23524" xr:uid="{72984723-EFA0-4C19-909C-658800563FAF}"/>
    <cellStyle name="Comma 3 2 3 8 3" xfId="5497" xr:uid="{0A5EA3D2-831E-4203-B452-FBBAEADE3C99}"/>
    <cellStyle name="Comma 3 2 3 8 3 2" xfId="13032" xr:uid="{88031E70-DB8D-42FA-8CBB-01175540CBAE}"/>
    <cellStyle name="Comma 3 2 3 8 3 2 2" xfId="29236" xr:uid="{D0645A54-D33B-4749-ACF4-5015B85B7703}"/>
    <cellStyle name="Comma 3 2 3 8 3 3" xfId="21701" xr:uid="{099F8ABD-D60B-418B-8899-2991D088847D}"/>
    <cellStyle name="Comma 3 2 3 8 4" xfId="11221" xr:uid="{FA05D57C-467D-4414-AA60-24FE30A05122}"/>
    <cellStyle name="Comma 3 2 3 8 4 2" xfId="27425" xr:uid="{65D9EA8C-1D5D-4F15-BF54-BB7EA090C3FB}"/>
    <cellStyle name="Comma 3 2 3 8 5" xfId="17125" xr:uid="{125678B3-1844-48A0-AD7A-D77885AF3B6A}"/>
    <cellStyle name="Comma 3 2 3 8 5 2" xfId="33257" xr:uid="{C4EB7F00-9C60-4AA8-8BA2-558F7B01AE72}"/>
    <cellStyle name="Comma 3 2 3 8 6" xfId="19816" xr:uid="{922B60D2-2484-4048-B551-363683E7E521}"/>
    <cellStyle name="Comma 3 2 3 9" xfId="3575" xr:uid="{F05D7051-201B-4744-9A9A-6C836B26FFB9}"/>
    <cellStyle name="Comma 3 2 3 9 2" xfId="5509" xr:uid="{DC764873-2A9D-4C44-A0F6-81FE92500516}"/>
    <cellStyle name="Comma 3 2 3 9 2 2" xfId="21713" xr:uid="{F1D43760-0D3A-451B-BAFE-51C77AC0280B}"/>
    <cellStyle name="Comma 3 2 3 9 3" xfId="17126" xr:uid="{6E595D28-2580-4B19-A160-65005E1C1EB7}"/>
    <cellStyle name="Comma 3 2 3 9 3 2" xfId="33258" xr:uid="{6EF4072E-6524-413D-A8D6-5BAA35FABDD6}"/>
    <cellStyle name="Comma 3 2 3 9 4" xfId="19787" xr:uid="{284EE164-640C-4E83-BC17-93C119C0A53D}"/>
    <cellStyle name="Comma 3 2 4" xfId="1619" xr:uid="{6238002B-D2E0-4ADE-8643-23D718204FFB}"/>
    <cellStyle name="Comma 3 2 4 10" xfId="4082" xr:uid="{EE5BBF75-E3D8-48BF-8964-2D54F4CA5333}"/>
    <cellStyle name="Comma 3 2 4 10 2" xfId="7752" xr:uid="{1AB3019A-FDA0-44BF-AFE1-8EEE213F37CB}"/>
    <cellStyle name="Comma 3 2 4 10 2 2" xfId="15259" xr:uid="{F06B6F1B-FCF3-41C2-A36A-AD667885FFB8}"/>
    <cellStyle name="Comma 3 2 4 10 2 2 2" xfId="31463" xr:uid="{E12ED920-6EC8-456A-8602-38F4709D1BED}"/>
    <cellStyle name="Comma 3 2 4 10 2 3" xfId="23956" xr:uid="{E2E2CD9D-8825-443B-B781-973629599954}"/>
    <cellStyle name="Comma 3 2 4 10 3" xfId="9063" xr:uid="{94D01BA7-BF9B-4D57-B9CF-177854BFB10D}"/>
    <cellStyle name="Comma 3 2 4 10 3 2" xfId="16548" xr:uid="{55F6F20B-9D23-45F7-9D27-2D728CEFF79B}"/>
    <cellStyle name="Comma 3 2 4 10 3 2 2" xfId="32752" xr:uid="{B812A32C-7F48-4943-961C-63BBC66DA81A}"/>
    <cellStyle name="Comma 3 2 4 10 3 3" xfId="25267" xr:uid="{4F023730-8C21-49B2-A1E5-BB33432E883C}"/>
    <cellStyle name="Comma 3 2 4 10 4" xfId="11645" xr:uid="{BBF292E2-5D39-4586-86FE-C4D2FCB5010B}"/>
    <cellStyle name="Comma 3 2 4 10 4 2" xfId="27849" xr:uid="{40728FF9-13A0-49E5-A68C-30CF283CC7A9}"/>
    <cellStyle name="Comma 3 2 4 10 5" xfId="17128" xr:uid="{895C700A-AAD7-43C7-9B68-D763D49C13C4}"/>
    <cellStyle name="Comma 3 2 4 10 5 2" xfId="33260" xr:uid="{F735DF44-5BB8-4C5B-9F7D-86ECEA4F0643}"/>
    <cellStyle name="Comma 3 2 4 10 6" xfId="20286" xr:uid="{FE483CAB-F45B-4950-B3C7-49CC386FD2D7}"/>
    <cellStyle name="Comma 3 2 4 11" xfId="4507" xr:uid="{90ABF799-3390-432A-8B03-729083A88976}"/>
    <cellStyle name="Comma 3 2 4 11 2" xfId="8177" xr:uid="{D2188A1E-085A-4EFE-98D7-AB88B8336D49}"/>
    <cellStyle name="Comma 3 2 4 11 2 2" xfId="15684" xr:uid="{88AE08B7-6AB2-47A3-80B0-CE25FB5545D6}"/>
    <cellStyle name="Comma 3 2 4 11 2 2 2" xfId="31888" xr:uid="{3C6BECE4-6E6C-4EE7-861B-3B14B4A163DD}"/>
    <cellStyle name="Comma 3 2 4 11 2 3" xfId="24381" xr:uid="{E0A6D6FD-FA02-4BEF-8A45-20FC6E275B91}"/>
    <cellStyle name="Comma 3 2 4 11 3" xfId="9005" xr:uid="{03EC5E85-CD32-47C4-B953-0083E857D3BC}"/>
    <cellStyle name="Comma 3 2 4 11 3 2" xfId="16497" xr:uid="{AA7ECF91-5657-498B-B68D-E8EA117680C0}"/>
    <cellStyle name="Comma 3 2 4 11 3 2 2" xfId="32701" xr:uid="{D8177568-2CC7-4540-AE6C-3FECE6F8DB95}"/>
    <cellStyle name="Comma 3 2 4 11 3 3" xfId="25209" xr:uid="{DCB695F8-DF5F-422D-8E6C-70BF2222ED4B}"/>
    <cellStyle name="Comma 3 2 4 11 4" xfId="12070" xr:uid="{6C98104F-BDE2-47DB-8AC9-AFE655B596DF}"/>
    <cellStyle name="Comma 3 2 4 11 4 2" xfId="28274" xr:uid="{43EA3192-946A-46D6-99CB-81B1D7197539}"/>
    <cellStyle name="Comma 3 2 4 11 5" xfId="17129" xr:uid="{F5D3E864-5D3C-4DCD-8303-2C8FA796C005}"/>
    <cellStyle name="Comma 3 2 4 11 5 2" xfId="33261" xr:uid="{10D54C77-6E97-4CFD-B59F-01D65FB946BE}"/>
    <cellStyle name="Comma 3 2 4 11 6" xfId="20711" xr:uid="{5AA1A8D1-B82C-42E2-88C4-70BC717FD230}"/>
    <cellStyle name="Comma 3 2 4 12" xfId="4934" xr:uid="{D05DA8EE-27E0-4F27-8DF2-A1A6F697DED5}"/>
    <cellStyle name="Comma 3 2 4 12 2" xfId="8600" xr:uid="{EA5BB404-F38C-46C7-8D8A-D5D2EACE02AC}"/>
    <cellStyle name="Comma 3 2 4 12 2 2" xfId="16107" xr:uid="{D2641CB7-9DBB-4973-A5BB-048B0B8FB931}"/>
    <cellStyle name="Comma 3 2 4 12 2 2 2" xfId="32311" xr:uid="{0A295F3F-D3B0-42B5-95F8-9EB8FFCE789B}"/>
    <cellStyle name="Comma 3 2 4 12 2 3" xfId="24804" xr:uid="{1F1E7FAF-34B5-4EAD-99C3-2410EC0278EF}"/>
    <cellStyle name="Comma 3 2 4 12 3" xfId="12492" xr:uid="{4E6575BC-2A2D-414D-8ECB-CA91607CFC02}"/>
    <cellStyle name="Comma 3 2 4 12 3 2" xfId="28696" xr:uid="{6302AA55-6003-4B5D-A1BE-4E52ADAA24EC}"/>
    <cellStyle name="Comma 3 2 4 12 4" xfId="21138" xr:uid="{47C4389B-065C-4784-9ECD-545AA61F313D}"/>
    <cellStyle name="Comma 3 2 4 13" xfId="5580" xr:uid="{87AA977A-421D-4006-B5AB-DB6C4DF4ED8F}"/>
    <cellStyle name="Comma 3 2 4 13 2" xfId="13097" xr:uid="{9B7A6B54-11DF-4EF8-B2FB-FE3C639AA251}"/>
    <cellStyle name="Comma 3 2 4 13 2 2" xfId="29301" xr:uid="{AFCC0B74-A730-4AC5-A1E7-7A3ECD3C0950}"/>
    <cellStyle name="Comma 3 2 4 13 3" xfId="21784" xr:uid="{7B8C89E4-13A1-4947-85CC-2D856F6BF22D}"/>
    <cellStyle name="Comma 3 2 4 14" xfId="9533" xr:uid="{71D59C3A-15A6-43E1-AFB9-4662DAD9E9C2}"/>
    <cellStyle name="Comma 3 2 4 14 2" xfId="25737" xr:uid="{52A2891C-BF08-41B0-9A97-28F98F864B6C}"/>
    <cellStyle name="Comma 3 2 4 15" xfId="17127" xr:uid="{02A41E19-EB14-4917-862B-7796648B7D50}"/>
    <cellStyle name="Comma 3 2 4 15 2" xfId="33259" xr:uid="{8745D231-0F26-4ACC-83A9-10266159DE95}"/>
    <cellStyle name="Comma 3 2 4 16" xfId="18056" xr:uid="{8BCBE88D-9B68-4FCF-93E3-769ADA55FA64}"/>
    <cellStyle name="Comma 3 2 4 2" xfId="1750" xr:uid="{46583F3A-C830-4995-8AEF-96094C768F4E}"/>
    <cellStyle name="Comma 3 2 4 2 10" xfId="5619" xr:uid="{C08721ED-0C5E-4AE0-8DB7-82933AAB238C}"/>
    <cellStyle name="Comma 3 2 4 2 10 2" xfId="13134" xr:uid="{412BF169-1DEE-4FAE-8353-4C7C0D0318B5}"/>
    <cellStyle name="Comma 3 2 4 2 10 2 2" xfId="29338" xr:uid="{7C19A30E-13C5-4F8A-A573-4B20BF52A400}"/>
    <cellStyle name="Comma 3 2 4 2 10 3" xfId="21823" xr:uid="{65B3B00C-7854-4F6C-ADC2-91196D6236D6}"/>
    <cellStyle name="Comma 3 2 4 2 11" xfId="9547" xr:uid="{0A73EF7F-734C-40AA-A1F2-DF24224AB8F5}"/>
    <cellStyle name="Comma 3 2 4 2 11 2" xfId="25751" xr:uid="{DDB67F3C-1FBA-493B-A854-C1F37D75B25E}"/>
    <cellStyle name="Comma 3 2 4 2 12" xfId="17130" xr:uid="{82EBF398-CCBF-4B89-BA11-6CA2EAEC4A2F}"/>
    <cellStyle name="Comma 3 2 4 2 12 2" xfId="33262" xr:uid="{6E2C2EE4-A07A-46B2-B89E-04B3C0085DBB}"/>
    <cellStyle name="Comma 3 2 4 2 13" xfId="18070" xr:uid="{55580014-4A7F-425D-95BB-72F379DAABD9}"/>
    <cellStyle name="Comma 3 2 4 2 2" xfId="1910" xr:uid="{05EFB439-94E6-4CC1-B7CE-36D17C61B97D}"/>
    <cellStyle name="Comma 3 2 4 2 2 10" xfId="9690" xr:uid="{9E3742F5-DCA9-4588-8D8F-7BE0D35548F8}"/>
    <cellStyle name="Comma 3 2 4 2 2 10 2" xfId="25894" xr:uid="{AAFD15A2-EA75-43F7-B850-ACFEF74946A0}"/>
    <cellStyle name="Comma 3 2 4 2 2 11" xfId="17131" xr:uid="{47E6A022-CACD-4992-AF4A-694469908A85}"/>
    <cellStyle name="Comma 3 2 4 2 2 11 2" xfId="33263" xr:uid="{3BFB9A20-9B6C-4782-A60A-C447EA70200E}"/>
    <cellStyle name="Comma 3 2 4 2 2 12" xfId="18214" xr:uid="{4269BD66-21B0-42F7-9920-BECC2428F5F4}"/>
    <cellStyle name="Comma 3 2 4 2 2 2" xfId="2417" xr:uid="{E80AFB93-16AA-40F1-B387-E6CD217F9F52}"/>
    <cellStyle name="Comma 3 2 4 2 2 2 2" xfId="3264" xr:uid="{50927A68-2A74-41EB-9763-D1D867504056}"/>
    <cellStyle name="Comma 3 2 4 2 2 2 2 2" xfId="7046" xr:uid="{0F331EC3-C224-4EF8-ACDA-A92CE2D3B646}"/>
    <cellStyle name="Comma 3 2 4 2 2 2 2 2 2" xfId="14557" xr:uid="{AF2FC3A3-FC38-479E-963B-2D65BEE9948E}"/>
    <cellStyle name="Comma 3 2 4 2 2 2 2 2 2 2" xfId="30761" xr:uid="{6EA265FF-B0ED-4D1D-BF2F-8759FF0E8B99}"/>
    <cellStyle name="Comma 3 2 4 2 2 2 2 2 3" xfId="23250" xr:uid="{F46F5AE0-9834-4F42-8792-983545E839D5}"/>
    <cellStyle name="Comma 3 2 4 2 2 2 2 3" xfId="8894" xr:uid="{424516D2-AF5D-441F-811E-E00863B9D146}"/>
    <cellStyle name="Comma 3 2 4 2 2 2 2 3 2" xfId="16397" xr:uid="{6BD74655-F072-4E52-8096-BDC77D55DA6A}"/>
    <cellStyle name="Comma 3 2 4 2 2 2 2 3 2 2" xfId="32601" xr:uid="{36762D0D-029E-4CA4-96A8-A4E5369A1186}"/>
    <cellStyle name="Comma 3 2 4 2 2 2 2 3 3" xfId="25098" xr:uid="{327981E3-3C9C-4D17-81C8-A2D64D2C4118}"/>
    <cellStyle name="Comma 3 2 4 2 2 2 2 4" xfId="10957" xr:uid="{4CEB4D9C-5B83-41C9-9894-E7F122E64DF6}"/>
    <cellStyle name="Comma 3 2 4 2 2 2 2 4 2" xfId="27161" xr:uid="{12817FEE-2908-484F-AF8B-7A577D2BD2FF}"/>
    <cellStyle name="Comma 3 2 4 2 2 2 2 5" xfId="17133" xr:uid="{04D7EA94-1E11-45BD-9066-42C45C5C87C2}"/>
    <cellStyle name="Comma 3 2 4 2 2 2 2 5 2" xfId="33265" xr:uid="{AF605C03-7E4A-470C-9247-93CED22BA5A0}"/>
    <cellStyle name="Comma 3 2 4 2 2 2 2 6" xfId="19484" xr:uid="{4DDEEC00-243F-449C-8EEA-3703C0D9FB0B}"/>
    <cellStyle name="Comma 3 2 4 2 2 2 3" xfId="6201" xr:uid="{2252155E-4839-44D0-9419-B8107D2F5F65}"/>
    <cellStyle name="Comma 3 2 4 2 2 2 3 2" xfId="13713" xr:uid="{B1913552-C18B-45A9-A9F7-E3442BC7DF98}"/>
    <cellStyle name="Comma 3 2 4 2 2 2 3 2 2" xfId="29917" xr:uid="{A66CA919-7646-42F7-9B3D-29E25F43F86A}"/>
    <cellStyle name="Comma 3 2 4 2 2 2 3 3" xfId="22405" xr:uid="{DAF825E4-B577-4152-A5EF-643D0390D3B6}"/>
    <cellStyle name="Comma 3 2 4 2 2 2 4" xfId="9209" xr:uid="{6392F8AC-A188-4E1B-8868-8AD3AACA4989}"/>
    <cellStyle name="Comma 3 2 4 2 2 2 4 2" xfId="16679" xr:uid="{E50B7E11-9562-4873-82BC-B6438360513E}"/>
    <cellStyle name="Comma 3 2 4 2 2 2 4 2 2" xfId="32883" xr:uid="{099EA5B5-4739-4C70-B97C-711B8082DA3F}"/>
    <cellStyle name="Comma 3 2 4 2 2 2 4 3" xfId="25413" xr:uid="{25232745-C31E-4F44-A94F-677A77232077}"/>
    <cellStyle name="Comma 3 2 4 2 2 2 5" xfId="10113" xr:uid="{FC9D1EB8-890B-4B0B-B033-C4E5F628DEC7}"/>
    <cellStyle name="Comma 3 2 4 2 2 2 5 2" xfId="26317" xr:uid="{4781046B-F6A9-4DF8-9510-05BDF0AD930C}"/>
    <cellStyle name="Comma 3 2 4 2 2 2 6" xfId="17132" xr:uid="{6892B561-7B0E-4454-9610-BC761B35EC67}"/>
    <cellStyle name="Comma 3 2 4 2 2 2 6 2" xfId="33264" xr:uid="{D5AD089E-E7AC-4324-8B6C-036BA6E08378}"/>
    <cellStyle name="Comma 3 2 4 2 2 2 7" xfId="18639" xr:uid="{1FD28B0C-8A98-45AF-85B9-FFE731547225}"/>
    <cellStyle name="Comma 3 2 4 2 2 3" xfId="2839" xr:uid="{9B03572E-F27B-4DEC-B39F-C21FBCBA3306}"/>
    <cellStyle name="Comma 3 2 4 2 2 3 2" xfId="6623" xr:uid="{674C58AC-ADB3-47DB-B1FA-DE86AED922D8}"/>
    <cellStyle name="Comma 3 2 4 2 2 3 2 2" xfId="14135" xr:uid="{5B28C83C-BE0F-467F-9C50-4EE341960B73}"/>
    <cellStyle name="Comma 3 2 4 2 2 3 2 2 2" xfId="30339" xr:uid="{E8EA6A56-C934-4AA9-8091-1A3C538455AB}"/>
    <cellStyle name="Comma 3 2 4 2 2 3 2 3" xfId="22827" xr:uid="{B5ACF09E-9E0C-4486-A152-7F9B3920E081}"/>
    <cellStyle name="Comma 3 2 4 2 2 3 3" xfId="9089" xr:uid="{D130FB54-BB8D-4F5E-8F62-7E2B899D2609}"/>
    <cellStyle name="Comma 3 2 4 2 2 3 3 2" xfId="16569" xr:uid="{62D5EC14-196D-4F14-81E8-522F024BF70F}"/>
    <cellStyle name="Comma 3 2 4 2 2 3 3 2 2" xfId="32773" xr:uid="{CF635336-5383-49D4-B9BC-C58DC42910A2}"/>
    <cellStyle name="Comma 3 2 4 2 2 3 3 3" xfId="25293" xr:uid="{3A91042C-47AE-4B04-9F08-AEE18DE739C2}"/>
    <cellStyle name="Comma 3 2 4 2 2 3 4" xfId="10535" xr:uid="{5DA2AB90-3D13-4849-BCEC-82F3159F2E87}"/>
    <cellStyle name="Comma 3 2 4 2 2 3 4 2" xfId="26739" xr:uid="{1AFD051C-DD77-4DD0-83E9-A2E33C3159BA}"/>
    <cellStyle name="Comma 3 2 4 2 2 3 5" xfId="17134" xr:uid="{0EA0DA38-02A4-4308-9B90-32EEBECD16F8}"/>
    <cellStyle name="Comma 3 2 4 2 2 3 5 2" xfId="33266" xr:uid="{97E5FA0D-0148-4CAB-9310-BADD2FB203E9}"/>
    <cellStyle name="Comma 3 2 4 2 2 3 6" xfId="19061" xr:uid="{6FB877A5-FC00-4B1D-BE3D-6F703E027F2A}"/>
    <cellStyle name="Comma 3 2 4 2 2 4" xfId="3770" xr:uid="{384CE051-5E7D-412B-806B-405E8583F3D9}"/>
    <cellStyle name="Comma 3 2 4 2 2 4 2" xfId="7480" xr:uid="{FBEB95F6-4053-425E-B96B-707398F96754}"/>
    <cellStyle name="Comma 3 2 4 2 2 4 2 2" xfId="14989" xr:uid="{741A20B5-1D40-497F-9BEE-83747C0F5BEE}"/>
    <cellStyle name="Comma 3 2 4 2 2 4 2 2 2" xfId="31193" xr:uid="{BE017456-9ED5-4F05-8608-7EC2CB13D316}"/>
    <cellStyle name="Comma 3 2 4 2 2 4 2 3" xfId="23684" xr:uid="{19D1DF3E-F79F-4574-9821-CE100BF1AF6D}"/>
    <cellStyle name="Comma 3 2 4 2 2 4 3" xfId="8988" xr:uid="{198ECA43-0BE4-4C8F-AB11-4F2624ABA48E}"/>
    <cellStyle name="Comma 3 2 4 2 2 4 3 2" xfId="16482" xr:uid="{D947E467-23E3-4C1A-8DDA-DE4119C19B6C}"/>
    <cellStyle name="Comma 3 2 4 2 2 4 3 2 2" xfId="32686" xr:uid="{C0A67D56-439A-49FC-B0C6-B90F493E79BF}"/>
    <cellStyle name="Comma 3 2 4 2 2 4 3 3" xfId="25192" xr:uid="{CBBFE09D-2BA0-4E29-85C8-B24E195C51B2}"/>
    <cellStyle name="Comma 3 2 4 2 2 4 4" xfId="11380" xr:uid="{FBA4B53A-C6E2-40AB-AB1F-0ABFBEE807F3}"/>
    <cellStyle name="Comma 3 2 4 2 2 4 4 2" xfId="27584" xr:uid="{07324DD0-DE90-4DC2-BE64-9E29DA75E676}"/>
    <cellStyle name="Comma 3 2 4 2 2 4 5" xfId="17135" xr:uid="{48A5EA68-2CC8-41F3-8D36-73FFFC486CED}"/>
    <cellStyle name="Comma 3 2 4 2 2 4 5 2" xfId="33267" xr:uid="{4D1DB4EA-639A-4FDA-BB90-394CD20D4DA9}"/>
    <cellStyle name="Comma 3 2 4 2 2 4 6" xfId="19979" xr:uid="{E970522A-7CAD-4324-AA8E-448501950E75}"/>
    <cellStyle name="Comma 3 2 4 2 2 5" xfId="3396" xr:uid="{E8CA8A7E-6F6B-4BEE-965E-7373E802CEAA}"/>
    <cellStyle name="Comma 3 2 4 2 2 5 2" xfId="5247" xr:uid="{65A578C3-1375-4B49-B22F-F889005755F9}"/>
    <cellStyle name="Comma 3 2 4 2 2 5 2 2" xfId="21451" xr:uid="{E6F5DA66-BC2F-4B16-B4B4-AEE78FE6A9FE}"/>
    <cellStyle name="Comma 3 2 4 2 2 5 3" xfId="17136" xr:uid="{3F0F4AA9-B922-4A03-B354-B03A2FF89A49}"/>
    <cellStyle name="Comma 3 2 4 2 2 5 3 2" xfId="33268" xr:uid="{3994FDD0-FBBA-451F-819D-2BC791067032}"/>
    <cellStyle name="Comma 3 2 4 2 2 5 4" xfId="19612" xr:uid="{68C0F400-E173-4267-A322-BF7FABF4BBED}"/>
    <cellStyle name="Comma 3 2 4 2 2 6" xfId="4239" xr:uid="{887A5C5A-FA21-416E-B361-E4BCD733EE50}"/>
    <cellStyle name="Comma 3 2 4 2 2 6 2" xfId="7909" xr:uid="{737E1E76-674A-4BC8-9322-80184287FDFF}"/>
    <cellStyle name="Comma 3 2 4 2 2 6 2 2" xfId="15416" xr:uid="{0D1A5134-60D7-497B-87EC-DDC502A81DCA}"/>
    <cellStyle name="Comma 3 2 4 2 2 6 2 2 2" xfId="31620" xr:uid="{F4815946-E5F1-429B-816F-3C27143DF70C}"/>
    <cellStyle name="Comma 3 2 4 2 2 6 2 3" xfId="24113" xr:uid="{22755D9D-5D06-4CC4-A745-CD689B4CCF31}"/>
    <cellStyle name="Comma 3 2 4 2 2 6 3" xfId="5487" xr:uid="{1EBF66AF-8732-480E-9263-624D22089FF3}"/>
    <cellStyle name="Comma 3 2 4 2 2 6 3 2" xfId="13025" xr:uid="{65ECC830-4A4A-4696-AC5C-421DF2665EDE}"/>
    <cellStyle name="Comma 3 2 4 2 2 6 3 2 2" xfId="29229" xr:uid="{06018909-96FC-4C3F-9138-896FD2AC740B}"/>
    <cellStyle name="Comma 3 2 4 2 2 6 3 3" xfId="21691" xr:uid="{72FD5BD8-30BB-4E1C-96C9-B0DAF752E0D4}"/>
    <cellStyle name="Comma 3 2 4 2 2 6 4" xfId="11802" xr:uid="{EC9F91C1-D468-4526-BBCB-3ECE8941D894}"/>
    <cellStyle name="Comma 3 2 4 2 2 6 4 2" xfId="28006" xr:uid="{B4CEE2DC-3BD9-4915-A306-422D85DDB2C0}"/>
    <cellStyle name="Comma 3 2 4 2 2 6 5" xfId="17137" xr:uid="{FEB2CB0C-2EED-4A66-980F-C7841A1DDFAD}"/>
    <cellStyle name="Comma 3 2 4 2 2 6 5 2" xfId="33269" xr:uid="{E14BC0D6-2DB3-447B-959D-632E9090B1FB}"/>
    <cellStyle name="Comma 3 2 4 2 2 6 6" xfId="20443" xr:uid="{CD090271-2BAD-4969-80A2-F1EAEC72E848}"/>
    <cellStyle name="Comma 3 2 4 2 2 7" xfId="4664" xr:uid="{A43D363F-C5B7-4D9E-877C-3A7A2CCEDD53}"/>
    <cellStyle name="Comma 3 2 4 2 2 7 2" xfId="8334" xr:uid="{B77D64C4-A76B-4073-8456-EE7881EF253B}"/>
    <cellStyle name="Comma 3 2 4 2 2 7 2 2" xfId="15841" xr:uid="{248D4A66-1E54-4969-920D-8D3CE46A07A9}"/>
    <cellStyle name="Comma 3 2 4 2 2 7 2 2 2" xfId="32045" xr:uid="{5C5DF469-F3E0-4E85-AEC0-E27C9412A8E6}"/>
    <cellStyle name="Comma 3 2 4 2 2 7 2 3" xfId="24538" xr:uid="{0E7E285E-A585-43F4-867D-F64799AE252D}"/>
    <cellStyle name="Comma 3 2 4 2 2 7 3" xfId="5510" xr:uid="{DEA80BE8-9E34-48EA-8397-11F1DF9CE0DB}"/>
    <cellStyle name="Comma 3 2 4 2 2 7 3 2" xfId="13040" xr:uid="{9727B351-17DD-4E9F-97DB-2B728241F56C}"/>
    <cellStyle name="Comma 3 2 4 2 2 7 3 2 2" xfId="29244" xr:uid="{174BFECE-2C3C-4BE5-A804-B8E8BFB9C235}"/>
    <cellStyle name="Comma 3 2 4 2 2 7 3 3" xfId="21714" xr:uid="{114BAC4E-4D51-4E70-93CA-E08D2CA542EA}"/>
    <cellStyle name="Comma 3 2 4 2 2 7 4" xfId="12227" xr:uid="{6F0A24C2-EC22-467F-926D-6106EEB72147}"/>
    <cellStyle name="Comma 3 2 4 2 2 7 4 2" xfId="28431" xr:uid="{FED75507-A98C-4D85-86FB-47EA03D2C982}"/>
    <cellStyle name="Comma 3 2 4 2 2 7 5" xfId="17138" xr:uid="{B6B209B3-61E1-4DB8-A65B-8792605C642A}"/>
    <cellStyle name="Comma 3 2 4 2 2 7 5 2" xfId="33270" xr:uid="{9C3609F8-E0D8-4C45-8348-D6DAF40BD2D7}"/>
    <cellStyle name="Comma 3 2 4 2 2 7 6" xfId="20868" xr:uid="{2FED6520-76E9-4317-9858-2D356FB0F020}"/>
    <cellStyle name="Comma 3 2 4 2 2 8" xfId="5092" xr:uid="{5AED0840-4944-4C2B-9D32-14CF858D1B3D}"/>
    <cellStyle name="Comma 3 2 4 2 2 8 2" xfId="8757" xr:uid="{1518A7C5-C0F7-4C5C-A5DF-98F21DAB079F}"/>
    <cellStyle name="Comma 3 2 4 2 2 8 2 2" xfId="16264" xr:uid="{D3EA11E7-66F2-4282-B2B5-B0214C871810}"/>
    <cellStyle name="Comma 3 2 4 2 2 8 2 2 2" xfId="32468" xr:uid="{98384816-643D-4D79-888F-77314AC9B480}"/>
    <cellStyle name="Comma 3 2 4 2 2 8 2 3" xfId="24961" xr:uid="{83A1ACA1-D19B-42D3-8E75-D0550382C7C4}"/>
    <cellStyle name="Comma 3 2 4 2 2 8 3" xfId="12649" xr:uid="{D21492F3-E2BE-44B4-9B17-2BD3C9C741DA}"/>
    <cellStyle name="Comma 3 2 4 2 2 8 3 2" xfId="28853" xr:uid="{CAB59AA6-45B6-44D9-86C8-D363F0819878}"/>
    <cellStyle name="Comma 3 2 4 2 2 8 4" xfId="21296" xr:uid="{D9C68844-4111-49FD-B54D-D5D2734E9309}"/>
    <cellStyle name="Comma 3 2 4 2 2 9" xfId="5763" xr:uid="{CBECEBCD-A3E1-4C8F-AD3D-EEFE22571C18}"/>
    <cellStyle name="Comma 3 2 4 2 2 9 2" xfId="13278" xr:uid="{E29E3500-0F28-4245-840C-63EC0F4A69A8}"/>
    <cellStyle name="Comma 3 2 4 2 2 9 2 2" xfId="29482" xr:uid="{99709FC0-B602-4DF3-83B7-88AFAAFD2775}"/>
    <cellStyle name="Comma 3 2 4 2 2 9 3" xfId="21967" xr:uid="{DFB5E6DC-9839-47D0-B7F6-E37506F69D23}"/>
    <cellStyle name="Comma 3 2 4 2 3" xfId="2270" xr:uid="{EE2A0B39-89CD-41F5-857E-E0E26394771C}"/>
    <cellStyle name="Comma 3 2 4 2 3 2" xfId="3121" xr:uid="{DFA5E2CC-A0E6-4539-A2DA-36DF5DE1134B}"/>
    <cellStyle name="Comma 3 2 4 2 3 2 2" xfId="6903" xr:uid="{FE52764D-AC93-4A2B-B61E-3C6156CA590C}"/>
    <cellStyle name="Comma 3 2 4 2 3 2 2 2" xfId="14414" xr:uid="{1E9E6115-5EAD-453D-B0E9-E79D395C7749}"/>
    <cellStyle name="Comma 3 2 4 2 3 2 2 2 2" xfId="30618" xr:uid="{B3A1E7FB-622D-4F04-83A5-72419AE1E3F5}"/>
    <cellStyle name="Comma 3 2 4 2 3 2 2 3" xfId="23107" xr:uid="{0AC70AF8-7387-4323-9EEA-95DBAFB88B7F}"/>
    <cellStyle name="Comma 3 2 4 2 3 2 3" xfId="5210" xr:uid="{687ABCFD-0E2C-4E0B-8987-EC47889DC24B}"/>
    <cellStyle name="Comma 3 2 4 2 3 2 3 2" xfId="12766" xr:uid="{B3CF4724-B958-4884-9C96-4DF67A889484}"/>
    <cellStyle name="Comma 3 2 4 2 3 2 3 2 2" xfId="28970" xr:uid="{ED8045A5-4AE3-4AB7-B224-C03D949FA8AC}"/>
    <cellStyle name="Comma 3 2 4 2 3 2 3 3" xfId="21414" xr:uid="{856D47FD-B2A8-45AF-A85A-655BB198AC8F}"/>
    <cellStyle name="Comma 3 2 4 2 3 2 4" xfId="10814" xr:uid="{FC3D4707-73A9-4BD8-A6E6-94B6353E5130}"/>
    <cellStyle name="Comma 3 2 4 2 3 2 4 2" xfId="27018" xr:uid="{87D4D507-E758-4AA0-831A-6E0E8A9F035C}"/>
    <cellStyle name="Comma 3 2 4 2 3 2 5" xfId="17140" xr:uid="{D8CA4FD3-5CA3-4FF7-8D7E-00CDB9D57B36}"/>
    <cellStyle name="Comma 3 2 4 2 3 2 5 2" xfId="33272" xr:uid="{6C63C6E7-7DBC-4345-B4A8-C148F4B74C4A}"/>
    <cellStyle name="Comma 3 2 4 2 3 2 6" xfId="19341" xr:uid="{6CAB3BC3-ECC9-49BB-B41D-4992F9493106}"/>
    <cellStyle name="Comma 3 2 4 2 3 3" xfId="6058" xr:uid="{7F5E50BA-43F7-4ECC-A675-18B0549FAC5C}"/>
    <cellStyle name="Comma 3 2 4 2 3 3 2" xfId="13570" xr:uid="{FD5B9143-9F1D-4D4E-95BF-8C87E43E5C91}"/>
    <cellStyle name="Comma 3 2 4 2 3 3 2 2" xfId="29774" xr:uid="{0666CBB4-4429-477E-B9F8-B0F515025064}"/>
    <cellStyle name="Comma 3 2 4 2 3 3 3" xfId="22262" xr:uid="{E329E370-5D82-4F8D-A8F0-DBC822417F51}"/>
    <cellStyle name="Comma 3 2 4 2 3 4" xfId="9154" xr:uid="{5C33621E-1C07-4B8C-BFB6-93FEDA17A228}"/>
    <cellStyle name="Comma 3 2 4 2 3 4 2" xfId="16629" xr:uid="{4E423AE5-FE35-4E21-ACAE-76354405FD52}"/>
    <cellStyle name="Comma 3 2 4 2 3 4 2 2" xfId="32833" xr:uid="{D308E06D-0CA8-4433-AEFF-27682C93C62A}"/>
    <cellStyle name="Comma 3 2 4 2 3 4 3" xfId="25358" xr:uid="{38EAB854-DD11-4753-914D-8A8C97F8A0E3}"/>
    <cellStyle name="Comma 3 2 4 2 3 5" xfId="9970" xr:uid="{0417922E-EC6D-4CA1-BE5B-49B4649476BE}"/>
    <cellStyle name="Comma 3 2 4 2 3 5 2" xfId="26174" xr:uid="{176EC98B-4566-42F9-82B0-E64F5AE13B42}"/>
    <cellStyle name="Comma 3 2 4 2 3 6" xfId="17139" xr:uid="{8D7BC440-70B7-4A01-9248-A55290F9F65C}"/>
    <cellStyle name="Comma 3 2 4 2 3 6 2" xfId="33271" xr:uid="{39A7EB45-7670-415C-8ED5-C0921D7E59E7}"/>
    <cellStyle name="Comma 3 2 4 2 3 7" xfId="18496" xr:uid="{924756CA-98CC-4ACB-B85F-A465B8D1414E}"/>
    <cellStyle name="Comma 3 2 4 2 4" xfId="2696" xr:uid="{5775AC5C-4347-4A06-85A1-7F9081CEC92A}"/>
    <cellStyle name="Comma 3 2 4 2 4 2" xfId="6480" xr:uid="{EC4878F9-6347-4011-A2E7-87BE6B61B772}"/>
    <cellStyle name="Comma 3 2 4 2 4 2 2" xfId="13992" xr:uid="{7FBE06B9-20D5-40CF-BFDE-81F1523C2ABA}"/>
    <cellStyle name="Comma 3 2 4 2 4 2 2 2" xfId="30196" xr:uid="{E176C4A8-4078-454D-B943-EBC64BE41850}"/>
    <cellStyle name="Comma 3 2 4 2 4 2 3" xfId="22684" xr:uid="{90A768D7-C187-4E02-85AC-99AB5DDF7937}"/>
    <cellStyle name="Comma 3 2 4 2 4 3" xfId="8935" xr:uid="{106CC254-3794-4723-A27F-C4357467F983}"/>
    <cellStyle name="Comma 3 2 4 2 4 3 2" xfId="16434" xr:uid="{7CE65DD4-5F89-45FF-9E0A-B7104B017AB0}"/>
    <cellStyle name="Comma 3 2 4 2 4 3 2 2" xfId="32638" xr:uid="{62B31B9D-3E56-4F09-85C1-AE6D6EF6D547}"/>
    <cellStyle name="Comma 3 2 4 2 4 3 3" xfId="25139" xr:uid="{0D4D7B1F-03A8-4896-B4FA-21EC75702A48}"/>
    <cellStyle name="Comma 3 2 4 2 4 4" xfId="10392" xr:uid="{1DA9C209-789B-4616-BF9D-01AD9937B328}"/>
    <cellStyle name="Comma 3 2 4 2 4 4 2" xfId="26596" xr:uid="{1E45C584-1A3C-4C63-A777-C0813DC4A581}"/>
    <cellStyle name="Comma 3 2 4 2 4 5" xfId="17141" xr:uid="{42E33718-47BB-48AF-8446-B2FC06631E09}"/>
    <cellStyle name="Comma 3 2 4 2 4 5 2" xfId="33273" xr:uid="{5FFB774D-B470-403C-A35F-FA52A2F41A59}"/>
    <cellStyle name="Comma 3 2 4 2 4 6" xfId="18918" xr:uid="{3B0667A7-391D-4844-9B09-E5A7DB9581C6}"/>
    <cellStyle name="Comma 3 2 4 2 5" xfId="3626" xr:uid="{2EEE05EE-50F6-4923-BE91-6100309C3BE7}"/>
    <cellStyle name="Comma 3 2 4 2 5 2" xfId="7336" xr:uid="{E9093584-260B-4078-896D-6E2BB681FF22}"/>
    <cellStyle name="Comma 3 2 4 2 5 2 2" xfId="14845" xr:uid="{9DC8C417-D666-45E3-845A-B98D65BAB238}"/>
    <cellStyle name="Comma 3 2 4 2 5 2 2 2" xfId="31049" xr:uid="{43851C7E-B8FE-4B5B-ACA9-5EAFF1AC9777}"/>
    <cellStyle name="Comma 3 2 4 2 5 2 3" xfId="23540" xr:uid="{02E9721E-205C-4D48-B94E-57E4B551ECE7}"/>
    <cellStyle name="Comma 3 2 4 2 5 3" xfId="9265" xr:uid="{9B642830-8E00-4D2C-8D9A-148B26B9F6F5}"/>
    <cellStyle name="Comma 3 2 4 2 5 3 2" xfId="16725" xr:uid="{E66BA3F6-6D2F-41C4-8C02-8D18600DA4DF}"/>
    <cellStyle name="Comma 3 2 4 2 5 3 2 2" xfId="32929" xr:uid="{366DF42B-2CCE-4380-8BFA-8B9E1B16160E}"/>
    <cellStyle name="Comma 3 2 4 2 5 3 3" xfId="25469" xr:uid="{27BDC2A1-61CB-4B8E-B34F-95054B922EF5}"/>
    <cellStyle name="Comma 3 2 4 2 5 4" xfId="11237" xr:uid="{E399D806-F8EF-4C37-8BB3-F0031048E6F9}"/>
    <cellStyle name="Comma 3 2 4 2 5 4 2" xfId="27441" xr:uid="{C614E1F4-4935-442E-86B4-3FC52F012B3E}"/>
    <cellStyle name="Comma 3 2 4 2 5 5" xfId="17142" xr:uid="{2EB51A48-000D-40F6-AB31-76601737BFB2}"/>
    <cellStyle name="Comma 3 2 4 2 5 5 2" xfId="33274" xr:uid="{F4061734-3D36-49C9-8081-DFB447409C4F}"/>
    <cellStyle name="Comma 3 2 4 2 5 6" xfId="19835" xr:uid="{F51C5DBB-7FC0-430E-B302-8A26DCC08860}"/>
    <cellStyle name="Comma 3 2 4 2 6" xfId="3907" xr:uid="{48173DF7-9712-4A6E-A238-3F1F5BC330E2}"/>
    <cellStyle name="Comma 3 2 4 2 6 2" xfId="9183" xr:uid="{244B4FEC-029B-4676-BCF4-7D954EE3707E}"/>
    <cellStyle name="Comma 3 2 4 2 6 2 2" xfId="25387" xr:uid="{1A994FF6-777E-41DF-AD81-0D9B0207C933}"/>
    <cellStyle name="Comma 3 2 4 2 6 3" xfId="17143" xr:uid="{314A8048-9F4F-4058-88C7-113CCE88CB73}"/>
    <cellStyle name="Comma 3 2 4 2 6 3 2" xfId="33275" xr:uid="{F7CDEF0A-FD5D-4C75-B923-53F2CB2C44D2}"/>
    <cellStyle name="Comma 3 2 4 2 6 4" xfId="20116" xr:uid="{186951B3-96C7-480C-96AD-5B88386AACAA}"/>
    <cellStyle name="Comma 3 2 4 2 7" xfId="4096" xr:uid="{8C46127D-39F1-4276-9E51-BEE5EED29CA5}"/>
    <cellStyle name="Comma 3 2 4 2 7 2" xfId="7766" xr:uid="{985E5996-72A2-445B-9DC6-DBC3DDD0497B}"/>
    <cellStyle name="Comma 3 2 4 2 7 2 2" xfId="15273" xr:uid="{E6010088-FF51-4FF7-BF32-57630B1EE69E}"/>
    <cellStyle name="Comma 3 2 4 2 7 2 2 2" xfId="31477" xr:uid="{4492BAF6-48CC-48A2-A955-01041DA667CF}"/>
    <cellStyle name="Comma 3 2 4 2 7 2 3" xfId="23970" xr:uid="{C0567D58-13C1-4A7E-8076-7F7D16DB6C7A}"/>
    <cellStyle name="Comma 3 2 4 2 7 3" xfId="5512" xr:uid="{C9D6135C-525B-4D69-B3E7-B70314668EFF}"/>
    <cellStyle name="Comma 3 2 4 2 7 3 2" xfId="13042" xr:uid="{9D1C1202-F9BD-4BB9-A909-D36FB207332D}"/>
    <cellStyle name="Comma 3 2 4 2 7 3 2 2" xfId="29246" xr:uid="{EA207E1A-CB0B-4A77-B603-C43F3AD96265}"/>
    <cellStyle name="Comma 3 2 4 2 7 3 3" xfId="21716" xr:uid="{E7FDE599-F8D6-4C92-AA51-8E73521258A8}"/>
    <cellStyle name="Comma 3 2 4 2 7 4" xfId="11659" xr:uid="{2C4739BA-AE3B-42A1-BB25-2BCA3FC2F337}"/>
    <cellStyle name="Comma 3 2 4 2 7 4 2" xfId="27863" xr:uid="{F3CB077D-DA2E-4983-998A-66AEDFFEF6A4}"/>
    <cellStyle name="Comma 3 2 4 2 7 5" xfId="17144" xr:uid="{B3F2AFF5-9F31-4F33-8383-7E8991E1B6C7}"/>
    <cellStyle name="Comma 3 2 4 2 7 5 2" xfId="33276" xr:uid="{9EFBDA71-E67D-40D3-9C4A-94099244467E}"/>
    <cellStyle name="Comma 3 2 4 2 7 6" xfId="20300" xr:uid="{6CD342D0-10A8-4464-931D-B75ADBEA5F93}"/>
    <cellStyle name="Comma 3 2 4 2 8" xfId="4521" xr:uid="{A19BA8A3-7664-4409-AA29-91D554CDFD43}"/>
    <cellStyle name="Comma 3 2 4 2 8 2" xfId="8191" xr:uid="{8E368E62-F8C2-4521-9C8E-5FEC908DE6C1}"/>
    <cellStyle name="Comma 3 2 4 2 8 2 2" xfId="15698" xr:uid="{9795CDB4-DEEC-4478-9FCD-039C4E78D338}"/>
    <cellStyle name="Comma 3 2 4 2 8 2 2 2" xfId="31902" xr:uid="{B10B6ABA-8A82-433A-A449-34FA541CBADA}"/>
    <cellStyle name="Comma 3 2 4 2 8 2 3" xfId="24395" xr:uid="{30FC9175-F699-4C99-A44A-C5714F730730}"/>
    <cellStyle name="Comma 3 2 4 2 8 3" xfId="9330" xr:uid="{85EB1B80-DDA9-4FA6-8780-C8709EB116AC}"/>
    <cellStyle name="Comma 3 2 4 2 8 3 2" xfId="16774" xr:uid="{2E6FF1AF-4794-4A50-915E-75850C6E5EFA}"/>
    <cellStyle name="Comma 3 2 4 2 8 3 2 2" xfId="32978" xr:uid="{6C4792A3-97D2-4206-9124-D2F6984A99DF}"/>
    <cellStyle name="Comma 3 2 4 2 8 3 3" xfId="25534" xr:uid="{2534DC2C-1CBB-4338-B571-7773724C9E06}"/>
    <cellStyle name="Comma 3 2 4 2 8 4" xfId="12084" xr:uid="{44B616E6-FBF7-46E8-A025-B11B8BFA67DA}"/>
    <cellStyle name="Comma 3 2 4 2 8 4 2" xfId="28288" xr:uid="{BDAB8945-F735-4674-B535-3FEAEBAF379F}"/>
    <cellStyle name="Comma 3 2 4 2 8 5" xfId="17145" xr:uid="{89978C59-CBAE-447C-AA65-3D91B7BD5A4A}"/>
    <cellStyle name="Comma 3 2 4 2 8 5 2" xfId="33277" xr:uid="{76697854-DD47-4F88-B523-D325F2300773}"/>
    <cellStyle name="Comma 3 2 4 2 8 6" xfId="20725" xr:uid="{84B7522F-016A-4BF0-92AE-4CD07BFDA61F}"/>
    <cellStyle name="Comma 3 2 4 2 9" xfId="4948" xr:uid="{8ED468BF-B9CE-4EDE-99FE-8ABC2965CCB2}"/>
    <cellStyle name="Comma 3 2 4 2 9 2" xfId="8614" xr:uid="{1636E27E-69C1-4FC7-82B6-D5BEC75E7820}"/>
    <cellStyle name="Comma 3 2 4 2 9 2 2" xfId="16121" xr:uid="{EC88DA64-F9FB-4DCF-818E-CF96903E0E91}"/>
    <cellStyle name="Comma 3 2 4 2 9 2 2 2" xfId="32325" xr:uid="{297E53A2-2D3C-4799-A5C7-0ABFED3EAA5D}"/>
    <cellStyle name="Comma 3 2 4 2 9 2 3" xfId="24818" xr:uid="{4AD3BB3A-0D25-437C-AAAB-09808C18FBD3}"/>
    <cellStyle name="Comma 3 2 4 2 9 3" xfId="12506" xr:uid="{3E8247DB-9E61-427B-935E-2D8344CFB239}"/>
    <cellStyle name="Comma 3 2 4 2 9 3 2" xfId="28710" xr:uid="{56B85478-4D9A-4DA9-AF4C-47CFCC41E9AB}"/>
    <cellStyle name="Comma 3 2 4 2 9 4" xfId="21152" xr:uid="{EA26A2EE-EA43-441D-B8C6-8D317B4DAAEA}"/>
    <cellStyle name="Comma 3 2 4 3" xfId="1768" xr:uid="{E75FDEE0-D596-446B-B7AA-816A8BBB8284}"/>
    <cellStyle name="Comma 3 2 4 3 10" xfId="5633" xr:uid="{6ACBC4FD-54BE-4860-9D31-B2595571EF58}"/>
    <cellStyle name="Comma 3 2 4 3 10 2" xfId="13148" xr:uid="{FAA9AF5E-67C0-445E-BB96-9D4250CBEC60}"/>
    <cellStyle name="Comma 3 2 4 3 10 2 2" xfId="29352" xr:uid="{3A9EAD2A-7E9A-422A-B471-F0967B380738}"/>
    <cellStyle name="Comma 3 2 4 3 10 3" xfId="21837" xr:uid="{9D7319EA-0FD5-4080-BA87-9B35191BE2C9}"/>
    <cellStyle name="Comma 3 2 4 3 11" xfId="9561" xr:uid="{DB3F0D04-C4B9-4552-A0E2-A7BDA90FB71C}"/>
    <cellStyle name="Comma 3 2 4 3 11 2" xfId="25765" xr:uid="{3C5D26FB-4D53-4882-9E9E-AB60CC116098}"/>
    <cellStyle name="Comma 3 2 4 3 12" xfId="17146" xr:uid="{5FEA474A-D6FD-4C0C-A0B9-A99EB89152D2}"/>
    <cellStyle name="Comma 3 2 4 3 12 2" xfId="33278" xr:uid="{16D0866F-4B2A-4B55-97C9-2BF10C7439B4}"/>
    <cellStyle name="Comma 3 2 4 3 13" xfId="18084" xr:uid="{F2BB3B49-F40B-4601-BEB2-2230D6A91465}"/>
    <cellStyle name="Comma 3 2 4 3 2" xfId="1911" xr:uid="{F0105CD7-F7D2-488A-B973-036E55897980}"/>
    <cellStyle name="Comma 3 2 4 3 2 10" xfId="9691" xr:uid="{54955412-8C7D-4227-8599-BEB8264CF6C8}"/>
    <cellStyle name="Comma 3 2 4 3 2 10 2" xfId="25895" xr:uid="{E372A4CB-CCCB-4410-B87A-5ED897ACFB18}"/>
    <cellStyle name="Comma 3 2 4 3 2 11" xfId="17147" xr:uid="{C04838AA-6AA2-4981-8B6E-2D332B7E0522}"/>
    <cellStyle name="Comma 3 2 4 3 2 11 2" xfId="33279" xr:uid="{9CB188EF-B794-4802-989D-27628ED9D2DA}"/>
    <cellStyle name="Comma 3 2 4 3 2 12" xfId="18215" xr:uid="{3BFA5A28-0552-49AF-85FB-0F1277A9A9DA}"/>
    <cellStyle name="Comma 3 2 4 3 2 2" xfId="2418" xr:uid="{6989010F-FF8F-4AE1-A44F-C2425E9A4F53}"/>
    <cellStyle name="Comma 3 2 4 3 2 2 2" xfId="3265" xr:uid="{A2BA78D2-B540-4A79-B4FD-34C775456A93}"/>
    <cellStyle name="Comma 3 2 4 3 2 2 2 2" xfId="7047" xr:uid="{2719D9A0-0AB1-4CB1-B0CB-630F25C254FB}"/>
    <cellStyle name="Comma 3 2 4 3 2 2 2 2 2" xfId="14558" xr:uid="{FF8E350F-4CC7-48D9-A8B8-787E83808D0B}"/>
    <cellStyle name="Comma 3 2 4 3 2 2 2 2 2 2" xfId="30762" xr:uid="{712DF3CE-4F2C-49C6-9D71-8290116BBF0E}"/>
    <cellStyle name="Comma 3 2 4 3 2 2 2 2 3" xfId="23251" xr:uid="{F087C20D-471E-4DCB-8210-ED424B54196E}"/>
    <cellStyle name="Comma 3 2 4 3 2 2 2 3" xfId="9167" xr:uid="{AAB3A64D-74FD-4925-B3B8-B6A33C711F55}"/>
    <cellStyle name="Comma 3 2 4 3 2 2 2 3 2" xfId="16641" xr:uid="{5ED1126D-2BE5-45A8-8492-EA4A3DA4D921}"/>
    <cellStyle name="Comma 3 2 4 3 2 2 2 3 2 2" xfId="32845" xr:uid="{B4B6E010-63AC-48ED-AAE9-D3F8EDF9B057}"/>
    <cellStyle name="Comma 3 2 4 3 2 2 2 3 3" xfId="25371" xr:uid="{234F6E3A-A216-494D-9216-624F11E85604}"/>
    <cellStyle name="Comma 3 2 4 3 2 2 2 4" xfId="10958" xr:uid="{4872DE4A-3913-4125-BECB-753F77EAA065}"/>
    <cellStyle name="Comma 3 2 4 3 2 2 2 4 2" xfId="27162" xr:uid="{0F4CDDD9-FCB7-41B4-8AD7-5B4606DD7EE0}"/>
    <cellStyle name="Comma 3 2 4 3 2 2 2 5" xfId="17149" xr:uid="{71F8967A-DAE5-4C12-B5AD-DCDE94691152}"/>
    <cellStyle name="Comma 3 2 4 3 2 2 2 5 2" xfId="33281" xr:uid="{4FFBBFEA-ACAA-400E-A03E-B5DF743C5419}"/>
    <cellStyle name="Comma 3 2 4 3 2 2 2 6" xfId="19485" xr:uid="{354C3AE7-E38E-441A-BB81-992E56D608A2}"/>
    <cellStyle name="Comma 3 2 4 3 2 2 3" xfId="6202" xr:uid="{40E2DEAF-B832-4172-9F08-18918B8AD427}"/>
    <cellStyle name="Comma 3 2 4 3 2 2 3 2" xfId="13714" xr:uid="{53A60747-23F6-4D42-BF08-6841ADBC24AF}"/>
    <cellStyle name="Comma 3 2 4 3 2 2 3 2 2" xfId="29918" xr:uid="{76C15067-8229-4F56-9A98-1DF1277E50EE}"/>
    <cellStyle name="Comma 3 2 4 3 2 2 3 3" xfId="22406" xr:uid="{DA985418-2A44-47CA-BE94-0F7674D3DF3E}"/>
    <cellStyle name="Comma 3 2 4 3 2 2 4" xfId="5495" xr:uid="{9DC64CFF-8F0C-4E33-BE11-580E38DA5AC0}"/>
    <cellStyle name="Comma 3 2 4 3 2 2 4 2" xfId="13030" xr:uid="{8A7CC2CA-78F2-415B-BDDF-A6ED46F961A0}"/>
    <cellStyle name="Comma 3 2 4 3 2 2 4 2 2" xfId="29234" xr:uid="{08A7EE67-5311-47EE-8869-C0741CD84623}"/>
    <cellStyle name="Comma 3 2 4 3 2 2 4 3" xfId="21699" xr:uid="{C49A1F3B-4051-4EF2-B464-F7EBDD018100}"/>
    <cellStyle name="Comma 3 2 4 3 2 2 5" xfId="10114" xr:uid="{E0787BBC-9C49-4C95-9A5B-A5D35E17B53E}"/>
    <cellStyle name="Comma 3 2 4 3 2 2 5 2" xfId="26318" xr:uid="{0DCEBD0D-C02C-442F-A4FF-16D6C1530CF3}"/>
    <cellStyle name="Comma 3 2 4 3 2 2 6" xfId="17148" xr:uid="{D3EA9596-8403-46A9-9F73-E6963324BD16}"/>
    <cellStyle name="Comma 3 2 4 3 2 2 6 2" xfId="33280" xr:uid="{906C76C6-EE3D-4A4C-B46C-C60787D0EF7A}"/>
    <cellStyle name="Comma 3 2 4 3 2 2 7" xfId="18640" xr:uid="{B8BEF977-905D-4114-BDCB-3DFD6D446510}"/>
    <cellStyle name="Comma 3 2 4 3 2 3" xfId="2840" xr:uid="{3252A590-1781-4333-A3B2-714F695CEE06}"/>
    <cellStyle name="Comma 3 2 4 3 2 3 2" xfId="6624" xr:uid="{E2C05F47-A8C2-44C5-AEB4-926D3CC929FD}"/>
    <cellStyle name="Comma 3 2 4 3 2 3 2 2" xfId="14136" xr:uid="{932CFA49-74AE-482F-AC89-B53F38F686F1}"/>
    <cellStyle name="Comma 3 2 4 3 2 3 2 2 2" xfId="30340" xr:uid="{ED957765-4B85-47FC-A4D0-96698F259A85}"/>
    <cellStyle name="Comma 3 2 4 3 2 3 2 3" xfId="22828" xr:uid="{03806CAB-0E9D-480D-B5D8-26D8548F23E0}"/>
    <cellStyle name="Comma 3 2 4 3 2 3 3" xfId="5533" xr:uid="{73FE5248-969D-4A0D-9E5B-02F2E50E260F}"/>
    <cellStyle name="Comma 3 2 4 3 2 3 3 2" xfId="13059" xr:uid="{148DDFD9-8A01-4737-920E-7BFCCC724510}"/>
    <cellStyle name="Comma 3 2 4 3 2 3 3 2 2" xfId="29263" xr:uid="{A719B5ED-C52B-4F8C-A1F3-1DF2F36852DE}"/>
    <cellStyle name="Comma 3 2 4 3 2 3 3 3" xfId="21737" xr:uid="{C3C6CF28-23A9-4CD5-A943-A7470B8C425D}"/>
    <cellStyle name="Comma 3 2 4 3 2 3 4" xfId="10536" xr:uid="{A280958F-6577-4E12-86A9-3FFCBDB771A0}"/>
    <cellStyle name="Comma 3 2 4 3 2 3 4 2" xfId="26740" xr:uid="{7334F050-2367-4BCB-978E-97D89D647319}"/>
    <cellStyle name="Comma 3 2 4 3 2 3 5" xfId="17150" xr:uid="{C689A126-13B4-4E0C-909E-239A55BB11E9}"/>
    <cellStyle name="Comma 3 2 4 3 2 3 5 2" xfId="33282" xr:uid="{FA1B36A2-2201-4DAF-9739-D8637A1BC317}"/>
    <cellStyle name="Comma 3 2 4 3 2 3 6" xfId="19062" xr:uid="{3E0446D3-2832-4992-8E44-26B3832DF265}"/>
    <cellStyle name="Comma 3 2 4 3 2 4" xfId="3771" xr:uid="{8BA03652-1821-49DB-ACCF-C46527CA04E9}"/>
    <cellStyle name="Comma 3 2 4 3 2 4 2" xfId="7481" xr:uid="{58C26D15-2112-42F2-AFF9-7A62110476F8}"/>
    <cellStyle name="Comma 3 2 4 3 2 4 2 2" xfId="14990" xr:uid="{07181D0C-8932-4F4E-80FF-13A9EF503708}"/>
    <cellStyle name="Comma 3 2 4 3 2 4 2 2 2" xfId="31194" xr:uid="{222577E5-053C-4D6D-A373-5BCD001D9B36}"/>
    <cellStyle name="Comma 3 2 4 3 2 4 2 3" xfId="23685" xr:uid="{A1C7FEE1-9C76-4CB9-9E42-5A94D40B283F}"/>
    <cellStyle name="Comma 3 2 4 3 2 4 3" xfId="9300" xr:uid="{DE2204D7-CF75-422D-A3C1-06C83338B908}"/>
    <cellStyle name="Comma 3 2 4 3 2 4 3 2" xfId="16754" xr:uid="{A5DE2AEA-4921-40EB-AB64-C37ED3ADB780}"/>
    <cellStyle name="Comma 3 2 4 3 2 4 3 2 2" xfId="32958" xr:uid="{513E0564-A7F4-4DE3-99B0-6CDCE15B96A7}"/>
    <cellStyle name="Comma 3 2 4 3 2 4 3 3" xfId="25504" xr:uid="{9DEB8DB4-0DEA-4024-B8D9-1DC1998CF176}"/>
    <cellStyle name="Comma 3 2 4 3 2 4 4" xfId="11381" xr:uid="{9483B08F-81A6-450F-9B36-8952F142B2AC}"/>
    <cellStyle name="Comma 3 2 4 3 2 4 4 2" xfId="27585" xr:uid="{89AF0E4B-74AB-4208-8331-44E59D280B3E}"/>
    <cellStyle name="Comma 3 2 4 3 2 4 5" xfId="17151" xr:uid="{4BE7A4CD-E8AD-4A9C-9C93-72343EE65B28}"/>
    <cellStyle name="Comma 3 2 4 3 2 4 5 2" xfId="33283" xr:uid="{1D41B5A0-B60E-4C4E-A361-8CB0252DBD72}"/>
    <cellStyle name="Comma 3 2 4 3 2 4 6" xfId="19980" xr:uid="{50526993-7473-4D22-8822-666E980906A0}"/>
    <cellStyle name="Comma 3 2 4 3 2 5" xfId="3583" xr:uid="{1859188B-9D02-41BC-BF5E-845BFC96DBCB}"/>
    <cellStyle name="Comma 3 2 4 3 2 5 2" xfId="6736" xr:uid="{24BD1446-6EE8-4C0B-AFFE-E090FC95FF8A}"/>
    <cellStyle name="Comma 3 2 4 3 2 5 2 2" xfId="22940" xr:uid="{AA0CA9B1-81CD-47FE-BC73-8A7B9C90AAF5}"/>
    <cellStyle name="Comma 3 2 4 3 2 5 3" xfId="17152" xr:uid="{992F3E9C-BCC0-489F-98DB-499FFBF97DDE}"/>
    <cellStyle name="Comma 3 2 4 3 2 5 3 2" xfId="33284" xr:uid="{55AC6365-7C60-4BB6-8814-D5D4883C8747}"/>
    <cellStyle name="Comma 3 2 4 3 2 5 4" xfId="19794" xr:uid="{2EA934D9-7463-43E3-AE6B-C2C40BA4579B}"/>
    <cellStyle name="Comma 3 2 4 3 2 6" xfId="4240" xr:uid="{6BFB1169-95A9-4038-8A68-A658DFF69471}"/>
    <cellStyle name="Comma 3 2 4 3 2 6 2" xfId="7910" xr:uid="{D558F46F-A7DC-4850-A5B8-5A1CB81146F1}"/>
    <cellStyle name="Comma 3 2 4 3 2 6 2 2" xfId="15417" xr:uid="{1049B9AF-6920-40A0-B051-7A4114D34C1C}"/>
    <cellStyle name="Comma 3 2 4 3 2 6 2 2 2" xfId="31621" xr:uid="{F61D688A-B14E-45C6-A86A-4AEECC1B1A65}"/>
    <cellStyle name="Comma 3 2 4 3 2 6 2 3" xfId="24114" xr:uid="{CE664AC6-73F9-4A7F-AF0C-CF636FDCD3B8}"/>
    <cellStyle name="Comma 3 2 4 3 2 6 3" xfId="9229" xr:uid="{E3F815B1-95D1-4E27-A90F-D54A0E875832}"/>
    <cellStyle name="Comma 3 2 4 3 2 6 3 2" xfId="16693" xr:uid="{A456E91B-CE44-4591-A5EA-CF14ABF69BC8}"/>
    <cellStyle name="Comma 3 2 4 3 2 6 3 2 2" xfId="32897" xr:uid="{D05E0162-4991-41F9-B7BD-AEBF04395424}"/>
    <cellStyle name="Comma 3 2 4 3 2 6 3 3" xfId="25433" xr:uid="{3D88F83B-D288-4FFA-BF8E-0BCA50DE6CEC}"/>
    <cellStyle name="Comma 3 2 4 3 2 6 4" xfId="11803" xr:uid="{703D2D5A-85DE-4111-A6C5-D332718B6071}"/>
    <cellStyle name="Comma 3 2 4 3 2 6 4 2" xfId="28007" xr:uid="{7867657E-F3AC-4C02-9FDD-CF199A1E5526}"/>
    <cellStyle name="Comma 3 2 4 3 2 6 5" xfId="17153" xr:uid="{F683F17E-7B43-4BB2-862B-C8100EE570F7}"/>
    <cellStyle name="Comma 3 2 4 3 2 6 5 2" xfId="33285" xr:uid="{EBF18666-C09F-485F-A3AE-D0DCBE2DDEF1}"/>
    <cellStyle name="Comma 3 2 4 3 2 6 6" xfId="20444" xr:uid="{D26A9CD6-FF7A-48E5-958C-895E6EC0A4C1}"/>
    <cellStyle name="Comma 3 2 4 3 2 7" xfId="4665" xr:uid="{F5C9C465-EB79-4536-8EA8-6A2EB1993748}"/>
    <cellStyle name="Comma 3 2 4 3 2 7 2" xfId="8335" xr:uid="{A395BDD1-578C-4047-8C1B-B37FC70C136F}"/>
    <cellStyle name="Comma 3 2 4 3 2 7 2 2" xfId="15842" xr:uid="{1F2BAE9C-626F-4D0E-8F2D-B513F46D0800}"/>
    <cellStyle name="Comma 3 2 4 3 2 7 2 2 2" xfId="32046" xr:uid="{4FE2D641-A7A9-4780-80A2-84B6A46186E7}"/>
    <cellStyle name="Comma 3 2 4 3 2 7 2 3" xfId="24539" xr:uid="{F0F72B68-C2E3-4233-A1C2-0A7D46A65FEF}"/>
    <cellStyle name="Comma 3 2 4 3 2 7 3" xfId="5496" xr:uid="{9F53762C-250E-44D7-BFB4-28B0B1D5CFDE}"/>
    <cellStyle name="Comma 3 2 4 3 2 7 3 2" xfId="13031" xr:uid="{573033B7-527B-4D72-98E6-B0BC3BE3F7D5}"/>
    <cellStyle name="Comma 3 2 4 3 2 7 3 2 2" xfId="29235" xr:uid="{62E3B9B6-B189-48C6-82C7-B4193472CBC2}"/>
    <cellStyle name="Comma 3 2 4 3 2 7 3 3" xfId="21700" xr:uid="{810B5620-75E7-428F-A328-84CB917B75BF}"/>
    <cellStyle name="Comma 3 2 4 3 2 7 4" xfId="12228" xr:uid="{58881FC2-84D5-4AEF-8B02-9B412DD81693}"/>
    <cellStyle name="Comma 3 2 4 3 2 7 4 2" xfId="28432" xr:uid="{974E81D6-8054-4B61-96E3-F0B47331EA30}"/>
    <cellStyle name="Comma 3 2 4 3 2 7 5" xfId="17154" xr:uid="{B2C4A712-2886-4BD6-990C-40D9AB3C7CCF}"/>
    <cellStyle name="Comma 3 2 4 3 2 7 5 2" xfId="33286" xr:uid="{D806F717-6A90-42B2-B86F-279288934F22}"/>
    <cellStyle name="Comma 3 2 4 3 2 7 6" xfId="20869" xr:uid="{CF2C52BE-4464-48E1-A760-F82BD4510F2E}"/>
    <cellStyle name="Comma 3 2 4 3 2 8" xfId="5093" xr:uid="{DD753834-240A-461B-89F7-F32E7C3821B2}"/>
    <cellStyle name="Comma 3 2 4 3 2 8 2" xfId="8758" xr:uid="{EDF33668-6596-49E5-B296-E5AA52125E0F}"/>
    <cellStyle name="Comma 3 2 4 3 2 8 2 2" xfId="16265" xr:uid="{EDD81FE9-7434-44D5-931F-5CA75958B436}"/>
    <cellStyle name="Comma 3 2 4 3 2 8 2 2 2" xfId="32469" xr:uid="{0CE26E4A-6D65-4BA8-8F95-D23E51968518}"/>
    <cellStyle name="Comma 3 2 4 3 2 8 2 3" xfId="24962" xr:uid="{69D37352-F5A6-49B2-9637-F5D6340FF8F5}"/>
    <cellStyle name="Comma 3 2 4 3 2 8 3" xfId="12650" xr:uid="{74EA0B4A-871B-4E05-B535-FDF57B4C6CF1}"/>
    <cellStyle name="Comma 3 2 4 3 2 8 3 2" xfId="28854" xr:uid="{170271C9-9A0C-43E4-8C5F-24E66D8FD3D3}"/>
    <cellStyle name="Comma 3 2 4 3 2 8 4" xfId="21297" xr:uid="{3207E563-6977-44C5-A9D5-24C37ED319A0}"/>
    <cellStyle name="Comma 3 2 4 3 2 9" xfId="5764" xr:uid="{3E80ABD6-4109-4DF3-92E0-9AEB881C9A57}"/>
    <cellStyle name="Comma 3 2 4 3 2 9 2" xfId="13279" xr:uid="{A06D0529-E3B1-4577-93A5-52AB26E83B2D}"/>
    <cellStyle name="Comma 3 2 4 3 2 9 2 2" xfId="29483" xr:uid="{12F49D3B-8086-4171-8862-F2F46D72A316}"/>
    <cellStyle name="Comma 3 2 4 3 2 9 3" xfId="21968" xr:uid="{04647814-0349-40E7-AF5E-37A2BED83A9D}"/>
    <cellStyle name="Comma 3 2 4 3 3" xfId="2286" xr:uid="{21FE1B4C-8C84-47DD-BCD3-93C7919A70DF}"/>
    <cellStyle name="Comma 3 2 4 3 3 2" xfId="3135" xr:uid="{8A95A441-242A-46F0-B963-1F288428E8E2}"/>
    <cellStyle name="Comma 3 2 4 3 3 2 2" xfId="6917" xr:uid="{D121CB92-AD75-4DBE-8FB3-508FCD2CAF97}"/>
    <cellStyle name="Comma 3 2 4 3 3 2 2 2" xfId="14428" xr:uid="{6AD23797-6C9E-4EFE-A580-386C2E230555}"/>
    <cellStyle name="Comma 3 2 4 3 3 2 2 2 2" xfId="30632" xr:uid="{5A6EB92D-0A32-420D-904F-669DA77CE8A0}"/>
    <cellStyle name="Comma 3 2 4 3 3 2 2 3" xfId="23121" xr:uid="{C6FC4603-6919-4F89-BA67-F88E5BAA4D18}"/>
    <cellStyle name="Comma 3 2 4 3 3 2 3" xfId="8925" xr:uid="{01CA0AEF-2969-4A99-80F0-B5A8766A1D56}"/>
    <cellStyle name="Comma 3 2 4 3 3 2 3 2" xfId="16426" xr:uid="{0F782F7E-7702-4A52-8729-CDF577E791B8}"/>
    <cellStyle name="Comma 3 2 4 3 3 2 3 2 2" xfId="32630" xr:uid="{BA224091-97EB-49E7-891E-D0FEBB207343}"/>
    <cellStyle name="Comma 3 2 4 3 3 2 3 3" xfId="25129" xr:uid="{0FCA61D4-46EB-4922-8C2B-60CB6D76CCF0}"/>
    <cellStyle name="Comma 3 2 4 3 3 2 4" xfId="10828" xr:uid="{5D7FE1C2-78A4-4E1E-B96D-A1BBE327B77E}"/>
    <cellStyle name="Comma 3 2 4 3 3 2 4 2" xfId="27032" xr:uid="{A78E7258-FD96-4905-8684-0C54F8733C6C}"/>
    <cellStyle name="Comma 3 2 4 3 3 2 5" xfId="17156" xr:uid="{913E9FEC-3CD4-443B-B529-742568D9F61F}"/>
    <cellStyle name="Comma 3 2 4 3 3 2 5 2" xfId="33288" xr:uid="{ACA5E4D2-A107-4E78-A63F-1D94B15252FF}"/>
    <cellStyle name="Comma 3 2 4 3 3 2 6" xfId="19355" xr:uid="{41A105F9-9352-42A6-A79F-818276056D2F}"/>
    <cellStyle name="Comma 3 2 4 3 3 3" xfId="6072" xr:uid="{2321F516-5E97-4F2F-9FA3-2C3499A32629}"/>
    <cellStyle name="Comma 3 2 4 3 3 3 2" xfId="13584" xr:uid="{DD693EB6-EC67-4353-9E06-573C63D5648E}"/>
    <cellStyle name="Comma 3 2 4 3 3 3 2 2" xfId="29788" xr:uid="{D26F491D-152E-4B59-91F2-057D66D4AF34}"/>
    <cellStyle name="Comma 3 2 4 3 3 3 3" xfId="22276" xr:uid="{76BFF710-C908-445A-A06C-E5FF512B17F8}"/>
    <cellStyle name="Comma 3 2 4 3 3 4" xfId="9155" xr:uid="{0EC98E8E-B5BE-4DCC-8EF8-634957A0CF1A}"/>
    <cellStyle name="Comma 3 2 4 3 3 4 2" xfId="16630" xr:uid="{08F9BDE9-C4EE-42A6-A815-B107F79D32C4}"/>
    <cellStyle name="Comma 3 2 4 3 3 4 2 2" xfId="32834" xr:uid="{B7AEBD2A-BEB5-4977-AB46-3FAE79A83C31}"/>
    <cellStyle name="Comma 3 2 4 3 3 4 3" xfId="25359" xr:uid="{A2CCAE02-2C02-424E-827B-818218377A83}"/>
    <cellStyle name="Comma 3 2 4 3 3 5" xfId="9984" xr:uid="{60AD2A31-5C81-4326-AB2B-FBCF67757D76}"/>
    <cellStyle name="Comma 3 2 4 3 3 5 2" xfId="26188" xr:uid="{246A79ED-3F7F-4030-9909-353EA56F9F0D}"/>
    <cellStyle name="Comma 3 2 4 3 3 6" xfId="17155" xr:uid="{18A0A36D-F740-4290-9360-649AE7DEF2DB}"/>
    <cellStyle name="Comma 3 2 4 3 3 6 2" xfId="33287" xr:uid="{7962A550-D513-4598-8BC5-9A3476C86756}"/>
    <cellStyle name="Comma 3 2 4 3 3 7" xfId="18510" xr:uid="{047AA279-70D6-439C-9FF3-DFC231BE0B98}"/>
    <cellStyle name="Comma 3 2 4 3 4" xfId="2710" xr:uid="{FCB717CA-B617-44A9-BA93-BF47C9AB02D8}"/>
    <cellStyle name="Comma 3 2 4 3 4 2" xfId="6494" xr:uid="{96FC75BE-263F-49BE-AECB-72A8994E8A2D}"/>
    <cellStyle name="Comma 3 2 4 3 4 2 2" xfId="14006" xr:uid="{98CECE2D-D451-4234-9A2A-491C19A896EE}"/>
    <cellStyle name="Comma 3 2 4 3 4 2 2 2" xfId="30210" xr:uid="{B75537F3-1FA2-4B38-B76D-B1A38D4AE68E}"/>
    <cellStyle name="Comma 3 2 4 3 4 2 3" xfId="22698" xr:uid="{5A88A0DA-06C5-4E13-A5C5-3AB7EDBF9220}"/>
    <cellStyle name="Comma 3 2 4 3 4 3" xfId="8994" xr:uid="{F6EA5E3C-9AC2-48D1-AF56-12E87233148D}"/>
    <cellStyle name="Comma 3 2 4 3 4 3 2" xfId="16487" xr:uid="{D22E8536-7AB1-4279-A6F2-2EA7E0624D9C}"/>
    <cellStyle name="Comma 3 2 4 3 4 3 2 2" xfId="32691" xr:uid="{6CD31E69-3C7A-47EB-9F61-3694605CB51F}"/>
    <cellStyle name="Comma 3 2 4 3 4 3 3" xfId="25198" xr:uid="{F90886DE-064A-4109-94E8-1D229AFE6EFD}"/>
    <cellStyle name="Comma 3 2 4 3 4 4" xfId="10406" xr:uid="{6C52BE12-F22B-49A5-848E-7D64AB1B9651}"/>
    <cellStyle name="Comma 3 2 4 3 4 4 2" xfId="26610" xr:uid="{F15472A8-8151-428E-BA24-AE85FFC3C345}"/>
    <cellStyle name="Comma 3 2 4 3 4 5" xfId="17157" xr:uid="{9E064D7D-677B-4A57-B41B-D73BC56629C3}"/>
    <cellStyle name="Comma 3 2 4 3 4 5 2" xfId="33289" xr:uid="{3DC0A670-6987-48E4-806A-37F2AB5C80E5}"/>
    <cellStyle name="Comma 3 2 4 3 4 6" xfId="18932" xr:uid="{7499CA61-5B99-4B43-97FA-29B1A24E428E}"/>
    <cellStyle name="Comma 3 2 4 3 5" xfId="3640" xr:uid="{D0BDCA26-1DEC-49C5-8687-35FE7BF2ADE4}"/>
    <cellStyle name="Comma 3 2 4 3 5 2" xfId="7350" xr:uid="{B94AB4E6-0234-403C-B867-F023C23F7C7C}"/>
    <cellStyle name="Comma 3 2 4 3 5 2 2" xfId="14859" xr:uid="{740B9C51-383B-49AE-8E02-FA1CA4168B01}"/>
    <cellStyle name="Comma 3 2 4 3 5 2 2 2" xfId="31063" xr:uid="{1F64564A-F77F-4246-A1BB-CE5DFF385F48}"/>
    <cellStyle name="Comma 3 2 4 3 5 2 3" xfId="23554" xr:uid="{0A3772FC-2982-4394-B2D8-B4483D828E69}"/>
    <cellStyle name="Comma 3 2 4 3 5 3" xfId="9250" xr:uid="{98FDFA8B-49A3-4BE0-A89E-C25910E6D7D9}"/>
    <cellStyle name="Comma 3 2 4 3 5 3 2" xfId="16712" xr:uid="{B94D320E-B5DD-4771-86C6-ED741C404286}"/>
    <cellStyle name="Comma 3 2 4 3 5 3 2 2" xfId="32916" xr:uid="{EFF9EC15-86B9-4850-A67E-8D8D02BB51CB}"/>
    <cellStyle name="Comma 3 2 4 3 5 3 3" xfId="25454" xr:uid="{4F126DBD-16D6-422B-922B-9AB031EFAD33}"/>
    <cellStyle name="Comma 3 2 4 3 5 4" xfId="11251" xr:uid="{73397073-5E78-4D7A-A598-D0F96B0EFF35}"/>
    <cellStyle name="Comma 3 2 4 3 5 4 2" xfId="27455" xr:uid="{14201B28-D2E0-48F5-B104-4A27921CA38E}"/>
    <cellStyle name="Comma 3 2 4 3 5 5" xfId="17158" xr:uid="{2871F2D0-4004-43BF-8CC2-6D2F9710FEEF}"/>
    <cellStyle name="Comma 3 2 4 3 5 5 2" xfId="33290" xr:uid="{FD490117-F996-43FC-BD2D-1CF0B958FC67}"/>
    <cellStyle name="Comma 3 2 4 3 5 6" xfId="19849" xr:uid="{E621A13C-CE81-4DD8-942F-B7E6E9268D08}"/>
    <cellStyle name="Comma 3 2 4 3 6" xfId="3568" xr:uid="{7F359419-7AF9-444F-BF63-A9B7EDA50A28}"/>
    <cellStyle name="Comma 3 2 4 3 6 2" xfId="5406" xr:uid="{5F9AA19C-5086-48B7-868A-62DCD9C614D1}"/>
    <cellStyle name="Comma 3 2 4 3 6 2 2" xfId="21610" xr:uid="{BAF4EB42-04E6-4C65-9603-872C631B22F3}"/>
    <cellStyle name="Comma 3 2 4 3 6 3" xfId="17159" xr:uid="{9459D595-39C2-4049-AE20-244C76598841}"/>
    <cellStyle name="Comma 3 2 4 3 6 3 2" xfId="33291" xr:uid="{70B37C20-53D6-44C7-9450-AE74AF3C5454}"/>
    <cellStyle name="Comma 3 2 4 3 6 4" xfId="19781" xr:uid="{C738719E-F159-4D67-933D-CE08C6F7553F}"/>
    <cellStyle name="Comma 3 2 4 3 7" xfId="4110" xr:uid="{BC947EDF-EA36-4132-BF34-63137DB07368}"/>
    <cellStyle name="Comma 3 2 4 3 7 2" xfId="7780" xr:uid="{2E5E8EFC-D4E8-40CD-B359-4EC17625F36E}"/>
    <cellStyle name="Comma 3 2 4 3 7 2 2" xfId="15287" xr:uid="{07B58AC5-D841-4C4E-9698-5DBA35D88F31}"/>
    <cellStyle name="Comma 3 2 4 3 7 2 2 2" xfId="31491" xr:uid="{0BA0522F-B0E3-44E6-88BF-863CD1A783E7}"/>
    <cellStyle name="Comma 3 2 4 3 7 2 3" xfId="23984" xr:uid="{A325C16F-A4A4-4BC3-8158-FD0CA52FB9CA}"/>
    <cellStyle name="Comma 3 2 4 3 7 3" xfId="8964" xr:uid="{9348B2D4-5047-452E-A48C-63873497F388}"/>
    <cellStyle name="Comma 3 2 4 3 7 3 2" xfId="16459" xr:uid="{4542CB52-889B-49EA-A356-944A213F6315}"/>
    <cellStyle name="Comma 3 2 4 3 7 3 2 2" xfId="32663" xr:uid="{5BA07FFD-4A31-4057-AA07-7BDB3E13E665}"/>
    <cellStyle name="Comma 3 2 4 3 7 3 3" xfId="25168" xr:uid="{4D93F192-8DAC-43EC-9971-9913B66729C4}"/>
    <cellStyle name="Comma 3 2 4 3 7 4" xfId="11673" xr:uid="{894DA80A-DBE3-449E-8F0A-6923466D1B63}"/>
    <cellStyle name="Comma 3 2 4 3 7 4 2" xfId="27877" xr:uid="{CBCF7DCF-AAE5-4D02-9B3B-281D6B5AC4BB}"/>
    <cellStyle name="Comma 3 2 4 3 7 5" xfId="17160" xr:uid="{C166D208-68A1-428A-AC71-F54717C69834}"/>
    <cellStyle name="Comma 3 2 4 3 7 5 2" xfId="33292" xr:uid="{9EC8FD8F-CABD-4C6F-AA0B-A37645EF8DF3}"/>
    <cellStyle name="Comma 3 2 4 3 7 6" xfId="20314" xr:uid="{E53434C7-54A2-4AC9-AD0D-242C4BFCAFBD}"/>
    <cellStyle name="Comma 3 2 4 3 8" xfId="4535" xr:uid="{14690E9F-D512-46DE-A7BA-BB73606212E5}"/>
    <cellStyle name="Comma 3 2 4 3 8 2" xfId="8205" xr:uid="{B9EBD405-4A95-4A7F-B549-AFE7D5BD5EE2}"/>
    <cellStyle name="Comma 3 2 4 3 8 2 2" xfId="15712" xr:uid="{90C26150-BC93-4234-97FC-DD65928D6FFF}"/>
    <cellStyle name="Comma 3 2 4 3 8 2 2 2" xfId="31916" xr:uid="{6D237B69-A1EA-490C-B98B-AEFF25263B7B}"/>
    <cellStyle name="Comma 3 2 4 3 8 2 3" xfId="24409" xr:uid="{2A44DAA4-B11F-4C82-837A-A7CAA45BD8E7}"/>
    <cellStyle name="Comma 3 2 4 3 8 3" xfId="9192" xr:uid="{07366845-1FED-415B-9AD2-C6D2786A829A}"/>
    <cellStyle name="Comma 3 2 4 3 8 3 2" xfId="16663" xr:uid="{F2961FB4-547E-40D4-869F-1208D152A4D5}"/>
    <cellStyle name="Comma 3 2 4 3 8 3 2 2" xfId="32867" xr:uid="{B63D9C1F-9BB7-4871-8E30-5B0EFE8BD936}"/>
    <cellStyle name="Comma 3 2 4 3 8 3 3" xfId="25396" xr:uid="{429A0F0C-2639-4AD3-88BC-EF3157397F45}"/>
    <cellStyle name="Comma 3 2 4 3 8 4" xfId="12098" xr:uid="{87583154-69B4-4336-8484-3D905D4552E9}"/>
    <cellStyle name="Comma 3 2 4 3 8 4 2" xfId="28302" xr:uid="{E899632B-8155-41FF-95F6-6866DACC2A8B}"/>
    <cellStyle name="Comma 3 2 4 3 8 5" xfId="17161" xr:uid="{0DA00576-AAD7-443B-A2DA-4FE78CDA5290}"/>
    <cellStyle name="Comma 3 2 4 3 8 5 2" xfId="33293" xr:uid="{E8BD4DFD-5F9E-46EF-8D4D-10CA4EB23FA2}"/>
    <cellStyle name="Comma 3 2 4 3 8 6" xfId="20739" xr:uid="{3D57CFA2-D9ED-41A1-8929-1374B5E50EED}"/>
    <cellStyle name="Comma 3 2 4 3 9" xfId="4962" xr:uid="{65616DB4-12A7-49EA-BD54-E5368D60A060}"/>
    <cellStyle name="Comma 3 2 4 3 9 2" xfId="8628" xr:uid="{70C69C4E-C20A-479F-BE24-3DE3BC076173}"/>
    <cellStyle name="Comma 3 2 4 3 9 2 2" xfId="16135" xr:uid="{D948690A-AB31-418E-A17D-21D1D4DFEF1C}"/>
    <cellStyle name="Comma 3 2 4 3 9 2 2 2" xfId="32339" xr:uid="{D805CA65-9015-4157-94DD-F86FBA04C751}"/>
    <cellStyle name="Comma 3 2 4 3 9 2 3" xfId="24832" xr:uid="{FD6BFB80-24D9-4A44-895F-A2E93D77EC29}"/>
    <cellStyle name="Comma 3 2 4 3 9 3" xfId="12520" xr:uid="{54ACAFF5-C9D7-4D1E-B8D1-3E1882BCCF1B}"/>
    <cellStyle name="Comma 3 2 4 3 9 3 2" xfId="28724" xr:uid="{0782456B-559A-4276-B36B-ADC86106634B}"/>
    <cellStyle name="Comma 3 2 4 3 9 4" xfId="21166" xr:uid="{01187D62-5EA0-4F3B-8AFF-E9892B6D3AEB}"/>
    <cellStyle name="Comma 3 2 4 4" xfId="1786" xr:uid="{7A24C8B9-3934-4451-9AC1-A49B0A2372B7}"/>
    <cellStyle name="Comma 3 2 4 4 10" xfId="5647" xr:uid="{29BA745A-B0E6-44D3-8EA7-4DC4A63D7B3F}"/>
    <cellStyle name="Comma 3 2 4 4 10 2" xfId="13162" xr:uid="{9A940621-440D-4562-95F5-DB5F2066EFFD}"/>
    <cellStyle name="Comma 3 2 4 4 10 2 2" xfId="29366" xr:uid="{F2E07F8E-9791-408C-8CDF-EB494B7109A7}"/>
    <cellStyle name="Comma 3 2 4 4 10 3" xfId="21851" xr:uid="{475EB9A7-21DD-4767-9B3F-59185C123C9B}"/>
    <cellStyle name="Comma 3 2 4 4 11" xfId="9575" xr:uid="{74D46D15-71E0-4BE2-8BBF-26FFE0E114B5}"/>
    <cellStyle name="Comma 3 2 4 4 11 2" xfId="25779" xr:uid="{5410CD20-5AF1-4C5F-B77A-94C3226DFF25}"/>
    <cellStyle name="Comma 3 2 4 4 12" xfId="17162" xr:uid="{2CBF46A9-BE55-46C7-88B1-56403CAFAE9F}"/>
    <cellStyle name="Comma 3 2 4 4 12 2" xfId="33294" xr:uid="{BB428656-3B43-4B91-B18C-F66DD29658C6}"/>
    <cellStyle name="Comma 3 2 4 4 13" xfId="18098" xr:uid="{6EA3DB60-8300-4B77-9171-7AB7A3484FF3}"/>
    <cellStyle name="Comma 3 2 4 4 2" xfId="1912" xr:uid="{942A9177-5D33-484E-82AD-A0D2A57ED1B9}"/>
    <cellStyle name="Comma 3 2 4 4 2 10" xfId="9692" xr:uid="{CCCD14FD-B02D-4CAD-BBFD-0DEEBD8D2F0B}"/>
    <cellStyle name="Comma 3 2 4 4 2 10 2" xfId="25896" xr:uid="{3A0DBC9C-92D9-4251-90C9-E67DF7A8065A}"/>
    <cellStyle name="Comma 3 2 4 4 2 11" xfId="17163" xr:uid="{4B882456-8A24-4CFA-A5C2-C19D4A5FB30D}"/>
    <cellStyle name="Comma 3 2 4 4 2 11 2" xfId="33295" xr:uid="{CFC4E74F-97A5-4CB2-9E82-5D65143E2A97}"/>
    <cellStyle name="Comma 3 2 4 4 2 12" xfId="18216" xr:uid="{3EAF050E-AD8C-447D-BED0-128A1C1D7A32}"/>
    <cellStyle name="Comma 3 2 4 4 2 2" xfId="2419" xr:uid="{ED6E8CAB-6034-4919-9AF2-114E5FB89384}"/>
    <cellStyle name="Comma 3 2 4 4 2 2 2" xfId="3266" xr:uid="{7FD25088-A8C0-4F18-BE18-D81531EF5833}"/>
    <cellStyle name="Comma 3 2 4 4 2 2 2 2" xfId="7048" xr:uid="{E060E607-2947-4E51-91E7-367CBAA2E5B3}"/>
    <cellStyle name="Comma 3 2 4 4 2 2 2 2 2" xfId="14559" xr:uid="{220B1639-8184-495B-981F-8D319DFA93AB}"/>
    <cellStyle name="Comma 3 2 4 4 2 2 2 2 2 2" xfId="30763" xr:uid="{9010BCCA-6519-46F4-AA52-607DC7D0CE03}"/>
    <cellStyle name="Comma 3 2 4 4 2 2 2 2 3" xfId="23252" xr:uid="{DBEC267D-7986-4054-8CFC-D36390606FA6}"/>
    <cellStyle name="Comma 3 2 4 4 2 2 2 3" xfId="9045" xr:uid="{A8142D9E-B9E1-4C05-BDD2-45E442500780}"/>
    <cellStyle name="Comma 3 2 4 4 2 2 2 3 2" xfId="16534" xr:uid="{598D55C9-8931-45DC-98EE-F9A7EA1F33B8}"/>
    <cellStyle name="Comma 3 2 4 4 2 2 2 3 2 2" xfId="32738" xr:uid="{AB966B3B-3B98-4A69-A7A7-E0668C8D7FA0}"/>
    <cellStyle name="Comma 3 2 4 4 2 2 2 3 3" xfId="25249" xr:uid="{BC6FA24D-3C76-4EF5-9D72-CF5E386F01E2}"/>
    <cellStyle name="Comma 3 2 4 4 2 2 2 4" xfId="10959" xr:uid="{F43BEAA1-887C-493A-A0C4-D571F8987073}"/>
    <cellStyle name="Comma 3 2 4 4 2 2 2 4 2" xfId="27163" xr:uid="{68D94319-B4BB-46A3-B901-BD8A4054E5DC}"/>
    <cellStyle name="Comma 3 2 4 4 2 2 2 5" xfId="17165" xr:uid="{2DF5C66F-F648-4197-966D-9193A0CD5B24}"/>
    <cellStyle name="Comma 3 2 4 4 2 2 2 5 2" xfId="33297" xr:uid="{63F40D19-F91B-4AAF-A274-FC363C281B8B}"/>
    <cellStyle name="Comma 3 2 4 4 2 2 2 6" xfId="19486" xr:uid="{325824FF-76F7-4AF9-AE78-3EBE6B377D2B}"/>
    <cellStyle name="Comma 3 2 4 4 2 2 3" xfId="6203" xr:uid="{52CC0D3B-3F1E-424A-A441-00BE038CAEC5}"/>
    <cellStyle name="Comma 3 2 4 4 2 2 3 2" xfId="13715" xr:uid="{A848A8BC-9E72-450C-B1FB-512821C9F70B}"/>
    <cellStyle name="Comma 3 2 4 4 2 2 3 2 2" xfId="29919" xr:uid="{4FCA2EED-30A8-4B4E-8CB1-81C9DD65513F}"/>
    <cellStyle name="Comma 3 2 4 4 2 2 3 3" xfId="22407" xr:uid="{5D3BD286-E981-4099-9018-B6C4D5D1886A}"/>
    <cellStyle name="Comma 3 2 4 4 2 2 4" xfId="9269" xr:uid="{17692FEC-915F-4B21-8EC2-B845CEA21B60}"/>
    <cellStyle name="Comma 3 2 4 4 2 2 4 2" xfId="16729" xr:uid="{BC71E7CD-ABF9-4CCC-BFD3-6E55B2A2601F}"/>
    <cellStyle name="Comma 3 2 4 4 2 2 4 2 2" xfId="32933" xr:uid="{77AD38DE-77FC-4E85-B7F2-B66ACB873C26}"/>
    <cellStyle name="Comma 3 2 4 4 2 2 4 3" xfId="25473" xr:uid="{408B4270-95E0-4B24-8276-0A84CB905911}"/>
    <cellStyle name="Comma 3 2 4 4 2 2 5" xfId="10115" xr:uid="{B911EF47-4CE6-42F4-A742-822682F82B92}"/>
    <cellStyle name="Comma 3 2 4 4 2 2 5 2" xfId="26319" xr:uid="{5C307214-1B33-4C0F-B7CE-6A1EF90EB579}"/>
    <cellStyle name="Comma 3 2 4 4 2 2 6" xfId="17164" xr:uid="{F410269B-D75C-4284-9D7B-6C56050B7E90}"/>
    <cellStyle name="Comma 3 2 4 4 2 2 6 2" xfId="33296" xr:uid="{7A29C210-4AC3-4410-B9DB-90E3866A2863}"/>
    <cellStyle name="Comma 3 2 4 4 2 2 7" xfId="18641" xr:uid="{50C95FC9-5893-4795-8A86-A8859612D33C}"/>
    <cellStyle name="Comma 3 2 4 4 2 3" xfId="2841" xr:uid="{97EFD19A-4C83-4AB3-8487-1C096C604B48}"/>
    <cellStyle name="Comma 3 2 4 4 2 3 2" xfId="6625" xr:uid="{22DAA7AD-6569-4144-929D-092AC6075BDF}"/>
    <cellStyle name="Comma 3 2 4 4 2 3 2 2" xfId="14137" xr:uid="{CE643651-2362-4F21-96A3-490327A80199}"/>
    <cellStyle name="Comma 3 2 4 4 2 3 2 2 2" xfId="30341" xr:uid="{E3F936A6-9C6E-4F49-8284-3EA77F62F59B}"/>
    <cellStyle name="Comma 3 2 4 4 2 3 2 3" xfId="22829" xr:uid="{3D2D045A-B9FF-4C1E-B38C-DFC5BB4D7251}"/>
    <cellStyle name="Comma 3 2 4 4 2 3 3" xfId="9042" xr:uid="{A1F55D2D-438A-4F98-8C2E-E894E9B397D6}"/>
    <cellStyle name="Comma 3 2 4 4 2 3 3 2" xfId="16531" xr:uid="{407D4C1D-2BD1-44F2-9106-EBDCAFF6C26A}"/>
    <cellStyle name="Comma 3 2 4 4 2 3 3 2 2" xfId="32735" xr:uid="{C5359BBD-CCB1-4A19-B87F-AA86DB5EC723}"/>
    <cellStyle name="Comma 3 2 4 4 2 3 3 3" xfId="25246" xr:uid="{BE421646-9132-4061-832C-6BDD9B0AF0DE}"/>
    <cellStyle name="Comma 3 2 4 4 2 3 4" xfId="10537" xr:uid="{52027C11-240A-4402-B63A-1018ED24D106}"/>
    <cellStyle name="Comma 3 2 4 4 2 3 4 2" xfId="26741" xr:uid="{3E2D312B-84C3-4E66-B271-8472F93DE09B}"/>
    <cellStyle name="Comma 3 2 4 4 2 3 5" xfId="17166" xr:uid="{594B6042-4FF4-4982-A0E8-50D9257025FC}"/>
    <cellStyle name="Comma 3 2 4 4 2 3 5 2" xfId="33298" xr:uid="{00593DA6-2410-4E51-AF2C-785E7AEB1EAC}"/>
    <cellStyle name="Comma 3 2 4 4 2 3 6" xfId="19063" xr:uid="{91306CB8-2381-46A9-A809-F56B5DD20BE7}"/>
    <cellStyle name="Comma 3 2 4 4 2 4" xfId="3772" xr:uid="{91EEF7BA-63EB-443A-B8DA-2EE078C4BC81}"/>
    <cellStyle name="Comma 3 2 4 4 2 4 2" xfId="7482" xr:uid="{D8F4DD1E-043E-46EB-9387-E730FAF99E3F}"/>
    <cellStyle name="Comma 3 2 4 4 2 4 2 2" xfId="14991" xr:uid="{026BFA50-BD24-4E36-9C1E-194848337944}"/>
    <cellStyle name="Comma 3 2 4 4 2 4 2 2 2" xfId="31195" xr:uid="{7F0CC09D-FC56-40C1-A1EA-453742A92541}"/>
    <cellStyle name="Comma 3 2 4 4 2 4 2 3" xfId="23686" xr:uid="{22CB9F72-1F86-487C-BEC2-D16BD7B8796F}"/>
    <cellStyle name="Comma 3 2 4 4 2 4 3" xfId="5602" xr:uid="{6FD8CD57-96BD-4FAD-9EEB-DA2AB0AF4D65}"/>
    <cellStyle name="Comma 3 2 4 4 2 4 3 2" xfId="13117" xr:uid="{8659E072-7B11-4CCF-BF84-8B8D3854C2ED}"/>
    <cellStyle name="Comma 3 2 4 4 2 4 3 2 2" xfId="29321" xr:uid="{A81E7D80-5EE2-45E0-9EE7-60034FE809A4}"/>
    <cellStyle name="Comma 3 2 4 4 2 4 3 3" xfId="21806" xr:uid="{3E232C41-4D59-4A93-A690-019A4B435AD4}"/>
    <cellStyle name="Comma 3 2 4 4 2 4 4" xfId="11382" xr:uid="{9DA2AF6B-6A43-4031-8C15-2E8535A4B9D1}"/>
    <cellStyle name="Comma 3 2 4 4 2 4 4 2" xfId="27586" xr:uid="{84E38B6E-5DD5-4652-9587-5E9B4ECF5D0C}"/>
    <cellStyle name="Comma 3 2 4 4 2 4 5" xfId="17167" xr:uid="{81F850E0-F74F-4D13-B6FC-B8B1E7F27940}"/>
    <cellStyle name="Comma 3 2 4 4 2 4 5 2" xfId="33299" xr:uid="{3CA5D819-0AE6-4BCC-9AE6-7D9C1BB106F3}"/>
    <cellStyle name="Comma 3 2 4 4 2 4 6" xfId="19981" xr:uid="{1988329C-2047-4FB0-AA2C-61D0AD4BA68E}"/>
    <cellStyle name="Comma 3 2 4 4 2 5" xfId="3919" xr:uid="{5551C280-A6BE-497B-9EAA-5F8B759CAA2D}"/>
    <cellStyle name="Comma 3 2 4 4 2 5 2" xfId="9228" xr:uid="{D01B09F9-36D0-4DEC-9BDA-1A51926D3C9B}"/>
    <cellStyle name="Comma 3 2 4 4 2 5 2 2" xfId="25432" xr:uid="{94B92539-F175-438F-9231-94E4FFF94751}"/>
    <cellStyle name="Comma 3 2 4 4 2 5 3" xfId="17168" xr:uid="{F38B526C-A1E6-4713-ABA8-0297FA433C31}"/>
    <cellStyle name="Comma 3 2 4 4 2 5 3 2" xfId="33300" xr:uid="{78E6800C-B333-4E0C-8722-287B60AAB72D}"/>
    <cellStyle name="Comma 3 2 4 4 2 5 4" xfId="20126" xr:uid="{F0A1DB1B-E3DB-435B-A8BA-1E2A6E1542CB}"/>
    <cellStyle name="Comma 3 2 4 4 2 6" xfId="4241" xr:uid="{4221A904-9BF0-4637-A1AC-47662C2BF653}"/>
    <cellStyle name="Comma 3 2 4 4 2 6 2" xfId="7911" xr:uid="{D758EB66-A345-4E39-9CFD-4EECABEE3CB0}"/>
    <cellStyle name="Comma 3 2 4 4 2 6 2 2" xfId="15418" xr:uid="{3B91ED8B-8C33-4B5D-AF9B-5B3B5494A165}"/>
    <cellStyle name="Comma 3 2 4 4 2 6 2 2 2" xfId="31622" xr:uid="{F7978A41-CACE-48F3-A344-9B3EDBC553D6}"/>
    <cellStyle name="Comma 3 2 4 4 2 6 2 3" xfId="24115" xr:uid="{8B023CC0-30D5-45BE-883C-58F05E2CF550}"/>
    <cellStyle name="Comma 3 2 4 4 2 6 3" xfId="8940" xr:uid="{58A68EB4-2D7F-4369-9BD8-3CD552FD9E45}"/>
    <cellStyle name="Comma 3 2 4 4 2 6 3 2" xfId="16438" xr:uid="{6BC04655-7484-4768-ABB1-501D57894B54}"/>
    <cellStyle name="Comma 3 2 4 4 2 6 3 2 2" xfId="32642" xr:uid="{C6E646C8-52EA-4E7C-B420-709C74514C5B}"/>
    <cellStyle name="Comma 3 2 4 4 2 6 3 3" xfId="25144" xr:uid="{FE2A9A80-9A2F-4276-8090-04558CADF602}"/>
    <cellStyle name="Comma 3 2 4 4 2 6 4" xfId="11804" xr:uid="{4D2BA2C1-F56E-4731-8C4A-8DB576244D86}"/>
    <cellStyle name="Comma 3 2 4 4 2 6 4 2" xfId="28008" xr:uid="{17FE65BE-FD9D-43FE-9F38-C594C2D84FB4}"/>
    <cellStyle name="Comma 3 2 4 4 2 6 5" xfId="17169" xr:uid="{97F66DBF-9FE7-44E3-A683-A1393A3CA9A5}"/>
    <cellStyle name="Comma 3 2 4 4 2 6 5 2" xfId="33301" xr:uid="{C33A69E7-3840-4776-81A8-062AA4155973}"/>
    <cellStyle name="Comma 3 2 4 4 2 6 6" xfId="20445" xr:uid="{5E9FF334-2194-4B20-BB5B-B331B1576BCA}"/>
    <cellStyle name="Comma 3 2 4 4 2 7" xfId="4666" xr:uid="{30496A90-3930-476E-970C-373A2097E50B}"/>
    <cellStyle name="Comma 3 2 4 4 2 7 2" xfId="8336" xr:uid="{05CFF68A-916C-46F5-80FD-2F2E0C26B5DD}"/>
    <cellStyle name="Comma 3 2 4 4 2 7 2 2" xfId="15843" xr:uid="{6AA49387-C29B-491E-8E0B-BD29F2961E74}"/>
    <cellStyle name="Comma 3 2 4 4 2 7 2 2 2" xfId="32047" xr:uid="{A27797A4-E3FE-490D-99C1-74DD08FE3ADB}"/>
    <cellStyle name="Comma 3 2 4 4 2 7 2 3" xfId="24540" xr:uid="{74509FD4-3763-4101-B046-63CC95A04A87}"/>
    <cellStyle name="Comma 3 2 4 4 2 7 3" xfId="9105" xr:uid="{5E572617-0B1B-4853-98FC-7C261CE7B119}"/>
    <cellStyle name="Comma 3 2 4 4 2 7 3 2" xfId="16583" xr:uid="{EBD1D854-A64A-4A1C-98AC-7D3416A62469}"/>
    <cellStyle name="Comma 3 2 4 4 2 7 3 2 2" xfId="32787" xr:uid="{30340C66-04DF-4C6F-8D75-4CB5A0E5F372}"/>
    <cellStyle name="Comma 3 2 4 4 2 7 3 3" xfId="25309" xr:uid="{0B89F1DE-661A-4187-A47D-6E6447D1E628}"/>
    <cellStyle name="Comma 3 2 4 4 2 7 4" xfId="12229" xr:uid="{D539D6B2-F549-43CD-BC3E-939B49A01A5B}"/>
    <cellStyle name="Comma 3 2 4 4 2 7 4 2" xfId="28433" xr:uid="{B54FE9E0-B195-4B0A-A9DD-C2D4115C72C5}"/>
    <cellStyle name="Comma 3 2 4 4 2 7 5" xfId="17170" xr:uid="{23031F2E-00B5-46D2-8364-5769793C71C3}"/>
    <cellStyle name="Comma 3 2 4 4 2 7 5 2" xfId="33302" xr:uid="{FD1C0266-D423-428B-9AF6-0E9BE1E0F166}"/>
    <cellStyle name="Comma 3 2 4 4 2 7 6" xfId="20870" xr:uid="{18620BEA-78B9-4266-B841-A1CC41F0E009}"/>
    <cellStyle name="Comma 3 2 4 4 2 8" xfId="5094" xr:uid="{5E3A6DA9-08E3-4263-891E-BCECBB7310A4}"/>
    <cellStyle name="Comma 3 2 4 4 2 8 2" xfId="8759" xr:uid="{F96A573F-B1BF-46BD-94BD-FFE593767BEE}"/>
    <cellStyle name="Comma 3 2 4 4 2 8 2 2" xfId="16266" xr:uid="{4D3C02A2-4D5D-4E6A-94B3-924A7B5334C7}"/>
    <cellStyle name="Comma 3 2 4 4 2 8 2 2 2" xfId="32470" xr:uid="{1951C515-6D41-46FC-AECE-FA687185C563}"/>
    <cellStyle name="Comma 3 2 4 4 2 8 2 3" xfId="24963" xr:uid="{8DCF1538-32BC-4CAB-BC13-FF682E345B63}"/>
    <cellStyle name="Comma 3 2 4 4 2 8 3" xfId="12651" xr:uid="{BB84A041-017A-4797-9107-EBC9959EE7EA}"/>
    <cellStyle name="Comma 3 2 4 4 2 8 3 2" xfId="28855" xr:uid="{15EB43E8-12F0-4825-B3D5-9EB5FBA19F94}"/>
    <cellStyle name="Comma 3 2 4 4 2 8 4" xfId="21298" xr:uid="{5971E2FD-E559-4C88-A7D0-F6F4A391E492}"/>
    <cellStyle name="Comma 3 2 4 4 2 9" xfId="5765" xr:uid="{5D106E72-E94B-4F7F-B23D-F689A6EE749F}"/>
    <cellStyle name="Comma 3 2 4 4 2 9 2" xfId="13280" xr:uid="{7B3C0BE4-BFFC-4720-8880-E8B193EB0A22}"/>
    <cellStyle name="Comma 3 2 4 4 2 9 2 2" xfId="29484" xr:uid="{FD4937FF-85A9-45C0-8971-B81E6D99F405}"/>
    <cellStyle name="Comma 3 2 4 4 2 9 3" xfId="21969" xr:uid="{0B6DEFF9-C5B4-48A0-822B-257CE3B1F5B7}"/>
    <cellStyle name="Comma 3 2 4 4 3" xfId="2302" xr:uid="{C8BAD7DC-6172-4809-9575-FA0559A698FB}"/>
    <cellStyle name="Comma 3 2 4 4 3 2" xfId="3149" xr:uid="{A269EC6D-2A88-464C-B1E0-6C2A449E6848}"/>
    <cellStyle name="Comma 3 2 4 4 3 2 2" xfId="6931" xr:uid="{540649C6-03A6-49CE-B448-704E379F4D9C}"/>
    <cellStyle name="Comma 3 2 4 4 3 2 2 2" xfId="14442" xr:uid="{1F656455-D64A-4C37-B86E-E74E2D846D93}"/>
    <cellStyle name="Comma 3 2 4 4 3 2 2 2 2" xfId="30646" xr:uid="{EE52DACC-9E85-46B1-BC89-9DE2EA6EFDFC}"/>
    <cellStyle name="Comma 3 2 4 4 3 2 2 3" xfId="23135" xr:uid="{58143A31-DADE-4F18-962A-20B244EDF676}"/>
    <cellStyle name="Comma 3 2 4 4 3 2 3" xfId="8930" xr:uid="{C53F2580-EDD6-43A8-8E85-C8FB514F4C51}"/>
    <cellStyle name="Comma 3 2 4 4 3 2 3 2" xfId="16429" xr:uid="{252FA1A2-8F61-4813-A634-5D517B931DC7}"/>
    <cellStyle name="Comma 3 2 4 4 3 2 3 2 2" xfId="32633" xr:uid="{285CE799-6797-47A9-A7A5-4090FE7C9B3A}"/>
    <cellStyle name="Comma 3 2 4 4 3 2 3 3" xfId="25134" xr:uid="{6369AF39-9809-4EDA-A9F7-685B3606E46D}"/>
    <cellStyle name="Comma 3 2 4 4 3 2 4" xfId="10842" xr:uid="{55487C5A-05D2-427C-BF3C-6595F7CE1AD0}"/>
    <cellStyle name="Comma 3 2 4 4 3 2 4 2" xfId="27046" xr:uid="{81A9DAFF-34F3-44B8-B655-AC31E14DB1B4}"/>
    <cellStyle name="Comma 3 2 4 4 3 2 5" xfId="17172" xr:uid="{580BA033-A0BD-4119-9DD3-CDD4396C26B2}"/>
    <cellStyle name="Comma 3 2 4 4 3 2 5 2" xfId="33304" xr:uid="{66F42D7C-BAD5-4CAF-988F-1D471A4C8737}"/>
    <cellStyle name="Comma 3 2 4 4 3 2 6" xfId="19369" xr:uid="{C61B57B1-47B8-4E1E-99FE-FC97C9741C65}"/>
    <cellStyle name="Comma 3 2 4 4 3 3" xfId="6086" xr:uid="{C83B84CC-8663-41AE-BC5D-2E81A6AA9BBC}"/>
    <cellStyle name="Comma 3 2 4 4 3 3 2" xfId="13598" xr:uid="{C67BDF7E-2E72-492F-8EB6-9435BA7C131E}"/>
    <cellStyle name="Comma 3 2 4 4 3 3 2 2" xfId="29802" xr:uid="{357DCFDA-4880-486E-A65C-8735800C4DEC}"/>
    <cellStyle name="Comma 3 2 4 4 3 3 3" xfId="22290" xr:uid="{3C9A0027-E543-4502-9B98-3AECD24E3793}"/>
    <cellStyle name="Comma 3 2 4 4 3 4" xfId="8939" xr:uid="{EA7750D2-0766-4C3D-9B08-A4013489A72E}"/>
    <cellStyle name="Comma 3 2 4 4 3 4 2" xfId="16437" xr:uid="{EA6D9EDE-7A8C-4AFC-A1D5-A4C5D83D4C40}"/>
    <cellStyle name="Comma 3 2 4 4 3 4 2 2" xfId="32641" xr:uid="{17672E10-4F2F-4E3E-A47B-395636EAE33E}"/>
    <cellStyle name="Comma 3 2 4 4 3 4 3" xfId="25143" xr:uid="{3D412E44-0E3A-4058-8F15-EA1BFC47AA3E}"/>
    <cellStyle name="Comma 3 2 4 4 3 5" xfId="9998" xr:uid="{D0DE4A6B-DF4D-4DBE-AA8F-E77B57A17C58}"/>
    <cellStyle name="Comma 3 2 4 4 3 5 2" xfId="26202" xr:uid="{14A7B7DB-5AEF-4A4D-86C9-98C79254E520}"/>
    <cellStyle name="Comma 3 2 4 4 3 6" xfId="17171" xr:uid="{35DDD52A-36CE-4C23-95E8-23E2807F5C10}"/>
    <cellStyle name="Comma 3 2 4 4 3 6 2" xfId="33303" xr:uid="{7CF62EAB-9903-422E-B457-8D3E61211A20}"/>
    <cellStyle name="Comma 3 2 4 4 3 7" xfId="18524" xr:uid="{5CC7C49A-3D5F-406C-8154-1708C80AC6AB}"/>
    <cellStyle name="Comma 3 2 4 4 4" xfId="2724" xr:uid="{A6D32EAB-30D6-49B0-898C-4CF3A1D19342}"/>
    <cellStyle name="Comma 3 2 4 4 4 2" xfId="6508" xr:uid="{EA5577C1-2446-4D84-9223-13F274B1B147}"/>
    <cellStyle name="Comma 3 2 4 4 4 2 2" xfId="14020" xr:uid="{54F5A356-C2C8-4D7B-9E9C-229156F40B35}"/>
    <cellStyle name="Comma 3 2 4 4 4 2 2 2" xfId="30224" xr:uid="{05B1452F-A884-43BF-AA12-354B9BA64D8B}"/>
    <cellStyle name="Comma 3 2 4 4 4 2 3" xfId="22712" xr:uid="{22FFDAED-EB0E-4813-9DF2-5F8D743E59FF}"/>
    <cellStyle name="Comma 3 2 4 4 4 3" xfId="9238" xr:uid="{215C1155-8DA5-44F4-99E9-05DA80A148F0}"/>
    <cellStyle name="Comma 3 2 4 4 4 3 2" xfId="16701" xr:uid="{EBC0ECCA-C37B-4CE9-8B91-666BB550549E}"/>
    <cellStyle name="Comma 3 2 4 4 4 3 2 2" xfId="32905" xr:uid="{B9CF0E3C-D421-4E63-BA7C-971B93D8AC74}"/>
    <cellStyle name="Comma 3 2 4 4 4 3 3" xfId="25442" xr:uid="{E2123F1C-0DB7-4307-9091-44FB49AB00E5}"/>
    <cellStyle name="Comma 3 2 4 4 4 4" xfId="10420" xr:uid="{15D8FB6D-0416-4560-8230-0A3447DF01CC}"/>
    <cellStyle name="Comma 3 2 4 4 4 4 2" xfId="26624" xr:uid="{0436FFB6-1A76-4FA3-BA4E-700FD22DD21E}"/>
    <cellStyle name="Comma 3 2 4 4 4 5" xfId="17173" xr:uid="{CCF64DFD-6300-4D0E-BE82-7D0295E0FAD6}"/>
    <cellStyle name="Comma 3 2 4 4 4 5 2" xfId="33305" xr:uid="{EC14DEAF-8735-4683-9DE6-2EDEA3063A54}"/>
    <cellStyle name="Comma 3 2 4 4 4 6" xfId="18946" xr:uid="{8E1E607D-0443-4C5C-AAFE-C34522DCA189}"/>
    <cellStyle name="Comma 3 2 4 4 5" xfId="3654" xr:uid="{086ABDD8-5A70-4610-A812-3318FB0E5821}"/>
    <cellStyle name="Comma 3 2 4 4 5 2" xfId="7364" xr:uid="{63836B8D-B223-4533-864B-FA0D4C429874}"/>
    <cellStyle name="Comma 3 2 4 4 5 2 2" xfId="14873" xr:uid="{9B3C76F9-7268-4F8B-ACD4-625CCFA38326}"/>
    <cellStyle name="Comma 3 2 4 4 5 2 2 2" xfId="31077" xr:uid="{CB16306E-F0E5-40EC-B344-B72A9EC5DBBB}"/>
    <cellStyle name="Comma 3 2 4 4 5 2 3" xfId="23568" xr:uid="{BA1015FC-73D0-4F9F-9A44-93743EA140E7}"/>
    <cellStyle name="Comma 3 2 4 4 5 3" xfId="9296" xr:uid="{A10E7DB2-70A9-46B6-B9F4-2BF01A7CB89A}"/>
    <cellStyle name="Comma 3 2 4 4 5 3 2" xfId="16752" xr:uid="{9B51206F-1321-446D-828A-46428C61A454}"/>
    <cellStyle name="Comma 3 2 4 4 5 3 2 2" xfId="32956" xr:uid="{D4F51CA8-A46F-4F41-8F46-9A88324D9AF2}"/>
    <cellStyle name="Comma 3 2 4 4 5 3 3" xfId="25500" xr:uid="{4EB17FA0-7E5C-499E-958C-9908AAA899E1}"/>
    <cellStyle name="Comma 3 2 4 4 5 4" xfId="11265" xr:uid="{EC44A3FF-DED1-4A40-9576-673BF7880C54}"/>
    <cellStyle name="Comma 3 2 4 4 5 4 2" xfId="27469" xr:uid="{4CA8EE76-958E-4FCC-99C6-3E8F4E3AE9FB}"/>
    <cellStyle name="Comma 3 2 4 4 5 5" xfId="17174" xr:uid="{C5DE4FC4-FD08-44E9-8ABB-5CB844EA6F7D}"/>
    <cellStyle name="Comma 3 2 4 4 5 5 2" xfId="33306" xr:uid="{8BC9520F-6BDB-44E6-9553-CFF96485DA63}"/>
    <cellStyle name="Comma 3 2 4 4 5 6" xfId="19863" xr:uid="{57C502FB-3E2D-4F7C-9FB0-E6AEEC319D70}"/>
    <cellStyle name="Comma 3 2 4 4 6" xfId="3889" xr:uid="{9715A8A9-D916-48FB-BEA9-5F33462D881E}"/>
    <cellStyle name="Comma 3 2 4 4 6 2" xfId="8927" xr:uid="{4D852A08-394D-4A72-9E03-869D5FD2BF38}"/>
    <cellStyle name="Comma 3 2 4 4 6 2 2" xfId="25131" xr:uid="{0AC2D76B-313E-434E-AB85-5B1D99533589}"/>
    <cellStyle name="Comma 3 2 4 4 6 3" xfId="17175" xr:uid="{A5E2E43D-C13A-4A1E-A1D4-20049B08E855}"/>
    <cellStyle name="Comma 3 2 4 4 6 3 2" xfId="33307" xr:uid="{60087A79-63B3-464B-8FD3-CA376A3BA11C}"/>
    <cellStyle name="Comma 3 2 4 4 6 4" xfId="20098" xr:uid="{799070A4-8D35-4C4E-AFF4-72E36E180476}"/>
    <cellStyle name="Comma 3 2 4 4 7" xfId="4124" xr:uid="{2CA7DFC6-3CEC-4E38-8FAD-D478A9D0DC65}"/>
    <cellStyle name="Comma 3 2 4 4 7 2" xfId="7794" xr:uid="{E298AE12-CD67-4DD7-8D24-283DB751E0B2}"/>
    <cellStyle name="Comma 3 2 4 4 7 2 2" xfId="15301" xr:uid="{219AA34B-D6DC-428D-983C-9067D24FEDF5}"/>
    <cellStyle name="Comma 3 2 4 4 7 2 2 2" xfId="31505" xr:uid="{62595657-7CEC-4085-95A5-E077A31ED805}"/>
    <cellStyle name="Comma 3 2 4 4 7 2 3" xfId="23998" xr:uid="{8BB18773-1C5C-4471-A0AB-BB14C45C7EEC}"/>
    <cellStyle name="Comma 3 2 4 4 7 3" xfId="9129" xr:uid="{40C877A4-19BA-47CF-8381-02B6FE11BA95}"/>
    <cellStyle name="Comma 3 2 4 4 7 3 2" xfId="16607" xr:uid="{B8BDE2CC-A62D-4F24-B4CD-B60C86789148}"/>
    <cellStyle name="Comma 3 2 4 4 7 3 2 2" xfId="32811" xr:uid="{F39FD4A6-72C6-4447-B250-87A6C39F730C}"/>
    <cellStyle name="Comma 3 2 4 4 7 3 3" xfId="25333" xr:uid="{CD229A94-4C07-46E9-A1CF-61AEC2979D4A}"/>
    <cellStyle name="Comma 3 2 4 4 7 4" xfId="11687" xr:uid="{EA237CA2-F528-4539-9429-DE15E46C2EBD}"/>
    <cellStyle name="Comma 3 2 4 4 7 4 2" xfId="27891" xr:uid="{DE9CF2C8-F5A1-4667-B7E4-07BDAB8E8C62}"/>
    <cellStyle name="Comma 3 2 4 4 7 5" xfId="17176" xr:uid="{98FD1614-1606-4ED7-B211-9E76A9FD6ECA}"/>
    <cellStyle name="Comma 3 2 4 4 7 5 2" xfId="33308" xr:uid="{96499438-95C6-4606-802C-1460B1F73D7B}"/>
    <cellStyle name="Comma 3 2 4 4 7 6" xfId="20328" xr:uid="{4BEA7EDC-86F9-4316-AE0D-466F6A7259DC}"/>
    <cellStyle name="Comma 3 2 4 4 8" xfId="4549" xr:uid="{D39F2200-85D8-43CA-BF67-67C803B38905}"/>
    <cellStyle name="Comma 3 2 4 4 8 2" xfId="8219" xr:uid="{F4A1DE8B-71FF-4006-897D-3E505C625507}"/>
    <cellStyle name="Comma 3 2 4 4 8 2 2" xfId="15726" xr:uid="{31791465-77CA-4DA0-B1E1-391A3FD63792}"/>
    <cellStyle name="Comma 3 2 4 4 8 2 2 2" xfId="31930" xr:uid="{80981C14-BC60-4B77-A514-2D5A6413255A}"/>
    <cellStyle name="Comma 3 2 4 4 8 2 3" xfId="24423" xr:uid="{57E87B75-EDFE-4790-92CC-4D9B7DD55200}"/>
    <cellStyle name="Comma 3 2 4 4 8 3" xfId="5480" xr:uid="{EA24EC35-259E-422D-B4DD-DD8896C85952}"/>
    <cellStyle name="Comma 3 2 4 4 8 3 2" xfId="13018" xr:uid="{10368FCB-CCD5-4519-BEFE-D9D4A8AD6123}"/>
    <cellStyle name="Comma 3 2 4 4 8 3 2 2" xfId="29222" xr:uid="{44602BAE-1AA5-4795-9E9B-B1147089F462}"/>
    <cellStyle name="Comma 3 2 4 4 8 3 3" xfId="21684" xr:uid="{DFC339BB-5DF6-43E0-8B7A-AC6284AD0E12}"/>
    <cellStyle name="Comma 3 2 4 4 8 4" xfId="12112" xr:uid="{DD2EE0B6-C099-4664-A3DE-B3450F793DF1}"/>
    <cellStyle name="Comma 3 2 4 4 8 4 2" xfId="28316" xr:uid="{5ED1BFD6-49C4-48A8-89BA-99B7449E7798}"/>
    <cellStyle name="Comma 3 2 4 4 8 5" xfId="17177" xr:uid="{87DA8D9E-DC90-4321-B039-BD2431778B22}"/>
    <cellStyle name="Comma 3 2 4 4 8 5 2" xfId="33309" xr:uid="{570BCC29-7E6A-4A9C-BC65-10C1C3523C99}"/>
    <cellStyle name="Comma 3 2 4 4 8 6" xfId="20753" xr:uid="{6ADD5DB2-7C1C-4921-A92F-45E61EC16788}"/>
    <cellStyle name="Comma 3 2 4 4 9" xfId="4976" xr:uid="{1D8A0C4E-E38A-487A-89E8-B9899CC25DB0}"/>
    <cellStyle name="Comma 3 2 4 4 9 2" xfId="8642" xr:uid="{3A551F2C-6299-40E7-B42D-365D1BC94488}"/>
    <cellStyle name="Comma 3 2 4 4 9 2 2" xfId="16149" xr:uid="{637676C3-E591-4D53-8F5E-29814582088B}"/>
    <cellStyle name="Comma 3 2 4 4 9 2 2 2" xfId="32353" xr:uid="{4465B309-86EE-4469-81FA-0678F4C7278D}"/>
    <cellStyle name="Comma 3 2 4 4 9 2 3" xfId="24846" xr:uid="{09C1EC71-AEB3-461A-AE1F-076B77D7907E}"/>
    <cellStyle name="Comma 3 2 4 4 9 3" xfId="12534" xr:uid="{C44F93A6-3A05-45AC-9AE3-6B7D735FB5CE}"/>
    <cellStyle name="Comma 3 2 4 4 9 3 2" xfId="28738" xr:uid="{F782B25E-5CC8-4059-8A0A-686986D95790}"/>
    <cellStyle name="Comma 3 2 4 4 9 4" xfId="21180" xr:uid="{9A1E626F-DCD0-4EF6-9A3A-D3278667D028}"/>
    <cellStyle name="Comma 3 2 4 5" xfId="1913" xr:uid="{61E064FB-7908-4ABD-A67E-1D5C8A8689C4}"/>
    <cellStyle name="Comma 3 2 4 5 10" xfId="9693" xr:uid="{B7278D52-C00B-4A6F-9E8A-84550CCB4974}"/>
    <cellStyle name="Comma 3 2 4 5 10 2" xfId="25897" xr:uid="{C0EF4E39-1510-40E4-A4D6-E11FFD5E5F2B}"/>
    <cellStyle name="Comma 3 2 4 5 11" xfId="17178" xr:uid="{518937C7-4AB8-46E7-99AB-A75D0B9B3425}"/>
    <cellStyle name="Comma 3 2 4 5 11 2" xfId="33310" xr:uid="{D45C7114-2081-48F8-A7E9-A3A2E727D60F}"/>
    <cellStyle name="Comma 3 2 4 5 12" xfId="18217" xr:uid="{7645AE97-B998-4AD2-A888-D6F62754C56C}"/>
    <cellStyle name="Comma 3 2 4 5 2" xfId="2420" xr:uid="{6DE5ABBF-F953-447F-85E2-AC0DE0A2CD79}"/>
    <cellStyle name="Comma 3 2 4 5 2 2" xfId="3267" xr:uid="{8655C27F-9D83-46CD-8BD9-A5E7954706F5}"/>
    <cellStyle name="Comma 3 2 4 5 2 2 2" xfId="7049" xr:uid="{80914E9B-B1A0-49A9-993A-2A1887EB25F0}"/>
    <cellStyle name="Comma 3 2 4 5 2 2 2 2" xfId="14560" xr:uid="{7A97F551-BA29-4971-B403-066EC7B71983}"/>
    <cellStyle name="Comma 3 2 4 5 2 2 2 2 2" xfId="30764" xr:uid="{3DC428DA-5F8B-4DA1-BCA4-C43F4B509A99}"/>
    <cellStyle name="Comma 3 2 4 5 2 2 2 3" xfId="23253" xr:uid="{0EA4EC99-7569-47A2-A42A-35931E5BA795}"/>
    <cellStyle name="Comma 3 2 4 5 2 2 3" xfId="5475" xr:uid="{FF1D5930-233F-41C0-9B14-F826B66D6C0B}"/>
    <cellStyle name="Comma 3 2 4 5 2 2 3 2" xfId="13013" xr:uid="{DCEB802D-AA54-4AD4-8403-0622AF365A99}"/>
    <cellStyle name="Comma 3 2 4 5 2 2 3 2 2" xfId="29217" xr:uid="{98CB6560-F843-4AE1-B825-EFA818EBF8AA}"/>
    <cellStyle name="Comma 3 2 4 5 2 2 3 3" xfId="21679" xr:uid="{B8CE4328-C162-4EE6-83E0-7E258FE7F0FC}"/>
    <cellStyle name="Comma 3 2 4 5 2 2 4" xfId="10960" xr:uid="{55557388-0773-4FA2-A46A-AFA3565CF588}"/>
    <cellStyle name="Comma 3 2 4 5 2 2 4 2" xfId="27164" xr:uid="{B9BD7B93-5F74-4F0C-94C8-5AF09463FEB5}"/>
    <cellStyle name="Comma 3 2 4 5 2 2 5" xfId="17180" xr:uid="{80FB682E-20A0-412A-A772-6CB39E881D56}"/>
    <cellStyle name="Comma 3 2 4 5 2 2 5 2" xfId="33312" xr:uid="{00FFC318-2F8D-4E5A-810B-1FB7CCF11F26}"/>
    <cellStyle name="Comma 3 2 4 5 2 2 6" xfId="19487" xr:uid="{CDE7E51A-C662-45AB-A680-653E26EFD7DA}"/>
    <cellStyle name="Comma 3 2 4 5 2 3" xfId="6204" xr:uid="{91DEA000-5668-4F47-9776-65BDADE69E00}"/>
    <cellStyle name="Comma 3 2 4 5 2 3 2" xfId="13716" xr:uid="{96C6AD88-5C25-473C-904F-61A2EC27DB91}"/>
    <cellStyle name="Comma 3 2 4 5 2 3 2 2" xfId="29920" xr:uid="{034F716F-EBF1-475D-879B-4A5E7EAA8ECD}"/>
    <cellStyle name="Comma 3 2 4 5 2 3 3" xfId="22408" xr:uid="{57FF5B41-D974-40B2-B4EB-134A66B74557}"/>
    <cellStyle name="Comma 3 2 4 5 2 4" xfId="5212" xr:uid="{DC423E65-D5B8-46F1-B3CA-4FEDA1DA15F2}"/>
    <cellStyle name="Comma 3 2 4 5 2 4 2" xfId="12768" xr:uid="{47D272BD-7D90-4879-921C-8976333337C7}"/>
    <cellStyle name="Comma 3 2 4 5 2 4 2 2" xfId="28972" xr:uid="{BF727B6C-6F55-45D0-AA0C-33AD2533E8A4}"/>
    <cellStyle name="Comma 3 2 4 5 2 4 3" xfId="21416" xr:uid="{6197EA26-E4B6-4AFE-ADE6-DB38EFFFBEF2}"/>
    <cellStyle name="Comma 3 2 4 5 2 5" xfId="10116" xr:uid="{5D5D8554-BB5F-4323-957F-928D159C0697}"/>
    <cellStyle name="Comma 3 2 4 5 2 5 2" xfId="26320" xr:uid="{65AF6463-BFDE-4929-935D-8289E6EF7823}"/>
    <cellStyle name="Comma 3 2 4 5 2 6" xfId="17179" xr:uid="{D21C2BA6-2F1B-4CB2-9BC8-7C1A3CBF7202}"/>
    <cellStyle name="Comma 3 2 4 5 2 6 2" xfId="33311" xr:uid="{40D6072E-B99E-4DF3-891C-B3773AB33B66}"/>
    <cellStyle name="Comma 3 2 4 5 2 7" xfId="18642" xr:uid="{1EABEC4B-3FC1-4465-B149-5DAFD2E233C9}"/>
    <cellStyle name="Comma 3 2 4 5 3" xfId="2842" xr:uid="{263A5893-D24A-44D9-BB61-880D15C49C63}"/>
    <cellStyle name="Comma 3 2 4 5 3 2" xfId="6626" xr:uid="{5F22CCFD-71EB-427B-9BD5-35A017160056}"/>
    <cellStyle name="Comma 3 2 4 5 3 2 2" xfId="14138" xr:uid="{924EC9BC-A5EE-4DD9-A703-CF6A1B42D9B8}"/>
    <cellStyle name="Comma 3 2 4 5 3 2 2 2" xfId="30342" xr:uid="{A34DAE4B-1A56-4C61-B20C-F3A6E75B898A}"/>
    <cellStyle name="Comma 3 2 4 5 3 2 3" xfId="22830" xr:uid="{9666129C-1E2B-41C6-BA01-87560D09CACE}"/>
    <cellStyle name="Comma 3 2 4 5 3 3" xfId="8888" xr:uid="{51282AE0-07BE-4631-BC3B-63A31DD1B4FE}"/>
    <cellStyle name="Comma 3 2 4 5 3 3 2" xfId="16392" xr:uid="{F41B1AC3-CCED-459C-86B1-ABDE78F817C1}"/>
    <cellStyle name="Comma 3 2 4 5 3 3 2 2" xfId="32596" xr:uid="{F68AE4EF-4BC7-4A01-9736-818BF801DFA6}"/>
    <cellStyle name="Comma 3 2 4 5 3 3 3" xfId="25092" xr:uid="{AF31C5AF-E733-4D19-B348-4D6D968B7F29}"/>
    <cellStyle name="Comma 3 2 4 5 3 4" xfId="10538" xr:uid="{9504B5A8-2902-4196-AAFD-55C605FD70DA}"/>
    <cellStyle name="Comma 3 2 4 5 3 4 2" xfId="26742" xr:uid="{4E894747-0D42-49BF-8D91-BD3F95E0E290}"/>
    <cellStyle name="Comma 3 2 4 5 3 5" xfId="17181" xr:uid="{BF395BF6-39CE-489F-98DD-17D80128EE31}"/>
    <cellStyle name="Comma 3 2 4 5 3 5 2" xfId="33313" xr:uid="{D6646584-C0D9-4706-8832-1FB37B6A0A71}"/>
    <cellStyle name="Comma 3 2 4 5 3 6" xfId="19064" xr:uid="{A1AD0809-1940-4321-8553-71AA8F710BFD}"/>
    <cellStyle name="Comma 3 2 4 5 4" xfId="3773" xr:uid="{ED6A2A46-E479-40F0-A310-425A1F95FF14}"/>
    <cellStyle name="Comma 3 2 4 5 4 2" xfId="7483" xr:uid="{8DAB9AD4-D37C-4475-B88E-482B78167F04}"/>
    <cellStyle name="Comma 3 2 4 5 4 2 2" xfId="14992" xr:uid="{4EB8DD62-F4E0-4DF0-9A6D-AADB38EBF3A7}"/>
    <cellStyle name="Comma 3 2 4 5 4 2 2 2" xfId="31196" xr:uid="{17AFB978-71D7-4DF6-95D2-B4CD4861C3E1}"/>
    <cellStyle name="Comma 3 2 4 5 4 2 3" xfId="23687" xr:uid="{7B0AF70C-53E0-4853-A5DB-9B1E6F8E29CA}"/>
    <cellStyle name="Comma 3 2 4 5 4 3" xfId="5447" xr:uid="{3F72CDDF-1A15-492E-9FF1-F2ACF32E7803}"/>
    <cellStyle name="Comma 3 2 4 5 4 3 2" xfId="12990" xr:uid="{EF46DDF4-D780-435F-B497-B3A06B61CE0D}"/>
    <cellStyle name="Comma 3 2 4 5 4 3 2 2" xfId="29194" xr:uid="{FB888D59-6F18-4BBA-9152-C9565E31DD8B}"/>
    <cellStyle name="Comma 3 2 4 5 4 3 3" xfId="21651" xr:uid="{D1144072-B825-4597-9775-35F4E09EE8C9}"/>
    <cellStyle name="Comma 3 2 4 5 4 4" xfId="11383" xr:uid="{F75A0811-F6FF-457C-A73C-D61110C266BE}"/>
    <cellStyle name="Comma 3 2 4 5 4 4 2" xfId="27587" xr:uid="{E8D97973-D530-494F-AC47-2CEF67F3E471}"/>
    <cellStyle name="Comma 3 2 4 5 4 5" xfId="17182" xr:uid="{19A4623E-A4CF-48A0-B59B-DAA7147C7529}"/>
    <cellStyle name="Comma 3 2 4 5 4 5 2" xfId="33314" xr:uid="{FFAB05CB-DE92-4342-93A3-DF3D5A8AD457}"/>
    <cellStyle name="Comma 3 2 4 5 4 6" xfId="19982" xr:uid="{8ACC0818-233B-4A23-AEC5-CF498B5E547D}"/>
    <cellStyle name="Comma 3 2 4 5 5" xfId="3911" xr:uid="{43E7B4DD-184D-40AC-B06D-82D2A07D97E3}"/>
    <cellStyle name="Comma 3 2 4 5 5 2" xfId="8928" xr:uid="{8132331E-0EED-46FB-AC47-A1B5A148AEEB}"/>
    <cellStyle name="Comma 3 2 4 5 5 2 2" xfId="25132" xr:uid="{E8CBCC2A-9103-44E1-B278-592003D7B49A}"/>
    <cellStyle name="Comma 3 2 4 5 5 3" xfId="17183" xr:uid="{F8313B2B-0700-4E09-824D-9F67D9401EFA}"/>
    <cellStyle name="Comma 3 2 4 5 5 3 2" xfId="33315" xr:uid="{E114F80A-D84D-4E90-8FBA-598D137BF593}"/>
    <cellStyle name="Comma 3 2 4 5 5 4" xfId="20120" xr:uid="{AE7B6A88-F70B-47E7-A88B-617C7A3C3609}"/>
    <cellStyle name="Comma 3 2 4 5 6" xfId="4242" xr:uid="{101CB63D-B60C-4BC9-87AD-792BDB9BE59F}"/>
    <cellStyle name="Comma 3 2 4 5 6 2" xfId="7912" xr:uid="{DCC197D7-D8CB-4634-B383-CC901F1CF475}"/>
    <cellStyle name="Comma 3 2 4 5 6 2 2" xfId="15419" xr:uid="{9F3D12E6-B721-4212-B338-FF9B271C93B7}"/>
    <cellStyle name="Comma 3 2 4 5 6 2 2 2" xfId="31623" xr:uid="{F105B715-699D-4CC5-AB6C-936ADA5378F4}"/>
    <cellStyle name="Comma 3 2 4 5 6 2 3" xfId="24116" xr:uid="{CCCA66AF-D0CC-4D07-ADB6-167701E5FD25}"/>
    <cellStyle name="Comma 3 2 4 5 6 3" xfId="8971" xr:uid="{11AD6809-86A7-4E71-A416-713DCA5EED74}"/>
    <cellStyle name="Comma 3 2 4 5 6 3 2" xfId="16465" xr:uid="{B2F42D17-13AA-48F5-A508-506DC91D2C78}"/>
    <cellStyle name="Comma 3 2 4 5 6 3 2 2" xfId="32669" xr:uid="{4F6B0321-82D8-40D6-8249-B74A6A0D51EC}"/>
    <cellStyle name="Comma 3 2 4 5 6 3 3" xfId="25175" xr:uid="{B2FDD0C0-EC10-4807-A86F-561F40F0E2FB}"/>
    <cellStyle name="Comma 3 2 4 5 6 4" xfId="11805" xr:uid="{151D702A-DF8F-4B57-9226-4DB60109D343}"/>
    <cellStyle name="Comma 3 2 4 5 6 4 2" xfId="28009" xr:uid="{3420387E-845B-4801-A841-2A5F18D034AD}"/>
    <cellStyle name="Comma 3 2 4 5 6 5" xfId="17184" xr:uid="{CE698EC8-97EE-4E91-A181-07061DE6A508}"/>
    <cellStyle name="Comma 3 2 4 5 6 5 2" xfId="33316" xr:uid="{D10BC724-C3DD-4463-B1C6-F1DB842DA0F1}"/>
    <cellStyle name="Comma 3 2 4 5 6 6" xfId="20446" xr:uid="{DEFB0F3F-857C-43E7-96C3-EF95BA42D28C}"/>
    <cellStyle name="Comma 3 2 4 5 7" xfId="4667" xr:uid="{F9B56AC6-B58D-46F0-9340-64BD1C9899DA}"/>
    <cellStyle name="Comma 3 2 4 5 7 2" xfId="8337" xr:uid="{A8D1754A-27E1-442F-B5D8-6282FFE70222}"/>
    <cellStyle name="Comma 3 2 4 5 7 2 2" xfId="15844" xr:uid="{508843DF-52E5-4C3E-9F32-0D9BEB079900}"/>
    <cellStyle name="Comma 3 2 4 5 7 2 2 2" xfId="32048" xr:uid="{4EA223DA-5D72-4FE5-8FB7-C7489122CEEA}"/>
    <cellStyle name="Comma 3 2 4 5 7 2 3" xfId="24541" xr:uid="{AA0C7264-FBA0-40F6-935E-64F91CE37F82}"/>
    <cellStyle name="Comma 3 2 4 5 7 3" xfId="9251" xr:uid="{F433D951-4F79-425B-8D6E-A06D85D245B7}"/>
    <cellStyle name="Comma 3 2 4 5 7 3 2" xfId="16713" xr:uid="{CB6CD1C5-6255-441A-BE71-972F68CA6095}"/>
    <cellStyle name="Comma 3 2 4 5 7 3 2 2" xfId="32917" xr:uid="{1999888F-9314-4731-9E2F-D9273D5792F7}"/>
    <cellStyle name="Comma 3 2 4 5 7 3 3" xfId="25455" xr:uid="{F971F02C-9B38-4719-B92C-629F4FEB32BC}"/>
    <cellStyle name="Comma 3 2 4 5 7 4" xfId="12230" xr:uid="{FB43DB83-8C26-4FF6-BD9C-82D8F5F9280B}"/>
    <cellStyle name="Comma 3 2 4 5 7 4 2" xfId="28434" xr:uid="{C5627FCF-CC99-4B0A-9EDF-9E7BEE3B18E9}"/>
    <cellStyle name="Comma 3 2 4 5 7 5" xfId="17185" xr:uid="{6D7A8182-808D-43E8-9F74-F1F42DC0F909}"/>
    <cellStyle name="Comma 3 2 4 5 7 5 2" xfId="33317" xr:uid="{7D73BFAD-F01C-459C-B4D1-6EF787AF634A}"/>
    <cellStyle name="Comma 3 2 4 5 7 6" xfId="20871" xr:uid="{57C982F6-5E51-412A-A430-E795E4C778D1}"/>
    <cellStyle name="Comma 3 2 4 5 8" xfId="5095" xr:uid="{4E27FF88-681E-49A5-BB33-04B69B871B19}"/>
    <cellStyle name="Comma 3 2 4 5 8 2" xfId="8760" xr:uid="{76928DD7-23DA-403B-BC55-1C866F34F146}"/>
    <cellStyle name="Comma 3 2 4 5 8 2 2" xfId="16267" xr:uid="{6945A7B5-1AF2-4DE5-BE56-87906B9EE9C3}"/>
    <cellStyle name="Comma 3 2 4 5 8 2 2 2" xfId="32471" xr:uid="{76250D8E-A469-4011-94E5-F869D72E0F57}"/>
    <cellStyle name="Comma 3 2 4 5 8 2 3" xfId="24964" xr:uid="{59207111-BB95-4255-87C6-22A7E63A2D96}"/>
    <cellStyle name="Comma 3 2 4 5 8 3" xfId="12652" xr:uid="{0C728FEB-AE84-4E48-892D-C7F41F56F383}"/>
    <cellStyle name="Comma 3 2 4 5 8 3 2" xfId="28856" xr:uid="{7A47CFA1-0C8F-4D33-8671-57E851DCA9E8}"/>
    <cellStyle name="Comma 3 2 4 5 8 4" xfId="21299" xr:uid="{54DD2EBD-6C43-40F5-810F-B2000A6AB158}"/>
    <cellStyle name="Comma 3 2 4 5 9" xfId="5766" xr:uid="{41CE2AA2-35AD-40FA-B43D-19E2CACC170B}"/>
    <cellStyle name="Comma 3 2 4 5 9 2" xfId="13281" xr:uid="{9B8B64B3-4949-464D-9783-EC7C4FB247E1}"/>
    <cellStyle name="Comma 3 2 4 5 9 2 2" xfId="29485" xr:uid="{7CBC631E-44E8-421D-903A-788F87BDF1EA}"/>
    <cellStyle name="Comma 3 2 4 5 9 3" xfId="21970" xr:uid="{7F16171F-2778-495F-83EC-8316C79E6CD5}"/>
    <cellStyle name="Comma 3 2 4 6" xfId="2199" xr:uid="{C48001EE-BC74-4198-80AD-F3380E141CE0}"/>
    <cellStyle name="Comma 3 2 4 6 2" xfId="3107" xr:uid="{EC87632A-05D3-4FFF-8B47-54CA30008F8D}"/>
    <cellStyle name="Comma 3 2 4 6 2 2" xfId="6889" xr:uid="{A7992A5F-A154-42EB-B8A6-86FD3873D36E}"/>
    <cellStyle name="Comma 3 2 4 6 2 2 2" xfId="14400" xr:uid="{09CD81C4-2177-487A-A3B1-CA31B2BFF740}"/>
    <cellStyle name="Comma 3 2 4 6 2 2 2 2" xfId="30604" xr:uid="{FDFB41AD-40E3-4041-9EBC-8A3E9F952330}"/>
    <cellStyle name="Comma 3 2 4 6 2 2 3" xfId="23093" xr:uid="{815EC28C-071C-464C-A13B-462692A64C54}"/>
    <cellStyle name="Comma 3 2 4 6 2 3" xfId="8936" xr:uid="{A2D3A25A-2A8E-42D6-8E93-C5CA440D78E5}"/>
    <cellStyle name="Comma 3 2 4 6 2 3 2" xfId="16435" xr:uid="{5E4F84B5-B811-49D9-BBD1-4A0D7D02BC45}"/>
    <cellStyle name="Comma 3 2 4 6 2 3 2 2" xfId="32639" xr:uid="{7A6DCF2D-6BD8-463A-A92D-FCCE26A2E2FE}"/>
    <cellStyle name="Comma 3 2 4 6 2 3 3" xfId="25140" xr:uid="{1D1669C6-1AB6-455F-9EA1-C94338590E71}"/>
    <cellStyle name="Comma 3 2 4 6 2 4" xfId="10800" xr:uid="{345BD765-2B46-452D-BD35-312C10DEB33A}"/>
    <cellStyle name="Comma 3 2 4 6 2 4 2" xfId="27004" xr:uid="{6703E613-9679-4B4D-8F27-DFD293E63611}"/>
    <cellStyle name="Comma 3 2 4 6 2 5" xfId="17187" xr:uid="{6C8DD454-414A-4D4C-B960-0EB184FDA9A8}"/>
    <cellStyle name="Comma 3 2 4 6 2 5 2" xfId="33319" xr:uid="{C98DF934-9A0C-4AFA-8E18-57EFB3CE3725}"/>
    <cellStyle name="Comma 3 2 4 6 2 6" xfId="19327" xr:uid="{B19CEE44-EDFD-4D63-BA64-A8102521692B}"/>
    <cellStyle name="Comma 3 2 4 6 3" xfId="6033" xr:uid="{ECC6833A-7979-4F06-8163-163E2194F6E0}"/>
    <cellStyle name="Comma 3 2 4 6 3 2" xfId="13547" xr:uid="{F858254D-C5E3-49BF-AEC8-4BC58A354040}"/>
    <cellStyle name="Comma 3 2 4 6 3 2 2" xfId="29751" xr:uid="{027FFA32-F2CD-4D1E-BCC6-2A1AAD3248F8}"/>
    <cellStyle name="Comma 3 2 4 6 3 3" xfId="22237" xr:uid="{0C5EC2F1-6857-4F64-B2D9-B5A33CF99E50}"/>
    <cellStyle name="Comma 3 2 4 6 4" xfId="9007" xr:uid="{5BE3805F-2D4A-4DC3-B037-E0DF2E99D776}"/>
    <cellStyle name="Comma 3 2 4 6 4 2" xfId="16499" xr:uid="{EA90E767-EA38-4A97-B5C2-EC6925A81E63}"/>
    <cellStyle name="Comma 3 2 4 6 4 2 2" xfId="32703" xr:uid="{9676019A-473D-46AA-AE0C-828993289BC1}"/>
    <cellStyle name="Comma 3 2 4 6 4 3" xfId="25211" xr:uid="{3DC5AC8E-0F24-48BE-A5F6-7DF6F745A6E7}"/>
    <cellStyle name="Comma 3 2 4 6 5" xfId="9956" xr:uid="{FACD57EF-8452-4F26-87E8-BEFBC134E134}"/>
    <cellStyle name="Comma 3 2 4 6 5 2" xfId="26160" xr:uid="{3F44BEAE-2DDE-41E8-8E7D-7D7A9BA909BC}"/>
    <cellStyle name="Comma 3 2 4 6 6" xfId="17186" xr:uid="{A55622B7-89E1-4644-9188-51CD3FAFF749}"/>
    <cellStyle name="Comma 3 2 4 6 6 2" xfId="33318" xr:uid="{586663EB-BD79-4F99-BA1A-D5F6CBAFD95A}"/>
    <cellStyle name="Comma 3 2 4 6 7" xfId="18482" xr:uid="{62E36907-6AF6-4730-8232-DA608652CD26}"/>
    <cellStyle name="Comma 3 2 4 7" xfId="2682" xr:uid="{2D7343EE-39E4-4820-986F-89DFC6902255}"/>
    <cellStyle name="Comma 3 2 4 7 2" xfId="6466" xr:uid="{7B09BF3D-BEF8-40C9-A54C-A990FD7D8A5B}"/>
    <cellStyle name="Comma 3 2 4 7 2 2" xfId="13978" xr:uid="{0B507CCA-ECBB-4337-A80E-13029666DBE4}"/>
    <cellStyle name="Comma 3 2 4 7 2 2 2" xfId="30182" xr:uid="{133954F7-EA68-470B-8C50-E987BCBF27B8}"/>
    <cellStyle name="Comma 3 2 4 7 2 3" xfId="22670" xr:uid="{0CC965C6-CA4B-41D8-A632-490FEBCC5BB8}"/>
    <cellStyle name="Comma 3 2 4 7 3" xfId="8992" xr:uid="{8E46E929-B423-4A91-8CD5-6BD7126DCE46}"/>
    <cellStyle name="Comma 3 2 4 7 3 2" xfId="16485" xr:uid="{30A01B12-3EDA-44AF-8AEE-636B5791C83C}"/>
    <cellStyle name="Comma 3 2 4 7 3 2 2" xfId="32689" xr:uid="{765DCC29-1B39-49AA-92DE-1E8EFD42EF99}"/>
    <cellStyle name="Comma 3 2 4 7 3 3" xfId="25196" xr:uid="{9F186F90-94BA-4C97-8D85-C4E4429713AF}"/>
    <cellStyle name="Comma 3 2 4 7 4" xfId="10378" xr:uid="{2C43E995-2607-47D5-9951-1F1563B99180}"/>
    <cellStyle name="Comma 3 2 4 7 4 2" xfId="26582" xr:uid="{DC2537FD-CDB8-4A4A-87C0-24B3B99B14ED}"/>
    <cellStyle name="Comma 3 2 4 7 5" xfId="17188" xr:uid="{5F433012-E9D7-43D9-8045-648ADF492CC8}"/>
    <cellStyle name="Comma 3 2 4 7 5 2" xfId="33320" xr:uid="{64AEE258-6FC8-473B-936F-FC581CFF7573}"/>
    <cellStyle name="Comma 3 2 4 7 6" xfId="18904" xr:uid="{FC9A2725-5E76-4C94-A119-42B444A83D07}"/>
    <cellStyle name="Comma 3 2 4 8" xfId="3609" xr:uid="{2F55C38A-C620-4EF7-A85F-AED94FB8FA4B}"/>
    <cellStyle name="Comma 3 2 4 8 2" xfId="7322" xr:uid="{79FF1858-5072-4480-9C5F-5F8E70347A4E}"/>
    <cellStyle name="Comma 3 2 4 8 2 2" xfId="14831" xr:uid="{DC4D92DF-699A-43D7-92A8-F406D0441032}"/>
    <cellStyle name="Comma 3 2 4 8 2 2 2" xfId="31035" xr:uid="{255991C4-0663-4CEB-9D98-01DE2C9F42BB}"/>
    <cellStyle name="Comma 3 2 4 8 2 3" xfId="23526" xr:uid="{C7E27418-1A8A-4366-9FA2-A484EA457354}"/>
    <cellStyle name="Comma 3 2 4 8 3" xfId="8955" xr:uid="{AD744BCC-2C99-45ED-AE85-416EDD5C769E}"/>
    <cellStyle name="Comma 3 2 4 8 3 2" xfId="16450" xr:uid="{DACDD62D-0BBD-4659-A62C-F5FF048D4D23}"/>
    <cellStyle name="Comma 3 2 4 8 3 2 2" xfId="32654" xr:uid="{795FBFDC-EBD7-424B-92D7-BEB9D9C56BDB}"/>
    <cellStyle name="Comma 3 2 4 8 3 3" xfId="25159" xr:uid="{5F058B6F-B0D8-4556-935F-577C5B16A25E}"/>
    <cellStyle name="Comma 3 2 4 8 4" xfId="11223" xr:uid="{540F6DED-7666-4983-A6CC-CA9E390A6F82}"/>
    <cellStyle name="Comma 3 2 4 8 4 2" xfId="27427" xr:uid="{21AEE2D7-D18D-4110-AEF5-E98D4C4D1FCD}"/>
    <cellStyle name="Comma 3 2 4 8 5" xfId="17189" xr:uid="{7D28778D-BF52-4393-B776-26DAAFCF01A6}"/>
    <cellStyle name="Comma 3 2 4 8 5 2" xfId="33321" xr:uid="{915274B4-417F-40DC-AB42-1BC4A88F814A}"/>
    <cellStyle name="Comma 3 2 4 8 6" xfId="19818" xr:uid="{2A0F730A-2244-430A-8023-9C50A5B3AAD0}"/>
    <cellStyle name="Comma 3 2 4 9" xfId="3386" xr:uid="{9DBC936C-6DB0-4320-B73D-664AFD30BFA4}"/>
    <cellStyle name="Comma 3 2 4 9 2" xfId="5518" xr:uid="{60EBC1FF-269B-442A-9E25-3E0EDD813289}"/>
    <cellStyle name="Comma 3 2 4 9 2 2" xfId="21722" xr:uid="{071EFE2F-2C43-4DAA-9D60-30BEBA3CB205}"/>
    <cellStyle name="Comma 3 2 4 9 3" xfId="17190" xr:uid="{9D08CC9D-7469-4A81-A4AD-0F5E0A63ACF5}"/>
    <cellStyle name="Comma 3 2 4 9 3 2" xfId="33322" xr:uid="{3516850F-A8B3-4BEB-865D-DA777A691D9C}"/>
    <cellStyle name="Comma 3 2 4 9 4" xfId="19604" xr:uid="{35DB3BAE-7112-40B5-908E-CC912F780225}"/>
    <cellStyle name="Comma 3 2 5" xfId="1621" xr:uid="{79CFC0FE-2319-4033-B1BA-AE931E45C277}"/>
    <cellStyle name="Comma 3 2 5 10" xfId="4084" xr:uid="{DB552355-A8F9-4592-A8C3-16F0CA58D71B}"/>
    <cellStyle name="Comma 3 2 5 10 2" xfId="7754" xr:uid="{C71DFAAB-C349-40BB-9E45-A610F244116E}"/>
    <cellStyle name="Comma 3 2 5 10 2 2" xfId="15261" xr:uid="{3751CEB5-AEB3-4067-830F-FFCD548A2F08}"/>
    <cellStyle name="Comma 3 2 5 10 2 2 2" xfId="31465" xr:uid="{B497E8EF-66E9-4201-ABCF-F2ED0930F0A8}"/>
    <cellStyle name="Comma 3 2 5 10 2 3" xfId="23958" xr:uid="{D7CE6DBB-8A16-4C00-ABA0-3544F8772D9B}"/>
    <cellStyle name="Comma 3 2 5 10 3" xfId="9225" xr:uid="{E14A71B3-29D6-4162-86F2-5ADE4848FC65}"/>
    <cellStyle name="Comma 3 2 5 10 3 2" xfId="16691" xr:uid="{0EE8B8C7-6460-4AD0-A113-6BB30AB25FC4}"/>
    <cellStyle name="Comma 3 2 5 10 3 2 2" xfId="32895" xr:uid="{B7395C50-5F0F-4A9B-8968-E4B32959E910}"/>
    <cellStyle name="Comma 3 2 5 10 3 3" xfId="25429" xr:uid="{12229ABE-970F-4FEB-9626-44BC981F775C}"/>
    <cellStyle name="Comma 3 2 5 10 4" xfId="11647" xr:uid="{84DAF2F0-AF54-4520-AD6D-FDA6E3464271}"/>
    <cellStyle name="Comma 3 2 5 10 4 2" xfId="27851" xr:uid="{2B779459-A75E-47A9-A0F4-01B27643F0DD}"/>
    <cellStyle name="Comma 3 2 5 10 5" xfId="17192" xr:uid="{3E2199F0-55E0-4B45-BD96-35ED7056279A}"/>
    <cellStyle name="Comma 3 2 5 10 5 2" xfId="33324" xr:uid="{ED71BFEA-033F-4E70-9A14-421EDFC13A79}"/>
    <cellStyle name="Comma 3 2 5 10 6" xfId="20288" xr:uid="{C1BF1F89-EF18-4A69-BDD5-44CF8DD56F4B}"/>
    <cellStyle name="Comma 3 2 5 11" xfId="4509" xr:uid="{C6CB97EF-B64D-422E-8508-9D95D1700217}"/>
    <cellStyle name="Comma 3 2 5 11 2" xfId="8179" xr:uid="{E902CE2F-2399-4D9E-A836-B742F12C5A0B}"/>
    <cellStyle name="Comma 3 2 5 11 2 2" xfId="15686" xr:uid="{4276C14B-C616-4056-B3FD-F467A7823728}"/>
    <cellStyle name="Comma 3 2 5 11 2 2 2" xfId="31890" xr:uid="{7C6AFFB2-C93B-4587-80C9-232749458482}"/>
    <cellStyle name="Comma 3 2 5 11 2 3" xfId="24383" xr:uid="{F1A1AB94-40B3-498D-9DDC-4589CBCA63CA}"/>
    <cellStyle name="Comma 3 2 5 11 3" xfId="8990" xr:uid="{31D0FC26-C3E1-4F6E-A920-76DC907CA2F1}"/>
    <cellStyle name="Comma 3 2 5 11 3 2" xfId="16484" xr:uid="{32A1C003-E30D-4E8A-AFA3-D5E1AF056ECF}"/>
    <cellStyle name="Comma 3 2 5 11 3 2 2" xfId="32688" xr:uid="{4D5E2F87-5106-43D0-AFCF-8A6794EFB765}"/>
    <cellStyle name="Comma 3 2 5 11 3 3" xfId="25194" xr:uid="{419A2E01-F37B-49D4-9DB9-E855016F0BBA}"/>
    <cellStyle name="Comma 3 2 5 11 4" xfId="12072" xr:uid="{E24E1F59-FCC5-4BAE-8206-F53F19D5EBE0}"/>
    <cellStyle name="Comma 3 2 5 11 4 2" xfId="28276" xr:uid="{EF5DD305-969A-4B1A-9D3E-236A7BEDFDE3}"/>
    <cellStyle name="Comma 3 2 5 11 5" xfId="17193" xr:uid="{51AF47FC-DA36-400D-BA79-694C9DFCFC4B}"/>
    <cellStyle name="Comma 3 2 5 11 5 2" xfId="33325" xr:uid="{64CF0EEF-807F-4DFB-A1F1-981923857F89}"/>
    <cellStyle name="Comma 3 2 5 11 6" xfId="20713" xr:uid="{E361474C-24AA-4E4E-A5FF-425FEBCB1F50}"/>
    <cellStyle name="Comma 3 2 5 12" xfId="4936" xr:uid="{13F7BB68-A678-4C64-9A24-E8CC94BFA1FF}"/>
    <cellStyle name="Comma 3 2 5 12 2" xfId="8602" xr:uid="{5D939AC7-7E48-4484-8F9F-B393164D7895}"/>
    <cellStyle name="Comma 3 2 5 12 2 2" xfId="16109" xr:uid="{C52970B2-64C1-47BE-A20C-5249299F4230}"/>
    <cellStyle name="Comma 3 2 5 12 2 2 2" xfId="32313" xr:uid="{B9DE0F2E-E186-4B9B-B543-09AC205B9548}"/>
    <cellStyle name="Comma 3 2 5 12 2 3" xfId="24806" xr:uid="{03DBB5A4-8B15-48BB-8CE2-FE98E79D123F}"/>
    <cellStyle name="Comma 3 2 5 12 3" xfId="12494" xr:uid="{45581F40-77F2-4E26-8856-4C6B41FFCFE5}"/>
    <cellStyle name="Comma 3 2 5 12 3 2" xfId="28698" xr:uid="{2E20D29D-5644-4DD1-AC2A-1C4511673336}"/>
    <cellStyle name="Comma 3 2 5 12 4" xfId="21140" xr:uid="{B318C4C4-314D-47A9-8B71-7655E77636DB}"/>
    <cellStyle name="Comma 3 2 5 13" xfId="5582" xr:uid="{3F82CE7B-BD39-47A1-A214-956F112C6F5A}"/>
    <cellStyle name="Comma 3 2 5 13 2" xfId="13099" xr:uid="{72DEDBAD-7644-4DCE-AF5F-5234FF75E3E8}"/>
    <cellStyle name="Comma 3 2 5 13 2 2" xfId="29303" xr:uid="{492EEF57-1D88-4155-8FB0-4AEC97482DE4}"/>
    <cellStyle name="Comma 3 2 5 13 3" xfId="21786" xr:uid="{665D6387-8EDB-49EA-BF60-6F1B0FB4B080}"/>
    <cellStyle name="Comma 3 2 5 14" xfId="9535" xr:uid="{0312BDBC-04A8-441E-B6A0-16838C18F6AA}"/>
    <cellStyle name="Comma 3 2 5 14 2" xfId="25739" xr:uid="{586B112E-8EED-4A89-9094-AA7F61BC7C44}"/>
    <cellStyle name="Comma 3 2 5 15" xfId="17191" xr:uid="{F9960A0F-483E-4057-9B13-5E510FCBEFB1}"/>
    <cellStyle name="Comma 3 2 5 15 2" xfId="33323" xr:uid="{477B59DE-A95D-407D-889E-20EB3D608956}"/>
    <cellStyle name="Comma 3 2 5 16" xfId="18058" xr:uid="{20C93DCF-5E1A-4427-B183-53A99C2FAAFC}"/>
    <cellStyle name="Comma 3 2 5 2" xfId="1752" xr:uid="{347539B8-E0E8-4805-8ED6-8954B3D4B796}"/>
    <cellStyle name="Comma 3 2 5 2 10" xfId="5621" xr:uid="{B66C6300-4614-4F08-B8FD-116950A809FC}"/>
    <cellStyle name="Comma 3 2 5 2 10 2" xfId="13136" xr:uid="{38462373-C0F2-4AA5-AB72-ADD4FDB7B262}"/>
    <cellStyle name="Comma 3 2 5 2 10 2 2" xfId="29340" xr:uid="{9E2BFA17-FE67-4F7B-B3CE-B488F1D912D2}"/>
    <cellStyle name="Comma 3 2 5 2 10 3" xfId="21825" xr:uid="{31C7073F-93C1-4E3A-873F-2A239444D7F5}"/>
    <cellStyle name="Comma 3 2 5 2 11" xfId="9549" xr:uid="{31713C1A-8A56-49E2-A2AD-7FE3184E1ECD}"/>
    <cellStyle name="Comma 3 2 5 2 11 2" xfId="25753" xr:uid="{DCA7698F-2632-401E-AE17-CE7A194D2592}"/>
    <cellStyle name="Comma 3 2 5 2 12" xfId="17194" xr:uid="{AB61BC04-05C1-4CD8-98BC-447416EB52DE}"/>
    <cellStyle name="Comma 3 2 5 2 12 2" xfId="33326" xr:uid="{5E2FD40E-5036-4FB1-BF9A-908D9FAC363F}"/>
    <cellStyle name="Comma 3 2 5 2 13" xfId="18072" xr:uid="{DD6B95E8-E203-4EB1-919B-34D08FC8367C}"/>
    <cellStyle name="Comma 3 2 5 2 2" xfId="1914" xr:uid="{8B942520-1EFB-4C38-9187-83233F05241A}"/>
    <cellStyle name="Comma 3 2 5 2 2 10" xfId="9694" xr:uid="{32FA3DD7-2F8C-4B65-91E9-FB876FCB06FD}"/>
    <cellStyle name="Comma 3 2 5 2 2 10 2" xfId="25898" xr:uid="{E51C5015-7DF0-41EC-AE8F-0CB6302F519C}"/>
    <cellStyle name="Comma 3 2 5 2 2 11" xfId="17195" xr:uid="{BD7380DE-181D-4245-BE07-A880DDB473FE}"/>
    <cellStyle name="Comma 3 2 5 2 2 11 2" xfId="33327" xr:uid="{E3998AB4-C352-437A-9D7C-31622B199C04}"/>
    <cellStyle name="Comma 3 2 5 2 2 12" xfId="18218" xr:uid="{C88F3FDC-57D3-4F6F-93EE-590D14CF6AF7}"/>
    <cellStyle name="Comma 3 2 5 2 2 2" xfId="2421" xr:uid="{27725136-125D-4801-859C-8BD4BB3AA969}"/>
    <cellStyle name="Comma 3 2 5 2 2 2 2" xfId="3268" xr:uid="{93A6CA49-8E28-4830-AB40-9ADDE93D6B47}"/>
    <cellStyle name="Comma 3 2 5 2 2 2 2 2" xfId="7050" xr:uid="{AF420FFE-3D0E-4242-8590-16E3A84FE9B7}"/>
    <cellStyle name="Comma 3 2 5 2 2 2 2 2 2" xfId="14561" xr:uid="{25DD8DF6-2C17-45AE-9C82-4D66AA52630C}"/>
    <cellStyle name="Comma 3 2 5 2 2 2 2 2 2 2" xfId="30765" xr:uid="{414A29DF-77EB-4F31-89B1-C99569427BA2}"/>
    <cellStyle name="Comma 3 2 5 2 2 2 2 2 3" xfId="23254" xr:uid="{276EB80C-9E38-4BFD-81B9-BEC65A80E7E5}"/>
    <cellStyle name="Comma 3 2 5 2 2 2 2 3" xfId="5877" xr:uid="{C0455753-C935-4E29-B190-4238CFB20DB0}"/>
    <cellStyle name="Comma 3 2 5 2 2 2 2 3 2" xfId="13392" xr:uid="{82888D6D-EDA6-40F5-AC11-9912E97B7BEA}"/>
    <cellStyle name="Comma 3 2 5 2 2 2 2 3 2 2" xfId="29596" xr:uid="{D9F60B87-0336-4080-8E9C-D6026BA14A69}"/>
    <cellStyle name="Comma 3 2 5 2 2 2 2 3 3" xfId="22081" xr:uid="{7EAEE8E7-E305-47F4-A168-3229D2EF6B63}"/>
    <cellStyle name="Comma 3 2 5 2 2 2 2 4" xfId="10961" xr:uid="{0164DFCF-40EA-41BA-8BA2-5ADCCDDA4366}"/>
    <cellStyle name="Comma 3 2 5 2 2 2 2 4 2" xfId="27165" xr:uid="{C23688B9-40B7-4941-A76D-B49D2A6A4FB2}"/>
    <cellStyle name="Comma 3 2 5 2 2 2 2 5" xfId="17197" xr:uid="{2BFCFD86-8BF4-409C-BD11-35AED4385B4E}"/>
    <cellStyle name="Comma 3 2 5 2 2 2 2 5 2" xfId="33329" xr:uid="{33BEE51F-0B06-497D-A82D-06BB5151F141}"/>
    <cellStyle name="Comma 3 2 5 2 2 2 2 6" xfId="19488" xr:uid="{64BAD014-49DF-415D-AAA0-AB298FFB90FD}"/>
    <cellStyle name="Comma 3 2 5 2 2 2 3" xfId="6205" xr:uid="{84CC9FAA-F188-417B-B597-F5DC91647CAB}"/>
    <cellStyle name="Comma 3 2 5 2 2 2 3 2" xfId="13717" xr:uid="{755CBC9F-2E08-407B-B5DD-B3C90D027C01}"/>
    <cellStyle name="Comma 3 2 5 2 2 2 3 2 2" xfId="29921" xr:uid="{7B1D422E-CF52-410A-A797-7B8B593A93C7}"/>
    <cellStyle name="Comma 3 2 5 2 2 2 3 3" xfId="22409" xr:uid="{4661128D-A081-4530-8842-7F7AD3B2A335}"/>
    <cellStyle name="Comma 3 2 5 2 2 2 4" xfId="5486" xr:uid="{9BC08A5D-30F8-4FD2-A28B-99F05603D7D2}"/>
    <cellStyle name="Comma 3 2 5 2 2 2 4 2" xfId="13024" xr:uid="{F572187C-1E82-4868-B083-B9EAE6F14C31}"/>
    <cellStyle name="Comma 3 2 5 2 2 2 4 2 2" xfId="29228" xr:uid="{317B7D47-A025-4CF3-8131-9EFA7C284496}"/>
    <cellStyle name="Comma 3 2 5 2 2 2 4 3" xfId="21690" xr:uid="{5B0794F0-CA8C-463C-9D06-AC38B63BC4AD}"/>
    <cellStyle name="Comma 3 2 5 2 2 2 5" xfId="10117" xr:uid="{0656DE0A-8804-43E8-933C-7E71707D4DB8}"/>
    <cellStyle name="Comma 3 2 5 2 2 2 5 2" xfId="26321" xr:uid="{06D3DE5B-2D9B-42C5-89AE-1B72ED224B70}"/>
    <cellStyle name="Comma 3 2 5 2 2 2 6" xfId="17196" xr:uid="{66C9BC08-2D37-4200-842C-035B7CF2D48B}"/>
    <cellStyle name="Comma 3 2 5 2 2 2 6 2" xfId="33328" xr:uid="{2CF47039-5DD7-4D1B-A170-280183FE935F}"/>
    <cellStyle name="Comma 3 2 5 2 2 2 7" xfId="18643" xr:uid="{771DA842-2C14-4561-8EC2-44DC09F87A2E}"/>
    <cellStyle name="Comma 3 2 5 2 2 3" xfId="2843" xr:uid="{FB2980B8-F41D-459A-8967-AAAB0B5A64FC}"/>
    <cellStyle name="Comma 3 2 5 2 2 3 2" xfId="6627" xr:uid="{FEDA7FD8-84F5-4E3C-8295-2C028851CC34}"/>
    <cellStyle name="Comma 3 2 5 2 2 3 2 2" xfId="14139" xr:uid="{D95D0C9D-447A-441E-93B5-C3A5AC8824D1}"/>
    <cellStyle name="Comma 3 2 5 2 2 3 2 2 2" xfId="30343" xr:uid="{13BBB0C9-BDB8-489A-B8FE-DA4EB8C2EF80}"/>
    <cellStyle name="Comma 3 2 5 2 2 3 2 3" xfId="22831" xr:uid="{4EAA57DB-CE41-4375-BAB6-0A8BDC5DEF83}"/>
    <cellStyle name="Comma 3 2 5 2 2 3 3" xfId="9139" xr:uid="{54E097E6-2815-4DAA-930B-FAA5C5A01101}"/>
    <cellStyle name="Comma 3 2 5 2 2 3 3 2" xfId="16616" xr:uid="{0B593D01-A37D-49E2-8990-D0220A1C9DC0}"/>
    <cellStyle name="Comma 3 2 5 2 2 3 3 2 2" xfId="32820" xr:uid="{559FF91A-4B0B-46F3-8DEC-0E43C91ED1DB}"/>
    <cellStyle name="Comma 3 2 5 2 2 3 3 3" xfId="25343" xr:uid="{5BD3EAA7-F2E1-4679-A2D2-637B31240C61}"/>
    <cellStyle name="Comma 3 2 5 2 2 3 4" xfId="10539" xr:uid="{3258A89D-EF18-4CFF-8C30-82EEAA738DF8}"/>
    <cellStyle name="Comma 3 2 5 2 2 3 4 2" xfId="26743" xr:uid="{AF68CEA7-CB4C-474D-8E53-ADED63A7FF38}"/>
    <cellStyle name="Comma 3 2 5 2 2 3 5" xfId="17198" xr:uid="{AE514F13-7BD5-4343-BE8D-B4C8EB3042B0}"/>
    <cellStyle name="Comma 3 2 5 2 2 3 5 2" xfId="33330" xr:uid="{4A70E71D-D85B-4DE2-95D3-E76582440DF7}"/>
    <cellStyle name="Comma 3 2 5 2 2 3 6" xfId="19065" xr:uid="{026292E9-5A7C-4FA2-8A7A-92758CD3D172}"/>
    <cellStyle name="Comma 3 2 5 2 2 4" xfId="3774" xr:uid="{A84F50EF-7FDB-4EC7-BB2D-DF6F26FAE5CA}"/>
    <cellStyle name="Comma 3 2 5 2 2 4 2" xfId="7484" xr:uid="{F3A8AA84-C935-4486-BCB5-95A43897EC63}"/>
    <cellStyle name="Comma 3 2 5 2 2 4 2 2" xfId="14993" xr:uid="{3635B26B-42EC-40E7-89C6-03DB0DE2482B}"/>
    <cellStyle name="Comma 3 2 5 2 2 4 2 2 2" xfId="31197" xr:uid="{D51ED0D3-4B66-4573-A17C-E3254313ECE6}"/>
    <cellStyle name="Comma 3 2 5 2 2 4 2 3" xfId="23688" xr:uid="{F496BB60-239A-4D28-9B28-3B41EC6E2B9E}"/>
    <cellStyle name="Comma 3 2 5 2 2 4 3" xfId="9136" xr:uid="{B3F2C8AA-8305-48BC-87E9-C5987A155E2C}"/>
    <cellStyle name="Comma 3 2 5 2 2 4 3 2" xfId="16613" xr:uid="{21109125-0315-4C3F-8B75-9B41F9DCC0CD}"/>
    <cellStyle name="Comma 3 2 5 2 2 4 3 2 2" xfId="32817" xr:uid="{935C6BFB-694F-4BF6-A964-FE337C222BB5}"/>
    <cellStyle name="Comma 3 2 5 2 2 4 3 3" xfId="25340" xr:uid="{5A48364C-9696-40EB-93C0-5C7C5C800C46}"/>
    <cellStyle name="Comma 3 2 5 2 2 4 4" xfId="11384" xr:uid="{F4F8DF1B-1C87-4F5B-8EF8-C43259D41949}"/>
    <cellStyle name="Comma 3 2 5 2 2 4 4 2" xfId="27588" xr:uid="{26E8F79A-0BFF-4AE1-BF5D-4044096D6B1D}"/>
    <cellStyle name="Comma 3 2 5 2 2 4 5" xfId="17199" xr:uid="{4493FC8C-DF4E-4D92-ABA5-27AF29A6EB20}"/>
    <cellStyle name="Comma 3 2 5 2 2 4 5 2" xfId="33331" xr:uid="{2CF1604D-491E-49A8-8CBF-5F3F6D1DB625}"/>
    <cellStyle name="Comma 3 2 5 2 2 4 6" xfId="19983" xr:uid="{229278B4-A6FE-461A-A1AC-D6435ECC01AA}"/>
    <cellStyle name="Comma 3 2 5 2 2 5" xfId="3617" xr:uid="{CF4870BA-8E78-4D6F-95CB-18C69891F8DF}"/>
    <cellStyle name="Comma 3 2 5 2 2 5 2" xfId="9082" xr:uid="{F0E07DD3-4269-4B8B-A357-5DAA141B34DE}"/>
    <cellStyle name="Comma 3 2 5 2 2 5 2 2" xfId="25286" xr:uid="{5071B32A-9E21-482E-AA8E-16C19D493D5A}"/>
    <cellStyle name="Comma 3 2 5 2 2 5 3" xfId="17200" xr:uid="{FBB11325-0337-4A99-8377-E9FBE30BFED4}"/>
    <cellStyle name="Comma 3 2 5 2 2 5 3 2" xfId="33332" xr:uid="{849D30E5-E570-469B-B659-3FB5BE45586F}"/>
    <cellStyle name="Comma 3 2 5 2 2 5 4" xfId="19826" xr:uid="{C0986387-1030-4CAA-8094-BA03C0689B7E}"/>
    <cellStyle name="Comma 3 2 5 2 2 6" xfId="4243" xr:uid="{520F4190-E71C-4126-8AC7-7F635FA41987}"/>
    <cellStyle name="Comma 3 2 5 2 2 6 2" xfId="7913" xr:uid="{C6B7A7D7-89AF-4CEA-A8A7-8F96527B0F52}"/>
    <cellStyle name="Comma 3 2 5 2 2 6 2 2" xfId="15420" xr:uid="{A114ACB4-DCEA-4787-BF15-AC5290BA3528}"/>
    <cellStyle name="Comma 3 2 5 2 2 6 2 2 2" xfId="31624" xr:uid="{4252A9BA-391C-4B0C-AD2C-70AA8CE632A9}"/>
    <cellStyle name="Comma 3 2 5 2 2 6 2 3" xfId="24117" xr:uid="{8277F0DA-4B1C-4A9B-84B2-4AEFF0CEEFA9}"/>
    <cellStyle name="Comma 3 2 5 2 2 6 3" xfId="9342" xr:uid="{403C3D84-8CEF-40B0-90D2-C2DBA713F938}"/>
    <cellStyle name="Comma 3 2 5 2 2 6 3 2" xfId="16785" xr:uid="{C54F08B8-B5DC-45B0-96C6-037F232E850F}"/>
    <cellStyle name="Comma 3 2 5 2 2 6 3 2 2" xfId="32989" xr:uid="{CEA6D441-28B9-4965-B445-BE7570051391}"/>
    <cellStyle name="Comma 3 2 5 2 2 6 3 3" xfId="25546" xr:uid="{145A6E0C-C949-4D53-A548-FC8E812408FF}"/>
    <cellStyle name="Comma 3 2 5 2 2 6 4" xfId="11806" xr:uid="{C564D3D6-27DE-4A2F-9069-CB66AF71AE93}"/>
    <cellStyle name="Comma 3 2 5 2 2 6 4 2" xfId="28010" xr:uid="{35368E4D-731C-4AE3-8A2C-0F6A27334870}"/>
    <cellStyle name="Comma 3 2 5 2 2 6 5" xfId="17201" xr:uid="{198C3D7B-8ED2-4A14-9FCF-1A299C52D1A2}"/>
    <cellStyle name="Comma 3 2 5 2 2 6 5 2" xfId="33333" xr:uid="{EBFAF65A-5F87-4AD5-AA13-5D95C65E47ED}"/>
    <cellStyle name="Comma 3 2 5 2 2 6 6" xfId="20447" xr:uid="{1A2B0DC2-C6A2-402D-97AD-799CC4D4FB5F}"/>
    <cellStyle name="Comma 3 2 5 2 2 7" xfId="4668" xr:uid="{E80EF013-90E6-4DDD-A6E1-58F0611CD9D8}"/>
    <cellStyle name="Comma 3 2 5 2 2 7 2" xfId="8338" xr:uid="{2EEA196D-8761-4AA6-A3FA-1122EC33CA50}"/>
    <cellStyle name="Comma 3 2 5 2 2 7 2 2" xfId="15845" xr:uid="{3FE8459F-A7EF-4AFA-B82E-7701E7AD1BDB}"/>
    <cellStyle name="Comma 3 2 5 2 2 7 2 2 2" xfId="32049" xr:uid="{22C3E365-7358-4C09-A335-A454ADBD725D}"/>
    <cellStyle name="Comma 3 2 5 2 2 7 2 3" xfId="24542" xr:uid="{23D93B12-EC77-4CA8-B875-261167F8ED4D}"/>
    <cellStyle name="Comma 3 2 5 2 2 7 3" xfId="5404" xr:uid="{35D9F007-BEE4-4BDD-AA9E-396CA22459E9}"/>
    <cellStyle name="Comma 3 2 5 2 2 7 3 2" xfId="12953" xr:uid="{A1E82C8F-49E6-451E-B933-46D47620F953}"/>
    <cellStyle name="Comma 3 2 5 2 2 7 3 2 2" xfId="29157" xr:uid="{5DBF9D01-F1BE-4E99-A927-9CF39F35E300}"/>
    <cellStyle name="Comma 3 2 5 2 2 7 3 3" xfId="21608" xr:uid="{346F8F71-45A5-45A7-AB45-AE144CDE627A}"/>
    <cellStyle name="Comma 3 2 5 2 2 7 4" xfId="12231" xr:uid="{CD43C9A0-814B-421B-922F-63BFC5A5BCD0}"/>
    <cellStyle name="Comma 3 2 5 2 2 7 4 2" xfId="28435" xr:uid="{2C929680-462A-435A-8FC8-649D451AF7E2}"/>
    <cellStyle name="Comma 3 2 5 2 2 7 5" xfId="17202" xr:uid="{A5E54D45-16EF-4832-9118-2F2E359A7511}"/>
    <cellStyle name="Comma 3 2 5 2 2 7 5 2" xfId="33334" xr:uid="{77901560-D1B8-4F19-84B6-D3F58AD3474B}"/>
    <cellStyle name="Comma 3 2 5 2 2 7 6" xfId="20872" xr:uid="{E48839E7-A82B-4AA1-B2D5-3D5B809BF9AF}"/>
    <cellStyle name="Comma 3 2 5 2 2 8" xfId="5096" xr:uid="{28751F12-6928-4F38-B617-26B52CA739E8}"/>
    <cellStyle name="Comma 3 2 5 2 2 8 2" xfId="8761" xr:uid="{78671D7B-9180-4BA6-AD90-BAE9B6EE5F25}"/>
    <cellStyle name="Comma 3 2 5 2 2 8 2 2" xfId="16268" xr:uid="{4485300B-6D45-40F5-918C-4F1C43DB578D}"/>
    <cellStyle name="Comma 3 2 5 2 2 8 2 2 2" xfId="32472" xr:uid="{1456556F-7A17-41C7-BDCC-E8BDDC5A138B}"/>
    <cellStyle name="Comma 3 2 5 2 2 8 2 3" xfId="24965" xr:uid="{49F90AC6-9199-4785-BBC3-1A63A1F20438}"/>
    <cellStyle name="Comma 3 2 5 2 2 8 3" xfId="12653" xr:uid="{87B6F20A-A519-46B6-8AE4-675C48E5DF71}"/>
    <cellStyle name="Comma 3 2 5 2 2 8 3 2" xfId="28857" xr:uid="{647BA640-5938-423E-8BCE-2FDBA1B6D6A1}"/>
    <cellStyle name="Comma 3 2 5 2 2 8 4" xfId="21300" xr:uid="{11948B2D-940D-4966-9C2D-9D12C7A1947D}"/>
    <cellStyle name="Comma 3 2 5 2 2 9" xfId="5767" xr:uid="{72594FD6-E94C-4B70-B880-B707EB200A5D}"/>
    <cellStyle name="Comma 3 2 5 2 2 9 2" xfId="13282" xr:uid="{8BBA1D57-25AE-485D-9E4C-C0A47DCDD513}"/>
    <cellStyle name="Comma 3 2 5 2 2 9 2 2" xfId="29486" xr:uid="{C33C5AC6-6D62-40DE-BE64-DCD29AC707F3}"/>
    <cellStyle name="Comma 3 2 5 2 2 9 3" xfId="21971" xr:uid="{7D033C3C-1FB0-45B6-A874-5F23291E8756}"/>
    <cellStyle name="Comma 3 2 5 2 3" xfId="2272" xr:uid="{9EC5539A-8F2C-47BF-9569-2B06C0AFE303}"/>
    <cellStyle name="Comma 3 2 5 2 3 2" xfId="3123" xr:uid="{55FD7AEC-93AD-4823-B3B0-96D27037EA67}"/>
    <cellStyle name="Comma 3 2 5 2 3 2 2" xfId="6905" xr:uid="{410B7BF1-0359-4947-B3FB-B9C699B52EAB}"/>
    <cellStyle name="Comma 3 2 5 2 3 2 2 2" xfId="14416" xr:uid="{567EFEE7-C509-44C5-90F0-55E4691F66B8}"/>
    <cellStyle name="Comma 3 2 5 2 3 2 2 2 2" xfId="30620" xr:uid="{4EA18F20-A4E3-4202-B13C-F33340ACFA99}"/>
    <cellStyle name="Comma 3 2 5 2 3 2 2 3" xfId="23109" xr:uid="{9796E72B-51BD-44BD-AB61-4DBDF24D4B19}"/>
    <cellStyle name="Comma 3 2 5 2 3 2 3" xfId="9191" xr:uid="{A55232E6-4D68-4B12-84F2-650150ACF0CA}"/>
    <cellStyle name="Comma 3 2 5 2 3 2 3 2" xfId="16662" xr:uid="{352FE91A-33D6-47CD-B9FE-72EBEB5CC7FC}"/>
    <cellStyle name="Comma 3 2 5 2 3 2 3 2 2" xfId="32866" xr:uid="{72D1096B-408E-4BFC-84BF-23FC0D2557C9}"/>
    <cellStyle name="Comma 3 2 5 2 3 2 3 3" xfId="25395" xr:uid="{2D1DF32B-1596-416F-9254-C0EB4FC1AAEA}"/>
    <cellStyle name="Comma 3 2 5 2 3 2 4" xfId="10816" xr:uid="{49F01FDB-CBF3-465C-A378-FD68872A60D0}"/>
    <cellStyle name="Comma 3 2 5 2 3 2 4 2" xfId="27020" xr:uid="{EE42FA7E-01C6-4CBC-8C9A-8FA898BD5B47}"/>
    <cellStyle name="Comma 3 2 5 2 3 2 5" xfId="17204" xr:uid="{8C3D5D6A-1B85-47B4-B6A9-277BD804CF8C}"/>
    <cellStyle name="Comma 3 2 5 2 3 2 5 2" xfId="33336" xr:uid="{6334F9F2-553B-490B-9B85-5073EC7B6C25}"/>
    <cellStyle name="Comma 3 2 5 2 3 2 6" xfId="19343" xr:uid="{6A866CB4-3DE7-4177-B8EF-2E85EF80C090}"/>
    <cellStyle name="Comma 3 2 5 2 3 3" xfId="6060" xr:uid="{BFF329B2-9183-4BB9-8225-8084D81398FA}"/>
    <cellStyle name="Comma 3 2 5 2 3 3 2" xfId="13572" xr:uid="{1BA2722E-97A7-40BB-9190-D0FC3938B537}"/>
    <cellStyle name="Comma 3 2 5 2 3 3 2 2" xfId="29776" xr:uid="{75F571F7-9DF3-4E4E-A215-5080B137654E}"/>
    <cellStyle name="Comma 3 2 5 2 3 3 3" xfId="22264" xr:uid="{D660229C-AFA1-478A-8157-1595AC87CCF7}"/>
    <cellStyle name="Comma 3 2 5 2 3 4" xfId="8905" xr:uid="{0D9121D7-0877-4D95-886A-92BF6888EE84}"/>
    <cellStyle name="Comma 3 2 5 2 3 4 2" xfId="16408" xr:uid="{AA74C148-8619-4D93-B18E-C457DE66DE05}"/>
    <cellStyle name="Comma 3 2 5 2 3 4 2 2" xfId="32612" xr:uid="{A590D4D8-E15D-4E1A-81E0-542DF239991A}"/>
    <cellStyle name="Comma 3 2 5 2 3 4 3" xfId="25109" xr:uid="{142168C2-AA0B-4F14-829A-EEF652C420F6}"/>
    <cellStyle name="Comma 3 2 5 2 3 5" xfId="9972" xr:uid="{B8DD0CA8-F9C7-46DA-B1A9-0885D20CCE62}"/>
    <cellStyle name="Comma 3 2 5 2 3 5 2" xfId="26176" xr:uid="{1330D022-4487-4FCA-A703-6544765965FF}"/>
    <cellStyle name="Comma 3 2 5 2 3 6" xfId="17203" xr:uid="{B5A6C8F7-9927-4C9F-B3B8-8DB3016007A7}"/>
    <cellStyle name="Comma 3 2 5 2 3 6 2" xfId="33335" xr:uid="{87636A7B-42EE-40A9-B786-08B2051141A9}"/>
    <cellStyle name="Comma 3 2 5 2 3 7" xfId="18498" xr:uid="{9C7F15F2-355D-4E64-9E90-B5E9C276EAEA}"/>
    <cellStyle name="Comma 3 2 5 2 4" xfId="2698" xr:uid="{A3B27D9B-24CA-4081-B0FD-5B2CEC5133E1}"/>
    <cellStyle name="Comma 3 2 5 2 4 2" xfId="6482" xr:uid="{6819D321-87FF-4150-B1DC-E35668CD8AEE}"/>
    <cellStyle name="Comma 3 2 5 2 4 2 2" xfId="13994" xr:uid="{7312BA77-1866-405F-AE3A-4A1038479012}"/>
    <cellStyle name="Comma 3 2 5 2 4 2 2 2" xfId="30198" xr:uid="{F28EEBF8-6F71-4C92-AB56-231966234F32}"/>
    <cellStyle name="Comma 3 2 5 2 4 2 3" xfId="22686" xr:uid="{CAB63339-4891-4B68-9729-72AF1BB7564B}"/>
    <cellStyle name="Comma 3 2 5 2 4 3" xfId="9073" xr:uid="{13EFEB9E-76D9-4990-8094-998C8A3C7DF1}"/>
    <cellStyle name="Comma 3 2 5 2 4 3 2" xfId="16555" xr:uid="{BDC0373E-7B1C-46A7-A183-2C22F3230899}"/>
    <cellStyle name="Comma 3 2 5 2 4 3 2 2" xfId="32759" xr:uid="{DDF388C7-3229-465A-8B0F-7833143FD429}"/>
    <cellStyle name="Comma 3 2 5 2 4 3 3" xfId="25277" xr:uid="{6BEEED88-FA45-47CF-ABA4-F5C4CFA7438D}"/>
    <cellStyle name="Comma 3 2 5 2 4 4" xfId="10394" xr:uid="{8D80A4A9-D49D-428F-AC63-0D12964BF37D}"/>
    <cellStyle name="Comma 3 2 5 2 4 4 2" xfId="26598" xr:uid="{BF146564-9B8F-47D7-96C2-0EA3454537BB}"/>
    <cellStyle name="Comma 3 2 5 2 4 5" xfId="17205" xr:uid="{20914E90-C8B6-4483-A14D-2BDF037A685A}"/>
    <cellStyle name="Comma 3 2 5 2 4 5 2" xfId="33337" xr:uid="{5DD7E593-8A52-4CA1-9ACB-44FEA3D9CDCC}"/>
    <cellStyle name="Comma 3 2 5 2 4 6" xfId="18920" xr:uid="{05EEC599-B5C1-4882-8353-B0E09A484801}"/>
    <cellStyle name="Comma 3 2 5 2 5" xfId="3628" xr:uid="{7B942576-9A02-4B6E-BF41-2416B945702F}"/>
    <cellStyle name="Comma 3 2 5 2 5 2" xfId="7338" xr:uid="{8B19C647-46AB-4EF7-A1A6-7617145CE6D0}"/>
    <cellStyle name="Comma 3 2 5 2 5 2 2" xfId="14847" xr:uid="{56F80A51-B9F2-4E6A-8F4A-DA37789E4CBB}"/>
    <cellStyle name="Comma 3 2 5 2 5 2 2 2" xfId="31051" xr:uid="{99E6B144-CDFF-4ABE-9463-16A645473916}"/>
    <cellStyle name="Comma 3 2 5 2 5 2 3" xfId="23542" xr:uid="{E9283AE5-C01D-40DC-BBD3-44520D30E710}"/>
    <cellStyle name="Comma 3 2 5 2 5 3" xfId="9014" xr:uid="{8C884CB3-E1D7-4A3C-9909-8C6C335E8824}"/>
    <cellStyle name="Comma 3 2 5 2 5 3 2" xfId="16505" xr:uid="{E4E00584-1223-49F2-9966-EF10BADC5AD6}"/>
    <cellStyle name="Comma 3 2 5 2 5 3 2 2" xfId="32709" xr:uid="{5B59A30E-DB68-42D6-AA19-3AAC04C379BB}"/>
    <cellStyle name="Comma 3 2 5 2 5 3 3" xfId="25218" xr:uid="{44E2DF3E-24BE-411B-87ED-57D847A3A3F2}"/>
    <cellStyle name="Comma 3 2 5 2 5 4" xfId="11239" xr:uid="{8F217677-A613-4FF9-ABD7-5B21625DD794}"/>
    <cellStyle name="Comma 3 2 5 2 5 4 2" xfId="27443" xr:uid="{7890C946-6C8F-4E1C-803D-D4F8A84B6AAC}"/>
    <cellStyle name="Comma 3 2 5 2 5 5" xfId="17206" xr:uid="{C83BB421-0099-4210-AA3A-0D756802967F}"/>
    <cellStyle name="Comma 3 2 5 2 5 5 2" xfId="33338" xr:uid="{6409B412-64C3-4A17-8DF8-1605A7FF2079}"/>
    <cellStyle name="Comma 3 2 5 2 5 6" xfId="19837" xr:uid="{87CB0A7B-6C1E-4799-AC95-644A941D4247}"/>
    <cellStyle name="Comma 3 2 5 2 6" xfId="3884" xr:uid="{91661341-E73C-40D5-9F04-34F6AD1F6311}"/>
    <cellStyle name="Comma 3 2 5 2 6 2" xfId="5542" xr:uid="{396FCAEF-E4A9-4D83-B3A2-1FB21E71FDB7}"/>
    <cellStyle name="Comma 3 2 5 2 6 2 2" xfId="21746" xr:uid="{0EF0281F-4E67-4EEE-8C5B-B4B8097ED5B9}"/>
    <cellStyle name="Comma 3 2 5 2 6 3" xfId="17207" xr:uid="{DEA8E857-4530-4FBF-AFB9-ED6AE4E2F34E}"/>
    <cellStyle name="Comma 3 2 5 2 6 3 2" xfId="33339" xr:uid="{CEFEB413-2054-4ABD-9363-BA85B41F5832}"/>
    <cellStyle name="Comma 3 2 5 2 6 4" xfId="20093" xr:uid="{5FF48E89-703F-4FF6-A582-BE162B6FE820}"/>
    <cellStyle name="Comma 3 2 5 2 7" xfId="4098" xr:uid="{B3D9767C-534C-4D73-9FCB-EB65E2B92B89}"/>
    <cellStyle name="Comma 3 2 5 2 7 2" xfId="7768" xr:uid="{098A5FD7-1A94-4989-AA5C-C8A8B41FE699}"/>
    <cellStyle name="Comma 3 2 5 2 7 2 2" xfId="15275" xr:uid="{740BDB1F-D84A-4CB5-AEB2-683B3F571EC0}"/>
    <cellStyle name="Comma 3 2 5 2 7 2 2 2" xfId="31479" xr:uid="{61DB6EF8-8266-4646-BAAF-CBCA3EE1E2C4}"/>
    <cellStyle name="Comma 3 2 5 2 7 2 3" xfId="23972" xr:uid="{AA4AE18A-F891-48C9-8359-4314D593728D}"/>
    <cellStyle name="Comma 3 2 5 2 7 3" xfId="5474" xr:uid="{A80DB70D-034B-4F32-8887-8D6465A3F6B3}"/>
    <cellStyle name="Comma 3 2 5 2 7 3 2" xfId="13012" xr:uid="{9E7C9B59-2774-4B38-A87D-2DEA6A9B1FE7}"/>
    <cellStyle name="Comma 3 2 5 2 7 3 2 2" xfId="29216" xr:uid="{758D5663-3548-4855-A326-DDA31C094E7D}"/>
    <cellStyle name="Comma 3 2 5 2 7 3 3" xfId="21678" xr:uid="{9B651BBD-0AFD-47CD-BA82-619142CF5663}"/>
    <cellStyle name="Comma 3 2 5 2 7 4" xfId="11661" xr:uid="{1A56CE2C-3231-4096-A236-1C850147D02C}"/>
    <cellStyle name="Comma 3 2 5 2 7 4 2" xfId="27865" xr:uid="{A5A9D51D-3F09-47C8-A49B-5171859B8106}"/>
    <cellStyle name="Comma 3 2 5 2 7 5" xfId="17208" xr:uid="{D5CC86A6-6A95-4119-8D69-FA9F3F45D404}"/>
    <cellStyle name="Comma 3 2 5 2 7 5 2" xfId="33340" xr:uid="{C533D210-A2D3-4543-A75A-50B028A4D129}"/>
    <cellStyle name="Comma 3 2 5 2 7 6" xfId="20302" xr:uid="{D25FE04B-098E-491D-A3AC-170E53147893}"/>
    <cellStyle name="Comma 3 2 5 2 8" xfId="4523" xr:uid="{D8C4C069-51EC-45ED-AC00-9E97A82E7AAB}"/>
    <cellStyle name="Comma 3 2 5 2 8 2" xfId="8193" xr:uid="{B8E55044-A33A-45EF-A73A-8E6FE0374D3A}"/>
    <cellStyle name="Comma 3 2 5 2 8 2 2" xfId="15700" xr:uid="{F9C2437B-9502-4E1E-B0A9-7D5205E13F79}"/>
    <cellStyle name="Comma 3 2 5 2 8 2 2 2" xfId="31904" xr:uid="{F967A6A3-830A-4E05-A37C-9DCA6F75B0EB}"/>
    <cellStyle name="Comma 3 2 5 2 8 2 3" xfId="24397" xr:uid="{FCE9E61B-4703-4489-A97A-A3082F64BF12}"/>
    <cellStyle name="Comma 3 2 5 2 8 3" xfId="8932" xr:uid="{23D81EB5-718E-4B48-B2F7-A18C888472F5}"/>
    <cellStyle name="Comma 3 2 5 2 8 3 2" xfId="16431" xr:uid="{309E4831-1D4B-4651-A032-49C5BD7B68A6}"/>
    <cellStyle name="Comma 3 2 5 2 8 3 2 2" xfId="32635" xr:uid="{A15792D8-7461-4D70-8166-E2B07F4DF6A5}"/>
    <cellStyle name="Comma 3 2 5 2 8 3 3" xfId="25136" xr:uid="{22AA4095-DAC4-4F18-8805-9E5AE85A6271}"/>
    <cellStyle name="Comma 3 2 5 2 8 4" xfId="12086" xr:uid="{CA7DBD04-1A59-40F7-A455-1182105A6F89}"/>
    <cellStyle name="Comma 3 2 5 2 8 4 2" xfId="28290" xr:uid="{B99E3F17-115B-4FAE-9C58-5DB435741686}"/>
    <cellStyle name="Comma 3 2 5 2 8 5" xfId="17209" xr:uid="{2E7B7CD4-68B3-4CEB-9DD3-A42F7E8CD92A}"/>
    <cellStyle name="Comma 3 2 5 2 8 5 2" xfId="33341" xr:uid="{CABCB1FD-9CB7-44E7-BB71-DFDBFC7148F3}"/>
    <cellStyle name="Comma 3 2 5 2 8 6" xfId="20727" xr:uid="{AE543963-F1A3-4CF3-AAAD-BC93F1D0DB2A}"/>
    <cellStyle name="Comma 3 2 5 2 9" xfId="4950" xr:uid="{1FF6CFF3-A867-4120-9B61-0551A6AE3320}"/>
    <cellStyle name="Comma 3 2 5 2 9 2" xfId="8616" xr:uid="{3F7036EC-C6DA-443D-83D9-D1BE6EC55231}"/>
    <cellStyle name="Comma 3 2 5 2 9 2 2" xfId="16123" xr:uid="{7B7CB1F2-A50E-48F1-8A9C-FCCCBC0660BC}"/>
    <cellStyle name="Comma 3 2 5 2 9 2 2 2" xfId="32327" xr:uid="{3B25FB4C-E3E2-4F14-B18A-9938B07E6C1E}"/>
    <cellStyle name="Comma 3 2 5 2 9 2 3" xfId="24820" xr:uid="{F69844F1-08FB-4180-A1D5-88C28A5D0EDD}"/>
    <cellStyle name="Comma 3 2 5 2 9 3" xfId="12508" xr:uid="{102A9083-5F73-4CFC-BAEF-7E6E692E89ED}"/>
    <cellStyle name="Comma 3 2 5 2 9 3 2" xfId="28712" xr:uid="{ADD751D9-4265-446D-866E-4FA3EFC55CE7}"/>
    <cellStyle name="Comma 3 2 5 2 9 4" xfId="21154" xr:uid="{6B409E0F-4FC9-4A18-93A0-A7BD7C9152E2}"/>
    <cellStyle name="Comma 3 2 5 3" xfId="1770" xr:uid="{376198EA-572C-430C-96BC-D95E00BF4403}"/>
    <cellStyle name="Comma 3 2 5 3 10" xfId="5635" xr:uid="{8C9C07EF-6509-4698-AD5C-5C7FDD997D33}"/>
    <cellStyle name="Comma 3 2 5 3 10 2" xfId="13150" xr:uid="{E84D99EE-EA4C-495A-92BD-C84DC72E05CE}"/>
    <cellStyle name="Comma 3 2 5 3 10 2 2" xfId="29354" xr:uid="{76BB8CA4-4A1F-4ED5-A7C4-26BDCA8866CD}"/>
    <cellStyle name="Comma 3 2 5 3 10 3" xfId="21839" xr:uid="{FE73ADE8-C75F-48E9-A8E0-8D7B35EDD42F}"/>
    <cellStyle name="Comma 3 2 5 3 11" xfId="9563" xr:uid="{A4DDF34B-564C-4E94-984A-7DF7E767A34E}"/>
    <cellStyle name="Comma 3 2 5 3 11 2" xfId="25767" xr:uid="{ADB617AC-8B72-47DA-A3A6-B7BCFFE4893C}"/>
    <cellStyle name="Comma 3 2 5 3 12" xfId="17210" xr:uid="{4C5BFCE7-453E-49FA-B603-BE514C4CA10D}"/>
    <cellStyle name="Comma 3 2 5 3 12 2" xfId="33342" xr:uid="{A8E623B4-A284-4B8B-B5E9-DA4BC6A52C39}"/>
    <cellStyle name="Comma 3 2 5 3 13" xfId="18086" xr:uid="{BD1E5317-62F9-460A-B39E-8E241FB490D3}"/>
    <cellStyle name="Comma 3 2 5 3 2" xfId="1915" xr:uid="{344F3C75-C248-4944-8AC7-E1277E745660}"/>
    <cellStyle name="Comma 3 2 5 3 2 10" xfId="9695" xr:uid="{7BB69D43-525C-40C8-A1B0-16B6365DCE8F}"/>
    <cellStyle name="Comma 3 2 5 3 2 10 2" xfId="25899" xr:uid="{D2C887D1-1E1F-4283-B15E-A86A1F5F03CA}"/>
    <cellStyle name="Comma 3 2 5 3 2 11" xfId="17211" xr:uid="{FEB943C7-BE12-4979-80BE-0D5A2F6B9C34}"/>
    <cellStyle name="Comma 3 2 5 3 2 11 2" xfId="33343" xr:uid="{046CE080-7455-4221-A706-59A9F46483BC}"/>
    <cellStyle name="Comma 3 2 5 3 2 12" xfId="18219" xr:uid="{8EDF3F5C-37F9-4485-98F7-28A713A86ABA}"/>
    <cellStyle name="Comma 3 2 5 3 2 2" xfId="2422" xr:uid="{14520E7C-B8EE-48AA-9F13-E0897D408D01}"/>
    <cellStyle name="Comma 3 2 5 3 2 2 2" xfId="3269" xr:uid="{D4128CE7-36AC-41E3-B810-3CF930AC9DE4}"/>
    <cellStyle name="Comma 3 2 5 3 2 2 2 2" xfId="7051" xr:uid="{EDD34AB5-0A1C-40CC-856B-B4EA2C4026E9}"/>
    <cellStyle name="Comma 3 2 5 3 2 2 2 2 2" xfId="14562" xr:uid="{5ED3C01D-5AA5-47D3-AE11-58FB40CF6BA4}"/>
    <cellStyle name="Comma 3 2 5 3 2 2 2 2 2 2" xfId="30766" xr:uid="{801FBBE2-166E-40DF-BEB8-84E0EAE125CA}"/>
    <cellStyle name="Comma 3 2 5 3 2 2 2 2 3" xfId="23255" xr:uid="{A6C2EDB6-4DCB-4EC6-8AE6-83220C52794A}"/>
    <cellStyle name="Comma 3 2 5 3 2 2 2 3" xfId="8886" xr:uid="{A70E4875-EC4D-4539-91AE-829325F50119}"/>
    <cellStyle name="Comma 3 2 5 3 2 2 2 3 2" xfId="16390" xr:uid="{CCA71883-42C8-466E-9A17-C7563985297D}"/>
    <cellStyle name="Comma 3 2 5 3 2 2 2 3 2 2" xfId="32594" xr:uid="{F2F615BC-47F8-42CD-BD45-606D112CA396}"/>
    <cellStyle name="Comma 3 2 5 3 2 2 2 3 3" xfId="25090" xr:uid="{89FD5C1A-2A87-496C-84AE-D5689ADF5905}"/>
    <cellStyle name="Comma 3 2 5 3 2 2 2 4" xfId="10962" xr:uid="{A4A07D29-5DDD-4495-8F8D-8BF6CCC72194}"/>
    <cellStyle name="Comma 3 2 5 3 2 2 2 4 2" xfId="27166" xr:uid="{FE346070-2871-47A4-8968-66AE428F2CCD}"/>
    <cellStyle name="Comma 3 2 5 3 2 2 2 5" xfId="17213" xr:uid="{58ADE1BC-FD99-4E3E-8395-CB1C7605A0D5}"/>
    <cellStyle name="Comma 3 2 5 3 2 2 2 5 2" xfId="33345" xr:uid="{B3C6B7AE-DF87-4A89-BC13-F6BEA8BAACF1}"/>
    <cellStyle name="Comma 3 2 5 3 2 2 2 6" xfId="19489" xr:uid="{29E27A5A-0EF5-4367-805B-2300D3579219}"/>
    <cellStyle name="Comma 3 2 5 3 2 2 3" xfId="6206" xr:uid="{DF03E7F1-88EC-43CA-A612-AD8AC4C055C3}"/>
    <cellStyle name="Comma 3 2 5 3 2 2 3 2" xfId="13718" xr:uid="{C0CC5A32-3ECF-4E32-880D-7DD56AE5DD72}"/>
    <cellStyle name="Comma 3 2 5 3 2 2 3 2 2" xfId="29922" xr:uid="{AACC0C38-F83B-4AC0-B076-A79D187A4FB2}"/>
    <cellStyle name="Comma 3 2 5 3 2 2 3 3" xfId="22410" xr:uid="{D28AD26C-E7F1-4356-9773-E17C5E5DDD74}"/>
    <cellStyle name="Comma 3 2 5 3 2 2 4" xfId="9176" xr:uid="{121172B9-5440-417D-BFF9-FABB08608D08}"/>
    <cellStyle name="Comma 3 2 5 3 2 2 4 2" xfId="16650" xr:uid="{FF0AA223-3280-4D18-AEB1-5EDC234A63DD}"/>
    <cellStyle name="Comma 3 2 5 3 2 2 4 2 2" xfId="32854" xr:uid="{953163BF-38B5-4C80-8825-8D67B3EE1E2D}"/>
    <cellStyle name="Comma 3 2 5 3 2 2 4 3" xfId="25380" xr:uid="{038CB883-7443-45E3-9259-D794E1C2CDFD}"/>
    <cellStyle name="Comma 3 2 5 3 2 2 5" xfId="10118" xr:uid="{E8D686D5-8D31-4446-9139-67FFB258027D}"/>
    <cellStyle name="Comma 3 2 5 3 2 2 5 2" xfId="26322" xr:uid="{01B85EEB-281B-4559-8DB6-92574A8EB2DC}"/>
    <cellStyle name="Comma 3 2 5 3 2 2 6" xfId="17212" xr:uid="{2528BAD3-2336-4E96-9782-BD795AC0E41D}"/>
    <cellStyle name="Comma 3 2 5 3 2 2 6 2" xfId="33344" xr:uid="{F54E5562-50F3-4764-836F-5959263CFC9D}"/>
    <cellStyle name="Comma 3 2 5 3 2 2 7" xfId="18644" xr:uid="{997E4419-F8B2-4847-8D2E-AB2ABACB3B11}"/>
    <cellStyle name="Comma 3 2 5 3 2 3" xfId="2844" xr:uid="{F7E147D0-1E88-4123-B726-0104524CB904}"/>
    <cellStyle name="Comma 3 2 5 3 2 3 2" xfId="6628" xr:uid="{3C094F0D-4991-47FD-BF7A-64790ACCF6A5}"/>
    <cellStyle name="Comma 3 2 5 3 2 3 2 2" xfId="14140" xr:uid="{39B15032-3CBE-47CA-A3A2-B86FA8BE722B}"/>
    <cellStyle name="Comma 3 2 5 3 2 3 2 2 2" xfId="30344" xr:uid="{10B40919-49BD-4A45-B1C2-7DCCDDC6ADAD}"/>
    <cellStyle name="Comma 3 2 5 3 2 3 2 3" xfId="22832" xr:uid="{A89A541B-3FA0-4E10-B473-6443D6CA5A88}"/>
    <cellStyle name="Comma 3 2 5 3 2 3 3" xfId="5499" xr:uid="{34E844E7-CA96-4274-8A73-763474F4A700}"/>
    <cellStyle name="Comma 3 2 5 3 2 3 3 2" xfId="13034" xr:uid="{BFDA7166-9EC5-4293-B036-7A0A73274105}"/>
    <cellStyle name="Comma 3 2 5 3 2 3 3 2 2" xfId="29238" xr:uid="{BFF868C8-2549-411D-846B-4D4793C0A2AB}"/>
    <cellStyle name="Comma 3 2 5 3 2 3 3 3" xfId="21703" xr:uid="{3DA96F5C-85DB-4365-A0C4-B30BE7FFDC52}"/>
    <cellStyle name="Comma 3 2 5 3 2 3 4" xfId="10540" xr:uid="{F4EE3ACB-583B-4D6F-BF2B-75181209246D}"/>
    <cellStyle name="Comma 3 2 5 3 2 3 4 2" xfId="26744" xr:uid="{653B6F57-61AF-4345-9113-AC898248A1E4}"/>
    <cellStyle name="Comma 3 2 5 3 2 3 5" xfId="17214" xr:uid="{2A1993A1-5FC8-4C1A-B6E7-AC4C9AC733FB}"/>
    <cellStyle name="Comma 3 2 5 3 2 3 5 2" xfId="33346" xr:uid="{CB3F34F2-E5BF-40A5-A222-B78B4934FF2A}"/>
    <cellStyle name="Comma 3 2 5 3 2 3 6" xfId="19066" xr:uid="{83BAF3C1-CDE1-4219-AB6D-23EB630FFEAF}"/>
    <cellStyle name="Comma 3 2 5 3 2 4" xfId="3775" xr:uid="{54E31E6C-D67E-4495-A9D5-6271821CBE8F}"/>
    <cellStyle name="Comma 3 2 5 3 2 4 2" xfId="7485" xr:uid="{3CE5A296-C413-4A2A-8D51-37FCC53FF67F}"/>
    <cellStyle name="Comma 3 2 5 3 2 4 2 2" xfId="14994" xr:uid="{C885E789-4FF0-4B75-A527-0E9280C4DE61}"/>
    <cellStyle name="Comma 3 2 5 3 2 4 2 2 2" xfId="31198" xr:uid="{A148270A-4FDB-4F20-AA06-6DA11607E961}"/>
    <cellStyle name="Comma 3 2 5 3 2 4 2 3" xfId="23689" xr:uid="{81D44DE8-4CF5-489B-AC55-326BADC78E72}"/>
    <cellStyle name="Comma 3 2 5 3 2 4 3" xfId="9090" xr:uid="{99688C21-277C-4B5C-9E4E-569A07FD25AA}"/>
    <cellStyle name="Comma 3 2 5 3 2 4 3 2" xfId="16570" xr:uid="{7178EEC5-EF71-4B1D-B03D-F1875CCB3E77}"/>
    <cellStyle name="Comma 3 2 5 3 2 4 3 2 2" xfId="32774" xr:uid="{2B65ADCB-1AA6-4EFD-AD2B-28F5F8B2355E}"/>
    <cellStyle name="Comma 3 2 5 3 2 4 3 3" xfId="25294" xr:uid="{4CC60EB9-AC71-4921-B256-CD8CE6640E5C}"/>
    <cellStyle name="Comma 3 2 5 3 2 4 4" xfId="11385" xr:uid="{FC6CC311-FA4E-4D4D-8BB8-DE8450379631}"/>
    <cellStyle name="Comma 3 2 5 3 2 4 4 2" xfId="27589" xr:uid="{3DE29440-D2DC-4364-9674-39AE538C5666}"/>
    <cellStyle name="Comma 3 2 5 3 2 4 5" xfId="17215" xr:uid="{23BDF6B6-41D0-4F2A-9656-AB25606FFCC2}"/>
    <cellStyle name="Comma 3 2 5 3 2 4 5 2" xfId="33347" xr:uid="{32D81120-19BA-4063-ADDB-29ED27157A11}"/>
    <cellStyle name="Comma 3 2 5 3 2 4 6" xfId="19984" xr:uid="{C5FF8C65-57D1-4C26-9D33-8B97FB328A2F}"/>
    <cellStyle name="Comma 3 2 5 3 2 5" xfId="3587" xr:uid="{AA0A2B78-53BE-4CC8-AAB6-AE2A0FB3FA03}"/>
    <cellStyle name="Comma 3 2 5 3 2 5 2" xfId="5573" xr:uid="{C792C2D4-AB59-44A7-B4E5-0D196978A15D}"/>
    <cellStyle name="Comma 3 2 5 3 2 5 2 2" xfId="21777" xr:uid="{01E61F89-3BFD-457E-AC2D-1016832B1AB9}"/>
    <cellStyle name="Comma 3 2 5 3 2 5 3" xfId="17216" xr:uid="{A28B671C-ED0F-4D4A-9EF6-B9DD1F89A3DD}"/>
    <cellStyle name="Comma 3 2 5 3 2 5 3 2" xfId="33348" xr:uid="{3D7E75C5-A564-4E06-9B70-3ADC8E48E7C5}"/>
    <cellStyle name="Comma 3 2 5 3 2 5 4" xfId="19798" xr:uid="{E6223303-7419-4308-B861-62F124980EFB}"/>
    <cellStyle name="Comma 3 2 5 3 2 6" xfId="4244" xr:uid="{C034D77D-BCC6-4C23-9401-D84FE4457ECD}"/>
    <cellStyle name="Comma 3 2 5 3 2 6 2" xfId="7914" xr:uid="{693DF298-DA5D-4620-8062-69C65A4FEC43}"/>
    <cellStyle name="Comma 3 2 5 3 2 6 2 2" xfId="15421" xr:uid="{34B0C565-F8DC-4942-AB9D-1BC3DB266D3A}"/>
    <cellStyle name="Comma 3 2 5 3 2 6 2 2 2" xfId="31625" xr:uid="{4F16D207-C200-49F7-B9CB-4E7AB3D56AA9}"/>
    <cellStyle name="Comma 3 2 5 3 2 6 2 3" xfId="24118" xr:uid="{0EBFE294-133C-4B12-B940-749CECB1C4AA}"/>
    <cellStyle name="Comma 3 2 5 3 2 6 3" xfId="9178" xr:uid="{4B45B493-464E-4A10-B132-7AE52BF9A382}"/>
    <cellStyle name="Comma 3 2 5 3 2 6 3 2" xfId="16652" xr:uid="{8EB45EAF-BC75-4A52-973E-421A06906D0D}"/>
    <cellStyle name="Comma 3 2 5 3 2 6 3 2 2" xfId="32856" xr:uid="{42309A4C-2FBC-470E-820D-603384B966DD}"/>
    <cellStyle name="Comma 3 2 5 3 2 6 3 3" xfId="25382" xr:uid="{259A50B4-5D54-48A5-BB8A-63C53BCAA5BB}"/>
    <cellStyle name="Comma 3 2 5 3 2 6 4" xfId="11807" xr:uid="{F70653E1-6F01-4D3B-9367-1D08F86CE952}"/>
    <cellStyle name="Comma 3 2 5 3 2 6 4 2" xfId="28011" xr:uid="{26CF420A-3C9D-46EB-8B13-67D802D6C6B9}"/>
    <cellStyle name="Comma 3 2 5 3 2 6 5" xfId="17217" xr:uid="{92F284C7-0994-4AFC-A7B3-DB7BB2BA89DA}"/>
    <cellStyle name="Comma 3 2 5 3 2 6 5 2" xfId="33349" xr:uid="{48217B1C-35AB-49BF-BC22-3BC3E7E9FE14}"/>
    <cellStyle name="Comma 3 2 5 3 2 6 6" xfId="20448" xr:uid="{4F1A419F-1442-46B9-9005-F745DC46711E}"/>
    <cellStyle name="Comma 3 2 5 3 2 7" xfId="4669" xr:uid="{6746298A-E993-48CD-BE20-CBABE031EE5C}"/>
    <cellStyle name="Comma 3 2 5 3 2 7 2" xfId="8339" xr:uid="{7488D8C6-1A17-4FB2-8726-EAE46A337524}"/>
    <cellStyle name="Comma 3 2 5 3 2 7 2 2" xfId="15846" xr:uid="{234FD2CE-060E-4E89-BEDE-B8FBB6B09373}"/>
    <cellStyle name="Comma 3 2 5 3 2 7 2 2 2" xfId="32050" xr:uid="{89768184-56E6-480A-AD8A-BA5A4D83D98F}"/>
    <cellStyle name="Comma 3 2 5 3 2 7 2 3" xfId="24543" xr:uid="{99277566-4F8E-41EC-BC76-1379CA07309B}"/>
    <cellStyle name="Comma 3 2 5 3 2 7 3" xfId="5534" xr:uid="{E482442A-FB12-48A7-BE3B-8D717D4D40BE}"/>
    <cellStyle name="Comma 3 2 5 3 2 7 3 2" xfId="13060" xr:uid="{C45C4FE4-D8F3-41B3-9CD1-160F219B4E55}"/>
    <cellStyle name="Comma 3 2 5 3 2 7 3 2 2" xfId="29264" xr:uid="{F14EF334-9D75-4CFD-99A1-CBA06431BD34}"/>
    <cellStyle name="Comma 3 2 5 3 2 7 3 3" xfId="21738" xr:uid="{66D52B70-1CD6-4099-87EE-AB48AE7BC50F}"/>
    <cellStyle name="Comma 3 2 5 3 2 7 4" xfId="12232" xr:uid="{C0A52A8E-0246-411E-B596-BA1072604DDD}"/>
    <cellStyle name="Comma 3 2 5 3 2 7 4 2" xfId="28436" xr:uid="{86EA5F34-7001-4D7E-A4BA-953AEBB772A8}"/>
    <cellStyle name="Comma 3 2 5 3 2 7 5" xfId="17218" xr:uid="{1046A687-3E8E-4A3D-9000-A8E21892FD3A}"/>
    <cellStyle name="Comma 3 2 5 3 2 7 5 2" xfId="33350" xr:uid="{E0709677-E00B-419F-A9CF-2730416F8951}"/>
    <cellStyle name="Comma 3 2 5 3 2 7 6" xfId="20873" xr:uid="{E54D8595-2D62-4417-82C5-966421771795}"/>
    <cellStyle name="Comma 3 2 5 3 2 8" xfId="5097" xr:uid="{2C8DDFDF-4BA6-4369-A2FD-77B1757DD178}"/>
    <cellStyle name="Comma 3 2 5 3 2 8 2" xfId="8762" xr:uid="{D5BE31AB-1AB1-4E4A-8474-0371E2E82632}"/>
    <cellStyle name="Comma 3 2 5 3 2 8 2 2" xfId="16269" xr:uid="{19B9F727-4078-4102-98C1-ABD72B2CB1B4}"/>
    <cellStyle name="Comma 3 2 5 3 2 8 2 2 2" xfId="32473" xr:uid="{56F9194B-CD31-4031-BD25-3C888DFB87F6}"/>
    <cellStyle name="Comma 3 2 5 3 2 8 2 3" xfId="24966" xr:uid="{D1194FC6-44CB-4A97-A469-ED58012FAA89}"/>
    <cellStyle name="Comma 3 2 5 3 2 8 3" xfId="12654" xr:uid="{FDE9BBB7-3431-4421-AF93-67D784836109}"/>
    <cellStyle name="Comma 3 2 5 3 2 8 3 2" xfId="28858" xr:uid="{4558B898-64B7-488D-A1AE-50505F42080A}"/>
    <cellStyle name="Comma 3 2 5 3 2 8 4" xfId="21301" xr:uid="{156C924A-B616-49B1-B2D3-98364B5C9926}"/>
    <cellStyle name="Comma 3 2 5 3 2 9" xfId="5768" xr:uid="{AFB458C4-5122-403F-9D86-EE7DED3FA8FE}"/>
    <cellStyle name="Comma 3 2 5 3 2 9 2" xfId="13283" xr:uid="{49A37A24-4199-4F07-8B25-EB52F68D0969}"/>
    <cellStyle name="Comma 3 2 5 3 2 9 2 2" xfId="29487" xr:uid="{4CBB69BD-48EC-4947-A4EE-A58A53EAC57D}"/>
    <cellStyle name="Comma 3 2 5 3 2 9 3" xfId="21972" xr:uid="{C5020D4C-78E4-43AB-9E56-ED4C90BFF7F6}"/>
    <cellStyle name="Comma 3 2 5 3 3" xfId="2288" xr:uid="{56822918-A932-4353-8B1B-D8DE10799C6B}"/>
    <cellStyle name="Comma 3 2 5 3 3 2" xfId="3137" xr:uid="{CFA1FF76-18A1-42AD-9472-9330D44D42AC}"/>
    <cellStyle name="Comma 3 2 5 3 3 2 2" xfId="6919" xr:uid="{242463D5-E4B5-477A-8DC2-064EC0213D24}"/>
    <cellStyle name="Comma 3 2 5 3 3 2 2 2" xfId="14430" xr:uid="{75B8AAF7-08D6-45FF-A322-CA505F5375BC}"/>
    <cellStyle name="Comma 3 2 5 3 3 2 2 2 2" xfId="30634" xr:uid="{9C92DA25-8DD2-436D-8E4C-4E2235A49F78}"/>
    <cellStyle name="Comma 3 2 5 3 3 2 2 3" xfId="23123" xr:uid="{5EFECC38-7B01-4BE3-8145-EB675DD31566}"/>
    <cellStyle name="Comma 3 2 5 3 3 2 3" xfId="9344" xr:uid="{DC32B7E8-EA4E-40FE-9C0A-F4C46023F402}"/>
    <cellStyle name="Comma 3 2 5 3 3 2 3 2" xfId="16787" xr:uid="{A45AFAC7-7F35-4344-B164-16A688389502}"/>
    <cellStyle name="Comma 3 2 5 3 3 2 3 2 2" xfId="32991" xr:uid="{AACDBBC4-8FB4-4AA6-B50D-D95A80DB1B28}"/>
    <cellStyle name="Comma 3 2 5 3 3 2 3 3" xfId="25548" xr:uid="{7611238E-A372-4CE0-855F-532831FC0B7E}"/>
    <cellStyle name="Comma 3 2 5 3 3 2 4" xfId="10830" xr:uid="{0B36DC8A-7028-4B8A-A5B6-C186995D2783}"/>
    <cellStyle name="Comma 3 2 5 3 3 2 4 2" xfId="27034" xr:uid="{5048F2F1-3816-4609-9F6E-5F0644B19685}"/>
    <cellStyle name="Comma 3 2 5 3 3 2 5" xfId="17220" xr:uid="{83BAB69E-011C-4DCF-944C-281E94B99249}"/>
    <cellStyle name="Comma 3 2 5 3 3 2 5 2" xfId="33352" xr:uid="{75337B44-0312-41D3-9EEF-09709DF3C15C}"/>
    <cellStyle name="Comma 3 2 5 3 3 2 6" xfId="19357" xr:uid="{29495A07-38E3-419A-9E1A-3AB5EFF9BCEA}"/>
    <cellStyle name="Comma 3 2 5 3 3 3" xfId="6074" xr:uid="{04ADD5FD-FB45-457C-A4F7-4D17C842CCFA}"/>
    <cellStyle name="Comma 3 2 5 3 3 3 2" xfId="13586" xr:uid="{38CA0189-6C7E-4A61-816B-406357C91BE7}"/>
    <cellStyle name="Comma 3 2 5 3 3 3 2 2" xfId="29790" xr:uid="{7465D68E-72C0-49A9-9601-7F17CA0CE70A}"/>
    <cellStyle name="Comma 3 2 5 3 3 3 3" xfId="22278" xr:uid="{8A879AD1-66DA-462C-A2C7-93221466B49D}"/>
    <cellStyle name="Comma 3 2 5 3 3 4" xfId="9050" xr:uid="{CA744742-7A87-4D60-ADEE-4C7693E27B31}"/>
    <cellStyle name="Comma 3 2 5 3 3 4 2" xfId="16539" xr:uid="{C15D6F80-1649-429C-B225-9B066DC00054}"/>
    <cellStyle name="Comma 3 2 5 3 3 4 2 2" xfId="32743" xr:uid="{438A33AC-3CFA-4E43-91A1-A78BFFB38933}"/>
    <cellStyle name="Comma 3 2 5 3 3 4 3" xfId="25254" xr:uid="{C6CCA102-9E49-4A03-A2B5-FE51909A2CEF}"/>
    <cellStyle name="Comma 3 2 5 3 3 5" xfId="9986" xr:uid="{D0E13337-3F7D-4086-989D-276EE7E0F259}"/>
    <cellStyle name="Comma 3 2 5 3 3 5 2" xfId="26190" xr:uid="{2957B8B2-1A11-47ED-A386-B51E5EF73B42}"/>
    <cellStyle name="Comma 3 2 5 3 3 6" xfId="17219" xr:uid="{0C523D98-6E17-47DF-91CF-DAF56B39B4D5}"/>
    <cellStyle name="Comma 3 2 5 3 3 6 2" xfId="33351" xr:uid="{13BBC066-A449-4D1F-9BE7-4F84D8DB2657}"/>
    <cellStyle name="Comma 3 2 5 3 3 7" xfId="18512" xr:uid="{DBA2969D-508E-4B09-8F9E-3C84124F1532}"/>
    <cellStyle name="Comma 3 2 5 3 4" xfId="2712" xr:uid="{44BF07D8-A3FC-4733-BDEA-654BCE7257F2}"/>
    <cellStyle name="Comma 3 2 5 3 4 2" xfId="6496" xr:uid="{9AF1B43E-7F40-4AC5-A1A3-0CD16579DB8C}"/>
    <cellStyle name="Comma 3 2 5 3 4 2 2" xfId="14008" xr:uid="{36557BB3-847B-4B42-9F22-8A87602C848F}"/>
    <cellStyle name="Comma 3 2 5 3 4 2 2 2" xfId="30212" xr:uid="{E1B05F64-208A-4D96-9EB5-D63AF2F2C70A}"/>
    <cellStyle name="Comma 3 2 5 3 4 2 3" xfId="22700" xr:uid="{29468C26-F95D-473F-871C-C1E76F202DEA}"/>
    <cellStyle name="Comma 3 2 5 3 4 3" xfId="5243" xr:uid="{8DF2DA94-1712-4608-B522-4966072C81C9}"/>
    <cellStyle name="Comma 3 2 5 3 4 3 2" xfId="12794" xr:uid="{D78E9A82-F1D6-4653-9A90-E623EC64C4FD}"/>
    <cellStyle name="Comma 3 2 5 3 4 3 2 2" xfId="28998" xr:uid="{1884374C-D40E-43CD-98DC-7583F43D93F3}"/>
    <cellStyle name="Comma 3 2 5 3 4 3 3" xfId="21447" xr:uid="{4B21439A-4CF7-48F7-B51F-3DBAF5FBE64E}"/>
    <cellStyle name="Comma 3 2 5 3 4 4" xfId="10408" xr:uid="{B0B1718D-3A58-4E5D-A80D-3E0A99231F93}"/>
    <cellStyle name="Comma 3 2 5 3 4 4 2" xfId="26612" xr:uid="{9670B114-DCBB-4B36-B088-8CBF109B8F3D}"/>
    <cellStyle name="Comma 3 2 5 3 4 5" xfId="17221" xr:uid="{1531AA69-C74C-40C2-9A18-AA287D8F308A}"/>
    <cellStyle name="Comma 3 2 5 3 4 5 2" xfId="33353" xr:uid="{FB1BE3DB-6248-4F84-A160-3B2E4AF9780A}"/>
    <cellStyle name="Comma 3 2 5 3 4 6" xfId="18934" xr:uid="{40C19ADB-E39C-4CC0-9AB4-6D6E7B1D5793}"/>
    <cellStyle name="Comma 3 2 5 3 5" xfId="3642" xr:uid="{2CA1E95A-5CFE-4138-B871-5CE87BBEDCA9}"/>
    <cellStyle name="Comma 3 2 5 3 5 2" xfId="7352" xr:uid="{43865920-C844-48FB-9E52-B990C00CE9B8}"/>
    <cellStyle name="Comma 3 2 5 3 5 2 2" xfId="14861" xr:uid="{13911E66-1FC6-4698-93B1-72AB3C7E93E8}"/>
    <cellStyle name="Comma 3 2 5 3 5 2 2 2" xfId="31065" xr:uid="{97CB610B-097A-4B8C-80B7-2DE33780C782}"/>
    <cellStyle name="Comma 3 2 5 3 5 2 3" xfId="23556" xr:uid="{4B4FD030-1313-4894-A593-5EE731E3856A}"/>
    <cellStyle name="Comma 3 2 5 3 5 3" xfId="5660" xr:uid="{0061C0E7-C3E9-49A8-9F33-EE60ACC83F31}"/>
    <cellStyle name="Comma 3 2 5 3 5 3 2" xfId="13175" xr:uid="{9A31162F-9C65-4F07-B306-40E952ABF153}"/>
    <cellStyle name="Comma 3 2 5 3 5 3 2 2" xfId="29379" xr:uid="{1AE2E0D1-5CD5-477D-A460-20BC13932C21}"/>
    <cellStyle name="Comma 3 2 5 3 5 3 3" xfId="21864" xr:uid="{856E7E99-0B64-4BED-AED1-C23FFBCC4E93}"/>
    <cellStyle name="Comma 3 2 5 3 5 4" xfId="11253" xr:uid="{D6B52816-671C-43AD-AD1B-097E5CC2C089}"/>
    <cellStyle name="Comma 3 2 5 3 5 4 2" xfId="27457" xr:uid="{3DEC872D-5994-4374-8C5F-191FDB6B6341}"/>
    <cellStyle name="Comma 3 2 5 3 5 5" xfId="17222" xr:uid="{4ADD14ED-1B03-4FB7-A7AC-4AABEF7ED6E6}"/>
    <cellStyle name="Comma 3 2 5 3 5 5 2" xfId="33354" xr:uid="{549EBE7A-1732-4822-A6C6-B9DC71A8C390}"/>
    <cellStyle name="Comma 3 2 5 3 5 6" xfId="19851" xr:uid="{C874EE01-C5AD-4887-8CC9-1017C97E0895}"/>
    <cellStyle name="Comma 3 2 5 3 6" xfId="3566" xr:uid="{99F63B48-51D9-478E-B704-63BA6E5157E5}"/>
    <cellStyle name="Comma 3 2 5 3 6 2" xfId="5232" xr:uid="{E8CE5FC7-9467-4E6B-8F05-498139CDA3E8}"/>
    <cellStyle name="Comma 3 2 5 3 6 2 2" xfId="21436" xr:uid="{73CAD76A-2100-43CA-BD07-D3E0CB9CD2B8}"/>
    <cellStyle name="Comma 3 2 5 3 6 3" xfId="17223" xr:uid="{728A81BF-4307-4DD2-81A1-642506A72591}"/>
    <cellStyle name="Comma 3 2 5 3 6 3 2" xfId="33355" xr:uid="{62EB1D90-7BF9-4DB2-88C7-28EBBB8EE9D5}"/>
    <cellStyle name="Comma 3 2 5 3 6 4" xfId="19779" xr:uid="{C48E8A56-387D-4004-91B4-04D9DC0359C1}"/>
    <cellStyle name="Comma 3 2 5 3 7" xfId="4112" xr:uid="{3287D6C7-0F99-4FC7-AA6B-2198486A9EA7}"/>
    <cellStyle name="Comma 3 2 5 3 7 2" xfId="7782" xr:uid="{92633886-C201-4155-9B36-F10ED21812E0}"/>
    <cellStyle name="Comma 3 2 5 3 7 2 2" xfId="15289" xr:uid="{2D394E9F-492D-4475-9D31-B5CED32CBCBD}"/>
    <cellStyle name="Comma 3 2 5 3 7 2 2 2" xfId="31493" xr:uid="{BF033294-4AE9-4B69-BE36-E0D7F4A4121A}"/>
    <cellStyle name="Comma 3 2 5 3 7 2 3" xfId="23986" xr:uid="{6185101E-AB37-4B6E-BD2E-896042333E5E}"/>
    <cellStyle name="Comma 3 2 5 3 7 3" xfId="9171" xr:uid="{D3B44EF5-6A58-493E-96D1-9447B203B489}"/>
    <cellStyle name="Comma 3 2 5 3 7 3 2" xfId="16645" xr:uid="{D3295BB9-E655-48C1-B2F4-E6BC6ED634A7}"/>
    <cellStyle name="Comma 3 2 5 3 7 3 2 2" xfId="32849" xr:uid="{A4BE2714-93FC-4579-8CFA-A88BC32F38C5}"/>
    <cellStyle name="Comma 3 2 5 3 7 3 3" xfId="25375" xr:uid="{721AFC52-2379-4A1C-9EA0-5C14EC0F7AFA}"/>
    <cellStyle name="Comma 3 2 5 3 7 4" xfId="11675" xr:uid="{C1B18F19-43DB-4816-A776-E69070CFBE90}"/>
    <cellStyle name="Comma 3 2 5 3 7 4 2" xfId="27879" xr:uid="{55DEC3C3-8059-4D84-A1C7-371FE914C18F}"/>
    <cellStyle name="Comma 3 2 5 3 7 5" xfId="17224" xr:uid="{7BC650BC-C41C-4D95-9E33-E35E11F66519}"/>
    <cellStyle name="Comma 3 2 5 3 7 5 2" xfId="33356" xr:uid="{3BA6D9F3-CC7F-4094-A3DE-2478F7F5B379}"/>
    <cellStyle name="Comma 3 2 5 3 7 6" xfId="20316" xr:uid="{A5D5DC3A-731A-4D28-B65E-039678228655}"/>
    <cellStyle name="Comma 3 2 5 3 8" xfId="4537" xr:uid="{E6FA3965-4C3F-4F2E-9338-2F96285A2672}"/>
    <cellStyle name="Comma 3 2 5 3 8 2" xfId="8207" xr:uid="{467E0D7B-CCEB-45CE-BD4E-FF0D5696AC29}"/>
    <cellStyle name="Comma 3 2 5 3 8 2 2" xfId="15714" xr:uid="{DDDD3975-2E79-40D3-9889-E6E0DCF37BCA}"/>
    <cellStyle name="Comma 3 2 5 3 8 2 2 2" xfId="31918" xr:uid="{57E00730-F49B-4BE4-A47A-2C3AAD45515D}"/>
    <cellStyle name="Comma 3 2 5 3 8 2 3" xfId="24411" xr:uid="{D937EE91-E2CF-4128-86C1-753434360512}"/>
    <cellStyle name="Comma 3 2 5 3 8 3" xfId="9207" xr:uid="{8F69C8C2-4810-4607-B339-E38757580105}"/>
    <cellStyle name="Comma 3 2 5 3 8 3 2" xfId="16677" xr:uid="{AD483361-6E74-4D56-9D75-B41BF60E0C28}"/>
    <cellStyle name="Comma 3 2 5 3 8 3 2 2" xfId="32881" xr:uid="{2635C8C4-1BF4-44DD-BC1A-018637E0DA4B}"/>
    <cellStyle name="Comma 3 2 5 3 8 3 3" xfId="25411" xr:uid="{1795019F-9779-41F9-AFE3-D7D3FE0B4052}"/>
    <cellStyle name="Comma 3 2 5 3 8 4" xfId="12100" xr:uid="{E0997F67-1D0A-4106-8CE5-18D66D12DF58}"/>
    <cellStyle name="Comma 3 2 5 3 8 4 2" xfId="28304" xr:uid="{2B465BD8-ECF7-48C8-99B1-D219DA8DF482}"/>
    <cellStyle name="Comma 3 2 5 3 8 5" xfId="17225" xr:uid="{ADBA5657-73AF-447B-8456-B25474A42817}"/>
    <cellStyle name="Comma 3 2 5 3 8 5 2" xfId="33357" xr:uid="{9F712E04-C043-4146-B51A-A2CBD8573402}"/>
    <cellStyle name="Comma 3 2 5 3 8 6" xfId="20741" xr:uid="{BCEDFBE5-4CD6-46DE-93EA-8A8C9B9E5968}"/>
    <cellStyle name="Comma 3 2 5 3 9" xfId="4964" xr:uid="{07689A8F-BE8E-4058-8060-33A4CD1E3080}"/>
    <cellStyle name="Comma 3 2 5 3 9 2" xfId="8630" xr:uid="{5551CBAA-7693-4D1E-BC3F-0EECD3E9D2D5}"/>
    <cellStyle name="Comma 3 2 5 3 9 2 2" xfId="16137" xr:uid="{FA2DD439-C2D3-4C29-8827-9217B8F1E701}"/>
    <cellStyle name="Comma 3 2 5 3 9 2 2 2" xfId="32341" xr:uid="{883EFB19-0126-46E8-8409-023CBD506649}"/>
    <cellStyle name="Comma 3 2 5 3 9 2 3" xfId="24834" xr:uid="{1EAA5EAC-AC66-4A01-98E4-C8362E9B2E48}"/>
    <cellStyle name="Comma 3 2 5 3 9 3" xfId="12522" xr:uid="{A8101453-02A6-443A-803C-BCA002876B6E}"/>
    <cellStyle name="Comma 3 2 5 3 9 3 2" xfId="28726" xr:uid="{F6BDDB0C-B795-4BA6-B77F-FBE0B737A53B}"/>
    <cellStyle name="Comma 3 2 5 3 9 4" xfId="21168" xr:uid="{B2950567-A394-4C93-9A09-F8D2BBA3BA04}"/>
    <cellStyle name="Comma 3 2 5 4" xfId="1788" xr:uid="{DA25AD19-DD5E-4D99-9EC3-05B8BEE1E31C}"/>
    <cellStyle name="Comma 3 2 5 4 10" xfId="5649" xr:uid="{078DDE7A-8A70-4EFD-A893-7680065F2C29}"/>
    <cellStyle name="Comma 3 2 5 4 10 2" xfId="13164" xr:uid="{F7641547-1346-40A3-B3B0-3E77FFDB239E}"/>
    <cellStyle name="Comma 3 2 5 4 10 2 2" xfId="29368" xr:uid="{C4034312-9358-4B08-B6F8-80DD18A3FE19}"/>
    <cellStyle name="Comma 3 2 5 4 10 3" xfId="21853" xr:uid="{1090B3F2-6676-41CD-9417-0550ADC80D9A}"/>
    <cellStyle name="Comma 3 2 5 4 11" xfId="9577" xr:uid="{40D8A32B-2C8C-4EF9-AA4A-E26CDFE62BD5}"/>
    <cellStyle name="Comma 3 2 5 4 11 2" xfId="25781" xr:uid="{2110DF8D-642F-41FB-BA45-BAEEE7FED0F1}"/>
    <cellStyle name="Comma 3 2 5 4 12" xfId="17226" xr:uid="{121EE636-FF2B-47F1-9CD4-9BD47895178A}"/>
    <cellStyle name="Comma 3 2 5 4 12 2" xfId="33358" xr:uid="{23F98AA6-544D-4F7D-8476-B6E3E3E1111B}"/>
    <cellStyle name="Comma 3 2 5 4 13" xfId="18100" xr:uid="{43129617-7963-4D88-906A-D7A205F83CA4}"/>
    <cellStyle name="Comma 3 2 5 4 2" xfId="1916" xr:uid="{085950D2-2818-4CD0-8621-5EACB15DD1F1}"/>
    <cellStyle name="Comma 3 2 5 4 2 10" xfId="9696" xr:uid="{94F9D752-AF81-4FD9-991F-5B7585CF54A8}"/>
    <cellStyle name="Comma 3 2 5 4 2 10 2" xfId="25900" xr:uid="{B3319831-2FF0-4862-9FF5-898B4E19F0B2}"/>
    <cellStyle name="Comma 3 2 5 4 2 11" xfId="17227" xr:uid="{32A190DC-F940-4D74-81C9-567F4C10C336}"/>
    <cellStyle name="Comma 3 2 5 4 2 11 2" xfId="33359" xr:uid="{15E7D4BB-F70F-46AD-867D-8B629C8C2AD4}"/>
    <cellStyle name="Comma 3 2 5 4 2 12" xfId="18220" xr:uid="{F1F4E1F6-D80B-44AE-9A1A-03A90474AB07}"/>
    <cellStyle name="Comma 3 2 5 4 2 2" xfId="2423" xr:uid="{5E5D86C2-B969-4358-86C4-D1A3F96891C1}"/>
    <cellStyle name="Comma 3 2 5 4 2 2 2" xfId="3270" xr:uid="{B1E27431-81A9-403F-A5BF-2E34E2F87376}"/>
    <cellStyle name="Comma 3 2 5 4 2 2 2 2" xfId="7052" xr:uid="{CB86E02F-FD4E-42C6-862F-ACDE2A1695AD}"/>
    <cellStyle name="Comma 3 2 5 4 2 2 2 2 2" xfId="14563" xr:uid="{8B842389-19B6-46C7-9FC8-FEBE32687F46}"/>
    <cellStyle name="Comma 3 2 5 4 2 2 2 2 2 2" xfId="30767" xr:uid="{08716292-AF4A-420F-B206-D0800C027FD2}"/>
    <cellStyle name="Comma 3 2 5 4 2 2 2 2 3" xfId="23256" xr:uid="{C199CDC4-E911-4E50-8648-C060CA049D6B}"/>
    <cellStyle name="Comma 3 2 5 4 2 2 2 3" xfId="9227" xr:uid="{E736AAA4-C6BE-43EE-B109-88060E075478}"/>
    <cellStyle name="Comma 3 2 5 4 2 2 2 3 2" xfId="16692" xr:uid="{584F47C9-B254-418D-8E43-985446BB1629}"/>
    <cellStyle name="Comma 3 2 5 4 2 2 2 3 2 2" xfId="32896" xr:uid="{D7D3DCE4-CA80-403B-BDB9-27935CA3899B}"/>
    <cellStyle name="Comma 3 2 5 4 2 2 2 3 3" xfId="25431" xr:uid="{49F79566-5912-4C70-8329-DBE0E1735D2E}"/>
    <cellStyle name="Comma 3 2 5 4 2 2 2 4" xfId="10963" xr:uid="{5AE9082A-DE63-4EBC-B65C-9D3F969910F9}"/>
    <cellStyle name="Comma 3 2 5 4 2 2 2 4 2" xfId="27167" xr:uid="{6B69984F-FA5C-44F2-AEEC-B2232ADEAE00}"/>
    <cellStyle name="Comma 3 2 5 4 2 2 2 5" xfId="17229" xr:uid="{1685D8A4-86CC-4475-A226-033C7D54C862}"/>
    <cellStyle name="Comma 3 2 5 4 2 2 2 5 2" xfId="33361" xr:uid="{37194A39-B3E6-4720-961B-CCCEB216A1B1}"/>
    <cellStyle name="Comma 3 2 5 4 2 2 2 6" xfId="19490" xr:uid="{BBF6547F-AA8D-45D6-8170-0410A88E2E78}"/>
    <cellStyle name="Comma 3 2 5 4 2 2 3" xfId="6207" xr:uid="{7C4C3904-0EF3-4949-AB2D-45C5CFEC66CF}"/>
    <cellStyle name="Comma 3 2 5 4 2 2 3 2" xfId="13719" xr:uid="{9BF5F49B-361F-4AF6-97AC-B0BB39716EF5}"/>
    <cellStyle name="Comma 3 2 5 4 2 2 3 2 2" xfId="29923" xr:uid="{E82788B2-5F14-4A62-BCA3-E9CC1A2BF5C2}"/>
    <cellStyle name="Comma 3 2 5 4 2 2 3 3" xfId="22411" xr:uid="{4009AA4B-04DB-475C-906B-B2E0BD44F467}"/>
    <cellStyle name="Comma 3 2 5 4 2 2 4" xfId="9164" xr:uid="{F4FC5A9E-D999-421A-AD0A-43123CDE2A0F}"/>
    <cellStyle name="Comma 3 2 5 4 2 2 4 2" xfId="16638" xr:uid="{17C6889B-C686-4083-B86E-F6A9C60658BE}"/>
    <cellStyle name="Comma 3 2 5 4 2 2 4 2 2" xfId="32842" xr:uid="{7E9C327A-B0FD-4A43-B0E2-6BC5D824235A}"/>
    <cellStyle name="Comma 3 2 5 4 2 2 4 3" xfId="25368" xr:uid="{3A671CC8-6384-4A49-B79D-29779E49B3BE}"/>
    <cellStyle name="Comma 3 2 5 4 2 2 5" xfId="10119" xr:uid="{2A62C224-E0ED-4109-B1E5-A1D1EE3F5339}"/>
    <cellStyle name="Comma 3 2 5 4 2 2 5 2" xfId="26323" xr:uid="{55662585-C87E-4D7D-B72D-83A667736638}"/>
    <cellStyle name="Comma 3 2 5 4 2 2 6" xfId="17228" xr:uid="{5B0DB4C8-A4FB-4460-B0AC-729420E3B0FE}"/>
    <cellStyle name="Comma 3 2 5 4 2 2 6 2" xfId="33360" xr:uid="{0BFBB3C7-A999-450F-B798-6E800DBC8083}"/>
    <cellStyle name="Comma 3 2 5 4 2 2 7" xfId="18645" xr:uid="{164082FC-BAC9-4D34-AC60-4FD7C343A677}"/>
    <cellStyle name="Comma 3 2 5 4 2 3" xfId="2845" xr:uid="{E0E54784-5D79-4820-80AE-FF13769CB824}"/>
    <cellStyle name="Comma 3 2 5 4 2 3 2" xfId="6629" xr:uid="{1AA15C5C-BD87-4308-A4BF-D3B7E10C76F0}"/>
    <cellStyle name="Comma 3 2 5 4 2 3 2 2" xfId="14141" xr:uid="{0E54D46A-0ABE-45C7-960D-1FA6B1860AB8}"/>
    <cellStyle name="Comma 3 2 5 4 2 3 2 2 2" xfId="30345" xr:uid="{CB614C78-D171-4D22-BB29-5643634F0D21}"/>
    <cellStyle name="Comma 3 2 5 4 2 3 2 3" xfId="22833" xr:uid="{57FF462E-CA7A-4CDE-A7AD-072CA3389D43}"/>
    <cellStyle name="Comma 3 2 5 4 2 3 3" xfId="9058" xr:uid="{070665AD-525A-4E8B-8C55-E022279FA3D4}"/>
    <cellStyle name="Comma 3 2 5 4 2 3 3 2" xfId="16544" xr:uid="{C126E8C2-655D-4B6D-910C-8E257FF5FF63}"/>
    <cellStyle name="Comma 3 2 5 4 2 3 3 2 2" xfId="32748" xr:uid="{B012907F-B855-4A9C-912C-BE0F8DE30AFB}"/>
    <cellStyle name="Comma 3 2 5 4 2 3 3 3" xfId="25262" xr:uid="{11C676E5-62AB-40F6-82FD-6720CE5ECE3F}"/>
    <cellStyle name="Comma 3 2 5 4 2 3 4" xfId="10541" xr:uid="{05A80174-8340-420F-8551-346E294E9908}"/>
    <cellStyle name="Comma 3 2 5 4 2 3 4 2" xfId="26745" xr:uid="{A73533E8-18AA-43D2-8DDC-062D105198A3}"/>
    <cellStyle name="Comma 3 2 5 4 2 3 5" xfId="17230" xr:uid="{8E380F66-9925-44EB-98E5-01C02D737129}"/>
    <cellStyle name="Comma 3 2 5 4 2 3 5 2" xfId="33362" xr:uid="{FD53774E-EC3E-47FB-A6E9-B40C5810445D}"/>
    <cellStyle name="Comma 3 2 5 4 2 3 6" xfId="19067" xr:uid="{E3F23FC4-9006-4951-ACAD-A0D64513DD8E}"/>
    <cellStyle name="Comma 3 2 5 4 2 4" xfId="3776" xr:uid="{A38B8D3C-C6F6-40D3-9D0C-60F09DCF9378}"/>
    <cellStyle name="Comma 3 2 5 4 2 4 2" xfId="7486" xr:uid="{17F63E5F-EF20-4939-97DA-4BB3D52BBBD9}"/>
    <cellStyle name="Comma 3 2 5 4 2 4 2 2" xfId="14995" xr:uid="{C20F308A-D2D4-4DB9-8830-05F11FD2BB94}"/>
    <cellStyle name="Comma 3 2 5 4 2 4 2 2 2" xfId="31199" xr:uid="{8C795C87-D3D2-4EB2-AA2A-9B0E814EE157}"/>
    <cellStyle name="Comma 3 2 5 4 2 4 2 3" xfId="23690" xr:uid="{7646AE9D-81B2-4E99-86D1-84C77C4F022D}"/>
    <cellStyle name="Comma 3 2 5 4 2 4 3" xfId="9037" xr:uid="{6F459A76-31FE-4936-83B1-A9F8AB66C149}"/>
    <cellStyle name="Comma 3 2 5 4 2 4 3 2" xfId="16526" xr:uid="{FCEED552-49A3-499E-8B08-6606FD9D254E}"/>
    <cellStyle name="Comma 3 2 5 4 2 4 3 2 2" xfId="32730" xr:uid="{48B99271-6995-4893-BE95-A23698940F9C}"/>
    <cellStyle name="Comma 3 2 5 4 2 4 3 3" xfId="25241" xr:uid="{0A7D1384-8AC9-4D69-8E60-67E4F680C3A3}"/>
    <cellStyle name="Comma 3 2 5 4 2 4 4" xfId="11386" xr:uid="{1B61C738-93E2-4B31-BDE2-71230C152D2C}"/>
    <cellStyle name="Comma 3 2 5 4 2 4 4 2" xfId="27590" xr:uid="{F87A11BE-6BF8-4CD2-9A16-F08DD87DDB42}"/>
    <cellStyle name="Comma 3 2 5 4 2 4 5" xfId="17231" xr:uid="{BF60A42B-BD76-44CE-8730-C9E604ED0A90}"/>
    <cellStyle name="Comma 3 2 5 4 2 4 5 2" xfId="33363" xr:uid="{3C4AA07F-9DC8-48DE-A42E-A1E39E77371A}"/>
    <cellStyle name="Comma 3 2 5 4 2 4 6" xfId="19985" xr:uid="{0C3070B6-2E6D-4B8B-8032-B5E2BD802B3E}"/>
    <cellStyle name="Comma 3 2 5 4 2 5" xfId="3592" xr:uid="{1B0FD6D2-52EA-4609-A7EA-7AA61DB1A4E3}"/>
    <cellStyle name="Comma 3 2 5 4 2 5 2" xfId="9080" xr:uid="{509E0150-D3ED-48E6-ABC7-A1F7220897A8}"/>
    <cellStyle name="Comma 3 2 5 4 2 5 2 2" xfId="25284" xr:uid="{17D509AC-DF3F-4406-B10F-527EC176135F}"/>
    <cellStyle name="Comma 3 2 5 4 2 5 3" xfId="17232" xr:uid="{D8203FBF-92AF-4109-83A1-1F9B1A74F703}"/>
    <cellStyle name="Comma 3 2 5 4 2 5 3 2" xfId="33364" xr:uid="{9EC5860E-A3C9-4CBE-BF05-8269FC6DD8AF}"/>
    <cellStyle name="Comma 3 2 5 4 2 5 4" xfId="19802" xr:uid="{0D7D70D2-251E-4A4C-98FF-F0E26A2C6536}"/>
    <cellStyle name="Comma 3 2 5 4 2 6" xfId="4245" xr:uid="{2F027FE8-2F17-4078-812D-62EE0F53E7EE}"/>
    <cellStyle name="Comma 3 2 5 4 2 6 2" xfId="7915" xr:uid="{A8351DE6-9801-4DEF-A610-06A5FF43A1D8}"/>
    <cellStyle name="Comma 3 2 5 4 2 6 2 2" xfId="15422" xr:uid="{711E96E2-B3E1-4CBF-B9E4-E3666824DC47}"/>
    <cellStyle name="Comma 3 2 5 4 2 6 2 2 2" xfId="31626" xr:uid="{AD47FA15-3638-4180-9C55-977C452C13EB}"/>
    <cellStyle name="Comma 3 2 5 4 2 6 2 3" xfId="24119" xr:uid="{43ED52E4-28A0-410F-A8D5-31627452E17D}"/>
    <cellStyle name="Comma 3 2 5 4 2 6 3" xfId="5553" xr:uid="{135CE2D8-21E4-4A05-86FC-03676F8B113B}"/>
    <cellStyle name="Comma 3 2 5 4 2 6 3 2" xfId="13073" xr:uid="{F5EB52AB-FEB7-4F90-872C-1D80EE7E4F97}"/>
    <cellStyle name="Comma 3 2 5 4 2 6 3 2 2" xfId="29277" xr:uid="{3A46D1E5-F338-45D0-817E-D1774E7EC1F5}"/>
    <cellStyle name="Comma 3 2 5 4 2 6 3 3" xfId="21757" xr:uid="{25640BC5-F015-45B2-ADCA-F2CE5DEDC974}"/>
    <cellStyle name="Comma 3 2 5 4 2 6 4" xfId="11808" xr:uid="{3A6676CC-FAAE-4D47-A377-F0CA3B82A5FE}"/>
    <cellStyle name="Comma 3 2 5 4 2 6 4 2" xfId="28012" xr:uid="{DEEF4FA7-DF0B-45DD-B597-172C7327CAE5}"/>
    <cellStyle name="Comma 3 2 5 4 2 6 5" xfId="17233" xr:uid="{B75A0664-1C57-46CB-BB28-6E414854A2B2}"/>
    <cellStyle name="Comma 3 2 5 4 2 6 5 2" xfId="33365" xr:uid="{747F2682-7054-4C4B-8454-7777D11137F8}"/>
    <cellStyle name="Comma 3 2 5 4 2 6 6" xfId="20449" xr:uid="{B312CF53-2E31-40A5-BB34-17D878D0012E}"/>
    <cellStyle name="Comma 3 2 5 4 2 7" xfId="4670" xr:uid="{F603D70B-0AEB-43D2-8ACC-13859FC8EDC2}"/>
    <cellStyle name="Comma 3 2 5 4 2 7 2" xfId="8340" xr:uid="{A4FAF6B2-E104-486A-BE55-98E37EFEDE21}"/>
    <cellStyle name="Comma 3 2 5 4 2 7 2 2" xfId="15847" xr:uid="{D39FB734-55ED-4FA2-B6C7-87FB405B21B5}"/>
    <cellStyle name="Comma 3 2 5 4 2 7 2 2 2" xfId="32051" xr:uid="{0EE931FE-E978-477F-8D52-2C1BB053F5D7}"/>
    <cellStyle name="Comma 3 2 5 4 2 7 2 3" xfId="24544" xr:uid="{15EE5695-3B2D-4840-9240-4E3AFBF87D93}"/>
    <cellStyle name="Comma 3 2 5 4 2 7 3" xfId="5249" xr:uid="{A45F3599-EEFC-4660-9415-A7E6F199B394}"/>
    <cellStyle name="Comma 3 2 5 4 2 7 3 2" xfId="12799" xr:uid="{818DE287-D74F-44AB-9A73-436EB09DA09D}"/>
    <cellStyle name="Comma 3 2 5 4 2 7 3 2 2" xfId="29003" xr:uid="{1E1D1D9A-E876-4F80-B155-C11DE5EB0D71}"/>
    <cellStyle name="Comma 3 2 5 4 2 7 3 3" xfId="21453" xr:uid="{31468B62-7231-4F2E-A932-E7A1F7698F2C}"/>
    <cellStyle name="Comma 3 2 5 4 2 7 4" xfId="12233" xr:uid="{11B41FBF-86EC-457E-AB19-0210D449BC85}"/>
    <cellStyle name="Comma 3 2 5 4 2 7 4 2" xfId="28437" xr:uid="{93E26535-53BC-4CF1-AE53-2A9252A066C0}"/>
    <cellStyle name="Comma 3 2 5 4 2 7 5" xfId="17234" xr:uid="{9E4C1CA6-8160-45BD-87DA-00CA5D4166D6}"/>
    <cellStyle name="Comma 3 2 5 4 2 7 5 2" xfId="33366" xr:uid="{E9ACC156-8B3C-4927-941C-5A7313B4F5CA}"/>
    <cellStyle name="Comma 3 2 5 4 2 7 6" xfId="20874" xr:uid="{A54A0CDF-A8D1-4F1F-A1BA-1196544BEB07}"/>
    <cellStyle name="Comma 3 2 5 4 2 8" xfId="5098" xr:uid="{A4B4F367-1102-4DFC-8284-897AEA2279E8}"/>
    <cellStyle name="Comma 3 2 5 4 2 8 2" xfId="8763" xr:uid="{D9B03B9A-BC25-4123-A276-7D4A2DDF6F38}"/>
    <cellStyle name="Comma 3 2 5 4 2 8 2 2" xfId="16270" xr:uid="{A7577C5C-EBF6-4AF1-B540-7FD77F205C04}"/>
    <cellStyle name="Comma 3 2 5 4 2 8 2 2 2" xfId="32474" xr:uid="{A20AD5A4-04C2-486F-A93D-03FC0F37C15A}"/>
    <cellStyle name="Comma 3 2 5 4 2 8 2 3" xfId="24967" xr:uid="{19F28668-32DE-46C8-9B93-10950B7FF0E5}"/>
    <cellStyle name="Comma 3 2 5 4 2 8 3" xfId="12655" xr:uid="{514E5143-2837-43C1-A2E4-BBD5BABC9174}"/>
    <cellStyle name="Comma 3 2 5 4 2 8 3 2" xfId="28859" xr:uid="{0CF98475-6916-4D0A-95E7-05A3D6545101}"/>
    <cellStyle name="Comma 3 2 5 4 2 8 4" xfId="21302" xr:uid="{7415BFBE-4C6F-4B8F-9E79-8F0D8C9D398E}"/>
    <cellStyle name="Comma 3 2 5 4 2 9" xfId="5769" xr:uid="{CD584697-F379-4350-AFE2-E43D620F4BB4}"/>
    <cellStyle name="Comma 3 2 5 4 2 9 2" xfId="13284" xr:uid="{4C8AAC89-A2DC-4EE4-ABCB-91F81AD6486A}"/>
    <cellStyle name="Comma 3 2 5 4 2 9 2 2" xfId="29488" xr:uid="{C0842088-7F2F-4BEF-9E18-29096F70C41B}"/>
    <cellStyle name="Comma 3 2 5 4 2 9 3" xfId="21973" xr:uid="{61912672-A3A5-4DF3-9481-27B61990A7FD}"/>
    <cellStyle name="Comma 3 2 5 4 3" xfId="2304" xr:uid="{91043037-FA21-4519-8DDE-A47D2CB56148}"/>
    <cellStyle name="Comma 3 2 5 4 3 2" xfId="3151" xr:uid="{56629880-762C-4C42-AFA9-9510AF0DA73A}"/>
    <cellStyle name="Comma 3 2 5 4 3 2 2" xfId="6933" xr:uid="{A6175009-9CF6-4FAE-8DA3-F749C89842BB}"/>
    <cellStyle name="Comma 3 2 5 4 3 2 2 2" xfId="14444" xr:uid="{2DE238E6-40A7-4D9E-945D-6F56AD58F74A}"/>
    <cellStyle name="Comma 3 2 5 4 3 2 2 2 2" xfId="30648" xr:uid="{35FC21CE-C03D-4F00-BB01-2B2C855E9AA1}"/>
    <cellStyle name="Comma 3 2 5 4 3 2 2 3" xfId="23137" xr:uid="{844A0439-C03C-4888-9929-CFBDAA08040D}"/>
    <cellStyle name="Comma 3 2 5 4 3 2 3" xfId="9308" xr:uid="{98687AF4-0C09-45AE-B23E-9B8BA12835F6}"/>
    <cellStyle name="Comma 3 2 5 4 3 2 3 2" xfId="16759" xr:uid="{64D1B632-B4C3-46CD-B105-E4200DE3CBF0}"/>
    <cellStyle name="Comma 3 2 5 4 3 2 3 2 2" xfId="32963" xr:uid="{9AE14C38-4BB8-45B2-B33C-E85E6CCF5DDE}"/>
    <cellStyle name="Comma 3 2 5 4 3 2 3 3" xfId="25512" xr:uid="{E4C90292-D5A6-4158-96B3-402C6D71D1A6}"/>
    <cellStyle name="Comma 3 2 5 4 3 2 4" xfId="10844" xr:uid="{969381FF-E3EC-4718-BF90-4EFE26D817D6}"/>
    <cellStyle name="Comma 3 2 5 4 3 2 4 2" xfId="27048" xr:uid="{4719E2BB-A4E0-44D9-ACE5-1B3CFCE7FCBD}"/>
    <cellStyle name="Comma 3 2 5 4 3 2 5" xfId="17236" xr:uid="{6829D841-0B13-41E1-97D9-1901EF5631B4}"/>
    <cellStyle name="Comma 3 2 5 4 3 2 5 2" xfId="33368" xr:uid="{B6119F50-B382-45D5-9371-CDB807AE81B3}"/>
    <cellStyle name="Comma 3 2 5 4 3 2 6" xfId="19371" xr:uid="{74575BDB-9616-4C35-AB81-66827C17B57A}"/>
    <cellStyle name="Comma 3 2 5 4 3 3" xfId="6088" xr:uid="{E06264B8-C452-406B-A2CC-2F88BEC9CB87}"/>
    <cellStyle name="Comma 3 2 5 4 3 3 2" xfId="13600" xr:uid="{F53553BC-0DFB-41EF-A550-2A4F1932C75D}"/>
    <cellStyle name="Comma 3 2 5 4 3 3 2 2" xfId="29804" xr:uid="{0EEFC118-F42C-45DC-A80E-35DDB1E4503C}"/>
    <cellStyle name="Comma 3 2 5 4 3 3 3" xfId="22292" xr:uid="{7309594C-A166-4472-911D-CFEEF18D280E}"/>
    <cellStyle name="Comma 3 2 5 4 3 4" xfId="5213" xr:uid="{15CC8365-9F8F-4404-A35F-98230D994D12}"/>
    <cellStyle name="Comma 3 2 5 4 3 4 2" xfId="12769" xr:uid="{3490A13B-88A7-4C38-9C17-DE2C5F922017}"/>
    <cellStyle name="Comma 3 2 5 4 3 4 2 2" xfId="28973" xr:uid="{79B83874-00F9-4F9F-9171-DC9A6881BBBB}"/>
    <cellStyle name="Comma 3 2 5 4 3 4 3" xfId="21417" xr:uid="{950FFA2B-D3B9-489C-9E25-F6A441E242F1}"/>
    <cellStyle name="Comma 3 2 5 4 3 5" xfId="10000" xr:uid="{75A90EF2-1A69-4C26-B9D1-F53ECC3CB914}"/>
    <cellStyle name="Comma 3 2 5 4 3 5 2" xfId="26204" xr:uid="{BCADC5FC-69DF-476B-B386-12C2BC270460}"/>
    <cellStyle name="Comma 3 2 5 4 3 6" xfId="17235" xr:uid="{C889A36A-01BD-4D84-9314-08E3459D6D82}"/>
    <cellStyle name="Comma 3 2 5 4 3 6 2" xfId="33367" xr:uid="{C8564408-962B-47AF-8DE7-956577AD4982}"/>
    <cellStyle name="Comma 3 2 5 4 3 7" xfId="18526" xr:uid="{C54E0DFA-E3FE-4C6D-BB0E-76FEABEBD704}"/>
    <cellStyle name="Comma 3 2 5 4 4" xfId="2726" xr:uid="{63D863CD-35B7-4B90-8437-F0A5EA412DD0}"/>
    <cellStyle name="Comma 3 2 5 4 4 2" xfId="6510" xr:uid="{7CB77603-CE52-4E6B-B29B-32DD75578CD7}"/>
    <cellStyle name="Comma 3 2 5 4 4 2 2" xfId="14022" xr:uid="{ACBFA4A4-803E-4B42-A716-D302E903B380}"/>
    <cellStyle name="Comma 3 2 5 4 4 2 2 2" xfId="30226" xr:uid="{79F19FA5-CCB5-4F07-984E-7929A95AA5E8}"/>
    <cellStyle name="Comma 3 2 5 4 4 2 3" xfId="22714" xr:uid="{A21F11EB-46C7-478A-9F92-A1E335BEA3AC}"/>
    <cellStyle name="Comma 3 2 5 4 4 3" xfId="9295" xr:uid="{B29E54F8-1531-4194-9A8B-2B7964B16908}"/>
    <cellStyle name="Comma 3 2 5 4 4 3 2" xfId="16751" xr:uid="{41BC50DD-BED3-4AFB-BAC5-7833674D28E0}"/>
    <cellStyle name="Comma 3 2 5 4 4 3 2 2" xfId="32955" xr:uid="{D90C71A5-3BD1-4E0B-84DE-D7251E502689}"/>
    <cellStyle name="Comma 3 2 5 4 4 3 3" xfId="25499" xr:uid="{84F6DA08-095B-4FB3-8C94-9E3D0D0119FB}"/>
    <cellStyle name="Comma 3 2 5 4 4 4" xfId="10422" xr:uid="{1DC7B134-89E5-4F69-96E6-B5A96453F380}"/>
    <cellStyle name="Comma 3 2 5 4 4 4 2" xfId="26626" xr:uid="{7153C0CA-E625-400E-954F-C348CFFBA3E0}"/>
    <cellStyle name="Comma 3 2 5 4 4 5" xfId="17237" xr:uid="{BD10BDAC-F2E3-46EB-830A-C997B72064D8}"/>
    <cellStyle name="Comma 3 2 5 4 4 5 2" xfId="33369" xr:uid="{2F755933-86AC-4F2B-9269-0BCFDF64415F}"/>
    <cellStyle name="Comma 3 2 5 4 4 6" xfId="18948" xr:uid="{006160D0-A68E-4EF8-8EA8-CB19583B5758}"/>
    <cellStyle name="Comma 3 2 5 4 5" xfId="3656" xr:uid="{64D37B66-6CD7-4888-A6B9-A7A63F1AE24C}"/>
    <cellStyle name="Comma 3 2 5 4 5 2" xfId="7366" xr:uid="{83293808-D3C1-471B-A81A-857837EF9665}"/>
    <cellStyle name="Comma 3 2 5 4 5 2 2" xfId="14875" xr:uid="{9535B9D0-A094-4831-91B6-1A0C09E3429B}"/>
    <cellStyle name="Comma 3 2 5 4 5 2 2 2" xfId="31079" xr:uid="{BEA6381F-55BC-45E4-8864-CD5F11E22A17}"/>
    <cellStyle name="Comma 3 2 5 4 5 2 3" xfId="23570" xr:uid="{C07E640A-9C32-43B7-8609-2B5703ED5F45}"/>
    <cellStyle name="Comma 3 2 5 4 5 3" xfId="5245" xr:uid="{CCAC0DD6-6C37-42F3-BA09-811360C37DB0}"/>
    <cellStyle name="Comma 3 2 5 4 5 3 2" xfId="12796" xr:uid="{BDA1457C-BBCE-4DCF-ADEB-B48073C5E423}"/>
    <cellStyle name="Comma 3 2 5 4 5 3 2 2" xfId="29000" xr:uid="{A95D59CE-B9C2-4AB8-AE97-1B0AAF8C3E1C}"/>
    <cellStyle name="Comma 3 2 5 4 5 3 3" xfId="21449" xr:uid="{41C1C98D-5CFB-47BB-847A-277FDAAE5C20}"/>
    <cellStyle name="Comma 3 2 5 4 5 4" xfId="11267" xr:uid="{92C4589F-27EE-447B-A077-F363D10E68DD}"/>
    <cellStyle name="Comma 3 2 5 4 5 4 2" xfId="27471" xr:uid="{C11997C5-877C-479C-8ECE-EC7563C70D9A}"/>
    <cellStyle name="Comma 3 2 5 4 5 5" xfId="17238" xr:uid="{28D7CEF4-A1FA-45E0-8060-DFE37CCCE126}"/>
    <cellStyle name="Comma 3 2 5 4 5 5 2" xfId="33370" xr:uid="{21D3649F-3BF1-41E3-A264-86B242BEDFBC}"/>
    <cellStyle name="Comma 3 2 5 4 5 6" xfId="19865" xr:uid="{373E968B-832D-4886-A421-013B571A4A89}"/>
    <cellStyle name="Comma 3 2 5 4 6" xfId="3902" xr:uid="{BE7F5CB6-8235-480E-8F35-07BB0A3979EC}"/>
    <cellStyle name="Comma 3 2 5 4 6 2" xfId="9319" xr:uid="{6F0BADB0-6927-4CF0-A601-7A3095C5645F}"/>
    <cellStyle name="Comma 3 2 5 4 6 2 2" xfId="25523" xr:uid="{9C5FC665-50F5-4773-AC76-1C6523242A33}"/>
    <cellStyle name="Comma 3 2 5 4 6 3" xfId="17239" xr:uid="{BA69AF9B-8CD2-45EF-9184-171C151DE6D4}"/>
    <cellStyle name="Comma 3 2 5 4 6 3 2" xfId="33371" xr:uid="{3C0FDEED-5EB4-4FC2-90FC-2E2155957282}"/>
    <cellStyle name="Comma 3 2 5 4 6 4" xfId="20111" xr:uid="{EB778010-27D8-4385-941F-785A5277F620}"/>
    <cellStyle name="Comma 3 2 5 4 7" xfId="4126" xr:uid="{7BAA4652-5E09-4274-A94A-B81AE2AF9D19}"/>
    <cellStyle name="Comma 3 2 5 4 7 2" xfId="7796" xr:uid="{7AEF1BE5-94C5-43A5-A718-992441A6A6EA}"/>
    <cellStyle name="Comma 3 2 5 4 7 2 2" xfId="15303" xr:uid="{F246A944-8F7C-495F-8576-1BCB6713FD76}"/>
    <cellStyle name="Comma 3 2 5 4 7 2 2 2" xfId="31507" xr:uid="{680A0769-DCB6-43A3-A35B-85C404E5E8D4}"/>
    <cellStyle name="Comma 3 2 5 4 7 2 3" xfId="24000" xr:uid="{B083E07F-67DE-4B93-A98B-3291EB53645D}"/>
    <cellStyle name="Comma 3 2 5 4 7 3" xfId="5564" xr:uid="{D8651B8C-28F3-43B4-BE6E-CDEC92D66CAF}"/>
    <cellStyle name="Comma 3 2 5 4 7 3 2" xfId="13083" xr:uid="{34222854-436F-4055-B795-188016D3468E}"/>
    <cellStyle name="Comma 3 2 5 4 7 3 2 2" xfId="29287" xr:uid="{3BF4D585-2651-4228-9C06-D558BD4E6829}"/>
    <cellStyle name="Comma 3 2 5 4 7 3 3" xfId="21768" xr:uid="{FB31214F-F0DB-4AA3-AFAF-A1015AD904B1}"/>
    <cellStyle name="Comma 3 2 5 4 7 4" xfId="11689" xr:uid="{69904743-6CB5-4D64-A1D7-6EF2E1E09DBE}"/>
    <cellStyle name="Comma 3 2 5 4 7 4 2" xfId="27893" xr:uid="{3F739BC0-BE5C-4D56-A0C0-55F7EACB3D12}"/>
    <cellStyle name="Comma 3 2 5 4 7 5" xfId="17240" xr:uid="{DA4150E9-5DD6-4772-A73F-644DD3A561A1}"/>
    <cellStyle name="Comma 3 2 5 4 7 5 2" xfId="33372" xr:uid="{BE8BAF8D-FBDF-47AC-B429-CD20DFF12B63}"/>
    <cellStyle name="Comma 3 2 5 4 7 6" xfId="20330" xr:uid="{8068BC32-B9A0-49F7-8F9E-BC5BC39A94AE}"/>
    <cellStyle name="Comma 3 2 5 4 8" xfId="4551" xr:uid="{2E54D434-E7F3-43F6-894D-AF5B2925CAB3}"/>
    <cellStyle name="Comma 3 2 5 4 8 2" xfId="8221" xr:uid="{78F1653F-D7E6-494D-B2AA-EBBA0FB8FE66}"/>
    <cellStyle name="Comma 3 2 5 4 8 2 2" xfId="15728" xr:uid="{B67A1F57-A972-4BB3-82EB-1C5E9D19EF89}"/>
    <cellStyle name="Comma 3 2 5 4 8 2 2 2" xfId="31932" xr:uid="{AC336202-E2D0-43C0-97D1-405AE5A7225F}"/>
    <cellStyle name="Comma 3 2 5 4 8 2 3" xfId="24425" xr:uid="{92955FF5-99E0-444B-BF10-19B46C98825F}"/>
    <cellStyle name="Comma 3 2 5 4 8 3" xfId="9177" xr:uid="{B909166D-661B-4DD3-846E-7B176CA489ED}"/>
    <cellStyle name="Comma 3 2 5 4 8 3 2" xfId="16651" xr:uid="{E1C0634D-B155-44D4-9EDA-A1A6C9DE1CCF}"/>
    <cellStyle name="Comma 3 2 5 4 8 3 2 2" xfId="32855" xr:uid="{984F9D57-2848-4992-889B-1D533096712B}"/>
    <cellStyle name="Comma 3 2 5 4 8 3 3" xfId="25381" xr:uid="{BAC2580E-F3FB-45C4-B131-268FAB07B1C7}"/>
    <cellStyle name="Comma 3 2 5 4 8 4" xfId="12114" xr:uid="{56B9D6A3-246F-4136-8197-CA4F09D5CEA1}"/>
    <cellStyle name="Comma 3 2 5 4 8 4 2" xfId="28318" xr:uid="{F8A75ABB-6839-4EAA-A965-2FB701F1103D}"/>
    <cellStyle name="Comma 3 2 5 4 8 5" xfId="17241" xr:uid="{902A6BDC-7B4C-4DE0-9ABB-7C9C033BFB67}"/>
    <cellStyle name="Comma 3 2 5 4 8 5 2" xfId="33373" xr:uid="{DED4491F-7D5D-4E35-90F1-60817504120F}"/>
    <cellStyle name="Comma 3 2 5 4 8 6" xfId="20755" xr:uid="{9FD4C5BD-0609-47D5-ACB4-A7CF014D890D}"/>
    <cellStyle name="Comma 3 2 5 4 9" xfId="4978" xr:uid="{3952033F-7A4B-40BA-AE68-2D78AF5234E4}"/>
    <cellStyle name="Comma 3 2 5 4 9 2" xfId="8644" xr:uid="{A60CC768-4347-4B33-A84B-AEBC8DA0E4CF}"/>
    <cellStyle name="Comma 3 2 5 4 9 2 2" xfId="16151" xr:uid="{5797E378-DDF2-4019-9456-FE49BA7CF9B6}"/>
    <cellStyle name="Comma 3 2 5 4 9 2 2 2" xfId="32355" xr:uid="{D2EA89B8-F6F0-4EB0-A54F-7140E8483B46}"/>
    <cellStyle name="Comma 3 2 5 4 9 2 3" xfId="24848" xr:uid="{36E87428-F293-4172-A6E3-82765755674A}"/>
    <cellStyle name="Comma 3 2 5 4 9 3" xfId="12536" xr:uid="{91E24172-3A68-46E1-A708-2F27997F5435}"/>
    <cellStyle name="Comma 3 2 5 4 9 3 2" xfId="28740" xr:uid="{37C7FA25-0B72-4DE0-826B-6A285FA9B9CE}"/>
    <cellStyle name="Comma 3 2 5 4 9 4" xfId="21182" xr:uid="{25CD4015-9EC0-434D-A311-1C77C4A37386}"/>
    <cellStyle name="Comma 3 2 5 5" xfId="1917" xr:uid="{F8B3BA52-F3C3-4028-8C06-AE7B60FED9FB}"/>
    <cellStyle name="Comma 3 2 5 5 10" xfId="9697" xr:uid="{72C48A9D-B6C4-4038-B52F-4B022F78CF1D}"/>
    <cellStyle name="Comma 3 2 5 5 10 2" xfId="25901" xr:uid="{F48B92EE-6932-4DD0-A520-B291E9921BED}"/>
    <cellStyle name="Comma 3 2 5 5 11" xfId="17242" xr:uid="{FE3C9AD6-C4C9-49AD-935D-C82CA941904A}"/>
    <cellStyle name="Comma 3 2 5 5 11 2" xfId="33374" xr:uid="{7EA3D107-19BD-4ABA-9AAD-96596B33ACD7}"/>
    <cellStyle name="Comma 3 2 5 5 12" xfId="18221" xr:uid="{9F6A301C-2F5E-4577-8731-2ADD8D2C7B53}"/>
    <cellStyle name="Comma 3 2 5 5 2" xfId="2424" xr:uid="{4BBD538B-30B9-48F6-8BE9-322DAE4D27EB}"/>
    <cellStyle name="Comma 3 2 5 5 2 2" xfId="3271" xr:uid="{F8B73C63-0F09-4389-9CA6-48E20C1241E3}"/>
    <cellStyle name="Comma 3 2 5 5 2 2 2" xfId="7053" xr:uid="{A8D00E12-1447-4C64-BC00-63FE534EB65B}"/>
    <cellStyle name="Comma 3 2 5 5 2 2 2 2" xfId="14564" xr:uid="{920BBC5C-5A31-4089-8B67-4FC0FEE6AA37}"/>
    <cellStyle name="Comma 3 2 5 5 2 2 2 2 2" xfId="30768" xr:uid="{D6694789-51AC-413A-AC93-AABBF813FB61}"/>
    <cellStyle name="Comma 3 2 5 5 2 2 2 3" xfId="23257" xr:uid="{805A0654-E37C-4385-BEE9-332B2BF93FD1}"/>
    <cellStyle name="Comma 3 2 5 5 2 2 3" xfId="8978" xr:uid="{6F7F5D71-EC93-494B-B196-7D684DCDC360}"/>
    <cellStyle name="Comma 3 2 5 5 2 2 3 2" xfId="16472" xr:uid="{7D34A227-C16B-4579-82A0-D0687EE45C1B}"/>
    <cellStyle name="Comma 3 2 5 5 2 2 3 2 2" xfId="32676" xr:uid="{AA5DA8F7-2010-4135-809B-0CD3AE5AAE21}"/>
    <cellStyle name="Comma 3 2 5 5 2 2 3 3" xfId="25182" xr:uid="{ED8E6754-D7B4-479B-98F4-621CB5082663}"/>
    <cellStyle name="Comma 3 2 5 5 2 2 4" xfId="10964" xr:uid="{16FA44DB-FB8C-4B65-99B5-A47081065AF2}"/>
    <cellStyle name="Comma 3 2 5 5 2 2 4 2" xfId="27168" xr:uid="{F8984C8C-5E2F-4064-B7E0-48E29B9910E9}"/>
    <cellStyle name="Comma 3 2 5 5 2 2 5" xfId="17244" xr:uid="{25D39913-0D14-4F6E-A8EB-2154B9398CCA}"/>
    <cellStyle name="Comma 3 2 5 5 2 2 5 2" xfId="33376" xr:uid="{468CB061-062F-4EBF-9828-675E7CEB9BD3}"/>
    <cellStyle name="Comma 3 2 5 5 2 2 6" xfId="19491" xr:uid="{7344D26A-3F7B-4B24-8BD1-7915C76FBB71}"/>
    <cellStyle name="Comma 3 2 5 5 2 3" xfId="6208" xr:uid="{E8E86407-54DC-45ED-9B47-8E4002FAB6A4}"/>
    <cellStyle name="Comma 3 2 5 5 2 3 2" xfId="13720" xr:uid="{A26AD913-EF19-4C43-A893-D073618350C4}"/>
    <cellStyle name="Comma 3 2 5 5 2 3 2 2" xfId="29924" xr:uid="{6365F463-3EC1-4B22-B377-EC0370A549D3}"/>
    <cellStyle name="Comma 3 2 5 5 2 3 3" xfId="22412" xr:uid="{1A9F5A4E-445F-49E5-926C-A55828508BBB}"/>
    <cellStyle name="Comma 3 2 5 5 2 4" xfId="8937" xr:uid="{57778D7A-C1ED-4093-83DE-9C0D484EAD9F}"/>
    <cellStyle name="Comma 3 2 5 5 2 4 2" xfId="16436" xr:uid="{AD07695B-74A1-4036-933B-0C060B086452}"/>
    <cellStyle name="Comma 3 2 5 5 2 4 2 2" xfId="32640" xr:uid="{1BFA007A-ACF5-4520-84AB-39189171EB25}"/>
    <cellStyle name="Comma 3 2 5 5 2 4 3" xfId="25141" xr:uid="{23FF94BB-4EBC-4516-A540-D0276745FF71}"/>
    <cellStyle name="Comma 3 2 5 5 2 5" xfId="10120" xr:uid="{B5905076-F8D0-4B80-B5B0-9A178A5A7508}"/>
    <cellStyle name="Comma 3 2 5 5 2 5 2" xfId="26324" xr:uid="{B3530099-F70D-4CA0-AD52-48A6FA4A33EF}"/>
    <cellStyle name="Comma 3 2 5 5 2 6" xfId="17243" xr:uid="{EF5185D1-5EAA-4570-AB10-9C97DDE0DDB6}"/>
    <cellStyle name="Comma 3 2 5 5 2 6 2" xfId="33375" xr:uid="{F35FF335-AF8B-4CED-97AA-7E7CDF4F0B56}"/>
    <cellStyle name="Comma 3 2 5 5 2 7" xfId="18646" xr:uid="{E0805CE5-8BEC-4D66-9947-89DC4124C207}"/>
    <cellStyle name="Comma 3 2 5 5 3" xfId="2846" xr:uid="{F3E3B370-C4E6-4552-8752-56105F94C149}"/>
    <cellStyle name="Comma 3 2 5 5 3 2" xfId="6630" xr:uid="{2BF5C81F-3FF0-4CA1-A248-F31E437C2667}"/>
    <cellStyle name="Comma 3 2 5 5 3 2 2" xfId="14142" xr:uid="{82C9A41F-BF5E-4F6C-AE11-2C54E4D5E301}"/>
    <cellStyle name="Comma 3 2 5 5 3 2 2 2" xfId="30346" xr:uid="{634600D4-2A33-496D-B659-2CA6BD632093}"/>
    <cellStyle name="Comma 3 2 5 5 3 2 3" xfId="22834" xr:uid="{45904EB6-AE41-4F2C-A89E-260B60614A6B}"/>
    <cellStyle name="Comma 3 2 5 5 3 3" xfId="5551" xr:uid="{04AD175E-C051-4618-B9DB-22B391925481}"/>
    <cellStyle name="Comma 3 2 5 5 3 3 2" xfId="13072" xr:uid="{D9C37C45-9747-4C83-8D3D-65F60EA0306D}"/>
    <cellStyle name="Comma 3 2 5 5 3 3 2 2" xfId="29276" xr:uid="{CD53D005-E3CE-4548-BA2C-B17F3D96BCE0}"/>
    <cellStyle name="Comma 3 2 5 5 3 3 3" xfId="21755" xr:uid="{66B02E37-4C25-4B33-8546-8315B9083A33}"/>
    <cellStyle name="Comma 3 2 5 5 3 4" xfId="10542" xr:uid="{FF98139B-C8AC-450C-B7EC-6AF20CD17155}"/>
    <cellStyle name="Comma 3 2 5 5 3 4 2" xfId="26746" xr:uid="{71ED35DC-63E4-4DD7-8914-A6F3E3E3C025}"/>
    <cellStyle name="Comma 3 2 5 5 3 5" xfId="17245" xr:uid="{5F59565F-AC28-45B7-B90E-DEEBEAB3B604}"/>
    <cellStyle name="Comma 3 2 5 5 3 5 2" xfId="33377" xr:uid="{4D1C4C1E-DBFC-4C90-8DB4-EDE4B0158329}"/>
    <cellStyle name="Comma 3 2 5 5 3 6" xfId="19068" xr:uid="{BB59477D-12AA-42ED-B1DC-7A9406393CE1}"/>
    <cellStyle name="Comma 3 2 5 5 4" xfId="3777" xr:uid="{F2E5551D-D969-4AD9-A3AA-CFDDBFD3CBDE}"/>
    <cellStyle name="Comma 3 2 5 5 4 2" xfId="7487" xr:uid="{AE47939E-8683-43BE-8B33-3A572AFC0D4F}"/>
    <cellStyle name="Comma 3 2 5 5 4 2 2" xfId="14996" xr:uid="{CF740FF7-E89B-4F29-BFDA-7D0BFD861CA2}"/>
    <cellStyle name="Comma 3 2 5 5 4 2 2 2" xfId="31200" xr:uid="{539A1F99-1827-48C6-85B6-B298AAD38DA1}"/>
    <cellStyle name="Comma 3 2 5 5 4 2 3" xfId="23691" xr:uid="{94C4BF62-5E11-4E21-AC2B-37CF42484E4D}"/>
    <cellStyle name="Comma 3 2 5 5 4 3" xfId="9147" xr:uid="{9341A8E7-A0B0-4DC8-BD01-9AF6F14670EF}"/>
    <cellStyle name="Comma 3 2 5 5 4 3 2" xfId="16624" xr:uid="{8C8F07D5-6652-460E-8D3F-AE60127358A1}"/>
    <cellStyle name="Comma 3 2 5 5 4 3 2 2" xfId="32828" xr:uid="{429EC2DC-051D-4B9D-8A40-DD6C53739950}"/>
    <cellStyle name="Comma 3 2 5 5 4 3 3" xfId="25351" xr:uid="{688EE469-8F53-4B23-A7B3-26BDA7D989A6}"/>
    <cellStyle name="Comma 3 2 5 5 4 4" xfId="11387" xr:uid="{D3FC3A32-B595-478F-BD1C-0F36CF8E53C8}"/>
    <cellStyle name="Comma 3 2 5 5 4 4 2" xfId="27591" xr:uid="{729DFF88-2C27-44F1-8204-81D76F990FB6}"/>
    <cellStyle name="Comma 3 2 5 5 4 5" xfId="17246" xr:uid="{BE6A7F2C-C27C-4237-AE47-EC68354766D9}"/>
    <cellStyle name="Comma 3 2 5 5 4 5 2" xfId="33378" xr:uid="{610D4AED-3777-4560-B2DB-03F8AC6AAAE8}"/>
    <cellStyle name="Comma 3 2 5 5 4 6" xfId="19986" xr:uid="{36499EF0-9D25-4C6A-88E9-38310BE2FF1D}"/>
    <cellStyle name="Comma 3 2 5 5 5" xfId="3577" xr:uid="{4F1A9044-BAD7-4395-956D-2A5C1A1A39FE}"/>
    <cellStyle name="Comma 3 2 5 5 5 2" xfId="9310" xr:uid="{144AA6D7-D6D5-409F-BB9A-8100B07B08AC}"/>
    <cellStyle name="Comma 3 2 5 5 5 2 2" xfId="25514" xr:uid="{64DF5216-CBC6-4269-9250-B06ABECE4A96}"/>
    <cellStyle name="Comma 3 2 5 5 5 3" xfId="17247" xr:uid="{04E687DF-7C7A-47A9-AAC1-726C8D4F3DEF}"/>
    <cellStyle name="Comma 3 2 5 5 5 3 2" xfId="33379" xr:uid="{3C200271-823C-4E61-A8FE-396D8F79D9CA}"/>
    <cellStyle name="Comma 3 2 5 5 5 4" xfId="19789" xr:uid="{066B8021-FE18-4E06-B6EE-CD33106FAC43}"/>
    <cellStyle name="Comma 3 2 5 5 6" xfId="4246" xr:uid="{18758FAD-D54A-4726-A59C-B78E86F903CD}"/>
    <cellStyle name="Comma 3 2 5 5 6 2" xfId="7916" xr:uid="{4D0944DC-738B-445F-A711-9B9C39E07CC8}"/>
    <cellStyle name="Comma 3 2 5 5 6 2 2" xfId="15423" xr:uid="{39EE26CF-7AE3-4114-AACF-2AE548B2A926}"/>
    <cellStyle name="Comma 3 2 5 5 6 2 2 2" xfId="31627" xr:uid="{E7EFBBC3-68D0-4F39-8793-D69A8C833246}"/>
    <cellStyle name="Comma 3 2 5 5 6 2 3" xfId="24120" xr:uid="{7B3CB45E-67BA-4606-9917-50391CDCDB1C}"/>
    <cellStyle name="Comma 3 2 5 5 6 3" xfId="8879" xr:uid="{912996FB-4FD6-4A52-BE83-74490CBEBAF9}"/>
    <cellStyle name="Comma 3 2 5 5 6 3 2" xfId="16384" xr:uid="{0ABE2748-C8E8-4CF8-93EB-035E58F11E57}"/>
    <cellStyle name="Comma 3 2 5 5 6 3 2 2" xfId="32588" xr:uid="{2AB74792-EFBA-4FC4-B5E8-0C7F5811416E}"/>
    <cellStyle name="Comma 3 2 5 5 6 3 3" xfId="25083" xr:uid="{4EB343F8-0E13-45FB-BC29-452845966D7B}"/>
    <cellStyle name="Comma 3 2 5 5 6 4" xfId="11809" xr:uid="{9757D928-50AA-415E-A5F8-F4E469804B81}"/>
    <cellStyle name="Comma 3 2 5 5 6 4 2" xfId="28013" xr:uid="{80C99B36-C8AB-412C-9EEA-C34CF82552DC}"/>
    <cellStyle name="Comma 3 2 5 5 6 5" xfId="17248" xr:uid="{A61D0BED-9F30-47B1-8510-BB4E7475A74B}"/>
    <cellStyle name="Comma 3 2 5 5 6 5 2" xfId="33380" xr:uid="{EBEBA54A-49E8-4445-9FC1-452DA8A49307}"/>
    <cellStyle name="Comma 3 2 5 5 6 6" xfId="20450" xr:uid="{340C7316-0045-4BA9-9CE0-06B988323F1A}"/>
    <cellStyle name="Comma 3 2 5 5 7" xfId="4671" xr:uid="{38D69340-4B79-4332-919B-05CF5DA98181}"/>
    <cellStyle name="Comma 3 2 5 5 7 2" xfId="8341" xr:uid="{A8C20577-A0AE-4DE3-8697-A09DDAFCAB92}"/>
    <cellStyle name="Comma 3 2 5 5 7 2 2" xfId="15848" xr:uid="{3D5B8E9B-EBE1-4A35-9A43-A930AC50C1F0}"/>
    <cellStyle name="Comma 3 2 5 5 7 2 2 2" xfId="32052" xr:uid="{DD15126A-4007-4A29-A066-7CE5B8A0BF2E}"/>
    <cellStyle name="Comma 3 2 5 5 7 2 3" xfId="24545" xr:uid="{80EB4183-A96C-46E4-8C8C-48BD444DAFA0}"/>
    <cellStyle name="Comma 3 2 5 5 7 3" xfId="5437" xr:uid="{083EBE4C-9EA6-429C-B8B8-91E1864864C3}"/>
    <cellStyle name="Comma 3 2 5 5 7 3 2" xfId="12980" xr:uid="{960B71CE-9560-4F10-982A-2FCAF2760FB2}"/>
    <cellStyle name="Comma 3 2 5 5 7 3 2 2" xfId="29184" xr:uid="{B45BBAAE-AFE7-4B68-8584-8AE5070132EE}"/>
    <cellStyle name="Comma 3 2 5 5 7 3 3" xfId="21641" xr:uid="{C692644A-71D7-4594-A039-8025DD5AED6B}"/>
    <cellStyle name="Comma 3 2 5 5 7 4" xfId="12234" xr:uid="{0CB6E022-C362-4FAB-8472-B279F02E2B05}"/>
    <cellStyle name="Comma 3 2 5 5 7 4 2" xfId="28438" xr:uid="{714DC649-2AAB-4DC9-8F68-5025BF9B320B}"/>
    <cellStyle name="Comma 3 2 5 5 7 5" xfId="17249" xr:uid="{FAB63307-869D-464F-B670-E2255F04E79D}"/>
    <cellStyle name="Comma 3 2 5 5 7 5 2" xfId="33381" xr:uid="{CE0D3F12-BE64-46A2-A54E-FD10A69FB378}"/>
    <cellStyle name="Comma 3 2 5 5 7 6" xfId="20875" xr:uid="{0674F594-90AE-4314-B718-B793C686253A}"/>
    <cellStyle name="Comma 3 2 5 5 8" xfId="5099" xr:uid="{D808E81D-9472-43C4-A8FE-F89A69BCB435}"/>
    <cellStyle name="Comma 3 2 5 5 8 2" xfId="8764" xr:uid="{8D9FA445-3C39-4A34-AF2D-C236B910D5AD}"/>
    <cellStyle name="Comma 3 2 5 5 8 2 2" xfId="16271" xr:uid="{7B5685B5-7170-440C-B80C-701049EDE61A}"/>
    <cellStyle name="Comma 3 2 5 5 8 2 2 2" xfId="32475" xr:uid="{25C00002-CB10-4E28-8484-B1985AF4AC2B}"/>
    <cellStyle name="Comma 3 2 5 5 8 2 3" xfId="24968" xr:uid="{92F6D8F6-B669-4276-8CFB-577F3B9AB999}"/>
    <cellStyle name="Comma 3 2 5 5 8 3" xfId="12656" xr:uid="{FAE0127B-2A9E-43AC-A7DC-264B1ED1B9E0}"/>
    <cellStyle name="Comma 3 2 5 5 8 3 2" xfId="28860" xr:uid="{F93E759E-3610-421F-A68F-8CE2E8EC8E72}"/>
    <cellStyle name="Comma 3 2 5 5 8 4" xfId="21303" xr:uid="{F4A44381-B134-4A5C-9C15-C9849DD1D5EA}"/>
    <cellStyle name="Comma 3 2 5 5 9" xfId="5770" xr:uid="{F3D3DA54-91FF-4BD4-A0D0-A308751546C8}"/>
    <cellStyle name="Comma 3 2 5 5 9 2" xfId="13285" xr:uid="{91B6E73E-DC69-483B-AE94-76C5595488E1}"/>
    <cellStyle name="Comma 3 2 5 5 9 2 2" xfId="29489" xr:uid="{95CFC43C-B72B-4DC3-8027-515263719C67}"/>
    <cellStyle name="Comma 3 2 5 5 9 3" xfId="21974" xr:uid="{9FA2C610-59CC-4001-A24B-EC51F42B58AA}"/>
    <cellStyle name="Comma 3 2 5 6" xfId="2201" xr:uid="{A5361674-45C9-4A50-9D17-8282278F4008}"/>
    <cellStyle name="Comma 3 2 5 6 2" xfId="3109" xr:uid="{FF30C084-0B3D-4279-B2EE-E009B4D967CC}"/>
    <cellStyle name="Comma 3 2 5 6 2 2" xfId="6891" xr:uid="{4830DBF4-5557-4321-8143-0B874FC232C1}"/>
    <cellStyle name="Comma 3 2 5 6 2 2 2" xfId="14402" xr:uid="{17306982-4898-4672-BAE6-F6F44CF9B487}"/>
    <cellStyle name="Comma 3 2 5 6 2 2 2 2" xfId="30606" xr:uid="{AE48B5AC-16AA-489B-92F5-232A859D2725}"/>
    <cellStyle name="Comma 3 2 5 6 2 2 3" xfId="23095" xr:uid="{95B3FED7-5ECC-4E3B-A64E-BCBD2CE8C200}"/>
    <cellStyle name="Comma 3 2 5 6 2 3" xfId="8993" xr:uid="{45A96BB8-85E9-4BAD-9DFE-1EA4676BBD0F}"/>
    <cellStyle name="Comma 3 2 5 6 2 3 2" xfId="16486" xr:uid="{CF0B9130-27E5-43C5-A204-DDCA0B26D051}"/>
    <cellStyle name="Comma 3 2 5 6 2 3 2 2" xfId="32690" xr:uid="{FAB53C4C-ED9E-4BE0-90D2-C54FDA5FD80A}"/>
    <cellStyle name="Comma 3 2 5 6 2 3 3" xfId="25197" xr:uid="{F5D181E2-0B7B-4120-9F1F-4D6DC7525B08}"/>
    <cellStyle name="Comma 3 2 5 6 2 4" xfId="10802" xr:uid="{294D028B-1E8F-4DDE-9228-4DBE42375EDB}"/>
    <cellStyle name="Comma 3 2 5 6 2 4 2" xfId="27006" xr:uid="{A09D258C-52D5-498D-A01B-98596D4A25C3}"/>
    <cellStyle name="Comma 3 2 5 6 2 5" xfId="17251" xr:uid="{B6B3E369-93EB-4858-B445-F169166DDD4A}"/>
    <cellStyle name="Comma 3 2 5 6 2 5 2" xfId="33383" xr:uid="{CA69433D-AEEA-40E6-A681-1862D34F4E80}"/>
    <cellStyle name="Comma 3 2 5 6 2 6" xfId="19329" xr:uid="{7665EFD2-5F45-4A8D-A897-0723AB12AD14}"/>
    <cellStyle name="Comma 3 2 5 6 3" xfId="6035" xr:uid="{5CB7E5EE-E0EB-4272-A5DB-DFFD63929DAE}"/>
    <cellStyle name="Comma 3 2 5 6 3 2" xfId="13549" xr:uid="{C087D5B5-C98E-449D-BCA0-49CEEF3E2EBA}"/>
    <cellStyle name="Comma 3 2 5 6 3 2 2" xfId="29753" xr:uid="{398D10D5-7B3E-4C9E-8B4D-594DEEC945E7}"/>
    <cellStyle name="Comma 3 2 5 6 3 3" xfId="22239" xr:uid="{74D157AC-2702-47E8-9747-06D72B90EEA4}"/>
    <cellStyle name="Comma 3 2 5 6 4" xfId="9074" xr:uid="{73F51FCC-68BB-42ED-9FE6-35B941A6BB25}"/>
    <cellStyle name="Comma 3 2 5 6 4 2" xfId="16556" xr:uid="{FE4D04C4-0D3B-4DFE-B79B-E0CDC2A32BB9}"/>
    <cellStyle name="Comma 3 2 5 6 4 2 2" xfId="32760" xr:uid="{7F236ECE-9BB7-404E-8782-BFE21258019A}"/>
    <cellStyle name="Comma 3 2 5 6 4 3" xfId="25278" xr:uid="{B37A0E23-EA42-4692-B300-9BB4D8350B65}"/>
    <cellStyle name="Comma 3 2 5 6 5" xfId="9958" xr:uid="{F4E7E5BE-F265-4B81-98D4-4B31EA03F05B}"/>
    <cellStyle name="Comma 3 2 5 6 5 2" xfId="26162" xr:uid="{EBB898BB-7C2E-49AE-8CA1-6B33ED7F1CE7}"/>
    <cellStyle name="Comma 3 2 5 6 6" xfId="17250" xr:uid="{11E76D70-EC13-492D-BAB2-9DB70740A538}"/>
    <cellStyle name="Comma 3 2 5 6 6 2" xfId="33382" xr:uid="{B626EB09-BBFC-49CD-A9EA-02E0AE751E78}"/>
    <cellStyle name="Comma 3 2 5 6 7" xfId="18484" xr:uid="{54F7C347-8E81-4626-BFD9-A7912E957B7E}"/>
    <cellStyle name="Comma 3 2 5 7" xfId="2684" xr:uid="{4D968F38-3D15-49AB-B387-60CE1382F625}"/>
    <cellStyle name="Comma 3 2 5 7 2" xfId="6468" xr:uid="{158CB69B-5379-421E-B121-7DF1493BFD6C}"/>
    <cellStyle name="Comma 3 2 5 7 2 2" xfId="13980" xr:uid="{96686EE3-ACDA-46EC-A645-6F614E992B2B}"/>
    <cellStyle name="Comma 3 2 5 7 2 2 2" xfId="30184" xr:uid="{4B356156-3E9E-4EBF-AAA7-AF504ECB4B9B}"/>
    <cellStyle name="Comma 3 2 5 7 2 3" xfId="22672" xr:uid="{B66DB9BD-81DF-4221-95AC-8E961C415014}"/>
    <cellStyle name="Comma 3 2 5 7 3" xfId="8872" xr:uid="{1A309007-59B6-4849-9EB5-B1D1CD6EBFD3}"/>
    <cellStyle name="Comma 3 2 5 7 3 2" xfId="16378" xr:uid="{89FB90B5-2B65-4981-A476-088876DB3E02}"/>
    <cellStyle name="Comma 3 2 5 7 3 2 2" xfId="32582" xr:uid="{EAAA7699-E58E-40A4-B406-B0487BE27273}"/>
    <cellStyle name="Comma 3 2 5 7 3 3" xfId="25076" xr:uid="{D3D62707-0981-4E62-974B-DB86B3F4D508}"/>
    <cellStyle name="Comma 3 2 5 7 4" xfId="10380" xr:uid="{38952082-FEDF-4B9C-9256-4572CFB908B8}"/>
    <cellStyle name="Comma 3 2 5 7 4 2" xfId="26584" xr:uid="{09FF914E-C3FC-41B3-8BC2-54404664145F}"/>
    <cellStyle name="Comma 3 2 5 7 5" xfId="17252" xr:uid="{C7A2E801-761E-4B84-AF7C-10E72F6C998A}"/>
    <cellStyle name="Comma 3 2 5 7 5 2" xfId="33384" xr:uid="{C317249A-0C55-475B-B248-8FFDF488BE38}"/>
    <cellStyle name="Comma 3 2 5 7 6" xfId="18906" xr:uid="{EED95141-5898-46D3-84F2-56D64268CFE5}"/>
    <cellStyle name="Comma 3 2 5 8" xfId="3611" xr:uid="{239DC85A-1607-4E87-8D6E-2F7E5957FF33}"/>
    <cellStyle name="Comma 3 2 5 8 2" xfId="7324" xr:uid="{70BD9E6F-1C8B-4B63-9C12-DB34B7E91A2D}"/>
    <cellStyle name="Comma 3 2 5 8 2 2" xfId="14833" xr:uid="{1D2C67B1-CE8D-4A2E-AA6A-5741B7B19FAC}"/>
    <cellStyle name="Comma 3 2 5 8 2 2 2" xfId="31037" xr:uid="{57C4001B-ED6A-4E71-9F03-BEB0C21A832F}"/>
    <cellStyle name="Comma 3 2 5 8 2 3" xfId="23528" xr:uid="{568A2188-DA42-450D-9A63-027006D91972}"/>
    <cellStyle name="Comma 3 2 5 8 3" xfId="8998" xr:uid="{3B761C56-1A3A-4FD8-942F-7BD14733D3DF}"/>
    <cellStyle name="Comma 3 2 5 8 3 2" xfId="16491" xr:uid="{3CD7AFFD-4B5F-4259-AD09-EDE0BA848327}"/>
    <cellStyle name="Comma 3 2 5 8 3 2 2" xfId="32695" xr:uid="{875BF6F7-2142-47B2-8EF7-8B1C6DD2C565}"/>
    <cellStyle name="Comma 3 2 5 8 3 3" xfId="25202" xr:uid="{DF229852-57B3-4DD4-9FFE-21F9E91F227A}"/>
    <cellStyle name="Comma 3 2 5 8 4" xfId="11225" xr:uid="{EC6F0F6E-D55D-4C76-B933-DAF489CB848D}"/>
    <cellStyle name="Comma 3 2 5 8 4 2" xfId="27429" xr:uid="{20325400-DCE0-4451-8DF9-27E8C74E9CBE}"/>
    <cellStyle name="Comma 3 2 5 8 5" xfId="17253" xr:uid="{8C4C3C08-419E-4E1C-8A3D-7815CDA867C4}"/>
    <cellStyle name="Comma 3 2 5 8 5 2" xfId="33385" xr:uid="{FA98C05C-1571-440D-A76A-6C20378D9BDE}"/>
    <cellStyle name="Comma 3 2 5 8 6" xfId="19820" xr:uid="{C5345B85-8E6D-4603-86F4-59339E13537F}"/>
    <cellStyle name="Comma 3 2 5 9" xfId="3667" xr:uid="{55CB006F-FAAC-4B7B-83FD-BE9CC6D567CC}"/>
    <cellStyle name="Comma 3 2 5 9 2" xfId="5522" xr:uid="{058CE4EF-8CB9-4747-9136-5681AB73F13A}"/>
    <cellStyle name="Comma 3 2 5 9 2 2" xfId="21726" xr:uid="{C1599B48-C2DC-4A21-A659-EFC5AA0D1C55}"/>
    <cellStyle name="Comma 3 2 5 9 3" xfId="17254" xr:uid="{649F3E90-D4C4-4064-AB5E-7D9805E3FDF8}"/>
    <cellStyle name="Comma 3 2 5 9 3 2" xfId="33386" xr:uid="{423A8A9A-927D-4667-8418-31122D276450}"/>
    <cellStyle name="Comma 3 2 5 9 4" xfId="19876" xr:uid="{66547901-BF17-4CDD-BFD5-5DFCC68D3863}"/>
    <cellStyle name="Comma 3 2 6" xfId="1623" xr:uid="{80C88018-68C2-471A-8E4F-C0148394D306}"/>
    <cellStyle name="Comma 3 2 6 10" xfId="4086" xr:uid="{C4F3A022-EC12-4B04-9828-67F9BDFF0F51}"/>
    <cellStyle name="Comma 3 2 6 10 2" xfId="7756" xr:uid="{81E36E5E-E318-4567-A747-CAA1C0041C7F}"/>
    <cellStyle name="Comma 3 2 6 10 2 2" xfId="15263" xr:uid="{A99ADF94-2C7D-4375-9BA6-5CFF87106917}"/>
    <cellStyle name="Comma 3 2 6 10 2 2 2" xfId="31467" xr:uid="{5FF68B76-508B-4362-BDC9-5ED0ADE2088B}"/>
    <cellStyle name="Comma 3 2 6 10 2 3" xfId="23960" xr:uid="{E9835443-4BE3-403D-95BA-FE9A3760D195}"/>
    <cellStyle name="Comma 3 2 6 10 3" xfId="5576" xr:uid="{05F28291-776E-400B-B1CB-C6BAFBD2B8EB}"/>
    <cellStyle name="Comma 3 2 6 10 3 2" xfId="13093" xr:uid="{FF474A5B-C89E-4B53-BD8E-1CF1A846DBD8}"/>
    <cellStyle name="Comma 3 2 6 10 3 2 2" xfId="29297" xr:uid="{517F0168-4F9F-4CDF-9472-F8086F91173F}"/>
    <cellStyle name="Comma 3 2 6 10 3 3" xfId="21780" xr:uid="{7CCBE716-132B-4514-BDE1-9B3D413BF5AD}"/>
    <cellStyle name="Comma 3 2 6 10 4" xfId="11649" xr:uid="{909FF115-B5BD-48F1-BC75-BF8436A058D4}"/>
    <cellStyle name="Comma 3 2 6 10 4 2" xfId="27853" xr:uid="{ED78B48F-3AD8-4F7D-8AA5-917A3516F2F6}"/>
    <cellStyle name="Comma 3 2 6 10 5" xfId="17256" xr:uid="{A8979EC4-41E6-46A4-81DD-B8A0C08B6E56}"/>
    <cellStyle name="Comma 3 2 6 10 5 2" xfId="33388" xr:uid="{01C7361B-CFAD-481E-8C14-49D42473432D}"/>
    <cellStyle name="Comma 3 2 6 10 6" xfId="20290" xr:uid="{E16C1006-668D-47D7-AECF-2A7856D56FAB}"/>
    <cellStyle name="Comma 3 2 6 11" xfId="4511" xr:uid="{140B24EB-20AF-4430-883D-245FD0D1AB04}"/>
    <cellStyle name="Comma 3 2 6 11 2" xfId="8181" xr:uid="{8C19744E-8A9E-4322-9E4A-DBBF3989072C}"/>
    <cellStyle name="Comma 3 2 6 11 2 2" xfId="15688" xr:uid="{25497380-8E8E-4819-B9DD-FDB1FA8D51EE}"/>
    <cellStyle name="Comma 3 2 6 11 2 2 2" xfId="31892" xr:uid="{8B20F812-AD2D-4546-8CC5-18B84EBE228C}"/>
    <cellStyle name="Comma 3 2 6 11 2 3" xfId="24385" xr:uid="{E177897C-9DE4-4D61-804F-7CC1759F8AC6}"/>
    <cellStyle name="Comma 3 2 6 11 3" xfId="9262" xr:uid="{606D89CE-91D4-467D-90A6-7B6FD52FE06E}"/>
    <cellStyle name="Comma 3 2 6 11 3 2" xfId="16722" xr:uid="{370C099C-B017-4F3C-8BD2-B095D93BE736}"/>
    <cellStyle name="Comma 3 2 6 11 3 2 2" xfId="32926" xr:uid="{1C460769-0A79-4013-A841-82524C1A77A2}"/>
    <cellStyle name="Comma 3 2 6 11 3 3" xfId="25466" xr:uid="{8BFE0EC5-E49D-4BB8-A96F-63F72D6B6AFE}"/>
    <cellStyle name="Comma 3 2 6 11 4" xfId="12074" xr:uid="{1BA90654-C5B1-48EA-96D8-A4509C254A11}"/>
    <cellStyle name="Comma 3 2 6 11 4 2" xfId="28278" xr:uid="{C5266541-A09D-4E36-9E1B-2BB9B884AB79}"/>
    <cellStyle name="Comma 3 2 6 11 5" xfId="17257" xr:uid="{0E58507A-A0E3-445D-A713-CA7E39B0BF50}"/>
    <cellStyle name="Comma 3 2 6 11 5 2" xfId="33389" xr:uid="{140BF8E2-C244-4F21-BC1E-B43548D499C2}"/>
    <cellStyle name="Comma 3 2 6 11 6" xfId="20715" xr:uid="{BD712CDC-2601-448F-8B4F-95C60E3536A6}"/>
    <cellStyle name="Comma 3 2 6 12" xfId="4938" xr:uid="{A189312A-B35E-419C-8AEF-5CF987CDA51F}"/>
    <cellStyle name="Comma 3 2 6 12 2" xfId="8604" xr:uid="{B56AF334-C6FA-43CE-9BD0-D8ECBD789F9A}"/>
    <cellStyle name="Comma 3 2 6 12 2 2" xfId="16111" xr:uid="{DA068EF4-6B2F-4D22-8E1D-419ABA33FF8A}"/>
    <cellStyle name="Comma 3 2 6 12 2 2 2" xfId="32315" xr:uid="{3AD57ADA-2534-45D7-818E-B7050A2A2A4B}"/>
    <cellStyle name="Comma 3 2 6 12 2 3" xfId="24808" xr:uid="{EAE785DA-E34C-4AC9-BC10-F840C26CE2B9}"/>
    <cellStyle name="Comma 3 2 6 12 3" xfId="12496" xr:uid="{DAAAF3B5-231E-4F1D-AF50-8912274869C2}"/>
    <cellStyle name="Comma 3 2 6 12 3 2" xfId="28700" xr:uid="{22181578-D876-41CE-8987-20B6C0E2F0AD}"/>
    <cellStyle name="Comma 3 2 6 12 4" xfId="21142" xr:uid="{CCDDDCCE-6555-47BC-B059-020E99A55D2C}"/>
    <cellStyle name="Comma 3 2 6 13" xfId="5584" xr:uid="{CF78E524-B37C-4293-AB83-CAC227498965}"/>
    <cellStyle name="Comma 3 2 6 13 2" xfId="13101" xr:uid="{45A0EA62-3ACC-47FD-ACF3-231D0611D1F0}"/>
    <cellStyle name="Comma 3 2 6 13 2 2" xfId="29305" xr:uid="{E00A879E-5AA2-42AB-A6A1-AB6D54277E41}"/>
    <cellStyle name="Comma 3 2 6 13 3" xfId="21788" xr:uid="{A3056519-0C1B-4598-87A8-48AF4C2395D2}"/>
    <cellStyle name="Comma 3 2 6 14" xfId="9537" xr:uid="{8A9EF37A-9D65-465A-8063-97BA8D074871}"/>
    <cellStyle name="Comma 3 2 6 14 2" xfId="25741" xr:uid="{53EE613E-8A49-46E8-A39E-ADD70A8B59BE}"/>
    <cellStyle name="Comma 3 2 6 15" xfId="17255" xr:uid="{22E49EC0-30D8-469F-9DD0-931D84185289}"/>
    <cellStyle name="Comma 3 2 6 15 2" xfId="33387" xr:uid="{041388A7-5641-448D-972C-9081D30FBCA0}"/>
    <cellStyle name="Comma 3 2 6 16" xfId="18060" xr:uid="{7333420F-A19E-47F6-85AE-B1459242A6A9}"/>
    <cellStyle name="Comma 3 2 6 2" xfId="1754" xr:uid="{B035D60B-59C2-4B4C-BE61-43D829D6C397}"/>
    <cellStyle name="Comma 3 2 6 2 10" xfId="5623" xr:uid="{7F15AA58-0FDE-46AC-832C-5462C4B1F0F2}"/>
    <cellStyle name="Comma 3 2 6 2 10 2" xfId="13138" xr:uid="{1E552A32-E019-4101-8585-93A9D0129282}"/>
    <cellStyle name="Comma 3 2 6 2 10 2 2" xfId="29342" xr:uid="{126BD7DD-A92C-4DC9-B8CF-87CE560E2D31}"/>
    <cellStyle name="Comma 3 2 6 2 10 3" xfId="21827" xr:uid="{E3EAA373-1914-4960-B3FE-FB95A34F2A97}"/>
    <cellStyle name="Comma 3 2 6 2 11" xfId="9551" xr:uid="{D18C2FB1-FD51-4045-B927-25ECA93F7628}"/>
    <cellStyle name="Comma 3 2 6 2 11 2" xfId="25755" xr:uid="{4AD85B62-AAAE-4ED1-8190-71F8E5B1AF31}"/>
    <cellStyle name="Comma 3 2 6 2 12" xfId="17258" xr:uid="{8B680BFF-B38A-4770-9810-ECAF99F162A3}"/>
    <cellStyle name="Comma 3 2 6 2 12 2" xfId="33390" xr:uid="{975CB860-5793-4D78-A481-F0912A06C4B7}"/>
    <cellStyle name="Comma 3 2 6 2 13" xfId="18074" xr:uid="{FC21B97A-C82C-45C3-BCE7-45FB9EB7422D}"/>
    <cellStyle name="Comma 3 2 6 2 2" xfId="1918" xr:uid="{E32310D1-D439-423F-BBBD-79E12A9EDAE7}"/>
    <cellStyle name="Comma 3 2 6 2 2 10" xfId="9698" xr:uid="{F08FE4B8-608C-4A28-9447-7B918FA371D4}"/>
    <cellStyle name="Comma 3 2 6 2 2 10 2" xfId="25902" xr:uid="{F228AC69-AB43-4AC6-9470-E5C8123C22E2}"/>
    <cellStyle name="Comma 3 2 6 2 2 11" xfId="17259" xr:uid="{161DED6F-83BC-46FB-9B20-65717B0B7FE0}"/>
    <cellStyle name="Comma 3 2 6 2 2 11 2" xfId="33391" xr:uid="{355DD95D-F910-4272-B3BC-3BB8877E74EE}"/>
    <cellStyle name="Comma 3 2 6 2 2 12" xfId="18222" xr:uid="{DC25482C-956A-4AE6-9744-D2F706971E0C}"/>
    <cellStyle name="Comma 3 2 6 2 2 2" xfId="2425" xr:uid="{D96E4DBC-7312-4602-94F1-F2E99BE31D60}"/>
    <cellStyle name="Comma 3 2 6 2 2 2 2" xfId="3272" xr:uid="{CB713E17-3C5D-440F-BF2D-C7075EDE2B04}"/>
    <cellStyle name="Comma 3 2 6 2 2 2 2 2" xfId="7054" xr:uid="{D350E355-B959-407A-AB91-CF2B19F61D8B}"/>
    <cellStyle name="Comma 3 2 6 2 2 2 2 2 2" xfId="14565" xr:uid="{A1B0297D-92F6-4E98-9DAE-7CDE573213CA}"/>
    <cellStyle name="Comma 3 2 6 2 2 2 2 2 2 2" xfId="30769" xr:uid="{64F64295-38E4-47B8-9A0C-403EC2E4CA6F}"/>
    <cellStyle name="Comma 3 2 6 2 2 2 2 2 3" xfId="23258" xr:uid="{5F29F1E5-17C2-4B31-9406-719953D52D39}"/>
    <cellStyle name="Comma 3 2 6 2 2 2 2 3" xfId="5250" xr:uid="{0E5E18E1-EFA4-4F5F-8C15-CF4EDEEA638F}"/>
    <cellStyle name="Comma 3 2 6 2 2 2 2 3 2" xfId="12800" xr:uid="{BF685722-56E1-4659-B3DE-3C11D39E4BC8}"/>
    <cellStyle name="Comma 3 2 6 2 2 2 2 3 2 2" xfId="29004" xr:uid="{2DA6115C-735C-4133-9682-4FCD2BE04D89}"/>
    <cellStyle name="Comma 3 2 6 2 2 2 2 3 3" xfId="21454" xr:uid="{554EF3DF-7D36-4533-A47B-EB59802BFCD1}"/>
    <cellStyle name="Comma 3 2 6 2 2 2 2 4" xfId="10965" xr:uid="{1AC3733F-197E-4F64-BAC9-F2D5B841F44B}"/>
    <cellStyle name="Comma 3 2 6 2 2 2 2 4 2" xfId="27169" xr:uid="{3D683464-2846-4DCF-B3A4-B97F036559B0}"/>
    <cellStyle name="Comma 3 2 6 2 2 2 2 5" xfId="17261" xr:uid="{A348642E-C5A2-42E1-A553-7CBDDFDC905E}"/>
    <cellStyle name="Comma 3 2 6 2 2 2 2 5 2" xfId="33393" xr:uid="{7985492E-72EC-4F58-BF36-6AB00303D3C1}"/>
    <cellStyle name="Comma 3 2 6 2 2 2 2 6" xfId="19492" xr:uid="{82213F22-1EFA-423A-8D3A-924B2D78CA21}"/>
    <cellStyle name="Comma 3 2 6 2 2 2 3" xfId="6209" xr:uid="{3C78D9FF-41C6-42A7-A5AA-FFEB82D71A44}"/>
    <cellStyle name="Comma 3 2 6 2 2 2 3 2" xfId="13721" xr:uid="{43C1D35C-560E-4004-BF0F-0BED99F961BA}"/>
    <cellStyle name="Comma 3 2 6 2 2 2 3 2 2" xfId="29925" xr:uid="{6780DC6B-3BD4-4EAD-90A4-7D01FC2074AA}"/>
    <cellStyle name="Comma 3 2 6 2 2 2 3 3" xfId="22413" xr:uid="{B7931324-F9F4-4CE8-BE0B-EC960F06EF3C}"/>
    <cellStyle name="Comma 3 2 6 2 2 2 4" xfId="9053" xr:uid="{01910F27-8E64-49FA-8A76-2E90908D6320}"/>
    <cellStyle name="Comma 3 2 6 2 2 2 4 2" xfId="16540" xr:uid="{F16B3CB6-38CF-4608-9869-31BDF132B049}"/>
    <cellStyle name="Comma 3 2 6 2 2 2 4 2 2" xfId="32744" xr:uid="{DE0CB70F-8FC0-440E-BF92-7D3AC1808F35}"/>
    <cellStyle name="Comma 3 2 6 2 2 2 4 3" xfId="25257" xr:uid="{A3947552-2525-41B0-9393-BFD815083568}"/>
    <cellStyle name="Comma 3 2 6 2 2 2 5" xfId="10121" xr:uid="{9E372C78-33A7-48EC-ABCA-6F21241E6C0C}"/>
    <cellStyle name="Comma 3 2 6 2 2 2 5 2" xfId="26325" xr:uid="{3D48E3F8-39F8-47E3-BE7F-DDD968E3A1DD}"/>
    <cellStyle name="Comma 3 2 6 2 2 2 6" xfId="17260" xr:uid="{836070F7-8AA8-48E9-AFB8-04AB11318F17}"/>
    <cellStyle name="Comma 3 2 6 2 2 2 6 2" xfId="33392" xr:uid="{BA0E2507-6AD2-4EF3-9AA1-37E26CF68FD1}"/>
    <cellStyle name="Comma 3 2 6 2 2 2 7" xfId="18647" xr:uid="{466F0A6B-9CF9-49E6-B292-C0737B7C4706}"/>
    <cellStyle name="Comma 3 2 6 2 2 3" xfId="2847" xr:uid="{A43277C5-9C71-4A57-915D-5961325B5115}"/>
    <cellStyle name="Comma 3 2 6 2 2 3 2" xfId="6631" xr:uid="{53292A51-77EF-4EF8-ADC1-C0F9D95DD567}"/>
    <cellStyle name="Comma 3 2 6 2 2 3 2 2" xfId="14143" xr:uid="{D22E983B-1FC0-43CD-A95B-D72BC3B74AB9}"/>
    <cellStyle name="Comma 3 2 6 2 2 3 2 2 2" xfId="30347" xr:uid="{9EBD75D9-9417-4CCF-B8E2-4152CA2CAFA1}"/>
    <cellStyle name="Comma 3 2 6 2 2 3 2 3" xfId="22835" xr:uid="{69AB3064-B37E-4A4B-91EC-A83F6E5565A9}"/>
    <cellStyle name="Comma 3 2 6 2 2 3 3" xfId="9036" xr:uid="{85737425-1C4C-4BAE-ABE9-9DC15C9E942B}"/>
    <cellStyle name="Comma 3 2 6 2 2 3 3 2" xfId="16525" xr:uid="{52D73952-6ACA-4173-B1AF-BFB8B1B7FE7F}"/>
    <cellStyle name="Comma 3 2 6 2 2 3 3 2 2" xfId="32729" xr:uid="{3E432F23-2AAD-43CA-9C25-CD486A79D041}"/>
    <cellStyle name="Comma 3 2 6 2 2 3 3 3" xfId="25240" xr:uid="{448512D8-AD91-4951-93AD-06D21C9B5DE6}"/>
    <cellStyle name="Comma 3 2 6 2 2 3 4" xfId="10543" xr:uid="{1823C953-192C-4095-8058-413BC0B2EB66}"/>
    <cellStyle name="Comma 3 2 6 2 2 3 4 2" xfId="26747" xr:uid="{84299380-FABD-4F5B-B165-8B932BC8D6CB}"/>
    <cellStyle name="Comma 3 2 6 2 2 3 5" xfId="17262" xr:uid="{FDD3635C-07CD-41CF-AB76-832997206014}"/>
    <cellStyle name="Comma 3 2 6 2 2 3 5 2" xfId="33394" xr:uid="{A2155E46-33F1-49AD-9F3E-F13F97029D3E}"/>
    <cellStyle name="Comma 3 2 6 2 2 3 6" xfId="19069" xr:uid="{AB7E243C-A346-4BB5-8ED3-513FA134CCBE}"/>
    <cellStyle name="Comma 3 2 6 2 2 4" xfId="3778" xr:uid="{1DA86DA8-0C64-4BED-859B-E2CBC5276C1F}"/>
    <cellStyle name="Comma 3 2 6 2 2 4 2" xfId="7488" xr:uid="{EFF3A159-1E41-49EF-8A37-25238F494B31}"/>
    <cellStyle name="Comma 3 2 6 2 2 4 2 2" xfId="14997" xr:uid="{AE498745-D22C-4E3D-9427-1ED7F5331D97}"/>
    <cellStyle name="Comma 3 2 6 2 2 4 2 2 2" xfId="31201" xr:uid="{6C56E4C7-FB31-4879-8D4D-13126D442D25}"/>
    <cellStyle name="Comma 3 2 6 2 2 4 2 3" xfId="23692" xr:uid="{2D17F546-1721-4E04-B46C-7C81C32C5810}"/>
    <cellStyle name="Comma 3 2 6 2 2 4 3" xfId="5405" xr:uid="{AC0B070F-3A98-499F-B03E-51313F6F0E6B}"/>
    <cellStyle name="Comma 3 2 6 2 2 4 3 2" xfId="12954" xr:uid="{35EC6EFE-0C0E-4448-8366-48ECB898DD01}"/>
    <cellStyle name="Comma 3 2 6 2 2 4 3 2 2" xfId="29158" xr:uid="{7862DF55-18FE-402F-8648-EE5A22010F95}"/>
    <cellStyle name="Comma 3 2 6 2 2 4 3 3" xfId="21609" xr:uid="{6F7C0C37-643E-4147-981F-C9787EC651CD}"/>
    <cellStyle name="Comma 3 2 6 2 2 4 4" xfId="11388" xr:uid="{A1071861-B431-4AE2-86A4-92947664C40E}"/>
    <cellStyle name="Comma 3 2 6 2 2 4 4 2" xfId="27592" xr:uid="{940358EA-7B00-4430-BEAC-05CFC6AB5C6D}"/>
    <cellStyle name="Comma 3 2 6 2 2 4 5" xfId="17263" xr:uid="{48CC8293-EB75-435A-BF8D-A154FEAD6519}"/>
    <cellStyle name="Comma 3 2 6 2 2 4 5 2" xfId="33395" xr:uid="{3D00C3AF-4482-435D-A88C-E797D80F71A3}"/>
    <cellStyle name="Comma 3 2 6 2 2 4 6" xfId="19987" xr:uid="{180ADABF-A491-4037-8886-B66C1FFB4AA8}"/>
    <cellStyle name="Comma 3 2 6 2 2 5" xfId="3886" xr:uid="{FE1BFD7C-55BE-4A8B-9E07-3CAB64973D09}"/>
    <cellStyle name="Comma 3 2 6 2 2 5 2" xfId="5544" xr:uid="{DAAF4493-F6DB-408C-B5EF-60DBF0CCA728}"/>
    <cellStyle name="Comma 3 2 6 2 2 5 2 2" xfId="21748" xr:uid="{29C035D7-92C8-446E-BC25-EE5AD6E1A5C6}"/>
    <cellStyle name="Comma 3 2 6 2 2 5 3" xfId="17264" xr:uid="{AB543AA5-2A0E-41C6-8D68-3BE99F71C1C3}"/>
    <cellStyle name="Comma 3 2 6 2 2 5 3 2" xfId="33396" xr:uid="{ADE84623-6E81-48F3-9FDC-540B803FCEA4}"/>
    <cellStyle name="Comma 3 2 6 2 2 5 4" xfId="20095" xr:uid="{E7FB93A1-1DA0-42EF-A844-EC034F9D87C5}"/>
    <cellStyle name="Comma 3 2 6 2 2 6" xfId="4247" xr:uid="{445E499D-5DBC-401D-B624-869089C0F82B}"/>
    <cellStyle name="Comma 3 2 6 2 2 6 2" xfId="7917" xr:uid="{9DCCA9B9-916B-454F-A45E-22FD8114E131}"/>
    <cellStyle name="Comma 3 2 6 2 2 6 2 2" xfId="15424" xr:uid="{0C5BBE1D-B49E-475D-946F-03B6FA765FE8}"/>
    <cellStyle name="Comma 3 2 6 2 2 6 2 2 2" xfId="31628" xr:uid="{86D30519-3CB2-438F-AC9C-ADC430D2A33D}"/>
    <cellStyle name="Comma 3 2 6 2 2 6 2 3" xfId="24121" xr:uid="{636DF082-3FAF-4308-A040-B2A6690A2C42}"/>
    <cellStyle name="Comma 3 2 6 2 2 6 3" xfId="8973" xr:uid="{9A7F0829-7604-48F2-8328-ACD3B379D7D4}"/>
    <cellStyle name="Comma 3 2 6 2 2 6 3 2" xfId="16467" xr:uid="{9D5875A6-B6F6-467D-899F-61AACE37A127}"/>
    <cellStyle name="Comma 3 2 6 2 2 6 3 2 2" xfId="32671" xr:uid="{C9DA0872-85EF-4E57-A912-2F57410A0960}"/>
    <cellStyle name="Comma 3 2 6 2 2 6 3 3" xfId="25177" xr:uid="{861B4ADD-4B85-4CD4-8254-422B5FD24016}"/>
    <cellStyle name="Comma 3 2 6 2 2 6 4" xfId="11810" xr:uid="{EC09F94C-2644-488E-9525-DC3746736623}"/>
    <cellStyle name="Comma 3 2 6 2 2 6 4 2" xfId="28014" xr:uid="{D852C41F-DC54-42FA-8A52-0D7B73A6F58B}"/>
    <cellStyle name="Comma 3 2 6 2 2 6 5" xfId="17265" xr:uid="{83E26247-92FC-48F5-BC8C-FCCC55FB38F7}"/>
    <cellStyle name="Comma 3 2 6 2 2 6 5 2" xfId="33397" xr:uid="{F9DAD669-96FF-46FC-A1A6-7887BE3853F5}"/>
    <cellStyle name="Comma 3 2 6 2 2 6 6" xfId="20451" xr:uid="{0E48A28F-8889-42A5-92B5-77C36A9D3EA8}"/>
    <cellStyle name="Comma 3 2 6 2 2 7" xfId="4672" xr:uid="{6574801F-BE90-40C8-86D7-ADF1A9E904AF}"/>
    <cellStyle name="Comma 3 2 6 2 2 7 2" xfId="8342" xr:uid="{FEF89B24-E6E9-4170-999C-DA05EE49F7B6}"/>
    <cellStyle name="Comma 3 2 6 2 2 7 2 2" xfId="15849" xr:uid="{87D41E39-D228-4C8B-AC8A-ACEB78E18AE1}"/>
    <cellStyle name="Comma 3 2 6 2 2 7 2 2 2" xfId="32053" xr:uid="{EC6C3594-32C3-4B10-8015-1D3AAB8CA3E5}"/>
    <cellStyle name="Comma 3 2 6 2 2 7 2 3" xfId="24546" xr:uid="{92B47AC2-4665-4BA3-A111-C32013DA213E}"/>
    <cellStyle name="Comma 3 2 6 2 2 7 3" xfId="9135" xr:uid="{CDBCB95B-876B-473D-B113-60A9B202D83E}"/>
    <cellStyle name="Comma 3 2 6 2 2 7 3 2" xfId="16612" xr:uid="{5B8F4F6D-E435-45C2-8571-D7F73D290FFF}"/>
    <cellStyle name="Comma 3 2 6 2 2 7 3 2 2" xfId="32816" xr:uid="{6E3D3F42-6EC5-40E7-BEE7-4997D9D73820}"/>
    <cellStyle name="Comma 3 2 6 2 2 7 3 3" xfId="25339" xr:uid="{3CDB66AE-3A29-40DF-ACAB-549B1C55843C}"/>
    <cellStyle name="Comma 3 2 6 2 2 7 4" xfId="12235" xr:uid="{BE343DAA-D02A-4450-B399-BC0A0E441371}"/>
    <cellStyle name="Comma 3 2 6 2 2 7 4 2" xfId="28439" xr:uid="{3F6C2985-29CE-4373-AAF1-5D2A12C3F4E8}"/>
    <cellStyle name="Comma 3 2 6 2 2 7 5" xfId="17266" xr:uid="{2E7C2A58-8873-4F6E-B86A-87B10C20D409}"/>
    <cellStyle name="Comma 3 2 6 2 2 7 5 2" xfId="33398" xr:uid="{53C6F56A-9D5E-43DE-BFC3-A1C736F78300}"/>
    <cellStyle name="Comma 3 2 6 2 2 7 6" xfId="20876" xr:uid="{ADC6CF07-D3DD-4682-8BFA-ACF659CA0B93}"/>
    <cellStyle name="Comma 3 2 6 2 2 8" xfId="5100" xr:uid="{3D64A570-5E73-45E4-9E13-0C41D688FCB9}"/>
    <cellStyle name="Comma 3 2 6 2 2 8 2" xfId="8765" xr:uid="{7C1B1A1F-B9AA-4D47-A277-84AEBDB7E927}"/>
    <cellStyle name="Comma 3 2 6 2 2 8 2 2" xfId="16272" xr:uid="{93B3877C-F974-40C0-A595-1A47EE4D920B}"/>
    <cellStyle name="Comma 3 2 6 2 2 8 2 2 2" xfId="32476" xr:uid="{F09C8640-6BF7-4C57-8505-742332B7BE88}"/>
    <cellStyle name="Comma 3 2 6 2 2 8 2 3" xfId="24969" xr:uid="{37A809CA-322D-4B6A-A5EE-59C8D11BBF28}"/>
    <cellStyle name="Comma 3 2 6 2 2 8 3" xfId="12657" xr:uid="{D0A3D603-D202-43C8-8E5E-9FF6483600A6}"/>
    <cellStyle name="Comma 3 2 6 2 2 8 3 2" xfId="28861" xr:uid="{757A2E3B-622B-40EE-973B-B996E4CD54A0}"/>
    <cellStyle name="Comma 3 2 6 2 2 8 4" xfId="21304" xr:uid="{84FC05E2-09BE-4ACF-81DE-733ADCF8ECDF}"/>
    <cellStyle name="Comma 3 2 6 2 2 9" xfId="5771" xr:uid="{8D8AD1AF-1FF5-4958-A717-663E19BFB4B8}"/>
    <cellStyle name="Comma 3 2 6 2 2 9 2" xfId="13286" xr:uid="{30D9FB64-50EA-4114-8CDD-22976D3B25ED}"/>
    <cellStyle name="Comma 3 2 6 2 2 9 2 2" xfId="29490" xr:uid="{8211FA3C-8803-433E-81AB-A444B793FDF9}"/>
    <cellStyle name="Comma 3 2 6 2 2 9 3" xfId="21975" xr:uid="{FD2932A1-8569-42B6-9D5B-FA0FC2F61312}"/>
    <cellStyle name="Comma 3 2 6 2 3" xfId="2274" xr:uid="{B313E7CB-2177-449A-86FB-F72821DF11CA}"/>
    <cellStyle name="Comma 3 2 6 2 3 2" xfId="3125" xr:uid="{BBD01043-E1B1-4B0A-B3B9-88FED2FA0D56}"/>
    <cellStyle name="Comma 3 2 6 2 3 2 2" xfId="6907" xr:uid="{5D82A2E3-65A5-4411-822B-7EA501428D6A}"/>
    <cellStyle name="Comma 3 2 6 2 3 2 2 2" xfId="14418" xr:uid="{7C029B03-06C2-4E7F-9DF7-9265FC0DC8B2}"/>
    <cellStyle name="Comma 3 2 6 2 3 2 2 2 2" xfId="30622" xr:uid="{D1E5FD3B-665B-408F-80A0-07F0FF635AB7}"/>
    <cellStyle name="Comma 3 2 6 2 3 2 2 3" xfId="23111" xr:uid="{2BE1E0FA-3806-4A1F-A6EF-36E70B12D417}"/>
    <cellStyle name="Comma 3 2 6 2 3 2 3" xfId="9270" xr:uid="{6583EFC9-00B1-46E5-9835-EA9B6115C27C}"/>
    <cellStyle name="Comma 3 2 6 2 3 2 3 2" xfId="16730" xr:uid="{3593D13A-E00B-409B-ACEC-A1D1C454E234}"/>
    <cellStyle name="Comma 3 2 6 2 3 2 3 2 2" xfId="32934" xr:uid="{961C48BC-7866-43CA-A55F-1105CBB7A584}"/>
    <cellStyle name="Comma 3 2 6 2 3 2 3 3" xfId="25474" xr:uid="{AD72283D-80AA-4B5F-9BDF-8FF1613D119A}"/>
    <cellStyle name="Comma 3 2 6 2 3 2 4" xfId="10818" xr:uid="{CE3399BF-FE27-4468-BA64-78099442C2B2}"/>
    <cellStyle name="Comma 3 2 6 2 3 2 4 2" xfId="27022" xr:uid="{E12F896F-5A92-4D7F-9AFC-0909793BFB13}"/>
    <cellStyle name="Comma 3 2 6 2 3 2 5" xfId="17268" xr:uid="{9F1E6D82-CA63-4E4E-AB3A-2094E683598C}"/>
    <cellStyle name="Comma 3 2 6 2 3 2 5 2" xfId="33400" xr:uid="{152C0103-D230-4DD8-A885-AB416C814128}"/>
    <cellStyle name="Comma 3 2 6 2 3 2 6" xfId="19345" xr:uid="{8CF3BD57-CF2A-4F84-8498-8BADB7CE1095}"/>
    <cellStyle name="Comma 3 2 6 2 3 3" xfId="6062" xr:uid="{20BFBCAE-4EC4-4256-8FE4-020D372C2BFA}"/>
    <cellStyle name="Comma 3 2 6 2 3 3 2" xfId="13574" xr:uid="{4BD1635E-DCC2-452C-9D2B-AB60E366CCBB}"/>
    <cellStyle name="Comma 3 2 6 2 3 3 2 2" xfId="29778" xr:uid="{71F04559-0AB4-4529-9E59-C8BB68B5A454}"/>
    <cellStyle name="Comma 3 2 6 2 3 3 3" xfId="22266" xr:uid="{A939E652-7AAB-4EE7-8602-53E22E1B26C2}"/>
    <cellStyle name="Comma 3 2 6 2 3 4" xfId="5207" xr:uid="{EE705D68-9B9C-406E-B070-D59E64390E3C}"/>
    <cellStyle name="Comma 3 2 6 2 3 4 2" xfId="12763" xr:uid="{48ABC935-167E-4D11-B249-62CC2C3434DA}"/>
    <cellStyle name="Comma 3 2 6 2 3 4 2 2" xfId="28967" xr:uid="{B2DABD87-C064-4E3B-ABEE-F85DF43E29FE}"/>
    <cellStyle name="Comma 3 2 6 2 3 4 3" xfId="21411" xr:uid="{5A9C2287-DDC5-4B3D-A52F-BB2DA4193785}"/>
    <cellStyle name="Comma 3 2 6 2 3 5" xfId="9974" xr:uid="{9F5FDDF8-04F4-4A50-AA67-D98E2726EE45}"/>
    <cellStyle name="Comma 3 2 6 2 3 5 2" xfId="26178" xr:uid="{C3E50E46-67D8-453E-BDFB-4F856D893353}"/>
    <cellStyle name="Comma 3 2 6 2 3 6" xfId="17267" xr:uid="{B0C32CC0-80D7-4C5B-B920-1FBE5CE91451}"/>
    <cellStyle name="Comma 3 2 6 2 3 6 2" xfId="33399" xr:uid="{4F426BB1-3325-4EA2-BEF1-DBA3CBA547BF}"/>
    <cellStyle name="Comma 3 2 6 2 3 7" xfId="18500" xr:uid="{9071975A-87FB-4593-85E9-4844252238E3}"/>
    <cellStyle name="Comma 3 2 6 2 4" xfId="2700" xr:uid="{4747A9B7-F241-4601-8EEE-994B1A87F7FE}"/>
    <cellStyle name="Comma 3 2 6 2 4 2" xfId="6484" xr:uid="{F325AF23-6424-4F7D-9742-1E4C6CED5673}"/>
    <cellStyle name="Comma 3 2 6 2 4 2 2" xfId="13996" xr:uid="{801790FB-A391-4090-B073-17F2E2A16C0C}"/>
    <cellStyle name="Comma 3 2 6 2 4 2 2 2" xfId="30200" xr:uid="{A5DA3257-612C-4A11-903A-D5658EF46A0C}"/>
    <cellStyle name="Comma 3 2 6 2 4 2 3" xfId="22688" xr:uid="{C5DE2CF5-7318-4C0D-87BF-863742F58EBB}"/>
    <cellStyle name="Comma 3 2 6 2 4 3" xfId="5589" xr:uid="{2C0E45AD-AA4D-41A6-8ABE-F60D9C14A8BF}"/>
    <cellStyle name="Comma 3 2 6 2 4 3 2" xfId="13105" xr:uid="{AC841757-E86F-4F06-93F7-C781D0D3E6FF}"/>
    <cellStyle name="Comma 3 2 6 2 4 3 2 2" xfId="29309" xr:uid="{143969D4-EE13-4820-9300-871DD1FB2381}"/>
    <cellStyle name="Comma 3 2 6 2 4 3 3" xfId="21793" xr:uid="{89481E9B-7BC9-4EC7-BFC1-1A7B5E72D767}"/>
    <cellStyle name="Comma 3 2 6 2 4 4" xfId="10396" xr:uid="{38ADA943-179B-4541-BCB1-E62391466B75}"/>
    <cellStyle name="Comma 3 2 6 2 4 4 2" xfId="26600" xr:uid="{DE18E09D-5D91-484C-9009-26911E063564}"/>
    <cellStyle name="Comma 3 2 6 2 4 5" xfId="17269" xr:uid="{67708893-BA3B-4662-B764-DFB4EBC5E895}"/>
    <cellStyle name="Comma 3 2 6 2 4 5 2" xfId="33401" xr:uid="{C037EAFA-3950-4F9A-BD85-7761D0F7FD03}"/>
    <cellStyle name="Comma 3 2 6 2 4 6" xfId="18922" xr:uid="{2386B403-22E4-4602-963D-1072E2AC0A2D}"/>
    <cellStyle name="Comma 3 2 6 2 5" xfId="3630" xr:uid="{A65BA266-8E24-46A4-8DF3-1F1F23007782}"/>
    <cellStyle name="Comma 3 2 6 2 5 2" xfId="7340" xr:uid="{9D4D73B7-57F2-48E4-B83B-6AC608756A21}"/>
    <cellStyle name="Comma 3 2 6 2 5 2 2" xfId="14849" xr:uid="{41109951-B443-4346-9B47-FA3647135DED}"/>
    <cellStyle name="Comma 3 2 6 2 5 2 2 2" xfId="31053" xr:uid="{2AB29B83-16EB-4354-81F0-213C5EA070CC}"/>
    <cellStyle name="Comma 3 2 6 2 5 2 3" xfId="23544" xr:uid="{2C9E30F1-42E8-40D3-BB2E-92CB6EB8F389}"/>
    <cellStyle name="Comma 3 2 6 2 5 3" xfId="5459" xr:uid="{6D5A4817-AFFB-412D-B29B-41C85E472756}"/>
    <cellStyle name="Comma 3 2 6 2 5 3 2" xfId="13001" xr:uid="{D3C607D7-78FB-4114-98FA-D4069D9A12CA}"/>
    <cellStyle name="Comma 3 2 6 2 5 3 2 2" xfId="29205" xr:uid="{BCBD80DD-EB25-4A26-9D72-24CB1AC161B8}"/>
    <cellStyle name="Comma 3 2 6 2 5 3 3" xfId="21663" xr:uid="{AF720211-5122-431B-84D9-EFEFA5875ED8}"/>
    <cellStyle name="Comma 3 2 6 2 5 4" xfId="11241" xr:uid="{FF52F200-AB81-4FBE-8103-663F0E47D24A}"/>
    <cellStyle name="Comma 3 2 6 2 5 4 2" xfId="27445" xr:uid="{FF9166C1-2D6D-4258-B68F-6E407E7A3A57}"/>
    <cellStyle name="Comma 3 2 6 2 5 5" xfId="17270" xr:uid="{8B4BCD61-3FE8-4B04-A8EA-243633C2D868}"/>
    <cellStyle name="Comma 3 2 6 2 5 5 2" xfId="33402" xr:uid="{65F37933-63FB-484B-B0E1-C86A4FFE30B0}"/>
    <cellStyle name="Comma 3 2 6 2 5 6" xfId="19839" xr:uid="{C17000D9-EA20-40B1-B959-659C1ECE0571}"/>
    <cellStyle name="Comma 3 2 6 2 6" xfId="3594" xr:uid="{4A7ED916-556D-446F-B001-1C4E992DA3C8}"/>
    <cellStyle name="Comma 3 2 6 2 6 2" xfId="9302" xr:uid="{294B980B-36AE-451F-9F0E-B0883A531F58}"/>
    <cellStyle name="Comma 3 2 6 2 6 2 2" xfId="25506" xr:uid="{D95FEBD9-3ECA-4ACF-AF38-0A3D89F46B11}"/>
    <cellStyle name="Comma 3 2 6 2 6 3" xfId="17271" xr:uid="{9A20D97D-D1A5-4817-995C-4F11A7F46AB9}"/>
    <cellStyle name="Comma 3 2 6 2 6 3 2" xfId="33403" xr:uid="{83D67542-4398-4C9E-831A-3DA09465BC57}"/>
    <cellStyle name="Comma 3 2 6 2 6 4" xfId="19804" xr:uid="{7E23576D-3600-4748-BD39-1D3EB69DD100}"/>
    <cellStyle name="Comma 3 2 6 2 7" xfId="4100" xr:uid="{0775F749-7B47-45A1-8015-2B3432551C4D}"/>
    <cellStyle name="Comma 3 2 6 2 7 2" xfId="7770" xr:uid="{A7B36F64-946F-4F7F-8B30-93ED0C06B8EC}"/>
    <cellStyle name="Comma 3 2 6 2 7 2 2" xfId="15277" xr:uid="{6AD4DEC4-F321-4CF9-ACB6-31939C05EC13}"/>
    <cellStyle name="Comma 3 2 6 2 7 2 2 2" xfId="31481" xr:uid="{118EB451-F3BE-473D-BC2B-E69C50A54209}"/>
    <cellStyle name="Comma 3 2 6 2 7 2 3" xfId="23974" xr:uid="{A2B9A718-764D-4450-9A60-203F888911B2}"/>
    <cellStyle name="Comma 3 2 6 2 7 3" xfId="5543" xr:uid="{CC87E144-E9A3-4A08-942A-CA6E0E0C5BE9}"/>
    <cellStyle name="Comma 3 2 6 2 7 3 2" xfId="13067" xr:uid="{90EE89B2-263D-4BE7-ADC5-63877EF7F887}"/>
    <cellStyle name="Comma 3 2 6 2 7 3 2 2" xfId="29271" xr:uid="{DFB35E41-3C94-49AD-A8C4-253FF3C60BCC}"/>
    <cellStyle name="Comma 3 2 6 2 7 3 3" xfId="21747" xr:uid="{66E082FD-DC09-4C10-99B7-325782414092}"/>
    <cellStyle name="Comma 3 2 6 2 7 4" xfId="11663" xr:uid="{FD5E9E54-D98E-4629-A860-3B54F1D9E06D}"/>
    <cellStyle name="Comma 3 2 6 2 7 4 2" xfId="27867" xr:uid="{035F2D6B-DD98-4371-A7C1-04B7B2762D9A}"/>
    <cellStyle name="Comma 3 2 6 2 7 5" xfId="17272" xr:uid="{F3471A49-AC45-4ABF-B279-193FCF026819}"/>
    <cellStyle name="Comma 3 2 6 2 7 5 2" xfId="33404" xr:uid="{7C67ABA0-8DBB-4930-8DB4-9D2344B2055A}"/>
    <cellStyle name="Comma 3 2 6 2 7 6" xfId="20304" xr:uid="{EC06B08E-882A-4014-937C-02C496F12826}"/>
    <cellStyle name="Comma 3 2 6 2 8" xfId="4525" xr:uid="{7156FB6C-E3EE-41D2-A609-957E7F5CFD68}"/>
    <cellStyle name="Comma 3 2 6 2 8 2" xfId="8195" xr:uid="{86C6EE1D-278A-4D7D-B80E-9DA268321CFC}"/>
    <cellStyle name="Comma 3 2 6 2 8 2 2" xfId="15702" xr:uid="{0B6015D7-768F-4438-8A4B-BA2A43CCB09B}"/>
    <cellStyle name="Comma 3 2 6 2 8 2 2 2" xfId="31906" xr:uid="{6BAB735B-285B-4953-9EC9-8D042D4A768C}"/>
    <cellStyle name="Comma 3 2 6 2 8 2 3" xfId="24399" xr:uid="{ED33A5A5-E282-4800-B94B-D9EE00BE4657}"/>
    <cellStyle name="Comma 3 2 6 2 8 3" xfId="8896" xr:uid="{9CF70106-2682-40AD-973A-A4F33CE06D62}"/>
    <cellStyle name="Comma 3 2 6 2 8 3 2" xfId="16399" xr:uid="{6F24314B-E649-492E-B555-943269BC25BC}"/>
    <cellStyle name="Comma 3 2 6 2 8 3 2 2" xfId="32603" xr:uid="{5F03613D-C2A7-4EE9-A016-EE1FBF1C276F}"/>
    <cellStyle name="Comma 3 2 6 2 8 3 3" xfId="25100" xr:uid="{5CEB1E9D-CBEC-4EE3-819D-67EA84CB73BF}"/>
    <cellStyle name="Comma 3 2 6 2 8 4" xfId="12088" xr:uid="{65CBFE1A-0D17-447F-A03A-97F9C75728B7}"/>
    <cellStyle name="Comma 3 2 6 2 8 4 2" xfId="28292" xr:uid="{C323E137-D548-4618-A965-43A9455BE8C8}"/>
    <cellStyle name="Comma 3 2 6 2 8 5" xfId="17273" xr:uid="{F5CF4A67-F10A-4BB3-AD48-C88BFA163D39}"/>
    <cellStyle name="Comma 3 2 6 2 8 5 2" xfId="33405" xr:uid="{34849DE0-D4E6-478C-BDDC-12443C9A8CEA}"/>
    <cellStyle name="Comma 3 2 6 2 8 6" xfId="20729" xr:uid="{BA0E1173-C557-4C32-95E8-920A4383767D}"/>
    <cellStyle name="Comma 3 2 6 2 9" xfId="4952" xr:uid="{55480E99-D1B3-40A6-BFB3-E0FCB1BE9AAE}"/>
    <cellStyle name="Comma 3 2 6 2 9 2" xfId="8618" xr:uid="{8CFB3AAD-7B69-4D1F-8401-F0F1247764D5}"/>
    <cellStyle name="Comma 3 2 6 2 9 2 2" xfId="16125" xr:uid="{DE316696-3E06-468A-BF6E-3F01E5D1D224}"/>
    <cellStyle name="Comma 3 2 6 2 9 2 2 2" xfId="32329" xr:uid="{82A5652A-E7E0-4E13-8BB9-44447F229E21}"/>
    <cellStyle name="Comma 3 2 6 2 9 2 3" xfId="24822" xr:uid="{DF53FF69-DEBF-466C-8C37-F6A5C54D3863}"/>
    <cellStyle name="Comma 3 2 6 2 9 3" xfId="12510" xr:uid="{E73390D8-08F3-455D-B40D-9FA68B7E0E53}"/>
    <cellStyle name="Comma 3 2 6 2 9 3 2" xfId="28714" xr:uid="{D29EA230-B981-40DF-9A5A-008D18428A97}"/>
    <cellStyle name="Comma 3 2 6 2 9 4" xfId="21156" xr:uid="{1AB91DFE-1F0B-45D4-9AF1-5D51EAAC03D2}"/>
    <cellStyle name="Comma 3 2 6 3" xfId="1772" xr:uid="{231D5878-90EC-409D-8937-D3C031C4EA18}"/>
    <cellStyle name="Comma 3 2 6 3 10" xfId="5637" xr:uid="{11C814E1-61B6-4A90-BD4F-FEC9ABA1395C}"/>
    <cellStyle name="Comma 3 2 6 3 10 2" xfId="13152" xr:uid="{FE5ED9E8-DB0D-42A3-9B43-1EDFBD206FCE}"/>
    <cellStyle name="Comma 3 2 6 3 10 2 2" xfId="29356" xr:uid="{FA0FD76C-8F9E-40B5-A8C6-7A00C119EF61}"/>
    <cellStyle name="Comma 3 2 6 3 10 3" xfId="21841" xr:uid="{A83A1DD2-5BFE-44A4-9009-ADDE4CAEB003}"/>
    <cellStyle name="Comma 3 2 6 3 11" xfId="9565" xr:uid="{C114B749-983E-4717-A030-E7026766D4C9}"/>
    <cellStyle name="Comma 3 2 6 3 11 2" xfId="25769" xr:uid="{F3A0A168-CBFA-4C5F-9F40-78323D95CA4B}"/>
    <cellStyle name="Comma 3 2 6 3 12" xfId="17274" xr:uid="{E5DC658E-B676-4C11-9FAD-36F466637F85}"/>
    <cellStyle name="Comma 3 2 6 3 12 2" xfId="33406" xr:uid="{C05D546B-2F37-4F4A-966D-D2441FCA12CF}"/>
    <cellStyle name="Comma 3 2 6 3 13" xfId="18088" xr:uid="{3E2B4D12-B9B1-4BF6-9AA0-5FA83F973F34}"/>
    <cellStyle name="Comma 3 2 6 3 2" xfId="1919" xr:uid="{05C59CD9-1DA1-4D40-B030-1FA42E2D775F}"/>
    <cellStyle name="Comma 3 2 6 3 2 10" xfId="9699" xr:uid="{7C2088C4-C258-440D-84A3-9E90B02397DD}"/>
    <cellStyle name="Comma 3 2 6 3 2 10 2" xfId="25903" xr:uid="{9669B114-46E3-45EC-B035-0171247E5809}"/>
    <cellStyle name="Comma 3 2 6 3 2 11" xfId="17275" xr:uid="{14E08A23-9A91-4E23-8E05-43AC3EEB9098}"/>
    <cellStyle name="Comma 3 2 6 3 2 11 2" xfId="33407" xr:uid="{BBBA31AD-F768-4802-9F75-BBBA0608C9D3}"/>
    <cellStyle name="Comma 3 2 6 3 2 12" xfId="18223" xr:uid="{B1A30C4E-B6BA-45AE-B3C1-BE036023526C}"/>
    <cellStyle name="Comma 3 2 6 3 2 2" xfId="2426" xr:uid="{0CB638C5-E3EA-4F07-9760-9A5AC3DEF577}"/>
    <cellStyle name="Comma 3 2 6 3 2 2 2" xfId="3273" xr:uid="{8F6952EE-1F16-464D-A35D-79BF0430D383}"/>
    <cellStyle name="Comma 3 2 6 3 2 2 2 2" xfId="7055" xr:uid="{8ECFA926-9A52-49BC-83F0-5A36ED4DF34E}"/>
    <cellStyle name="Comma 3 2 6 3 2 2 2 2 2" xfId="14566" xr:uid="{8F81A9C8-FAC7-448C-B8DA-9F8CB77EAF15}"/>
    <cellStyle name="Comma 3 2 6 3 2 2 2 2 2 2" xfId="30770" xr:uid="{80D214A3-649D-4C6E-B484-5C0FC7B693C3}"/>
    <cellStyle name="Comma 3 2 6 3 2 2 2 2 3" xfId="23259" xr:uid="{01DD7B18-7E07-4E9D-B249-7DB0EB7DC9AE}"/>
    <cellStyle name="Comma 3 2 6 3 2 2 2 3" xfId="9338" xr:uid="{B7981B25-DEBB-4961-B01A-9EEC8B1196BC}"/>
    <cellStyle name="Comma 3 2 6 3 2 2 2 3 2" xfId="16782" xr:uid="{5EB0508E-903A-4C02-B104-FA42EB6CECFE}"/>
    <cellStyle name="Comma 3 2 6 3 2 2 2 3 2 2" xfId="32986" xr:uid="{A8B042BE-B811-440D-A223-CB22D708397B}"/>
    <cellStyle name="Comma 3 2 6 3 2 2 2 3 3" xfId="25542" xr:uid="{BB1E67FA-0AA5-4848-BE81-6CAC5B7CC145}"/>
    <cellStyle name="Comma 3 2 6 3 2 2 2 4" xfId="10966" xr:uid="{FE38DDB9-588C-4ABF-B97C-05DC58E5B2BA}"/>
    <cellStyle name="Comma 3 2 6 3 2 2 2 4 2" xfId="27170" xr:uid="{BB523EC6-59CA-4AB9-A507-D030FE8A4C74}"/>
    <cellStyle name="Comma 3 2 6 3 2 2 2 5" xfId="17277" xr:uid="{DB82899E-F84C-42EB-ACBB-4C76903FCBE7}"/>
    <cellStyle name="Comma 3 2 6 3 2 2 2 5 2" xfId="33409" xr:uid="{DE791C90-1D6C-4D25-8599-4BF963737E10}"/>
    <cellStyle name="Comma 3 2 6 3 2 2 2 6" xfId="19493" xr:uid="{D45A8DD9-9E5F-4117-A64F-49D87E2BC09C}"/>
    <cellStyle name="Comma 3 2 6 3 2 2 3" xfId="6210" xr:uid="{6DDF04AD-9412-422B-B1D9-8EB9F598367C}"/>
    <cellStyle name="Comma 3 2 6 3 2 2 3 2" xfId="13722" xr:uid="{76171512-E703-4725-951F-23A9CF3695B3}"/>
    <cellStyle name="Comma 3 2 6 3 2 2 3 2 2" xfId="29926" xr:uid="{F471FB81-552D-40D5-9C2E-02E38D944526}"/>
    <cellStyle name="Comma 3 2 6 3 2 2 3 3" xfId="22414" xr:uid="{46A672E1-41D3-4B63-B16A-AAB2D0B8720E}"/>
    <cellStyle name="Comma 3 2 6 3 2 2 4" xfId="9064" xr:uid="{36534F59-DE34-4850-8064-B175B32D22C0}"/>
    <cellStyle name="Comma 3 2 6 3 2 2 4 2" xfId="16549" xr:uid="{E02CCD9A-405C-4FCD-BF00-87E701B17516}"/>
    <cellStyle name="Comma 3 2 6 3 2 2 4 2 2" xfId="32753" xr:uid="{8475310F-19B0-4E9D-A0D4-20E0CAECA9B6}"/>
    <cellStyle name="Comma 3 2 6 3 2 2 4 3" xfId="25268" xr:uid="{5982A93D-1110-4654-B51A-99726F1CFEF4}"/>
    <cellStyle name="Comma 3 2 6 3 2 2 5" xfId="10122" xr:uid="{BD1486D4-294D-4191-A106-4FEE5993D500}"/>
    <cellStyle name="Comma 3 2 6 3 2 2 5 2" xfId="26326" xr:uid="{BF1EB158-A477-464D-8318-28F38AD6A1E3}"/>
    <cellStyle name="Comma 3 2 6 3 2 2 6" xfId="17276" xr:uid="{E31DECF6-46E2-4ADE-8E0A-551AFB981C39}"/>
    <cellStyle name="Comma 3 2 6 3 2 2 6 2" xfId="33408" xr:uid="{8BDBF89A-1021-4582-AE10-4721090B68A5}"/>
    <cellStyle name="Comma 3 2 6 3 2 2 7" xfId="18648" xr:uid="{1771C93D-8596-4F2F-85D0-1F1F14A8AB69}"/>
    <cellStyle name="Comma 3 2 6 3 2 3" xfId="2848" xr:uid="{294D64E0-CB01-4D97-9C18-F7C5169DB264}"/>
    <cellStyle name="Comma 3 2 6 3 2 3 2" xfId="6632" xr:uid="{CDE1B8CE-DA40-47E2-9A70-D65BB4C598DC}"/>
    <cellStyle name="Comma 3 2 6 3 2 3 2 2" xfId="14144" xr:uid="{8CDE1DD8-D973-4226-A0BB-9C632720CE0A}"/>
    <cellStyle name="Comma 3 2 6 3 2 3 2 2 2" xfId="30348" xr:uid="{59DA6357-7D5C-46C7-81B6-31F736828207}"/>
    <cellStyle name="Comma 3 2 6 3 2 3 2 3" xfId="22836" xr:uid="{58AEA8BD-1858-4B34-AA56-CFAEBE92FD80}"/>
    <cellStyle name="Comma 3 2 6 3 2 3 3" xfId="9153" xr:uid="{690F0CE7-0EFD-44E6-A73E-F1F1C38482DA}"/>
    <cellStyle name="Comma 3 2 6 3 2 3 3 2" xfId="16628" xr:uid="{A1571E4F-8F42-40C0-B22D-FFAC0616DC56}"/>
    <cellStyle name="Comma 3 2 6 3 2 3 3 2 2" xfId="32832" xr:uid="{77617A21-DC05-477A-AC63-77E81D175661}"/>
    <cellStyle name="Comma 3 2 6 3 2 3 3 3" xfId="25357" xr:uid="{F759C162-0335-4AE8-B766-83B402776DE8}"/>
    <cellStyle name="Comma 3 2 6 3 2 3 4" xfId="10544" xr:uid="{4BE7D4BD-F933-4E2C-8E7A-A6907EC65D84}"/>
    <cellStyle name="Comma 3 2 6 3 2 3 4 2" xfId="26748" xr:uid="{E44CA64B-8BCC-40F9-B9B3-DADD32179B91}"/>
    <cellStyle name="Comma 3 2 6 3 2 3 5" xfId="17278" xr:uid="{E94F6E28-56FB-4D41-802D-F450262D978E}"/>
    <cellStyle name="Comma 3 2 6 3 2 3 5 2" xfId="33410" xr:uid="{6E412E09-D4D0-4247-8C06-8AA94872AFCE}"/>
    <cellStyle name="Comma 3 2 6 3 2 3 6" xfId="19070" xr:uid="{E16092EA-13F9-4F70-B1C0-63430E2B4DC5}"/>
    <cellStyle name="Comma 3 2 6 3 2 4" xfId="3779" xr:uid="{031E6405-C7B4-405D-8592-F26D59D59A48}"/>
    <cellStyle name="Comma 3 2 6 3 2 4 2" xfId="7489" xr:uid="{1B38DDF9-CA2E-42BD-84E4-7876CC830CD9}"/>
    <cellStyle name="Comma 3 2 6 3 2 4 2 2" xfId="14998" xr:uid="{F3288D35-6AD9-4D93-9F6B-94F14A67AB30}"/>
    <cellStyle name="Comma 3 2 6 3 2 4 2 2 2" xfId="31202" xr:uid="{57430BA6-8F62-4095-9278-2CCA35B991B7}"/>
    <cellStyle name="Comma 3 2 6 3 2 4 2 3" xfId="23693" xr:uid="{2478AC1E-D39C-43A5-9D91-67F5BA06A232}"/>
    <cellStyle name="Comma 3 2 6 3 2 4 3" xfId="9158" xr:uid="{474C2EDD-F4C2-4F1E-9D3D-A7336D285752}"/>
    <cellStyle name="Comma 3 2 6 3 2 4 3 2" xfId="16633" xr:uid="{A8BD1498-0D6E-4CDD-AE9B-956164AC4A36}"/>
    <cellStyle name="Comma 3 2 6 3 2 4 3 2 2" xfId="32837" xr:uid="{B67F3F84-666A-4B2B-B608-44EB0706565C}"/>
    <cellStyle name="Comma 3 2 6 3 2 4 3 3" xfId="25362" xr:uid="{A77325B8-333A-4108-8555-5E40347322D4}"/>
    <cellStyle name="Comma 3 2 6 3 2 4 4" xfId="11389" xr:uid="{4734313F-24B1-431F-8953-C681A3DCFDEE}"/>
    <cellStyle name="Comma 3 2 6 3 2 4 4 2" xfId="27593" xr:uid="{C5234105-1D91-4169-8AE4-837048471E4D}"/>
    <cellStyle name="Comma 3 2 6 3 2 4 5" xfId="17279" xr:uid="{FECF0612-9A89-43AF-BD1E-2E61F098291E}"/>
    <cellStyle name="Comma 3 2 6 3 2 4 5 2" xfId="33411" xr:uid="{87ECBB84-A7D0-4F7C-A7A0-6521EE9743B5}"/>
    <cellStyle name="Comma 3 2 6 3 2 4 6" xfId="19988" xr:uid="{7B835FD5-B74D-467D-ACA3-A4DF61981966}"/>
    <cellStyle name="Comma 3 2 6 3 2 5" xfId="3598" xr:uid="{D0F40DEB-C870-48B4-875D-EEB9B139AD52}"/>
    <cellStyle name="Comma 3 2 6 3 2 5 2" xfId="9211" xr:uid="{8540EE5D-E6F4-4FE9-95E0-EB5A3408E452}"/>
    <cellStyle name="Comma 3 2 6 3 2 5 2 2" xfId="25415" xr:uid="{E884E8C6-BCD6-4F08-B307-BE62CD6D13D0}"/>
    <cellStyle name="Comma 3 2 6 3 2 5 3" xfId="17280" xr:uid="{E6AF1998-0304-41C3-B083-C6E58230E6AC}"/>
    <cellStyle name="Comma 3 2 6 3 2 5 3 2" xfId="33412" xr:uid="{69568FA8-40CC-4662-AF8B-025D5C6E59A6}"/>
    <cellStyle name="Comma 3 2 6 3 2 5 4" xfId="19808" xr:uid="{1B020F43-7B9F-4B3D-BB2C-0D8307E05A90}"/>
    <cellStyle name="Comma 3 2 6 3 2 6" xfId="4248" xr:uid="{973BD81C-080A-4B7F-AC70-DDCDE6A56917}"/>
    <cellStyle name="Comma 3 2 6 3 2 6 2" xfId="7918" xr:uid="{FAECC2B9-70B6-4202-98B4-03197C9D0DB9}"/>
    <cellStyle name="Comma 3 2 6 3 2 6 2 2" xfId="15425" xr:uid="{BD2B6F22-8D9D-44B3-9E16-FBB740E2CC28}"/>
    <cellStyle name="Comma 3 2 6 3 2 6 2 2 2" xfId="31629" xr:uid="{D923BE9D-592A-446E-9DCB-17C62D1AB60F}"/>
    <cellStyle name="Comma 3 2 6 3 2 6 2 3" xfId="24122" xr:uid="{0766B1E4-2BAA-4961-AD0C-57CECAD248EC}"/>
    <cellStyle name="Comma 3 2 6 3 2 6 3" xfId="5504" xr:uid="{B686AFEB-244F-46BD-AB15-7C50A89942F3}"/>
    <cellStyle name="Comma 3 2 6 3 2 6 3 2" xfId="13038" xr:uid="{8DB581C3-007B-4163-9269-DADD24ED9CED}"/>
    <cellStyle name="Comma 3 2 6 3 2 6 3 2 2" xfId="29242" xr:uid="{67BEE1C4-7DB2-49A0-B841-08118A87F8CD}"/>
    <cellStyle name="Comma 3 2 6 3 2 6 3 3" xfId="21708" xr:uid="{22F79C3D-1910-45BC-8880-8172877F7D8E}"/>
    <cellStyle name="Comma 3 2 6 3 2 6 4" xfId="11811" xr:uid="{5B693E3C-6052-47A4-8497-0AFDCF6837DF}"/>
    <cellStyle name="Comma 3 2 6 3 2 6 4 2" xfId="28015" xr:uid="{F15232B4-F25B-4E00-92E5-3A0FC28808B2}"/>
    <cellStyle name="Comma 3 2 6 3 2 6 5" xfId="17281" xr:uid="{8ABBE83F-24DD-401C-85E0-763957CF2370}"/>
    <cellStyle name="Comma 3 2 6 3 2 6 5 2" xfId="33413" xr:uid="{ADA0A0F6-4E4D-4C49-9080-F1886FC8F418}"/>
    <cellStyle name="Comma 3 2 6 3 2 6 6" xfId="20452" xr:uid="{7AC18288-E7AE-4BBA-9AC7-A331134DEA89}"/>
    <cellStyle name="Comma 3 2 6 3 2 7" xfId="4673" xr:uid="{FEEFCDB9-D9D2-48A4-808C-7565A2A822C7}"/>
    <cellStyle name="Comma 3 2 6 3 2 7 2" xfId="8343" xr:uid="{C9CB58D2-7676-4149-BBEA-9DF61C25CCEA}"/>
    <cellStyle name="Comma 3 2 6 3 2 7 2 2" xfId="15850" xr:uid="{D6E93972-2FE8-46D2-8F73-3981C918F0F9}"/>
    <cellStyle name="Comma 3 2 6 3 2 7 2 2 2" xfId="32054" xr:uid="{41BDCE7D-279A-47F0-87FA-78F2388454F6}"/>
    <cellStyle name="Comma 3 2 6 3 2 7 2 3" xfId="24547" xr:uid="{6F2CD0E1-9AE8-4B9F-8832-EDB2F3FD97D9}"/>
    <cellStyle name="Comma 3 2 6 3 2 7 3" xfId="8942" xr:uid="{E0AD68F2-A245-4172-A1B7-CEBD2C29DF77}"/>
    <cellStyle name="Comma 3 2 6 3 2 7 3 2" xfId="16440" xr:uid="{00288971-4E67-4439-A06B-597BB432E813}"/>
    <cellStyle name="Comma 3 2 6 3 2 7 3 2 2" xfId="32644" xr:uid="{33260CB8-817A-4CF6-885B-47F13119EACB}"/>
    <cellStyle name="Comma 3 2 6 3 2 7 3 3" xfId="25146" xr:uid="{D93D5D6C-96CA-47E3-8527-AC2E2F7CBCB7}"/>
    <cellStyle name="Comma 3 2 6 3 2 7 4" xfId="12236" xr:uid="{80722B58-58C6-489D-AFBC-B9961F5B7775}"/>
    <cellStyle name="Comma 3 2 6 3 2 7 4 2" xfId="28440" xr:uid="{14087AA9-D733-4F03-88A4-8F5E5CC33419}"/>
    <cellStyle name="Comma 3 2 6 3 2 7 5" xfId="17282" xr:uid="{86906BD4-BC65-413C-A913-B767220F28BE}"/>
    <cellStyle name="Comma 3 2 6 3 2 7 5 2" xfId="33414" xr:uid="{2CE2E74C-7BB4-4D3C-961A-C0E5467737B5}"/>
    <cellStyle name="Comma 3 2 6 3 2 7 6" xfId="20877" xr:uid="{FF81C144-2510-4A3E-8142-9D7DEAF481A4}"/>
    <cellStyle name="Comma 3 2 6 3 2 8" xfId="5101" xr:uid="{380D7E16-D739-490E-BA57-BBC4426902EB}"/>
    <cellStyle name="Comma 3 2 6 3 2 8 2" xfId="8766" xr:uid="{6711E106-2A5D-4638-9306-D479FC96C2A4}"/>
    <cellStyle name="Comma 3 2 6 3 2 8 2 2" xfId="16273" xr:uid="{93CBCC93-E343-45EA-B0D3-CBFFBDB1239F}"/>
    <cellStyle name="Comma 3 2 6 3 2 8 2 2 2" xfId="32477" xr:uid="{46D1AB10-25EC-4208-9EDB-B4717DADAC9E}"/>
    <cellStyle name="Comma 3 2 6 3 2 8 2 3" xfId="24970" xr:uid="{8CC5F15B-6313-426C-8CAD-8A7517D90EEF}"/>
    <cellStyle name="Comma 3 2 6 3 2 8 3" xfId="12658" xr:uid="{7D2E51F5-9AE9-4C2C-B87A-8602F4E39B58}"/>
    <cellStyle name="Comma 3 2 6 3 2 8 3 2" xfId="28862" xr:uid="{8795B12E-C53A-4884-AD12-457AB3B6BAB9}"/>
    <cellStyle name="Comma 3 2 6 3 2 8 4" xfId="21305" xr:uid="{E593DFFE-D6B2-44C6-B803-62EA77D32801}"/>
    <cellStyle name="Comma 3 2 6 3 2 9" xfId="5772" xr:uid="{68D38E84-A5AA-4B4E-9B49-E3417E7E8149}"/>
    <cellStyle name="Comma 3 2 6 3 2 9 2" xfId="13287" xr:uid="{E610C962-882F-4EF5-AF83-4F55E7BE2995}"/>
    <cellStyle name="Comma 3 2 6 3 2 9 2 2" xfId="29491" xr:uid="{73A28C0B-B2E5-45C6-A6D2-F7C73868567A}"/>
    <cellStyle name="Comma 3 2 6 3 2 9 3" xfId="21976" xr:uid="{3644FB8B-A46D-489E-813F-156D78435A74}"/>
    <cellStyle name="Comma 3 2 6 3 3" xfId="2290" xr:uid="{57B83BC5-D55D-416D-9A88-FC6879757AD2}"/>
    <cellStyle name="Comma 3 2 6 3 3 2" xfId="3139" xr:uid="{31584632-6607-4AFE-8F53-601DB39D4D70}"/>
    <cellStyle name="Comma 3 2 6 3 3 2 2" xfId="6921" xr:uid="{462F9A49-AC88-4568-9F77-1414720B838D}"/>
    <cellStyle name="Comma 3 2 6 3 3 2 2 2" xfId="14432" xr:uid="{EC6ACE83-21E9-4169-AFA7-21E357BDADA5}"/>
    <cellStyle name="Comma 3 2 6 3 3 2 2 2 2" xfId="30636" xr:uid="{11915810-2035-4670-B5F3-D0FA3D5F7FEC}"/>
    <cellStyle name="Comma 3 2 6 3 3 2 2 3" xfId="23125" xr:uid="{C930337B-0C5E-4C3F-8CA8-973451DD1A1E}"/>
    <cellStyle name="Comma 3 2 6 3 3 2 3" xfId="9151" xr:uid="{23F8109B-29E4-4779-AC8B-C48329459896}"/>
    <cellStyle name="Comma 3 2 6 3 3 2 3 2" xfId="16627" xr:uid="{DCD4C040-0C61-42E8-9DD8-9ED620D2404F}"/>
    <cellStyle name="Comma 3 2 6 3 3 2 3 2 2" xfId="32831" xr:uid="{E6B532A9-492A-4BEF-9DAA-35B317A11164}"/>
    <cellStyle name="Comma 3 2 6 3 3 2 3 3" xfId="25355" xr:uid="{2688EB42-7606-4035-8664-7BD1E79172AB}"/>
    <cellStyle name="Comma 3 2 6 3 3 2 4" xfId="10832" xr:uid="{14A710DE-5FD6-4FEE-8BCC-FDF82B3C9D20}"/>
    <cellStyle name="Comma 3 2 6 3 3 2 4 2" xfId="27036" xr:uid="{4413368C-47E3-4D3A-BD4B-C81179006DD0}"/>
    <cellStyle name="Comma 3 2 6 3 3 2 5" xfId="17284" xr:uid="{5338CF1C-10F6-4179-8DF7-40A265B4D310}"/>
    <cellStyle name="Comma 3 2 6 3 3 2 5 2" xfId="33416" xr:uid="{D74485E9-E558-483C-947B-81CC4FADBC90}"/>
    <cellStyle name="Comma 3 2 6 3 3 2 6" xfId="19359" xr:uid="{80BFA8FE-1364-4F56-BF59-64E3C714C815}"/>
    <cellStyle name="Comma 3 2 6 3 3 3" xfId="6076" xr:uid="{A78CB284-506F-49CD-BF2A-06857B1556AE}"/>
    <cellStyle name="Comma 3 2 6 3 3 3 2" xfId="13588" xr:uid="{F4F41040-F5C0-441D-9225-221E4CEF4B2A}"/>
    <cellStyle name="Comma 3 2 6 3 3 3 2 2" xfId="29792" xr:uid="{319CA9C8-2919-4E45-9391-0C62CAF8EF81}"/>
    <cellStyle name="Comma 3 2 6 3 3 3 3" xfId="22280" xr:uid="{B97F3683-1BCE-415F-BBF0-841096D4421C}"/>
    <cellStyle name="Comma 3 2 6 3 3 4" xfId="9219" xr:uid="{01401333-94EF-4DC7-8F69-6F93EE4D766D}"/>
    <cellStyle name="Comma 3 2 6 3 3 4 2" xfId="16686" xr:uid="{A47FB885-DD10-4584-A381-27B295DD6426}"/>
    <cellStyle name="Comma 3 2 6 3 3 4 2 2" xfId="32890" xr:uid="{4737277C-8501-4E9C-8A96-C6A5C99EE9DE}"/>
    <cellStyle name="Comma 3 2 6 3 3 4 3" xfId="25423" xr:uid="{015DCAA9-EA73-4F90-B815-C1DDDBEBC37E}"/>
    <cellStyle name="Comma 3 2 6 3 3 5" xfId="9988" xr:uid="{587CE124-EB22-4F01-A2B6-B4EBC5F90BAD}"/>
    <cellStyle name="Comma 3 2 6 3 3 5 2" xfId="26192" xr:uid="{62CE2DB0-9EA2-4051-BA45-FF01771F5099}"/>
    <cellStyle name="Comma 3 2 6 3 3 6" xfId="17283" xr:uid="{E91A2E8E-C482-47CC-9A43-82B898EB7801}"/>
    <cellStyle name="Comma 3 2 6 3 3 6 2" xfId="33415" xr:uid="{D3DB1312-E891-448C-B360-F3841BD03AC1}"/>
    <cellStyle name="Comma 3 2 6 3 3 7" xfId="18514" xr:uid="{A56AA4C8-8671-4777-BA38-2E21D97CEA9C}"/>
    <cellStyle name="Comma 3 2 6 3 4" xfId="2714" xr:uid="{612EDB29-F368-4D56-AD96-44E56BB40C7F}"/>
    <cellStyle name="Comma 3 2 6 3 4 2" xfId="6498" xr:uid="{E4ED6EC1-60D6-43EA-8C36-603A1E0CBDD8}"/>
    <cellStyle name="Comma 3 2 6 3 4 2 2" xfId="14010" xr:uid="{247C68DE-B1E9-4BA9-B8B9-8F64CAA3DE2D}"/>
    <cellStyle name="Comma 3 2 6 3 4 2 2 2" xfId="30214" xr:uid="{D9761987-1E97-448F-B84C-29C0D4A60D42}"/>
    <cellStyle name="Comma 3 2 6 3 4 2 3" xfId="22702" xr:uid="{8B5FCC0F-C5D1-4F63-9F23-B99228E79FEF}"/>
    <cellStyle name="Comma 3 2 6 3 4 3" xfId="5263" xr:uid="{8FEA0E15-9435-481C-ABF5-5E9385A697FA}"/>
    <cellStyle name="Comma 3 2 6 3 4 3 2" xfId="12812" xr:uid="{80B667B6-20DC-4F04-A761-9061FF1CC47B}"/>
    <cellStyle name="Comma 3 2 6 3 4 3 2 2" xfId="29016" xr:uid="{A7E164B4-929A-4AB9-A1D8-006E490F57BF}"/>
    <cellStyle name="Comma 3 2 6 3 4 3 3" xfId="21467" xr:uid="{26509215-FBDC-40AA-A637-77BD46E12106}"/>
    <cellStyle name="Comma 3 2 6 3 4 4" xfId="10410" xr:uid="{C56F2F90-CEA7-4BDB-A341-CFC04A4349A6}"/>
    <cellStyle name="Comma 3 2 6 3 4 4 2" xfId="26614" xr:uid="{B426979C-668D-4BEB-B1BA-AEE86A0981F7}"/>
    <cellStyle name="Comma 3 2 6 3 4 5" xfId="17285" xr:uid="{C46E90ED-2DE2-43BF-814C-9B53C0CCF6DA}"/>
    <cellStyle name="Comma 3 2 6 3 4 5 2" xfId="33417" xr:uid="{F4DDE403-FE14-4DAB-AE91-6A6590E3C100}"/>
    <cellStyle name="Comma 3 2 6 3 4 6" xfId="18936" xr:uid="{E44B8D7E-C024-4E07-B58E-2AF9E2376816}"/>
    <cellStyle name="Comma 3 2 6 3 5" xfId="3644" xr:uid="{F5948C36-167F-4DB5-B16F-AD1FEB6EFCEC}"/>
    <cellStyle name="Comma 3 2 6 3 5 2" xfId="7354" xr:uid="{48CE17C9-A1A1-44D7-BC4B-C7634451CC85}"/>
    <cellStyle name="Comma 3 2 6 3 5 2 2" xfId="14863" xr:uid="{96B7E6BD-A8C7-498C-A31D-13AA1919D05C}"/>
    <cellStyle name="Comma 3 2 6 3 5 2 2 2" xfId="31067" xr:uid="{C8E02CDD-D0ED-4964-A714-371B23E90023}"/>
    <cellStyle name="Comma 3 2 6 3 5 2 3" xfId="23558" xr:uid="{FBD365D3-86C3-458C-84B0-A9F97D7A8429}"/>
    <cellStyle name="Comma 3 2 6 3 5 3" xfId="5596" xr:uid="{42E670C8-2EAB-484D-B373-710C305325C7}"/>
    <cellStyle name="Comma 3 2 6 3 5 3 2" xfId="13112" xr:uid="{9A93F7FF-982A-468F-8F15-FFC87A7E76BC}"/>
    <cellStyle name="Comma 3 2 6 3 5 3 2 2" xfId="29316" xr:uid="{1CDA7B98-7369-4977-9E70-11852A359A9A}"/>
    <cellStyle name="Comma 3 2 6 3 5 3 3" xfId="21800" xr:uid="{CCA53D81-9DAF-4F92-A1A2-0083E213F67A}"/>
    <cellStyle name="Comma 3 2 6 3 5 4" xfId="11255" xr:uid="{1A105379-3958-45CC-A37F-8240581C4D5D}"/>
    <cellStyle name="Comma 3 2 6 3 5 4 2" xfId="27459" xr:uid="{4D4AC5D6-6737-4090-9E45-DD21B16C06AD}"/>
    <cellStyle name="Comma 3 2 6 3 5 5" xfId="17286" xr:uid="{4F4D2590-BB0D-4129-9D98-926858FF1AC3}"/>
    <cellStyle name="Comma 3 2 6 3 5 5 2" xfId="33418" xr:uid="{B77ECAA5-C3CF-4F97-B78F-631567E4E9CF}"/>
    <cellStyle name="Comma 3 2 6 3 5 6" xfId="19853" xr:uid="{F289D5BA-9E88-409B-8848-9BD87DD67DFE}"/>
    <cellStyle name="Comma 3 2 6 3 6" xfId="3901" xr:uid="{D5E5ACBC-8784-4E86-BB0D-E450520D24E1}"/>
    <cellStyle name="Comma 3 2 6 3 6 2" xfId="5549" xr:uid="{6FFE3CF6-4AA1-4FDF-95AE-D338E8A4501F}"/>
    <cellStyle name="Comma 3 2 6 3 6 2 2" xfId="21753" xr:uid="{8ACBEC32-C776-4408-AA1F-C2721F101DF1}"/>
    <cellStyle name="Comma 3 2 6 3 6 3" xfId="17287" xr:uid="{9990485F-C00A-4DD6-839E-504C2CDCFD28}"/>
    <cellStyle name="Comma 3 2 6 3 6 3 2" xfId="33419" xr:uid="{EB24CBDB-E891-4469-A27A-33D95A152A46}"/>
    <cellStyle name="Comma 3 2 6 3 6 4" xfId="20110" xr:uid="{66B17207-7E6B-424A-B9F1-C328B3EAEBA2}"/>
    <cellStyle name="Comma 3 2 6 3 7" xfId="4114" xr:uid="{CD086BB9-9CF7-48CE-BD65-0D8FAB55B3A3}"/>
    <cellStyle name="Comma 3 2 6 3 7 2" xfId="7784" xr:uid="{EE3EDF7B-FFF5-4360-AE6A-F003A6A6EA5C}"/>
    <cellStyle name="Comma 3 2 6 3 7 2 2" xfId="15291" xr:uid="{1A71E765-4687-4878-9844-02E8F1350C5F}"/>
    <cellStyle name="Comma 3 2 6 3 7 2 2 2" xfId="31495" xr:uid="{365E5307-83A2-44E8-B2F1-3B8125911B47}"/>
    <cellStyle name="Comma 3 2 6 3 7 2 3" xfId="23988" xr:uid="{8D7EB6F5-4EDD-4296-BB1F-FB17867781FF}"/>
    <cellStyle name="Comma 3 2 6 3 7 3" xfId="9335" xr:uid="{A1D95801-7578-4074-A44B-9268D05D31D3}"/>
    <cellStyle name="Comma 3 2 6 3 7 3 2" xfId="16779" xr:uid="{9823A592-8163-4DD9-B323-DD0E0BA3F7E4}"/>
    <cellStyle name="Comma 3 2 6 3 7 3 2 2" xfId="32983" xr:uid="{E661069D-6DE1-4BBC-8E6A-BF56DEC2041F}"/>
    <cellStyle name="Comma 3 2 6 3 7 3 3" xfId="25539" xr:uid="{DD88F710-8742-4C0B-89AE-315983B08177}"/>
    <cellStyle name="Comma 3 2 6 3 7 4" xfId="11677" xr:uid="{A9865B24-EFF0-4916-B465-EC5AF5A1402F}"/>
    <cellStyle name="Comma 3 2 6 3 7 4 2" xfId="27881" xr:uid="{3EC605D8-3613-4D49-8B3F-833B396E95CC}"/>
    <cellStyle name="Comma 3 2 6 3 7 5" xfId="17288" xr:uid="{84531AF8-995E-48B6-A5C0-D4360407720E}"/>
    <cellStyle name="Comma 3 2 6 3 7 5 2" xfId="33420" xr:uid="{02A227C5-DBE2-46A0-87B7-4AB9DEF47A9C}"/>
    <cellStyle name="Comma 3 2 6 3 7 6" xfId="20318" xr:uid="{59CBCA74-F4D1-4239-8810-948400F8E6C4}"/>
    <cellStyle name="Comma 3 2 6 3 8" xfId="4539" xr:uid="{4C575EBF-3376-41D3-ADD9-0B90D2062ED6}"/>
    <cellStyle name="Comma 3 2 6 3 8 2" xfId="8209" xr:uid="{E79FEAC5-E742-48EE-9868-A23E2BD30ADA}"/>
    <cellStyle name="Comma 3 2 6 3 8 2 2" xfId="15716" xr:uid="{87F5AB14-EC92-4BC7-9538-620FBA9D24F8}"/>
    <cellStyle name="Comma 3 2 6 3 8 2 2 2" xfId="31920" xr:uid="{B53BCDBB-7F46-497C-A4F6-3D904A2D96AC}"/>
    <cellStyle name="Comma 3 2 6 3 8 2 3" xfId="24413" xr:uid="{06E61007-C526-4AB2-AC25-C84671EC7C87}"/>
    <cellStyle name="Comma 3 2 6 3 8 3" xfId="5517" xr:uid="{F13318B9-989E-403D-9E31-D597D31A2A8B}"/>
    <cellStyle name="Comma 3 2 6 3 8 3 2" xfId="13047" xr:uid="{27C70DE3-6BCE-48F2-A3FB-DE7CB425E621}"/>
    <cellStyle name="Comma 3 2 6 3 8 3 2 2" xfId="29251" xr:uid="{783861EB-1FE0-446F-BDD0-BD6432BB2828}"/>
    <cellStyle name="Comma 3 2 6 3 8 3 3" xfId="21721" xr:uid="{A344BC9D-6C20-4869-A375-0C79093C8828}"/>
    <cellStyle name="Comma 3 2 6 3 8 4" xfId="12102" xr:uid="{AB3BC72C-8293-473D-9BBD-62805283211E}"/>
    <cellStyle name="Comma 3 2 6 3 8 4 2" xfId="28306" xr:uid="{649055BB-59FF-461A-BB4A-1BD0A8F9716D}"/>
    <cellStyle name="Comma 3 2 6 3 8 5" xfId="17289" xr:uid="{D4ED66F5-84CE-453F-9DF1-3A5F62A51FF7}"/>
    <cellStyle name="Comma 3 2 6 3 8 5 2" xfId="33421" xr:uid="{4634DBF3-449F-40D8-BFCD-DD689003BC51}"/>
    <cellStyle name="Comma 3 2 6 3 8 6" xfId="20743" xr:uid="{1D1B5BFF-903E-4E72-9CB4-464172C59CAF}"/>
    <cellStyle name="Comma 3 2 6 3 9" xfId="4966" xr:uid="{4A2B9B16-3699-4FD4-9FBF-BC1B8EB21264}"/>
    <cellStyle name="Comma 3 2 6 3 9 2" xfId="8632" xr:uid="{1FC08E35-54BA-40E7-96FF-C6A7C8B96BE6}"/>
    <cellStyle name="Comma 3 2 6 3 9 2 2" xfId="16139" xr:uid="{C71AED98-D2F8-488A-A758-E38836093BB1}"/>
    <cellStyle name="Comma 3 2 6 3 9 2 2 2" xfId="32343" xr:uid="{3E6F5AD7-DFCC-4A53-966C-304D9E443B9B}"/>
    <cellStyle name="Comma 3 2 6 3 9 2 3" xfId="24836" xr:uid="{7206A9B0-4583-4651-9773-5FC8F12F341A}"/>
    <cellStyle name="Comma 3 2 6 3 9 3" xfId="12524" xr:uid="{A1B68C2E-396E-4688-8C19-D2A96924F5FD}"/>
    <cellStyle name="Comma 3 2 6 3 9 3 2" xfId="28728" xr:uid="{3DB40887-E026-4F5B-A8DE-732A29A5D7CB}"/>
    <cellStyle name="Comma 3 2 6 3 9 4" xfId="21170" xr:uid="{F25625B1-8025-487A-96FE-9F8BE579FF0D}"/>
    <cellStyle name="Comma 3 2 6 4" xfId="1790" xr:uid="{53A606BE-42EE-4BE1-8A5A-0FA009479795}"/>
    <cellStyle name="Comma 3 2 6 4 10" xfId="5651" xr:uid="{594AB9C8-F9F7-471A-BB49-C6FDEC18E480}"/>
    <cellStyle name="Comma 3 2 6 4 10 2" xfId="13166" xr:uid="{26DA14F7-071D-43D8-B672-686F8D00F156}"/>
    <cellStyle name="Comma 3 2 6 4 10 2 2" xfId="29370" xr:uid="{2402EB18-B8AE-4055-BA04-65C7B6E06474}"/>
    <cellStyle name="Comma 3 2 6 4 10 3" xfId="21855" xr:uid="{50A4E4A9-F62C-4997-BE53-306ECAFCE969}"/>
    <cellStyle name="Comma 3 2 6 4 11" xfId="9579" xr:uid="{512DD0EE-8923-4B2E-9920-18E32573D15A}"/>
    <cellStyle name="Comma 3 2 6 4 11 2" xfId="25783" xr:uid="{A7C671BF-9F9F-42D0-AA82-40460BB8C125}"/>
    <cellStyle name="Comma 3 2 6 4 12" xfId="17290" xr:uid="{886B164C-AC26-406D-9C82-5760C269EA42}"/>
    <cellStyle name="Comma 3 2 6 4 12 2" xfId="33422" xr:uid="{5E1AC982-35CE-4378-B1B5-A4FEA91C63C9}"/>
    <cellStyle name="Comma 3 2 6 4 13" xfId="18102" xr:uid="{469C48D2-F21A-4860-8E4C-E1D83B2AF65A}"/>
    <cellStyle name="Comma 3 2 6 4 2" xfId="1920" xr:uid="{204FAAEA-3977-486E-99F1-BFCA899A01C3}"/>
    <cellStyle name="Comma 3 2 6 4 2 10" xfId="9700" xr:uid="{D5BE3661-8E69-488F-8DA9-6A3C79E64C35}"/>
    <cellStyle name="Comma 3 2 6 4 2 10 2" xfId="25904" xr:uid="{24A874D9-E1EB-46AE-BE14-B455A5C7820A}"/>
    <cellStyle name="Comma 3 2 6 4 2 11" xfId="17291" xr:uid="{793B1146-B82D-4DC8-B139-9D77057A358A}"/>
    <cellStyle name="Comma 3 2 6 4 2 11 2" xfId="33423" xr:uid="{B132295F-D90C-4053-A084-60D9D02C4FCE}"/>
    <cellStyle name="Comma 3 2 6 4 2 12" xfId="18224" xr:uid="{1D44360F-A297-4029-800F-CDFDE4A2FC9B}"/>
    <cellStyle name="Comma 3 2 6 4 2 2" xfId="2427" xr:uid="{8826F222-974F-4289-BC1D-8A85FC135D40}"/>
    <cellStyle name="Comma 3 2 6 4 2 2 2" xfId="3274" xr:uid="{AD60E1A8-DB92-4EF0-B48F-7B4E872981CF}"/>
    <cellStyle name="Comma 3 2 6 4 2 2 2 2" xfId="7056" xr:uid="{78E6EDD0-2FB4-4BEF-ACE2-340C2889293C}"/>
    <cellStyle name="Comma 3 2 6 4 2 2 2 2 2" xfId="14567" xr:uid="{7F070E41-B54E-4085-B4C1-DB7DF4F37616}"/>
    <cellStyle name="Comma 3 2 6 4 2 2 2 2 2 2" xfId="30771" xr:uid="{E9152A04-AFD4-4A22-9623-EC5DFB2AE880}"/>
    <cellStyle name="Comma 3 2 6 4 2 2 2 2 3" xfId="23260" xr:uid="{E2113CD2-9E5A-4022-95C2-9C1EAE869594}"/>
    <cellStyle name="Comma 3 2 6 4 2 2 2 3" xfId="9336" xr:uid="{C21D4F07-FFA6-44AE-8CF9-1CCB8A6B2DF9}"/>
    <cellStyle name="Comma 3 2 6 4 2 2 2 3 2" xfId="16780" xr:uid="{331E3F75-AFE7-4D5A-853F-11EDF74EA8EA}"/>
    <cellStyle name="Comma 3 2 6 4 2 2 2 3 2 2" xfId="32984" xr:uid="{FD0A2A7E-A484-4C15-91AB-C0A48F8C98BC}"/>
    <cellStyle name="Comma 3 2 6 4 2 2 2 3 3" xfId="25540" xr:uid="{670BF1E4-E13B-4DDB-944E-EC09DD62678B}"/>
    <cellStyle name="Comma 3 2 6 4 2 2 2 4" xfId="10967" xr:uid="{78CCACE3-F03E-4639-AD05-9585D3E33543}"/>
    <cellStyle name="Comma 3 2 6 4 2 2 2 4 2" xfId="27171" xr:uid="{0190EA9E-0FF1-49E9-9BA4-5EF7D4AE8A3D}"/>
    <cellStyle name="Comma 3 2 6 4 2 2 2 5" xfId="17293" xr:uid="{B042E4F5-398A-4C1A-91E0-CD9810524391}"/>
    <cellStyle name="Comma 3 2 6 4 2 2 2 5 2" xfId="33425" xr:uid="{20650040-FA7D-4698-B190-863143F51818}"/>
    <cellStyle name="Comma 3 2 6 4 2 2 2 6" xfId="19494" xr:uid="{C3AD2E1A-8EB8-4C5C-9A6E-FF61C51B886E}"/>
    <cellStyle name="Comma 3 2 6 4 2 2 3" xfId="6211" xr:uid="{4DB6F4E0-668A-49B7-8D26-80620A3C1EC0}"/>
    <cellStyle name="Comma 3 2 6 4 2 2 3 2" xfId="13723" xr:uid="{85624101-85C5-44D3-B394-BC8E526FA0F5}"/>
    <cellStyle name="Comma 3 2 6 4 2 2 3 2 2" xfId="29927" xr:uid="{A161AFAE-52CA-4482-B393-12469565AB05}"/>
    <cellStyle name="Comma 3 2 6 4 2 2 3 3" xfId="22415" xr:uid="{601F5EC6-18E1-4232-8442-89CE6B134AE5}"/>
    <cellStyle name="Comma 3 2 6 4 2 2 4" xfId="9096" xr:uid="{B1C2867F-BD01-4A13-A036-F6B49CF9B7F8}"/>
    <cellStyle name="Comma 3 2 6 4 2 2 4 2" xfId="16576" xr:uid="{88E6B0D5-559D-4E2F-81B0-4E746F6256E8}"/>
    <cellStyle name="Comma 3 2 6 4 2 2 4 2 2" xfId="32780" xr:uid="{ED0D997A-9EF9-4F6A-8F57-8B45D606F168}"/>
    <cellStyle name="Comma 3 2 6 4 2 2 4 3" xfId="25300" xr:uid="{F56152AE-50AE-43DD-B3F7-125566D118D5}"/>
    <cellStyle name="Comma 3 2 6 4 2 2 5" xfId="10123" xr:uid="{74E603A5-39E5-4422-A592-4E23454AE75D}"/>
    <cellStyle name="Comma 3 2 6 4 2 2 5 2" xfId="26327" xr:uid="{77DA07B4-9B94-4F1A-A829-F41D6491FF0E}"/>
    <cellStyle name="Comma 3 2 6 4 2 2 6" xfId="17292" xr:uid="{713EF9EA-AC67-456F-BDC4-B2854C569F74}"/>
    <cellStyle name="Comma 3 2 6 4 2 2 6 2" xfId="33424" xr:uid="{0CA17AE3-890F-4D6E-8C64-0AA3275CF8A5}"/>
    <cellStyle name="Comma 3 2 6 4 2 2 7" xfId="18649" xr:uid="{6EEDA72C-CED3-44F8-B7FA-9BCC3CA9D20B}"/>
    <cellStyle name="Comma 3 2 6 4 2 3" xfId="2849" xr:uid="{5FA14D98-7834-435D-8BD9-4D133C13862A}"/>
    <cellStyle name="Comma 3 2 6 4 2 3 2" xfId="6633" xr:uid="{22DACB1C-23DA-463E-A3B3-8D2C317B784F}"/>
    <cellStyle name="Comma 3 2 6 4 2 3 2 2" xfId="14145" xr:uid="{9E2225C8-AA49-4037-B066-9AB0937B7490}"/>
    <cellStyle name="Comma 3 2 6 4 2 3 2 2 2" xfId="30349" xr:uid="{B8D6A710-BCC5-41F7-8157-0A3CB1664903}"/>
    <cellStyle name="Comma 3 2 6 4 2 3 2 3" xfId="22837" xr:uid="{4778CAA9-9179-4C2A-A30A-E9E276F39F7C}"/>
    <cellStyle name="Comma 3 2 6 4 2 3 3" xfId="9199" xr:uid="{B3913AFE-62BD-4FB7-8BFD-ECCBE7F06F5B}"/>
    <cellStyle name="Comma 3 2 6 4 2 3 3 2" xfId="16669" xr:uid="{13DFD4D4-DA2E-4579-8BD2-E86E986B1B36}"/>
    <cellStyle name="Comma 3 2 6 4 2 3 3 2 2" xfId="32873" xr:uid="{9FCEF2C7-FAA3-401B-A0E7-1462142CBD9F}"/>
    <cellStyle name="Comma 3 2 6 4 2 3 3 3" xfId="25403" xr:uid="{182EFAAA-1122-450E-A224-A5114C1B8AFC}"/>
    <cellStyle name="Comma 3 2 6 4 2 3 4" xfId="10545" xr:uid="{180ECBEF-2B4E-4812-AD92-8E0AB5538AA3}"/>
    <cellStyle name="Comma 3 2 6 4 2 3 4 2" xfId="26749" xr:uid="{D1B982CA-141E-4284-BED1-933259DB0020}"/>
    <cellStyle name="Comma 3 2 6 4 2 3 5" xfId="17294" xr:uid="{5F8FD252-9EFB-4017-8A76-642A088E3D74}"/>
    <cellStyle name="Comma 3 2 6 4 2 3 5 2" xfId="33426" xr:uid="{E8E7D8D6-FA74-431C-852F-4BCCBDAE545F}"/>
    <cellStyle name="Comma 3 2 6 4 2 3 6" xfId="19071" xr:uid="{1A4D210A-55D2-4CBC-89CF-47EEBA974724}"/>
    <cellStyle name="Comma 3 2 6 4 2 4" xfId="3780" xr:uid="{5549BE94-7058-4523-9532-4C2521A0A50B}"/>
    <cellStyle name="Comma 3 2 6 4 2 4 2" xfId="7490" xr:uid="{AE45C782-C2EC-43D2-85BA-C66BC86AE242}"/>
    <cellStyle name="Comma 3 2 6 4 2 4 2 2" xfId="14999" xr:uid="{CC23FD82-0739-4081-8B01-C697255F4B51}"/>
    <cellStyle name="Comma 3 2 6 4 2 4 2 2 2" xfId="31203" xr:uid="{ADD7F593-E7F6-4503-B0ED-328E07BC3F85}"/>
    <cellStyle name="Comma 3 2 6 4 2 4 2 3" xfId="23694" xr:uid="{6637A1AD-3B1F-4C93-B40F-E219FF6C8EAC}"/>
    <cellStyle name="Comma 3 2 6 4 2 4 3" xfId="9303" xr:uid="{D2D18437-BD5A-4FDE-9415-1796626169E9}"/>
    <cellStyle name="Comma 3 2 6 4 2 4 3 2" xfId="16756" xr:uid="{9D08A25F-7D3E-4708-9BE6-B915BE000C98}"/>
    <cellStyle name="Comma 3 2 6 4 2 4 3 2 2" xfId="32960" xr:uid="{D94D1A41-4850-45D2-A06B-754A71D5E2E4}"/>
    <cellStyle name="Comma 3 2 6 4 2 4 3 3" xfId="25507" xr:uid="{3B3291C9-2E18-4A89-8337-56ABD2D00E52}"/>
    <cellStyle name="Comma 3 2 6 4 2 4 4" xfId="11390" xr:uid="{002FD994-A8C3-439A-B89A-2EB39571E500}"/>
    <cellStyle name="Comma 3 2 6 4 2 4 4 2" xfId="27594" xr:uid="{29962786-6239-4241-BD4D-E3A790163F86}"/>
    <cellStyle name="Comma 3 2 6 4 2 4 5" xfId="17295" xr:uid="{4F837EA4-5CD5-4DD9-A827-5F0245BA8DD7}"/>
    <cellStyle name="Comma 3 2 6 4 2 4 5 2" xfId="33427" xr:uid="{5B345D5B-CC08-43D2-BEF1-E4A69AF84FB9}"/>
    <cellStyle name="Comma 3 2 6 4 2 4 6" xfId="19989" xr:uid="{99EB194D-691C-4E8F-9271-952CCFA10E11}"/>
    <cellStyle name="Comma 3 2 6 4 2 5" xfId="3580" xr:uid="{ECD09C03-9ACA-43DD-9D3F-A2FD8019C843}"/>
    <cellStyle name="Comma 3 2 6 4 2 5 2" xfId="9060" xr:uid="{491D0EFC-1B59-432C-B93C-77362A27AE0C}"/>
    <cellStyle name="Comma 3 2 6 4 2 5 2 2" xfId="25264" xr:uid="{70DAF237-6091-4B82-AC63-10884ACE7703}"/>
    <cellStyle name="Comma 3 2 6 4 2 5 3" xfId="17296" xr:uid="{A458C4DA-4774-4A4B-AE12-840B38BDF096}"/>
    <cellStyle name="Comma 3 2 6 4 2 5 3 2" xfId="33428" xr:uid="{FF3589CC-AFE5-4D01-AF25-80BE7CE8C04A}"/>
    <cellStyle name="Comma 3 2 6 4 2 5 4" xfId="19792" xr:uid="{A28B1669-2618-48B6-82EF-D52F43C56C93}"/>
    <cellStyle name="Comma 3 2 6 4 2 6" xfId="4249" xr:uid="{79506359-46CD-4BDD-9696-58E813E7BDD8}"/>
    <cellStyle name="Comma 3 2 6 4 2 6 2" xfId="7919" xr:uid="{366505A4-3C7D-4272-9134-3B62436F2F2B}"/>
    <cellStyle name="Comma 3 2 6 4 2 6 2 2" xfId="15426" xr:uid="{B48D8A04-354C-4C28-8F80-FD5C2CCF6514}"/>
    <cellStyle name="Comma 3 2 6 4 2 6 2 2 2" xfId="31630" xr:uid="{A5303D8F-3B25-445D-A262-335D74BF44B4}"/>
    <cellStyle name="Comma 3 2 6 4 2 6 2 3" xfId="24123" xr:uid="{E133DC98-83DC-4607-BE6B-EC05EF486CCF}"/>
    <cellStyle name="Comma 3 2 6 4 2 6 3" xfId="9371" xr:uid="{4B6B8AB1-50FA-48E2-B518-F4ADEAE7E8AF}"/>
    <cellStyle name="Comma 3 2 6 4 2 6 3 2" xfId="16812" xr:uid="{F7B6E4A3-387C-4F5D-87F0-CFF4A239F56D}"/>
    <cellStyle name="Comma 3 2 6 4 2 6 3 2 2" xfId="33016" xr:uid="{9AF80CA7-5075-4098-B540-74EE03CF1631}"/>
    <cellStyle name="Comma 3 2 6 4 2 6 3 3" xfId="25575" xr:uid="{83154256-E943-4DD1-95F5-9F8ED55B30C3}"/>
    <cellStyle name="Comma 3 2 6 4 2 6 4" xfId="11812" xr:uid="{6A47CD11-31C3-44B9-9173-A5F7F4E3DECD}"/>
    <cellStyle name="Comma 3 2 6 4 2 6 4 2" xfId="28016" xr:uid="{F93D160D-3B43-474B-9BB4-C5146476CD7F}"/>
    <cellStyle name="Comma 3 2 6 4 2 6 5" xfId="17297" xr:uid="{EE711264-23BA-4CAC-80E0-DFF0E890D9F4}"/>
    <cellStyle name="Comma 3 2 6 4 2 6 5 2" xfId="33429" xr:uid="{86EFF6F8-173D-4E21-9882-B11E08FBE191}"/>
    <cellStyle name="Comma 3 2 6 4 2 6 6" xfId="20453" xr:uid="{01BD30F9-D06F-4B1E-A45B-5C0F19BD3B64}"/>
    <cellStyle name="Comma 3 2 6 4 2 7" xfId="4674" xr:uid="{E02F2BBA-39C1-42C2-9AC5-923C15FB640E}"/>
    <cellStyle name="Comma 3 2 6 4 2 7 2" xfId="8344" xr:uid="{225FE650-0EED-40DB-A7C4-AD531457A5A9}"/>
    <cellStyle name="Comma 3 2 6 4 2 7 2 2" xfId="15851" xr:uid="{CDF07819-F493-498D-8CA1-2854CFCCC83F}"/>
    <cellStyle name="Comma 3 2 6 4 2 7 2 2 2" xfId="32055" xr:uid="{CA992DE9-1FE2-4440-B959-97F7DF2A67D7}"/>
    <cellStyle name="Comma 3 2 6 4 2 7 2 3" xfId="24548" xr:uid="{757A64C8-8DD9-41FF-B1D4-8FAC1BD4DE28}"/>
    <cellStyle name="Comma 3 2 6 4 2 7 3" xfId="9081" xr:uid="{5C3B7278-4364-46A0-8182-377B544095D1}"/>
    <cellStyle name="Comma 3 2 6 4 2 7 3 2" xfId="16562" xr:uid="{C70D50BD-B235-4AC4-83CA-DE09031BA881}"/>
    <cellStyle name="Comma 3 2 6 4 2 7 3 2 2" xfId="32766" xr:uid="{6EE71C05-9037-4C77-B039-DB8913771A15}"/>
    <cellStyle name="Comma 3 2 6 4 2 7 3 3" xfId="25285" xr:uid="{ECA26BD7-DBD9-4C5D-942C-FA270C2DC806}"/>
    <cellStyle name="Comma 3 2 6 4 2 7 4" xfId="12237" xr:uid="{9CF4E395-E16A-4A33-B445-269A079D26E4}"/>
    <cellStyle name="Comma 3 2 6 4 2 7 4 2" xfId="28441" xr:uid="{688E1EAB-3D6F-4022-9C6D-A12DA90E8FE8}"/>
    <cellStyle name="Comma 3 2 6 4 2 7 5" xfId="17298" xr:uid="{4DCAA16A-DF88-403F-901B-36E33871F225}"/>
    <cellStyle name="Comma 3 2 6 4 2 7 5 2" xfId="33430" xr:uid="{D1D5CEE3-EA10-4471-BB39-78911AF150C6}"/>
    <cellStyle name="Comma 3 2 6 4 2 7 6" xfId="20878" xr:uid="{603007F0-4671-4D1D-B2AF-CAC05D07F7A2}"/>
    <cellStyle name="Comma 3 2 6 4 2 8" xfId="5102" xr:uid="{74BE3D25-3E8C-445F-A649-A78F9C413AD1}"/>
    <cellStyle name="Comma 3 2 6 4 2 8 2" xfId="8767" xr:uid="{FE3933CB-8EC6-4049-AC10-FCC4E0E3E9EA}"/>
    <cellStyle name="Comma 3 2 6 4 2 8 2 2" xfId="16274" xr:uid="{B157BD65-73CE-4A8D-8B55-4DABBAC9F221}"/>
    <cellStyle name="Comma 3 2 6 4 2 8 2 2 2" xfId="32478" xr:uid="{49FB65E2-E03E-446A-9163-EB618E41473C}"/>
    <cellStyle name="Comma 3 2 6 4 2 8 2 3" xfId="24971" xr:uid="{8A620518-3B6A-4125-92B8-EDC32B3FC682}"/>
    <cellStyle name="Comma 3 2 6 4 2 8 3" xfId="12659" xr:uid="{060614D7-6373-4886-98F3-1F45C83B450A}"/>
    <cellStyle name="Comma 3 2 6 4 2 8 3 2" xfId="28863" xr:uid="{E672D800-8563-4546-99FE-FFE8BA0751D8}"/>
    <cellStyle name="Comma 3 2 6 4 2 8 4" xfId="21306" xr:uid="{A3D5DAA6-140C-4EB8-8F28-F0FF9167FC42}"/>
    <cellStyle name="Comma 3 2 6 4 2 9" xfId="5773" xr:uid="{090154ED-F46E-4642-B6D0-D45C4DE87B95}"/>
    <cellStyle name="Comma 3 2 6 4 2 9 2" xfId="13288" xr:uid="{BF4C2809-1435-469E-BBBB-F6BF76229DA5}"/>
    <cellStyle name="Comma 3 2 6 4 2 9 2 2" xfId="29492" xr:uid="{70E33C1B-2A03-4F72-9A20-3B8DAB752EC5}"/>
    <cellStyle name="Comma 3 2 6 4 2 9 3" xfId="21977" xr:uid="{F001CD22-85FD-45B7-9BD1-D5B5D859CC15}"/>
    <cellStyle name="Comma 3 2 6 4 3" xfId="2306" xr:uid="{ED205027-2BF9-4F20-A266-A9DFD37ACB37}"/>
    <cellStyle name="Comma 3 2 6 4 3 2" xfId="3153" xr:uid="{E9B4F5E6-2CCE-4D62-AB60-CF188996F6C1}"/>
    <cellStyle name="Comma 3 2 6 4 3 2 2" xfId="6935" xr:uid="{71D4B65A-989B-4EC4-9C87-1A1B9391D531}"/>
    <cellStyle name="Comma 3 2 6 4 3 2 2 2" xfId="14446" xr:uid="{A2F76075-1310-49FA-8803-50768A667800}"/>
    <cellStyle name="Comma 3 2 6 4 3 2 2 2 2" xfId="30650" xr:uid="{47221615-3BCC-4BED-9E7E-AA5E1AEB0B14}"/>
    <cellStyle name="Comma 3 2 6 4 3 2 2 3" xfId="23139" xr:uid="{D659DF6B-670E-4A08-8A3D-7685006E2B3F}"/>
    <cellStyle name="Comma 3 2 6 4 3 2 3" xfId="9077" xr:uid="{A15997B1-E22B-43C1-A5E4-FF0D9BFC7221}"/>
    <cellStyle name="Comma 3 2 6 4 3 2 3 2" xfId="16559" xr:uid="{99E5A46D-FD4A-44B3-8E2D-E41A115B6E59}"/>
    <cellStyle name="Comma 3 2 6 4 3 2 3 2 2" xfId="32763" xr:uid="{CF19F353-8CDF-4605-B4BB-70E32A624B0E}"/>
    <cellStyle name="Comma 3 2 6 4 3 2 3 3" xfId="25281" xr:uid="{2517AAC0-C1D0-470A-82A5-BC893C51DFC1}"/>
    <cellStyle name="Comma 3 2 6 4 3 2 4" xfId="10846" xr:uid="{82D68CA1-0D92-4C52-9AC1-1C4AE9450BBB}"/>
    <cellStyle name="Comma 3 2 6 4 3 2 4 2" xfId="27050" xr:uid="{9F7DA5D6-499F-4282-A4EE-0E220749A637}"/>
    <cellStyle name="Comma 3 2 6 4 3 2 5" xfId="17300" xr:uid="{710B9BF5-E642-4F6F-8A68-D0650892733B}"/>
    <cellStyle name="Comma 3 2 6 4 3 2 5 2" xfId="33432" xr:uid="{0214BEDB-377C-4833-A840-D2A30452AB73}"/>
    <cellStyle name="Comma 3 2 6 4 3 2 6" xfId="19373" xr:uid="{08BE6F15-6444-4D67-99C0-A8B2C9D1B7CE}"/>
    <cellStyle name="Comma 3 2 6 4 3 3" xfId="6090" xr:uid="{1A8B77E6-E969-4533-A804-EEBF9C40117B}"/>
    <cellStyle name="Comma 3 2 6 4 3 3 2" xfId="13602" xr:uid="{53D230F9-A85E-4CD7-B0E4-EFF0EB0548AF}"/>
    <cellStyle name="Comma 3 2 6 4 3 3 2 2" xfId="29806" xr:uid="{F8B2FDA7-56C9-447D-B4D9-6F6B5C7DD484}"/>
    <cellStyle name="Comma 3 2 6 4 3 3 3" xfId="22294" xr:uid="{99132104-1AE7-4495-A39B-2DF6BCF1921E}"/>
    <cellStyle name="Comma 3 2 6 4 3 4" xfId="5530" xr:uid="{6C51A0A8-2F65-42F7-AB75-02380D985A0D}"/>
    <cellStyle name="Comma 3 2 6 4 3 4 2" xfId="13056" xr:uid="{6C83A6B2-4464-4DEE-8108-18D3DA8C2E2B}"/>
    <cellStyle name="Comma 3 2 6 4 3 4 2 2" xfId="29260" xr:uid="{89A42A9F-6CBF-4C17-A53B-67C94963B1D8}"/>
    <cellStyle name="Comma 3 2 6 4 3 4 3" xfId="21734" xr:uid="{5D38548C-1F21-43CF-92A0-C022E7AE92AE}"/>
    <cellStyle name="Comma 3 2 6 4 3 5" xfId="10002" xr:uid="{3938BB17-265C-4816-9F85-71E1AA4299D8}"/>
    <cellStyle name="Comma 3 2 6 4 3 5 2" xfId="26206" xr:uid="{155170AB-69E3-42D1-B270-3DEBE35245D9}"/>
    <cellStyle name="Comma 3 2 6 4 3 6" xfId="17299" xr:uid="{7A78A3D3-FE33-404B-8303-BE00E1A1E804}"/>
    <cellStyle name="Comma 3 2 6 4 3 6 2" xfId="33431" xr:uid="{45D3A292-3F98-4692-A40C-8FBF3C8BB1B3}"/>
    <cellStyle name="Comma 3 2 6 4 3 7" xfId="18528" xr:uid="{15D87A4A-E2C7-4D18-B421-19888C57AC67}"/>
    <cellStyle name="Comma 3 2 6 4 4" xfId="2728" xr:uid="{D93DCD90-30C0-4C52-B6A6-16B02731218F}"/>
    <cellStyle name="Comma 3 2 6 4 4 2" xfId="6512" xr:uid="{2632A895-A6A9-47A9-A66E-E07C5C35AD6E}"/>
    <cellStyle name="Comma 3 2 6 4 4 2 2" xfId="14024" xr:uid="{90534E1E-4FEA-4EA1-883E-DE577AA632A2}"/>
    <cellStyle name="Comma 3 2 6 4 4 2 2 2" xfId="30228" xr:uid="{DAE57FC0-EBC0-4339-AACF-491D66DAC99A}"/>
    <cellStyle name="Comma 3 2 6 4 4 2 3" xfId="22716" xr:uid="{2C0C3159-34C6-4388-9607-7470D0AC12EA}"/>
    <cellStyle name="Comma 3 2 6 4 4 3" xfId="9235" xr:uid="{81F4217C-615B-465B-BE4F-C324FEB501AF}"/>
    <cellStyle name="Comma 3 2 6 4 4 3 2" xfId="16699" xr:uid="{44D4246E-0F0F-4767-9723-56D9615EEF7E}"/>
    <cellStyle name="Comma 3 2 6 4 4 3 2 2" xfId="32903" xr:uid="{83622B3A-4CC6-4F46-8803-070410DA0430}"/>
    <cellStyle name="Comma 3 2 6 4 4 3 3" xfId="25439" xr:uid="{9B458497-CC43-452E-A114-17792BED0E3A}"/>
    <cellStyle name="Comma 3 2 6 4 4 4" xfId="10424" xr:uid="{83075E5B-2A7B-4D30-92B0-2AB658DFCB95}"/>
    <cellStyle name="Comma 3 2 6 4 4 4 2" xfId="26628" xr:uid="{0739FFBE-5547-489D-96C7-F29783CBF465}"/>
    <cellStyle name="Comma 3 2 6 4 4 5" xfId="17301" xr:uid="{C3C3A0B1-72F5-4B63-88CE-8BA5B11F8ECA}"/>
    <cellStyle name="Comma 3 2 6 4 4 5 2" xfId="33433" xr:uid="{22ABE649-228B-4EC8-A55B-C3248887D629}"/>
    <cellStyle name="Comma 3 2 6 4 4 6" xfId="18950" xr:uid="{5B6B7F2E-2A98-405D-B0B2-C7DEB104BCE8}"/>
    <cellStyle name="Comma 3 2 6 4 5" xfId="3658" xr:uid="{219CD6C1-9A14-4A28-A32E-3233CC0974E8}"/>
    <cellStyle name="Comma 3 2 6 4 5 2" xfId="7368" xr:uid="{627C5506-5700-4A71-8AF9-53341926CA79}"/>
    <cellStyle name="Comma 3 2 6 4 5 2 2" xfId="14877" xr:uid="{904CB4C3-E3BD-46D1-A26A-E6F054D14AD4}"/>
    <cellStyle name="Comma 3 2 6 4 5 2 2 2" xfId="31081" xr:uid="{12A134C6-A229-404E-A1EA-7C346D1A0D62}"/>
    <cellStyle name="Comma 3 2 6 4 5 2 3" xfId="23572" xr:uid="{4DB174D4-2A39-43EB-BF4A-A35199A80A50}"/>
    <cellStyle name="Comma 3 2 6 4 5 3" xfId="8967" xr:uid="{06E54749-BFD8-483D-80D5-4AE09D7F15D2}"/>
    <cellStyle name="Comma 3 2 6 4 5 3 2" xfId="16461" xr:uid="{2B82F390-580A-4419-B161-8036E1AF24C8}"/>
    <cellStyle name="Comma 3 2 6 4 5 3 2 2" xfId="32665" xr:uid="{1ECA6E4E-47AF-4991-ABD7-63A2E266A66A}"/>
    <cellStyle name="Comma 3 2 6 4 5 3 3" xfId="25171" xr:uid="{F9FB8F93-96EF-4343-9AF8-13DF778E527A}"/>
    <cellStyle name="Comma 3 2 6 4 5 4" xfId="11269" xr:uid="{C71BD09F-F3DC-472D-8EE7-C7183A90742C}"/>
    <cellStyle name="Comma 3 2 6 4 5 4 2" xfId="27473" xr:uid="{5C4DB8B0-45EC-462F-8B24-226577158590}"/>
    <cellStyle name="Comma 3 2 6 4 5 5" xfId="17302" xr:uid="{35B6FDCA-65CA-46B0-8775-E0531BB06406}"/>
    <cellStyle name="Comma 3 2 6 4 5 5 2" xfId="33434" xr:uid="{D9F66CB1-DA9C-4D20-A26D-EFB9C8E46F1F}"/>
    <cellStyle name="Comma 3 2 6 4 5 6" xfId="19867" xr:uid="{4B10D244-164E-47B5-B0EB-5B4F2F44D1FA}"/>
    <cellStyle name="Comma 3 2 6 4 6" xfId="3567" xr:uid="{6C2F2D21-7B5F-4677-A715-44C64F2519E4}"/>
    <cellStyle name="Comma 3 2 6 4 6 2" xfId="8991" xr:uid="{F6A7F3A4-847D-4E0D-9114-877DFA61C9F8}"/>
    <cellStyle name="Comma 3 2 6 4 6 2 2" xfId="25195" xr:uid="{02A9809A-67F3-45A6-8E55-1B3B3B9BD7A7}"/>
    <cellStyle name="Comma 3 2 6 4 6 3" xfId="17303" xr:uid="{616D01BE-5182-4B84-8159-4A086C9B9B94}"/>
    <cellStyle name="Comma 3 2 6 4 6 3 2" xfId="33435" xr:uid="{6314C417-937D-46CF-A338-8C81777610F2}"/>
    <cellStyle name="Comma 3 2 6 4 6 4" xfId="19780" xr:uid="{DD6CC7C3-BDB4-49E8-9205-0D9F81F8E126}"/>
    <cellStyle name="Comma 3 2 6 4 7" xfId="4128" xr:uid="{7DED5110-460A-4CBD-ACB4-D75C6D3DDAC4}"/>
    <cellStyle name="Comma 3 2 6 4 7 2" xfId="7798" xr:uid="{3EF824F2-4F51-4202-B918-95C107DC16E2}"/>
    <cellStyle name="Comma 3 2 6 4 7 2 2" xfId="15305" xr:uid="{822F39AE-2196-4443-99B5-69E213F1E58C}"/>
    <cellStyle name="Comma 3 2 6 4 7 2 2 2" xfId="31509" xr:uid="{83126EF1-9847-42AB-883F-A45AD3DB0086}"/>
    <cellStyle name="Comma 3 2 6 4 7 2 3" xfId="24002" xr:uid="{DE56CC13-309B-4FE8-B346-4AF167925662}"/>
    <cellStyle name="Comma 3 2 6 4 7 3" xfId="9025" xr:uid="{A356ED9F-8205-4F5A-A638-36DE903D244F}"/>
    <cellStyle name="Comma 3 2 6 4 7 3 2" xfId="16516" xr:uid="{2FCC001A-F5E9-472B-A4A3-200352BDB929}"/>
    <cellStyle name="Comma 3 2 6 4 7 3 2 2" xfId="32720" xr:uid="{906E9325-4952-440E-9FB6-77464DA1FB94}"/>
    <cellStyle name="Comma 3 2 6 4 7 3 3" xfId="25229" xr:uid="{91E1A75E-6D87-485D-9726-B5DB38FCF85D}"/>
    <cellStyle name="Comma 3 2 6 4 7 4" xfId="11691" xr:uid="{A8BA1019-2A5B-4CD3-9FAA-61B609908AC2}"/>
    <cellStyle name="Comma 3 2 6 4 7 4 2" xfId="27895" xr:uid="{FF978814-A9EC-49EA-BD13-7DBD2DED57B5}"/>
    <cellStyle name="Comma 3 2 6 4 7 5" xfId="17304" xr:uid="{AAC3B698-9DD3-460F-941A-592153E04644}"/>
    <cellStyle name="Comma 3 2 6 4 7 5 2" xfId="33436" xr:uid="{699CA14B-05B8-4130-9580-D72714E1D562}"/>
    <cellStyle name="Comma 3 2 6 4 7 6" xfId="20332" xr:uid="{3AA830B5-8261-400D-A578-DAAAC31F76EA}"/>
    <cellStyle name="Comma 3 2 6 4 8" xfId="4553" xr:uid="{7E567B2D-A8C3-4B3A-9A1E-23547BC6D20C}"/>
    <cellStyle name="Comma 3 2 6 4 8 2" xfId="8223" xr:uid="{09B23385-1E9E-4DC2-8176-B292DECD5857}"/>
    <cellStyle name="Comma 3 2 6 4 8 2 2" xfId="15730" xr:uid="{F5121548-0627-4A18-90A3-1B01B865BFC9}"/>
    <cellStyle name="Comma 3 2 6 4 8 2 2 2" xfId="31934" xr:uid="{B607D9D3-567A-4965-901F-61FB5FBE43DC}"/>
    <cellStyle name="Comma 3 2 6 4 8 2 3" xfId="24427" xr:uid="{D2DBC7F4-68A8-43B3-BDC6-D6057DAB93F5}"/>
    <cellStyle name="Comma 3 2 6 4 8 3" xfId="9087" xr:uid="{7A92815F-3AD2-4841-9D19-AC6191CF4633}"/>
    <cellStyle name="Comma 3 2 6 4 8 3 2" xfId="16567" xr:uid="{6935D0F9-AC1A-4AC4-A882-68F7A7181DCB}"/>
    <cellStyle name="Comma 3 2 6 4 8 3 2 2" xfId="32771" xr:uid="{F3A5F7C8-6A02-4BE6-818C-27117BCC5FA9}"/>
    <cellStyle name="Comma 3 2 6 4 8 3 3" xfId="25291" xr:uid="{F927C96F-73E6-4B32-AAF5-438DDD1D8456}"/>
    <cellStyle name="Comma 3 2 6 4 8 4" xfId="12116" xr:uid="{241C527E-76FF-4B46-AE5E-66023780CE0C}"/>
    <cellStyle name="Comma 3 2 6 4 8 4 2" xfId="28320" xr:uid="{C58C96A0-59F9-40E2-A6B7-0830AC09884B}"/>
    <cellStyle name="Comma 3 2 6 4 8 5" xfId="17305" xr:uid="{A0AC405B-775A-4460-9FE1-2BA46918CF79}"/>
    <cellStyle name="Comma 3 2 6 4 8 5 2" xfId="33437" xr:uid="{242BB21A-0D09-40BD-8113-E85B814B54B0}"/>
    <cellStyle name="Comma 3 2 6 4 8 6" xfId="20757" xr:uid="{FA897880-2A7C-434E-AE22-B1159BCB2FCD}"/>
    <cellStyle name="Comma 3 2 6 4 9" xfId="4980" xr:uid="{EDC2FE05-C4A4-42A1-88A7-494B5984E225}"/>
    <cellStyle name="Comma 3 2 6 4 9 2" xfId="8646" xr:uid="{BE4B08A5-6EC5-4B97-9FDF-2AF00C96C7CA}"/>
    <cellStyle name="Comma 3 2 6 4 9 2 2" xfId="16153" xr:uid="{6313373C-C499-4C1D-8F38-029157996562}"/>
    <cellStyle name="Comma 3 2 6 4 9 2 2 2" xfId="32357" xr:uid="{3D0E647B-6B39-44FE-8B7E-1293A05CF3F1}"/>
    <cellStyle name="Comma 3 2 6 4 9 2 3" xfId="24850" xr:uid="{F35A3E84-2E56-4F89-B232-0A2B28A02E9B}"/>
    <cellStyle name="Comma 3 2 6 4 9 3" xfId="12538" xr:uid="{8917C14D-76EB-4A0C-8681-A62E11E1A6C5}"/>
    <cellStyle name="Comma 3 2 6 4 9 3 2" xfId="28742" xr:uid="{9E42B38B-6EF5-4F3E-AF7D-470E2854BA6C}"/>
    <cellStyle name="Comma 3 2 6 4 9 4" xfId="21184" xr:uid="{A6D596A1-4B98-4BA9-A96B-03EED5FCFB39}"/>
    <cellStyle name="Comma 3 2 6 5" xfId="1921" xr:uid="{9582135A-AF78-4C82-B3D3-F0722BDE574A}"/>
    <cellStyle name="Comma 3 2 6 5 10" xfId="9701" xr:uid="{627FC56A-1CA8-4AD8-871C-26DC53C06B38}"/>
    <cellStyle name="Comma 3 2 6 5 10 2" xfId="25905" xr:uid="{CA283C62-5812-48F8-9E75-643F1C3DBAB3}"/>
    <cellStyle name="Comma 3 2 6 5 11" xfId="17306" xr:uid="{C1ACC945-3EA4-4E0A-8585-E03BD56AFEFA}"/>
    <cellStyle name="Comma 3 2 6 5 11 2" xfId="33438" xr:uid="{8030B114-25FD-4C46-87C8-45024432B366}"/>
    <cellStyle name="Comma 3 2 6 5 12" xfId="18225" xr:uid="{E1ABEEBA-1399-4ED3-BA68-F4DBD50023B5}"/>
    <cellStyle name="Comma 3 2 6 5 2" xfId="2428" xr:uid="{8ACF31E8-28D1-42A0-94E2-014716CA3B61}"/>
    <cellStyle name="Comma 3 2 6 5 2 2" xfId="3275" xr:uid="{B10D2047-DFB4-49BD-905E-037B64B9DC0C}"/>
    <cellStyle name="Comma 3 2 6 5 2 2 2" xfId="7057" xr:uid="{864E6891-6640-4757-A0A1-3530FF1FD362}"/>
    <cellStyle name="Comma 3 2 6 5 2 2 2 2" xfId="14568" xr:uid="{59BDC9D9-0C88-4515-904F-8A241A2BE2A6}"/>
    <cellStyle name="Comma 3 2 6 5 2 2 2 2 2" xfId="30772" xr:uid="{578D1F18-6657-4891-84DF-572D0C9A5E6F}"/>
    <cellStyle name="Comma 3 2 6 5 2 2 2 3" xfId="23261" xr:uid="{7FCC0088-3C2B-4344-AB09-F905FF2BE084}"/>
    <cellStyle name="Comma 3 2 6 5 2 2 3" xfId="9331" xr:uid="{7B9F4B95-4D71-413B-877E-5DF39EDD4C70}"/>
    <cellStyle name="Comma 3 2 6 5 2 2 3 2" xfId="16775" xr:uid="{13A912F8-4DEC-49B5-8133-4BA062BEAE3B}"/>
    <cellStyle name="Comma 3 2 6 5 2 2 3 2 2" xfId="32979" xr:uid="{E7A90CE0-C18A-46B2-A8AE-4F274E03A393}"/>
    <cellStyle name="Comma 3 2 6 5 2 2 3 3" xfId="25535" xr:uid="{A6F1E73F-5B87-4840-BDD1-0F2EDB7A70C1}"/>
    <cellStyle name="Comma 3 2 6 5 2 2 4" xfId="10968" xr:uid="{0763E899-2FEF-4A8F-ACD7-E25EFF273414}"/>
    <cellStyle name="Comma 3 2 6 5 2 2 4 2" xfId="27172" xr:uid="{FEB93DBA-04C5-4FF2-8AE1-00F0256234D6}"/>
    <cellStyle name="Comma 3 2 6 5 2 2 5" xfId="17308" xr:uid="{1BA7E383-7423-406B-95CC-1B97DF8287D0}"/>
    <cellStyle name="Comma 3 2 6 5 2 2 5 2" xfId="33440" xr:uid="{A8EFA100-15AD-4414-8680-471EC2AE8C4F}"/>
    <cellStyle name="Comma 3 2 6 5 2 2 6" xfId="19495" xr:uid="{F3FEBA45-4BC8-498D-BA08-394409973923}"/>
    <cellStyle name="Comma 3 2 6 5 2 3" xfId="6212" xr:uid="{0F1D579A-D8A5-4527-B18E-BD2393499220}"/>
    <cellStyle name="Comma 3 2 6 5 2 3 2" xfId="13724" xr:uid="{4555271C-E00C-47D6-A153-73AF5804A178}"/>
    <cellStyle name="Comma 3 2 6 5 2 3 2 2" xfId="29928" xr:uid="{D6372CA1-E369-4CF7-9CA3-29C05FD6FC9C}"/>
    <cellStyle name="Comma 3 2 6 5 2 3 3" xfId="22416" xr:uid="{C59E0E0A-24B3-43E0-80C6-2F703A7FB15C}"/>
    <cellStyle name="Comma 3 2 6 5 2 4" xfId="9000" xr:uid="{0E883A0B-6EFD-491B-879C-407A53F46415}"/>
    <cellStyle name="Comma 3 2 6 5 2 4 2" xfId="16493" xr:uid="{8CC2E162-4638-4E07-8DBE-98F6497103EF}"/>
    <cellStyle name="Comma 3 2 6 5 2 4 2 2" xfId="32697" xr:uid="{45A7BE16-F77E-447F-90D4-B91D1F24E3E8}"/>
    <cellStyle name="Comma 3 2 6 5 2 4 3" xfId="25204" xr:uid="{0AE61A3C-CC93-431D-A584-A74B0DC398A6}"/>
    <cellStyle name="Comma 3 2 6 5 2 5" xfId="10124" xr:uid="{BF361C0B-F42D-41FC-B83F-63405302CB70}"/>
    <cellStyle name="Comma 3 2 6 5 2 5 2" xfId="26328" xr:uid="{49CD0F6A-3C54-421B-887F-0699269E6D81}"/>
    <cellStyle name="Comma 3 2 6 5 2 6" xfId="17307" xr:uid="{7D854F27-F6A4-4DC3-8FAC-C57918EFBFC6}"/>
    <cellStyle name="Comma 3 2 6 5 2 6 2" xfId="33439" xr:uid="{4948E17F-396D-4C60-AAB0-47EB3348C81F}"/>
    <cellStyle name="Comma 3 2 6 5 2 7" xfId="18650" xr:uid="{D802EF59-1E34-419C-9266-A26E17E39118}"/>
    <cellStyle name="Comma 3 2 6 5 3" xfId="2850" xr:uid="{E62ADF2A-2689-495F-8ACD-DAA3901004EE}"/>
    <cellStyle name="Comma 3 2 6 5 3 2" xfId="6634" xr:uid="{B5C8380F-6A25-486B-B5BA-A13C430040DF}"/>
    <cellStyle name="Comma 3 2 6 5 3 2 2" xfId="14146" xr:uid="{88162214-19C0-4694-BB49-0A5A7B72DC57}"/>
    <cellStyle name="Comma 3 2 6 5 3 2 2 2" xfId="30350" xr:uid="{1F1893EB-EF1E-466F-86CD-F31CABEB6B6C}"/>
    <cellStyle name="Comma 3 2 6 5 3 2 3" xfId="22838" xr:uid="{B5EDA241-03BD-4392-B68E-882FB9E9DA7F}"/>
    <cellStyle name="Comma 3 2 6 5 3 3" xfId="5601" xr:uid="{7395F199-36FD-40FB-A1F2-9D9D1C837580}"/>
    <cellStyle name="Comma 3 2 6 5 3 3 2" xfId="13116" xr:uid="{3706B1C3-0CD1-42D1-B714-8C5C4C62C057}"/>
    <cellStyle name="Comma 3 2 6 5 3 3 2 2" xfId="29320" xr:uid="{B6E65CBE-E2D2-446E-8C3D-C4C537477001}"/>
    <cellStyle name="Comma 3 2 6 5 3 3 3" xfId="21805" xr:uid="{A9E368A9-0336-4CF9-80EA-136AB8A011A4}"/>
    <cellStyle name="Comma 3 2 6 5 3 4" xfId="10546" xr:uid="{A66286F6-7CDB-4F84-9362-7A1FA06F2A22}"/>
    <cellStyle name="Comma 3 2 6 5 3 4 2" xfId="26750" xr:uid="{6D15FDCD-8A66-47CA-8EF4-EFC2D33D3A92}"/>
    <cellStyle name="Comma 3 2 6 5 3 5" xfId="17309" xr:uid="{F2537C97-402A-43D5-87EA-A030C95FAAC5}"/>
    <cellStyle name="Comma 3 2 6 5 3 5 2" xfId="33441" xr:uid="{A47F604B-6915-4583-9C25-880E570B2DF0}"/>
    <cellStyle name="Comma 3 2 6 5 3 6" xfId="19072" xr:uid="{C470F93F-4ABA-4749-A304-996A8AFA7D6C}"/>
    <cellStyle name="Comma 3 2 6 5 4" xfId="3781" xr:uid="{6E9689EC-C3B6-471D-9819-525DE1F47E83}"/>
    <cellStyle name="Comma 3 2 6 5 4 2" xfId="7491" xr:uid="{1569534A-9006-4870-89F9-544128AC1642}"/>
    <cellStyle name="Comma 3 2 6 5 4 2 2" xfId="15000" xr:uid="{E4BEE55F-DC43-42A7-80C4-77078739F351}"/>
    <cellStyle name="Comma 3 2 6 5 4 2 2 2" xfId="31204" xr:uid="{CE28E5D6-C608-4DFE-A996-6187FA74D52B}"/>
    <cellStyle name="Comma 3 2 6 5 4 2 3" xfId="23695" xr:uid="{CF4BAFE8-BD3B-42B3-9954-055CEAD7C9C2}"/>
    <cellStyle name="Comma 3 2 6 5 4 3" xfId="5547" xr:uid="{35A6C6B4-A2B3-4A7F-94D5-D959D8ABE63F}"/>
    <cellStyle name="Comma 3 2 6 5 4 3 2" xfId="13070" xr:uid="{73A21F52-A39C-4ABA-94CF-13D39DE5F237}"/>
    <cellStyle name="Comma 3 2 6 5 4 3 2 2" xfId="29274" xr:uid="{443AE284-990B-4FF5-9DE6-E88C7ACC5A09}"/>
    <cellStyle name="Comma 3 2 6 5 4 3 3" xfId="21751" xr:uid="{695F51CA-FC8F-4803-B5DE-61D783D2FFF9}"/>
    <cellStyle name="Comma 3 2 6 5 4 4" xfId="11391" xr:uid="{8F85E10C-CA8E-4122-B454-8F42B3D612EA}"/>
    <cellStyle name="Comma 3 2 6 5 4 4 2" xfId="27595" xr:uid="{4AF21650-80F7-41F0-A7A3-F1804492287F}"/>
    <cellStyle name="Comma 3 2 6 5 4 5" xfId="17310" xr:uid="{5802296A-5332-491A-BA96-92213EA94968}"/>
    <cellStyle name="Comma 3 2 6 5 4 5 2" xfId="33442" xr:uid="{142C7FE7-35E6-4473-A92B-98660544E114}"/>
    <cellStyle name="Comma 3 2 6 5 4 6" xfId="19990" xr:uid="{26E44826-CEC3-4745-AD2D-A0EBE7466680}"/>
    <cellStyle name="Comma 3 2 6 5 5" xfId="3887" xr:uid="{02D2F220-D11F-419D-9BDA-9FD022DC0944}"/>
    <cellStyle name="Comma 3 2 6 5 5 2" xfId="9132" xr:uid="{01146071-4507-45FD-A59E-41D369F26BED}"/>
    <cellStyle name="Comma 3 2 6 5 5 2 2" xfId="25336" xr:uid="{6C259ED9-F49B-4DC0-8CE7-2067B882B78D}"/>
    <cellStyle name="Comma 3 2 6 5 5 3" xfId="17311" xr:uid="{802A3AB9-7F6C-4D3B-A480-ECE94755B3F8}"/>
    <cellStyle name="Comma 3 2 6 5 5 3 2" xfId="33443" xr:uid="{769EF3F5-2D93-453E-9807-7C36347FB5A5}"/>
    <cellStyle name="Comma 3 2 6 5 5 4" xfId="20096" xr:uid="{F2B10083-8C70-4618-B3E1-9E3CE3FEBBE3}"/>
    <cellStyle name="Comma 3 2 6 5 6" xfId="4250" xr:uid="{C9307155-ACE5-4FB6-92DA-3DDB436B28C7}"/>
    <cellStyle name="Comma 3 2 6 5 6 2" xfId="7920" xr:uid="{F556A71C-135B-43A9-A75B-F2E387EAE84F}"/>
    <cellStyle name="Comma 3 2 6 5 6 2 2" xfId="15427" xr:uid="{6CD19AB2-DA3E-4B90-8C01-1B8049A7D8B4}"/>
    <cellStyle name="Comma 3 2 6 5 6 2 2 2" xfId="31631" xr:uid="{D6214A57-109D-4DA5-8952-6633E4C8517F}"/>
    <cellStyle name="Comma 3 2 6 5 6 2 3" xfId="24124" xr:uid="{11EB871D-BA31-48B7-A1B5-3E6D4BC73F87}"/>
    <cellStyle name="Comma 3 2 6 5 6 3" xfId="8962" xr:uid="{60CADABA-FD2F-48D3-98A5-A5C42337977D}"/>
    <cellStyle name="Comma 3 2 6 5 6 3 2" xfId="16457" xr:uid="{892E85D4-90F9-4078-ABAB-7DB68D584BF0}"/>
    <cellStyle name="Comma 3 2 6 5 6 3 2 2" xfId="32661" xr:uid="{8517251F-B758-4E8D-A435-9CA6A0FD9534}"/>
    <cellStyle name="Comma 3 2 6 5 6 3 3" xfId="25166" xr:uid="{E3127EBA-728C-4B57-AB10-09872E0C028D}"/>
    <cellStyle name="Comma 3 2 6 5 6 4" xfId="11813" xr:uid="{33F42481-FE60-4EDD-BBD1-553E1C81021B}"/>
    <cellStyle name="Comma 3 2 6 5 6 4 2" xfId="28017" xr:uid="{FABE920A-E1D8-4BBC-943F-69BC8E931AB1}"/>
    <cellStyle name="Comma 3 2 6 5 6 5" xfId="17312" xr:uid="{9182B803-C498-433D-BF30-C897790310D7}"/>
    <cellStyle name="Comma 3 2 6 5 6 5 2" xfId="33444" xr:uid="{0366B74C-0BA1-4799-BF0B-5E58B1B307AB}"/>
    <cellStyle name="Comma 3 2 6 5 6 6" xfId="20454" xr:uid="{42CAE1C5-A4EF-4060-A3C2-CA9891087DD8}"/>
    <cellStyle name="Comma 3 2 6 5 7" xfId="4675" xr:uid="{FAC9CF78-1AA1-4638-8893-755331968E9B}"/>
    <cellStyle name="Comma 3 2 6 5 7 2" xfId="8345" xr:uid="{DAECD1CA-6695-42FB-8231-DAC5C117482F}"/>
    <cellStyle name="Comma 3 2 6 5 7 2 2" xfId="15852" xr:uid="{27AEFA78-2E4A-4B89-9488-BC546F90F298}"/>
    <cellStyle name="Comma 3 2 6 5 7 2 2 2" xfId="32056" xr:uid="{2131114D-C49F-4A58-983B-67DA939EA488}"/>
    <cellStyle name="Comma 3 2 6 5 7 2 3" xfId="24549" xr:uid="{EBEAABBE-9983-44B8-A15F-5BAF223A2DE3}"/>
    <cellStyle name="Comma 3 2 6 5 7 3" xfId="8469" xr:uid="{98D5C4B4-6637-49BB-987F-24F46C59EA62}"/>
    <cellStyle name="Comma 3 2 6 5 7 3 2" xfId="15976" xr:uid="{C12DF4EF-E1C3-41C0-81A4-87D6C6EF8452}"/>
    <cellStyle name="Comma 3 2 6 5 7 3 2 2" xfId="32180" xr:uid="{0C6A87D8-7C5B-4DE3-BD7C-479ABAAE1EAB}"/>
    <cellStyle name="Comma 3 2 6 5 7 3 3" xfId="24673" xr:uid="{AC1F3529-47CD-4685-8A2E-857F3E7E80A4}"/>
    <cellStyle name="Comma 3 2 6 5 7 4" xfId="12238" xr:uid="{9F53AACF-FFEC-47E2-9CFC-6E9974555B68}"/>
    <cellStyle name="Comma 3 2 6 5 7 4 2" xfId="28442" xr:uid="{E52A7939-AF7F-40B2-BB89-9833305E9D30}"/>
    <cellStyle name="Comma 3 2 6 5 7 5" xfId="17313" xr:uid="{001F0A39-A9F9-4D0D-BBCE-46D8D1188DAA}"/>
    <cellStyle name="Comma 3 2 6 5 7 5 2" xfId="33445" xr:uid="{04CEFA24-6881-4950-8C48-4A05D021BD61}"/>
    <cellStyle name="Comma 3 2 6 5 7 6" xfId="20879" xr:uid="{F11C5374-9176-4ACD-AF0B-DB41D492F2C7}"/>
    <cellStyle name="Comma 3 2 6 5 8" xfId="5103" xr:uid="{63786F72-0AEB-4994-BAD7-0661165A4E2B}"/>
    <cellStyle name="Comma 3 2 6 5 8 2" xfId="8768" xr:uid="{C240D539-E89B-4BA8-97E8-4B8ABF1944AC}"/>
    <cellStyle name="Comma 3 2 6 5 8 2 2" xfId="16275" xr:uid="{BDF04A4F-55FE-44D1-97FE-0E6639432D8D}"/>
    <cellStyle name="Comma 3 2 6 5 8 2 2 2" xfId="32479" xr:uid="{FE1430AB-A705-4055-94B5-970237645C77}"/>
    <cellStyle name="Comma 3 2 6 5 8 2 3" xfId="24972" xr:uid="{FDE52C21-4659-4F74-A688-1A5287986B45}"/>
    <cellStyle name="Comma 3 2 6 5 8 3" xfId="12660" xr:uid="{947108F7-53FF-490D-A6A6-7B56DE0FA34C}"/>
    <cellStyle name="Comma 3 2 6 5 8 3 2" xfId="28864" xr:uid="{2A2E3C2B-4A08-463B-B59A-2179B39A8F6A}"/>
    <cellStyle name="Comma 3 2 6 5 8 4" xfId="21307" xr:uid="{D00E802D-7F9E-4E20-BBAD-580CCF22A6C3}"/>
    <cellStyle name="Comma 3 2 6 5 9" xfId="5774" xr:uid="{98DB4883-8D54-4C8A-9614-18A95D833DAF}"/>
    <cellStyle name="Comma 3 2 6 5 9 2" xfId="13289" xr:uid="{C5C1C229-2899-4AC4-A761-5F42D0FE687F}"/>
    <cellStyle name="Comma 3 2 6 5 9 2 2" xfId="29493" xr:uid="{395F121E-077E-462B-9895-8485743D5C90}"/>
    <cellStyle name="Comma 3 2 6 5 9 3" xfId="21978" xr:uid="{73703804-7E22-4241-97E2-77FDB9AC9E8E}"/>
    <cellStyle name="Comma 3 2 6 6" xfId="2203" xr:uid="{0B5B1E33-DE41-4F57-BA9E-7016D4057E43}"/>
    <cellStyle name="Comma 3 2 6 6 2" xfId="3111" xr:uid="{C8E390E0-09BB-47B2-AAFA-A7FA1FF40ADF}"/>
    <cellStyle name="Comma 3 2 6 6 2 2" xfId="6893" xr:uid="{5A833646-57CB-4387-B41A-E70FF0DCFF20}"/>
    <cellStyle name="Comma 3 2 6 6 2 2 2" xfId="14404" xr:uid="{7DB7F1A5-2511-43BB-9006-40B9E33BD702}"/>
    <cellStyle name="Comma 3 2 6 6 2 2 2 2" xfId="30608" xr:uid="{B82792B7-96B4-4422-B6AA-BF49CD226953}"/>
    <cellStyle name="Comma 3 2 6 6 2 2 3" xfId="23097" xr:uid="{E9C74FF8-E5F1-4C4A-A188-A4350961E093}"/>
    <cellStyle name="Comma 3 2 6 6 2 3" xfId="8890" xr:uid="{5377594A-4EA0-4F45-A925-3DCEC2A5C2B0}"/>
    <cellStyle name="Comma 3 2 6 6 2 3 2" xfId="16394" xr:uid="{0A7E9CFC-B7B8-4D10-8CD1-136F5A539AED}"/>
    <cellStyle name="Comma 3 2 6 6 2 3 2 2" xfId="32598" xr:uid="{050214C7-4AC8-4C65-912C-AE0039623BAD}"/>
    <cellStyle name="Comma 3 2 6 6 2 3 3" xfId="25094" xr:uid="{5D6C42E5-510B-43FC-A864-14B266C41344}"/>
    <cellStyle name="Comma 3 2 6 6 2 4" xfId="10804" xr:uid="{365506E6-7203-428F-9E10-71B404EE9C8E}"/>
    <cellStyle name="Comma 3 2 6 6 2 4 2" xfId="27008" xr:uid="{9E25C506-502E-45EF-9C84-6F2CEB6DB0FF}"/>
    <cellStyle name="Comma 3 2 6 6 2 5" xfId="17315" xr:uid="{0F77D8E0-3DA4-4B9E-93DD-2AED44B66C9B}"/>
    <cellStyle name="Comma 3 2 6 6 2 5 2" xfId="33447" xr:uid="{C6724AA1-F1BF-4DE8-BD41-651F07E97371}"/>
    <cellStyle name="Comma 3 2 6 6 2 6" xfId="19331" xr:uid="{674A267B-4C25-48E3-A97B-B822E064A92E}"/>
    <cellStyle name="Comma 3 2 6 6 3" xfId="6037" xr:uid="{9A17168E-F51F-472C-9466-108E10A1B662}"/>
    <cellStyle name="Comma 3 2 6 6 3 2" xfId="13551" xr:uid="{99193341-CEDD-417D-A90A-95D0B9ECF8D1}"/>
    <cellStyle name="Comma 3 2 6 6 3 2 2" xfId="29755" xr:uid="{84F7C65D-261D-4627-8960-46D92059BF3E}"/>
    <cellStyle name="Comma 3 2 6 6 3 3" xfId="22241" xr:uid="{7A2225FC-A57E-4358-AD99-643C7E030D0D}"/>
    <cellStyle name="Comma 3 2 6 6 4" xfId="7316" xr:uid="{B9824884-1B4C-449E-B981-AD64A75D9E02}"/>
    <cellStyle name="Comma 3 2 6 6 4 2" xfId="14825" xr:uid="{DAF36D02-A9F2-4C53-8F5D-97846F3E94D4}"/>
    <cellStyle name="Comma 3 2 6 6 4 2 2" xfId="31029" xr:uid="{AD500645-813B-4906-9B05-D292EC2AE986}"/>
    <cellStyle name="Comma 3 2 6 6 4 3" xfId="23520" xr:uid="{2E018F37-6ACA-4C6E-832F-563A7BE9F0C6}"/>
    <cellStyle name="Comma 3 2 6 6 5" xfId="9960" xr:uid="{A106EFA4-BE5C-49B8-90D5-0146DEC99A07}"/>
    <cellStyle name="Comma 3 2 6 6 5 2" xfId="26164" xr:uid="{FE738F04-C7EF-4C46-AF56-A7535C6DEFFA}"/>
    <cellStyle name="Comma 3 2 6 6 6" xfId="17314" xr:uid="{8D99D9CB-602F-4900-A20D-448785E20F8F}"/>
    <cellStyle name="Comma 3 2 6 6 6 2" xfId="33446" xr:uid="{4443EF4F-B13C-4E32-A10A-F85BB3B26316}"/>
    <cellStyle name="Comma 3 2 6 6 7" xfId="18486" xr:uid="{7F096E5A-4E5E-4007-8DED-AC951E63D29E}"/>
    <cellStyle name="Comma 3 2 6 7" xfId="2686" xr:uid="{003CE499-60AD-4496-9616-E1AA0D59F40E}"/>
    <cellStyle name="Comma 3 2 6 7 2" xfId="6470" xr:uid="{F449B1FE-EEE7-4CE6-A64E-1793C5535919}"/>
    <cellStyle name="Comma 3 2 6 7 2 2" xfId="13982" xr:uid="{1E7840FF-D346-4A35-9CDE-466BF9861C89}"/>
    <cellStyle name="Comma 3 2 6 7 2 2 2" xfId="30186" xr:uid="{9447E768-E4E6-4256-8F0B-119527D4C863}"/>
    <cellStyle name="Comma 3 2 6 7 2 3" xfId="22674" xr:uid="{8792C9BA-7CF5-450C-AC37-BA4F46E50778}"/>
    <cellStyle name="Comma 3 2 6 7 3" xfId="9018" xr:uid="{78E67890-D099-4055-A3F5-E07798A4F23B}"/>
    <cellStyle name="Comma 3 2 6 7 3 2" xfId="16509" xr:uid="{C8858915-E493-4D38-9B85-F86B8A5F36EE}"/>
    <cellStyle name="Comma 3 2 6 7 3 2 2" xfId="32713" xr:uid="{6DF7982A-280F-408E-8235-9DB253570C28}"/>
    <cellStyle name="Comma 3 2 6 7 3 3" xfId="25222" xr:uid="{53BDF43A-1D43-457A-9B43-7DBF6C6CB7D0}"/>
    <cellStyle name="Comma 3 2 6 7 4" xfId="10382" xr:uid="{F46F5E65-98EC-4C4D-927A-74CE8525386D}"/>
    <cellStyle name="Comma 3 2 6 7 4 2" xfId="26586" xr:uid="{2AE1F3E3-3A2A-4EEF-A27D-E9E31C22E912}"/>
    <cellStyle name="Comma 3 2 6 7 5" xfId="17316" xr:uid="{3A7BA18C-C68D-4A17-817D-13FE923481E3}"/>
    <cellStyle name="Comma 3 2 6 7 5 2" xfId="33448" xr:uid="{D0A73F5F-6226-4D71-9CBA-AACF71F960E5}"/>
    <cellStyle name="Comma 3 2 6 7 6" xfId="18908" xr:uid="{6D409A6D-6C5E-4187-A089-89ADF377361F}"/>
    <cellStyle name="Comma 3 2 6 8" xfId="3613" xr:uid="{C9BFEE94-1A2C-44DC-B69B-6DE2C6FD5DE2}"/>
    <cellStyle name="Comma 3 2 6 8 2" xfId="7326" xr:uid="{80ADDA13-576F-46B2-8704-B2576C185D37}"/>
    <cellStyle name="Comma 3 2 6 8 2 2" xfId="14835" xr:uid="{0738E293-0F42-4165-A9B8-8C996D7E42CD}"/>
    <cellStyle name="Comma 3 2 6 8 2 2 2" xfId="31039" xr:uid="{A5AC34DE-D06F-4E03-B8A0-F7A0C47582A2}"/>
    <cellStyle name="Comma 3 2 6 8 2 3" xfId="23530" xr:uid="{5F03F015-D7EC-43E7-865E-CADD07D859A9}"/>
    <cellStyle name="Comma 3 2 6 8 3" xfId="5606" xr:uid="{71483B6A-A52C-41A8-A895-8D9F58F1561D}"/>
    <cellStyle name="Comma 3 2 6 8 3 2" xfId="13121" xr:uid="{76A4B678-B74F-4DD1-8F49-F0654E6D2E0C}"/>
    <cellStyle name="Comma 3 2 6 8 3 2 2" xfId="29325" xr:uid="{7EC2C401-4684-48F8-B20F-E1D77A3CE13F}"/>
    <cellStyle name="Comma 3 2 6 8 3 3" xfId="21810" xr:uid="{A5401659-2DDE-468D-9D4E-7E97EA92B001}"/>
    <cellStyle name="Comma 3 2 6 8 4" xfId="11227" xr:uid="{85C47FFE-0D68-4206-8774-4A5BF7B46600}"/>
    <cellStyle name="Comma 3 2 6 8 4 2" xfId="27431" xr:uid="{0B5A772C-9763-4C4A-B8E3-F2B8E6106BBA}"/>
    <cellStyle name="Comma 3 2 6 8 5" xfId="17317" xr:uid="{07DB5C36-7A8C-4AD3-9932-3A9E124BB6E2}"/>
    <cellStyle name="Comma 3 2 6 8 5 2" xfId="33449" xr:uid="{BBE388EF-1937-4C36-BF9B-B2B393507852}"/>
    <cellStyle name="Comma 3 2 6 8 6" xfId="19822" xr:uid="{C88BB7A1-B6B2-423B-A123-6A4BE1956EE0}"/>
    <cellStyle name="Comma 3 2 6 9" xfId="3923" xr:uid="{68E48C3E-AE24-491A-B7F1-5DF5092D51DE}"/>
    <cellStyle name="Comma 3 2 6 9 2" xfId="9152" xr:uid="{384C3063-C530-47A8-92D8-B9BBB412B0AB}"/>
    <cellStyle name="Comma 3 2 6 9 2 2" xfId="25356" xr:uid="{59CC2F0F-00FC-48F1-99D1-B280F0CC8DDF}"/>
    <cellStyle name="Comma 3 2 6 9 3" xfId="17318" xr:uid="{F5533E6E-A2CB-43E8-BCCA-6C90528153C7}"/>
    <cellStyle name="Comma 3 2 6 9 3 2" xfId="33450" xr:uid="{BF424A47-5128-43C3-A07E-95E7ADA343A7}"/>
    <cellStyle name="Comma 3 2 6 9 4" xfId="20129" xr:uid="{4345DAF4-1A4D-49D3-A554-39FE0AF09233}"/>
    <cellStyle name="Comma 3 2 7" xfId="1625" xr:uid="{83EB1656-4034-40C3-90AC-770F737891C8}"/>
    <cellStyle name="Comma 3 2 7 10" xfId="4088" xr:uid="{BB103095-9B5A-42D1-82C9-CC46C962DDBB}"/>
    <cellStyle name="Comma 3 2 7 10 2" xfId="7758" xr:uid="{A242DDE8-B85C-4102-BBF9-3FE076C00086}"/>
    <cellStyle name="Comma 3 2 7 10 2 2" xfId="15265" xr:uid="{53762CBA-C432-43D3-8795-6EA0F9000310}"/>
    <cellStyle name="Comma 3 2 7 10 2 2 2" xfId="31469" xr:uid="{7A9DC618-8729-4769-B4E3-60B589C805C8}"/>
    <cellStyle name="Comma 3 2 7 10 2 3" xfId="23962" xr:uid="{3F3D62D5-88C7-4048-9CF9-22E7A285DCD5}"/>
    <cellStyle name="Comma 3 2 7 10 3" xfId="9290" xr:uid="{F6F52F8C-B7E0-483D-988C-63CEF02C40BF}"/>
    <cellStyle name="Comma 3 2 7 10 3 2" xfId="16747" xr:uid="{59002199-132B-4F5B-B772-3024021E9055}"/>
    <cellStyle name="Comma 3 2 7 10 3 2 2" xfId="32951" xr:uid="{66F83903-3D70-4025-BD62-547BCC30D6E1}"/>
    <cellStyle name="Comma 3 2 7 10 3 3" xfId="25494" xr:uid="{31F9896D-0646-4788-9827-F5AF010B0DEC}"/>
    <cellStyle name="Comma 3 2 7 10 4" xfId="11651" xr:uid="{B15166E3-EBFF-4C4B-BF1E-0C2398946A29}"/>
    <cellStyle name="Comma 3 2 7 10 4 2" xfId="27855" xr:uid="{DC1F9B32-551F-4C36-ACEB-5F126C9D6A85}"/>
    <cellStyle name="Comma 3 2 7 10 5" xfId="17320" xr:uid="{C32648BA-30B9-48F9-BCA3-D518CF99463A}"/>
    <cellStyle name="Comma 3 2 7 10 5 2" xfId="33452" xr:uid="{87E560AA-9E7E-471D-8A88-8857831DFE80}"/>
    <cellStyle name="Comma 3 2 7 10 6" xfId="20292" xr:uid="{13392250-8851-4368-B977-C9311208FC56}"/>
    <cellStyle name="Comma 3 2 7 11" xfId="4513" xr:uid="{E504AD0E-6242-4B18-9584-0C2155582ECE}"/>
    <cellStyle name="Comma 3 2 7 11 2" xfId="8183" xr:uid="{9C609998-D1BF-4A46-83A3-A77A5CBD69EC}"/>
    <cellStyle name="Comma 3 2 7 11 2 2" xfId="15690" xr:uid="{776013E8-130C-4823-9FBD-EE22DE72939C}"/>
    <cellStyle name="Comma 3 2 7 11 2 2 2" xfId="31894" xr:uid="{0FD390E8-02CD-4A61-863B-A1AAD1163A10}"/>
    <cellStyle name="Comma 3 2 7 11 2 3" xfId="24387" xr:uid="{58B78B61-8983-42D7-B9C3-A57A5E327AB8}"/>
    <cellStyle name="Comma 3 2 7 11 3" xfId="8952" xr:uid="{65F66527-13E0-4162-B75A-A16457FF1731}"/>
    <cellStyle name="Comma 3 2 7 11 3 2" xfId="16447" xr:uid="{54C1969B-7044-44F9-9509-8C01783F89D9}"/>
    <cellStyle name="Comma 3 2 7 11 3 2 2" xfId="32651" xr:uid="{E92F3B7A-D3CB-42E9-99D1-0C95C48BD7BA}"/>
    <cellStyle name="Comma 3 2 7 11 3 3" xfId="25156" xr:uid="{B1D5601D-B727-4B90-A138-8D36D1B4B3B3}"/>
    <cellStyle name="Comma 3 2 7 11 4" xfId="12076" xr:uid="{B0AA7E2B-343B-4606-AC19-A4C559B4C851}"/>
    <cellStyle name="Comma 3 2 7 11 4 2" xfId="28280" xr:uid="{C1B30381-996F-471A-AFB8-B520E628D4E8}"/>
    <cellStyle name="Comma 3 2 7 11 5" xfId="17321" xr:uid="{3EC53937-3A73-4570-9EBA-22C31B7B564A}"/>
    <cellStyle name="Comma 3 2 7 11 5 2" xfId="33453" xr:uid="{B15384CE-4C9E-4222-9E41-FDA8F5636615}"/>
    <cellStyle name="Comma 3 2 7 11 6" xfId="20717" xr:uid="{86B82DB2-46BE-4DDD-BF6C-88E38D0C37AC}"/>
    <cellStyle name="Comma 3 2 7 12" xfId="4940" xr:uid="{386A47B2-A814-4BCB-B8F8-E2EA9757A244}"/>
    <cellStyle name="Comma 3 2 7 12 2" xfId="8606" xr:uid="{D7292DC2-62DD-4B20-B140-6699443400F7}"/>
    <cellStyle name="Comma 3 2 7 12 2 2" xfId="16113" xr:uid="{4F5D71A2-DDAD-41BE-A60A-A5B3B7B30993}"/>
    <cellStyle name="Comma 3 2 7 12 2 2 2" xfId="32317" xr:uid="{1EC72504-F338-4EF5-9470-C8BAE79B5450}"/>
    <cellStyle name="Comma 3 2 7 12 2 3" xfId="24810" xr:uid="{D2F0C1F6-16C9-480D-B4A5-22CE8784D48E}"/>
    <cellStyle name="Comma 3 2 7 12 3" xfId="12498" xr:uid="{60ECCC04-680F-4009-AD79-F79A9BD6AB7B}"/>
    <cellStyle name="Comma 3 2 7 12 3 2" xfId="28702" xr:uid="{5667E919-90D9-473A-9A39-9FA35885339E}"/>
    <cellStyle name="Comma 3 2 7 12 4" xfId="21144" xr:uid="{DF46088A-E392-48B5-9675-9392EE942384}"/>
    <cellStyle name="Comma 3 2 7 13" xfId="5586" xr:uid="{C1A3759F-8A03-4BCC-9F8C-4D99943F40C2}"/>
    <cellStyle name="Comma 3 2 7 13 2" xfId="13103" xr:uid="{35D72390-8901-4372-9A7E-57AEE8DDD3E9}"/>
    <cellStyle name="Comma 3 2 7 13 2 2" xfId="29307" xr:uid="{04913AC4-240D-4E7B-AED6-F39E1F247CDC}"/>
    <cellStyle name="Comma 3 2 7 13 3" xfId="21790" xr:uid="{EA559037-D12B-4963-ADDE-C48E753B2D01}"/>
    <cellStyle name="Comma 3 2 7 14" xfId="9539" xr:uid="{779C7D75-A96D-4422-8AB1-C10099EA28D8}"/>
    <cellStyle name="Comma 3 2 7 14 2" xfId="25743" xr:uid="{4B267243-A187-476B-911F-5A0FE0177930}"/>
    <cellStyle name="Comma 3 2 7 15" xfId="17319" xr:uid="{9BA80D11-DDF2-4991-8567-4DDFDB97EDED}"/>
    <cellStyle name="Comma 3 2 7 15 2" xfId="33451" xr:uid="{02CE93E5-6234-49BC-AC66-4ED0D7087D77}"/>
    <cellStyle name="Comma 3 2 7 16" xfId="18062" xr:uid="{E508147C-3582-4395-9916-6B86ECA2A8DF}"/>
    <cellStyle name="Comma 3 2 7 2" xfId="1756" xr:uid="{3B9465AA-AEE8-45B9-87EC-997178C4F934}"/>
    <cellStyle name="Comma 3 2 7 2 10" xfId="5625" xr:uid="{348A373C-B89B-4228-A7D2-A09EF3A604E3}"/>
    <cellStyle name="Comma 3 2 7 2 10 2" xfId="13140" xr:uid="{6A038CB6-9351-4D63-98C2-1448BF405166}"/>
    <cellStyle name="Comma 3 2 7 2 10 2 2" xfId="29344" xr:uid="{C4C81482-B3BE-4DA6-9DBF-33066CB37297}"/>
    <cellStyle name="Comma 3 2 7 2 10 3" xfId="21829" xr:uid="{FA6C4A80-9FF9-4110-9561-099C2BC140A5}"/>
    <cellStyle name="Comma 3 2 7 2 11" xfId="9553" xr:uid="{BED87175-D187-495E-8A67-FC48CAA2DD76}"/>
    <cellStyle name="Comma 3 2 7 2 11 2" xfId="25757" xr:uid="{A04EE1DC-4546-4B5D-B223-003F3CA2FF11}"/>
    <cellStyle name="Comma 3 2 7 2 12" xfId="17322" xr:uid="{5D9D7974-F98E-47CF-AB85-63E70E34FBE3}"/>
    <cellStyle name="Comma 3 2 7 2 12 2" xfId="33454" xr:uid="{3F4E8884-0CA9-4277-95C4-D8F87B9B1190}"/>
    <cellStyle name="Comma 3 2 7 2 13" xfId="18076" xr:uid="{B1ED1802-4930-47E0-9DCD-03AF36206110}"/>
    <cellStyle name="Comma 3 2 7 2 2" xfId="1922" xr:uid="{675E5044-B5EC-4A33-9FCB-E319769BF5C7}"/>
    <cellStyle name="Comma 3 2 7 2 2 10" xfId="9702" xr:uid="{E71041E3-4C54-46B9-998F-0FFA6513718C}"/>
    <cellStyle name="Comma 3 2 7 2 2 10 2" xfId="25906" xr:uid="{350C90D8-F715-41EF-9187-CF87503A763F}"/>
    <cellStyle name="Comma 3 2 7 2 2 11" xfId="17323" xr:uid="{8B760447-A23E-475A-B887-5EEA139CBE1B}"/>
    <cellStyle name="Comma 3 2 7 2 2 11 2" xfId="33455" xr:uid="{AE27A3CF-B6C9-423D-9E05-C1E8D6B221C4}"/>
    <cellStyle name="Comma 3 2 7 2 2 12" xfId="18226" xr:uid="{1B134CBF-7302-4780-983D-D535A1F2A802}"/>
    <cellStyle name="Comma 3 2 7 2 2 2" xfId="2429" xr:uid="{F774F6D3-EE4C-4B4F-9C2A-232C8DF6F115}"/>
    <cellStyle name="Comma 3 2 7 2 2 2 2" xfId="3276" xr:uid="{A52D48F8-0189-4E78-BC26-BA89888E4A29}"/>
    <cellStyle name="Comma 3 2 7 2 2 2 2 2" xfId="7058" xr:uid="{90246F86-CC11-4589-8C64-9399E5A32914}"/>
    <cellStyle name="Comma 3 2 7 2 2 2 2 2 2" xfId="14569" xr:uid="{7434609F-A1A2-4AAC-B4D0-2969D4B8141D}"/>
    <cellStyle name="Comma 3 2 7 2 2 2 2 2 2 2" xfId="30773" xr:uid="{657B5A4C-4B2B-4855-A399-B77BEC37BF94}"/>
    <cellStyle name="Comma 3 2 7 2 2 2 2 2 3" xfId="23262" xr:uid="{4E646B15-6E0E-4663-8CD4-05F2AC8F1385}"/>
    <cellStyle name="Comma 3 2 7 2 2 2 2 3" xfId="9286" xr:uid="{BE6DEC0C-6C01-4DDB-832F-E2B861B12B9C}"/>
    <cellStyle name="Comma 3 2 7 2 2 2 2 3 2" xfId="16744" xr:uid="{CEDFBBB8-3E58-4C45-8F5A-E68DEDC5E191}"/>
    <cellStyle name="Comma 3 2 7 2 2 2 2 3 2 2" xfId="32948" xr:uid="{D9A9C01F-2B08-441E-B008-D59732CFE7CE}"/>
    <cellStyle name="Comma 3 2 7 2 2 2 2 3 3" xfId="25490" xr:uid="{A418DBF2-4B1D-436B-82CF-71911962C56A}"/>
    <cellStyle name="Comma 3 2 7 2 2 2 2 4" xfId="10969" xr:uid="{4E4149C6-40A8-49B2-BA9C-95562B1F7713}"/>
    <cellStyle name="Comma 3 2 7 2 2 2 2 4 2" xfId="27173" xr:uid="{5AB33848-95F7-4868-86B5-71248B199BB5}"/>
    <cellStyle name="Comma 3 2 7 2 2 2 2 5" xfId="17325" xr:uid="{2DAABF8E-A928-4F6D-9E86-D04CF7418537}"/>
    <cellStyle name="Comma 3 2 7 2 2 2 2 5 2" xfId="33457" xr:uid="{897B0D7A-32E5-4748-A2DA-4B3B8A151BCD}"/>
    <cellStyle name="Comma 3 2 7 2 2 2 2 6" xfId="19496" xr:uid="{994B9624-CD69-440C-8F2C-A5843772C1EE}"/>
    <cellStyle name="Comma 3 2 7 2 2 2 3" xfId="6213" xr:uid="{AB83ED2B-A217-4367-9FA3-203EC3228344}"/>
    <cellStyle name="Comma 3 2 7 2 2 2 3 2" xfId="13725" xr:uid="{E313956B-56D2-4F69-91BA-E86BA2D20E15}"/>
    <cellStyle name="Comma 3 2 7 2 2 2 3 2 2" xfId="29929" xr:uid="{70C5EB92-D307-4D32-8EE6-54D1DA043065}"/>
    <cellStyle name="Comma 3 2 7 2 2 2 3 3" xfId="22417" xr:uid="{3C476FDF-B303-4FE9-9EBB-2EEC8348525B}"/>
    <cellStyle name="Comma 3 2 7 2 2 2 4" xfId="9027" xr:uid="{B2EFB1D7-ABA2-4F2C-8577-F894BC440340}"/>
    <cellStyle name="Comma 3 2 7 2 2 2 4 2" xfId="16518" xr:uid="{998E7A35-B705-470D-993D-F44327B86033}"/>
    <cellStyle name="Comma 3 2 7 2 2 2 4 2 2" xfId="32722" xr:uid="{2BC6A6F9-6DBF-4978-B27C-018CCA203B71}"/>
    <cellStyle name="Comma 3 2 7 2 2 2 4 3" xfId="25231" xr:uid="{A0E972B6-055E-4D59-AF65-06874FFC6D98}"/>
    <cellStyle name="Comma 3 2 7 2 2 2 5" xfId="10125" xr:uid="{8B0BF15C-73FA-41F9-94ED-EE8FA95D4D53}"/>
    <cellStyle name="Comma 3 2 7 2 2 2 5 2" xfId="26329" xr:uid="{304253C9-26D1-4A2E-9590-F668663AD4A5}"/>
    <cellStyle name="Comma 3 2 7 2 2 2 6" xfId="17324" xr:uid="{9C5881D4-4B64-4BC8-8433-6FFEA8AB109F}"/>
    <cellStyle name="Comma 3 2 7 2 2 2 6 2" xfId="33456" xr:uid="{14AE9BAF-80DB-493D-8C72-74177FF22623}"/>
    <cellStyle name="Comma 3 2 7 2 2 2 7" xfId="18651" xr:uid="{683F4027-5916-4D37-AFFC-1474127F9B0A}"/>
    <cellStyle name="Comma 3 2 7 2 2 3" xfId="2851" xr:uid="{E83C1C8B-987F-4EF8-A11B-31FB7743C7FC}"/>
    <cellStyle name="Comma 3 2 7 2 2 3 2" xfId="6635" xr:uid="{DC39617C-5D31-4047-8AAA-225A5E126267}"/>
    <cellStyle name="Comma 3 2 7 2 2 3 2 2" xfId="14147" xr:uid="{E4171303-A054-4B70-B07E-B941BE2FE54F}"/>
    <cellStyle name="Comma 3 2 7 2 2 3 2 2 2" xfId="30351" xr:uid="{5ADB33E3-0251-455B-86CD-0D853B056788}"/>
    <cellStyle name="Comma 3 2 7 2 2 3 2 3" xfId="22839" xr:uid="{1C7DA1C0-9450-408B-972A-6C1B75722A1B}"/>
    <cellStyle name="Comma 3 2 7 2 2 3 3" xfId="9355" xr:uid="{C52B2B21-63CC-4FAB-BDAC-D33E354E7DBE}"/>
    <cellStyle name="Comma 3 2 7 2 2 3 3 2" xfId="16797" xr:uid="{ADE36822-788F-46EB-8D61-4AEFDD9CE4FB}"/>
    <cellStyle name="Comma 3 2 7 2 2 3 3 2 2" xfId="33001" xr:uid="{D1589655-D8CA-48DE-BA72-C0AB3C3588FB}"/>
    <cellStyle name="Comma 3 2 7 2 2 3 3 3" xfId="25559" xr:uid="{A2246161-FF6D-44EB-99AE-01603BD46855}"/>
    <cellStyle name="Comma 3 2 7 2 2 3 4" xfId="10547" xr:uid="{3FB10AD5-0CA7-4075-B3BB-9EDF83182FDA}"/>
    <cellStyle name="Comma 3 2 7 2 2 3 4 2" xfId="26751" xr:uid="{5C172B51-84A7-4B8C-9E74-EE55AC6C6ECE}"/>
    <cellStyle name="Comma 3 2 7 2 2 3 5" xfId="17326" xr:uid="{B7D83400-ACCA-4E24-AE85-AE883660E53B}"/>
    <cellStyle name="Comma 3 2 7 2 2 3 5 2" xfId="33458" xr:uid="{14007492-F10E-443B-8C8D-26012CE8DC46}"/>
    <cellStyle name="Comma 3 2 7 2 2 3 6" xfId="19073" xr:uid="{D84C8E3E-6171-4869-94D9-D9CEB0EE81F3}"/>
    <cellStyle name="Comma 3 2 7 2 2 4" xfId="3782" xr:uid="{33CAB28A-FD42-4879-9ABB-7D1270A5F905}"/>
    <cellStyle name="Comma 3 2 7 2 2 4 2" xfId="7492" xr:uid="{4430CA2A-0976-42F8-B3B9-F527DEE62AC1}"/>
    <cellStyle name="Comma 3 2 7 2 2 4 2 2" xfId="15001" xr:uid="{7DB56B6F-7176-438D-AA46-50D36920CAC4}"/>
    <cellStyle name="Comma 3 2 7 2 2 4 2 2 2" xfId="31205" xr:uid="{EB610BCB-E855-45B9-AC54-271923727533}"/>
    <cellStyle name="Comma 3 2 7 2 2 4 2 3" xfId="23696" xr:uid="{469F0F5B-28D7-415E-BB8A-E8ED400E7E13}"/>
    <cellStyle name="Comma 3 2 7 2 2 4 3" xfId="5456" xr:uid="{81EF968F-4D0F-4F20-A077-B5F85D7A9FA9}"/>
    <cellStyle name="Comma 3 2 7 2 2 4 3 2" xfId="12998" xr:uid="{D43CCE41-CB1A-4D9C-8310-A1FCDB45C8DA}"/>
    <cellStyle name="Comma 3 2 7 2 2 4 3 2 2" xfId="29202" xr:uid="{BB511D2E-A977-4233-8020-BD8B176CA5FB}"/>
    <cellStyle name="Comma 3 2 7 2 2 4 3 3" xfId="21660" xr:uid="{34BDA8BD-9C80-4540-BC34-9D0763485825}"/>
    <cellStyle name="Comma 3 2 7 2 2 4 4" xfId="11392" xr:uid="{D2AAB262-8D8D-4838-9C53-4B4F4534189C}"/>
    <cellStyle name="Comma 3 2 7 2 2 4 4 2" xfId="27596" xr:uid="{2608FF2A-0B6C-4D16-A7DE-10B92383FEC5}"/>
    <cellStyle name="Comma 3 2 7 2 2 4 5" xfId="17327" xr:uid="{3C11624D-7E9C-4045-860F-CFAD183A3B5D}"/>
    <cellStyle name="Comma 3 2 7 2 2 4 5 2" xfId="33459" xr:uid="{198317C8-42CA-4210-81A3-3972F361772B}"/>
    <cellStyle name="Comma 3 2 7 2 2 4 6" xfId="19991" xr:uid="{43A4E6AA-64BC-451A-9B27-594BD1834A7F}"/>
    <cellStyle name="Comma 3 2 7 2 2 5" xfId="3588" xr:uid="{4E444ABC-BEBE-47DA-BCF7-F0DDFAE32502}"/>
    <cellStyle name="Comma 3 2 7 2 2 5 2" xfId="9034" xr:uid="{FF0E9DF6-819D-4262-862A-EFA25B35CDDC}"/>
    <cellStyle name="Comma 3 2 7 2 2 5 2 2" xfId="25238" xr:uid="{A77C7FC6-B1FB-4374-B869-4E0A87731127}"/>
    <cellStyle name="Comma 3 2 7 2 2 5 3" xfId="17328" xr:uid="{A2583884-496C-4B42-A1C7-6B6A4E33D2AC}"/>
    <cellStyle name="Comma 3 2 7 2 2 5 3 2" xfId="33460" xr:uid="{4B72B4C9-3DBD-474A-BE34-5F0D1CA184B8}"/>
    <cellStyle name="Comma 3 2 7 2 2 5 4" xfId="19799" xr:uid="{1C117D4A-8873-4879-884B-0033E4BE3BBB}"/>
    <cellStyle name="Comma 3 2 7 2 2 6" xfId="4251" xr:uid="{5BD68936-049E-4DDB-9477-2CD5C0E19A9D}"/>
    <cellStyle name="Comma 3 2 7 2 2 6 2" xfId="7921" xr:uid="{8B9B9D39-A70C-4473-955C-A7C8621FADD6}"/>
    <cellStyle name="Comma 3 2 7 2 2 6 2 2" xfId="15428" xr:uid="{83C49FC7-E8B3-44FE-80F4-EF637CA6FD7E}"/>
    <cellStyle name="Comma 3 2 7 2 2 6 2 2 2" xfId="31632" xr:uid="{0C99F10E-875E-44EB-B62A-A4E14B2B1D73}"/>
    <cellStyle name="Comma 3 2 7 2 2 6 2 3" xfId="24125" xr:uid="{60103E92-41FC-47E3-A7F3-762BDDA32229}"/>
    <cellStyle name="Comma 3 2 7 2 2 6 3" xfId="8903" xr:uid="{72D277AA-950C-46A2-9662-7294B6B6628B}"/>
    <cellStyle name="Comma 3 2 7 2 2 6 3 2" xfId="16406" xr:uid="{0D415BA9-DE81-4287-8914-BAD18A4FF178}"/>
    <cellStyle name="Comma 3 2 7 2 2 6 3 2 2" xfId="32610" xr:uid="{47CD1F07-4DA7-4C23-9B5E-DF60501C6D22}"/>
    <cellStyle name="Comma 3 2 7 2 2 6 3 3" xfId="25107" xr:uid="{E4E2ACB0-2A94-447F-B82C-2C0D9DBBBDC8}"/>
    <cellStyle name="Comma 3 2 7 2 2 6 4" xfId="11814" xr:uid="{AC0C6935-9BBA-4FD4-82A0-3DCEFCF818C8}"/>
    <cellStyle name="Comma 3 2 7 2 2 6 4 2" xfId="28018" xr:uid="{53AFC864-C072-453C-A1BC-4FA7D380762E}"/>
    <cellStyle name="Comma 3 2 7 2 2 6 5" xfId="17329" xr:uid="{56A0FC61-1C5A-430C-A35D-7E1BD0C3EC0E}"/>
    <cellStyle name="Comma 3 2 7 2 2 6 5 2" xfId="33461" xr:uid="{83BB44B9-94BC-440B-88C7-05695F815330}"/>
    <cellStyle name="Comma 3 2 7 2 2 6 6" xfId="20455" xr:uid="{DCB41999-781F-4F4C-904C-F7843B3DD0D3}"/>
    <cellStyle name="Comma 3 2 7 2 2 7" xfId="4676" xr:uid="{DAA6A2F0-2DFC-4E63-830D-07F79DE6A68E}"/>
    <cellStyle name="Comma 3 2 7 2 2 7 2" xfId="8346" xr:uid="{EA565EFC-2511-48FA-A954-B73C6E1043A3}"/>
    <cellStyle name="Comma 3 2 7 2 2 7 2 2" xfId="15853" xr:uid="{525642C1-1CD1-4037-9CB2-59F8AC280DC0}"/>
    <cellStyle name="Comma 3 2 7 2 2 7 2 2 2" xfId="32057" xr:uid="{F8E5DB2E-B50C-448C-B1B9-2F359B2AB9C8}"/>
    <cellStyle name="Comma 3 2 7 2 2 7 2 3" xfId="24550" xr:uid="{0ED720FD-C822-4DF6-99D6-FEA7E50E16EA}"/>
    <cellStyle name="Comma 3 2 7 2 2 7 3" xfId="8917" xr:uid="{573EE22E-9809-4CBB-AE85-FC0E0D58D8B8}"/>
    <cellStyle name="Comma 3 2 7 2 2 7 3 2" xfId="16420" xr:uid="{F89085E4-0F90-482B-AAE8-46D0B7C66066}"/>
    <cellStyle name="Comma 3 2 7 2 2 7 3 2 2" xfId="32624" xr:uid="{92A1198A-AF6E-450D-A228-D5EE0479FF3D}"/>
    <cellStyle name="Comma 3 2 7 2 2 7 3 3" xfId="25121" xr:uid="{99A9F9F4-B628-47F5-9F21-00A7B3E27D3B}"/>
    <cellStyle name="Comma 3 2 7 2 2 7 4" xfId="12239" xr:uid="{1414922D-6B7D-4B00-93FF-9C1C97318279}"/>
    <cellStyle name="Comma 3 2 7 2 2 7 4 2" xfId="28443" xr:uid="{C92E7ACC-E5B1-4417-8F10-746B6A00A035}"/>
    <cellStyle name="Comma 3 2 7 2 2 7 5" xfId="17330" xr:uid="{2624396F-9FB1-4160-AF47-2F98B4E7394C}"/>
    <cellStyle name="Comma 3 2 7 2 2 7 5 2" xfId="33462" xr:uid="{C587F735-FDE3-4641-940D-62BE0368A71A}"/>
    <cellStyle name="Comma 3 2 7 2 2 7 6" xfId="20880" xr:uid="{EA3B4C2C-3F83-4CB6-8F44-59A17B0B3BC5}"/>
    <cellStyle name="Comma 3 2 7 2 2 8" xfId="5104" xr:uid="{0C42D192-5F9B-4CE6-98D5-7D48F0C20ABE}"/>
    <cellStyle name="Comma 3 2 7 2 2 8 2" xfId="8769" xr:uid="{33778583-C828-47F3-8D8D-0FDF7552EB8F}"/>
    <cellStyle name="Comma 3 2 7 2 2 8 2 2" xfId="16276" xr:uid="{679841C4-8B40-44D5-A90E-D534A6E19A6B}"/>
    <cellStyle name="Comma 3 2 7 2 2 8 2 2 2" xfId="32480" xr:uid="{F91ECEF4-2066-4F30-B3A6-2AE88C649900}"/>
    <cellStyle name="Comma 3 2 7 2 2 8 2 3" xfId="24973" xr:uid="{EF0EB51E-570C-4BA9-AD97-C748B275DAEA}"/>
    <cellStyle name="Comma 3 2 7 2 2 8 3" xfId="12661" xr:uid="{F8D8049A-D786-4341-95F3-805E5BF00952}"/>
    <cellStyle name="Comma 3 2 7 2 2 8 3 2" xfId="28865" xr:uid="{7A868834-9366-47DA-9831-26D74698BCCD}"/>
    <cellStyle name="Comma 3 2 7 2 2 8 4" xfId="21308" xr:uid="{CC2B370B-B0C8-425E-B860-1249E5A364DD}"/>
    <cellStyle name="Comma 3 2 7 2 2 9" xfId="5775" xr:uid="{41A79895-62F5-4C30-8A7D-2B35305B1192}"/>
    <cellStyle name="Comma 3 2 7 2 2 9 2" xfId="13290" xr:uid="{C9B99F9D-B44E-49D4-8507-C675E11C0529}"/>
    <cellStyle name="Comma 3 2 7 2 2 9 2 2" xfId="29494" xr:uid="{8B59613F-5FC4-4B82-8C34-3D05CC43C98A}"/>
    <cellStyle name="Comma 3 2 7 2 2 9 3" xfId="21979" xr:uid="{318DBA23-CBF1-419C-BA8F-889E5B0EC6F5}"/>
    <cellStyle name="Comma 3 2 7 2 3" xfId="2276" xr:uid="{16E05FAF-4865-44A5-B433-19E416C58F97}"/>
    <cellStyle name="Comma 3 2 7 2 3 2" xfId="3127" xr:uid="{2EDDCC06-079D-41FA-BFFA-0CE332A1BBE3}"/>
    <cellStyle name="Comma 3 2 7 2 3 2 2" xfId="6909" xr:uid="{1CF97833-BA2B-4027-A2F7-459868EB8354}"/>
    <cellStyle name="Comma 3 2 7 2 3 2 2 2" xfId="14420" xr:uid="{1D7336C6-6AB1-4268-80AA-42EFA7BF42B4}"/>
    <cellStyle name="Comma 3 2 7 2 3 2 2 2 2" xfId="30624" xr:uid="{F7B262BA-4132-4164-8B93-2582785721AA}"/>
    <cellStyle name="Comma 3 2 7 2 3 2 2 3" xfId="23113" xr:uid="{69334D6C-752C-4E00-8AD7-83B2F09ACBCB}"/>
    <cellStyle name="Comma 3 2 7 2 3 2 3" xfId="6041" xr:uid="{CADB95D2-856C-4018-8084-AD146B7FD050}"/>
    <cellStyle name="Comma 3 2 7 2 3 2 3 2" xfId="13555" xr:uid="{2DB7EDCB-1E6B-47B2-A5C9-FFEF5B1A32A9}"/>
    <cellStyle name="Comma 3 2 7 2 3 2 3 2 2" xfId="29759" xr:uid="{50D04E94-DDE7-434D-9C8F-3379D3305C1B}"/>
    <cellStyle name="Comma 3 2 7 2 3 2 3 3" xfId="22245" xr:uid="{68A95C57-41B2-44D7-80C5-A891A70ED4B3}"/>
    <cellStyle name="Comma 3 2 7 2 3 2 4" xfId="10820" xr:uid="{45093834-8B40-4CE9-A450-826EDA746AF8}"/>
    <cellStyle name="Comma 3 2 7 2 3 2 4 2" xfId="27024" xr:uid="{C2F3F68A-A4A0-4498-8383-F57F13063D0D}"/>
    <cellStyle name="Comma 3 2 7 2 3 2 5" xfId="17332" xr:uid="{EDAC7AF3-AA28-41A5-85CE-82A206F3D4A6}"/>
    <cellStyle name="Comma 3 2 7 2 3 2 5 2" xfId="33464" xr:uid="{FBCEE98B-930C-4931-98A6-F5B7325E9516}"/>
    <cellStyle name="Comma 3 2 7 2 3 2 6" xfId="19347" xr:uid="{5FD6EBCF-9008-4239-8D35-C5C1843A7085}"/>
    <cellStyle name="Comma 3 2 7 2 3 3" xfId="6064" xr:uid="{5864B793-7A85-4937-8018-903DC0A9CE2E}"/>
    <cellStyle name="Comma 3 2 7 2 3 3 2" xfId="13576" xr:uid="{F70A32CB-2F00-47BA-BE90-9A40E08AC579}"/>
    <cellStyle name="Comma 3 2 7 2 3 3 2 2" xfId="29780" xr:uid="{B535FDBF-B76E-4F33-81C5-ACC5BD3E9D0F}"/>
    <cellStyle name="Comma 3 2 7 2 3 3 3" xfId="22268" xr:uid="{7E6F37F6-30A1-4382-9A2A-29663225B230}"/>
    <cellStyle name="Comma 3 2 7 2 3 4" xfId="9015" xr:uid="{0C518529-A3D4-450B-A692-7397F17899A6}"/>
    <cellStyle name="Comma 3 2 7 2 3 4 2" xfId="16506" xr:uid="{FC1D08AC-9C87-488B-B5DC-FCC5A04720F0}"/>
    <cellStyle name="Comma 3 2 7 2 3 4 2 2" xfId="32710" xr:uid="{D521AF34-A2F3-404A-87BC-976E4A7D6EE7}"/>
    <cellStyle name="Comma 3 2 7 2 3 4 3" xfId="25219" xr:uid="{EEEA3044-3F7D-4DFD-93E2-A004AC9883BD}"/>
    <cellStyle name="Comma 3 2 7 2 3 5" xfId="9976" xr:uid="{67DDAB64-9E71-4B34-BBD2-3D18E67FF13E}"/>
    <cellStyle name="Comma 3 2 7 2 3 5 2" xfId="26180" xr:uid="{6F0CCDCA-E562-41C7-80F1-39C898606292}"/>
    <cellStyle name="Comma 3 2 7 2 3 6" xfId="17331" xr:uid="{A99FBD2A-49F8-4DEB-8DDD-150AC4C6CCAD}"/>
    <cellStyle name="Comma 3 2 7 2 3 6 2" xfId="33463" xr:uid="{D90B60E4-9C66-46C3-9676-CDB7FD1C6AB6}"/>
    <cellStyle name="Comma 3 2 7 2 3 7" xfId="18502" xr:uid="{73E20E29-234B-4528-A24A-C39DB088FE04}"/>
    <cellStyle name="Comma 3 2 7 2 4" xfId="2702" xr:uid="{230E79C5-6C35-4EC8-B469-EFE549F308AE}"/>
    <cellStyle name="Comma 3 2 7 2 4 2" xfId="6486" xr:uid="{3F06B249-8EA2-436D-8614-059DF13702E3}"/>
    <cellStyle name="Comma 3 2 7 2 4 2 2" xfId="13998" xr:uid="{D382C821-A774-435D-ABDC-4E4D2D0B8EBF}"/>
    <cellStyle name="Comma 3 2 7 2 4 2 2 2" xfId="30202" xr:uid="{AA5FC171-DB91-48BF-BAFA-C620401501A4}"/>
    <cellStyle name="Comma 3 2 7 2 4 2 3" xfId="22690" xr:uid="{DC142ED4-608F-4A0E-98CA-56D95EE289F9}"/>
    <cellStyle name="Comma 3 2 7 2 4 3" xfId="7308" xr:uid="{F7581A81-D776-4F90-AF29-2361BCAC38CC}"/>
    <cellStyle name="Comma 3 2 7 2 4 3 2" xfId="14818" xr:uid="{E7DE85C0-8E56-45C8-903F-29C06633C2F1}"/>
    <cellStyle name="Comma 3 2 7 2 4 3 2 2" xfId="31022" xr:uid="{D393B7B6-43E6-4DE6-A7DE-0BEE8560D174}"/>
    <cellStyle name="Comma 3 2 7 2 4 3 3" xfId="23512" xr:uid="{C110C687-E6BD-464F-A959-2985130B3562}"/>
    <cellStyle name="Comma 3 2 7 2 4 4" xfId="10398" xr:uid="{8012BF8D-4977-45E7-A862-5FC6A8046638}"/>
    <cellStyle name="Comma 3 2 7 2 4 4 2" xfId="26602" xr:uid="{AA4A98DD-1CDF-4301-AF29-AB9BEAC8AE94}"/>
    <cellStyle name="Comma 3 2 7 2 4 5" xfId="17333" xr:uid="{EC0574D6-8831-4592-96A5-84E2C523C925}"/>
    <cellStyle name="Comma 3 2 7 2 4 5 2" xfId="33465" xr:uid="{30B6C476-8CE1-4F6C-ADF1-49BEB477FE17}"/>
    <cellStyle name="Comma 3 2 7 2 4 6" xfId="18924" xr:uid="{62037699-3837-4F45-A4F7-ACF7F0299787}"/>
    <cellStyle name="Comma 3 2 7 2 5" xfId="3632" xr:uid="{80A3DCED-1DAA-439B-8D9B-9306B4E42BD3}"/>
    <cellStyle name="Comma 3 2 7 2 5 2" xfId="7342" xr:uid="{C099696B-9C82-4146-9ED9-DBE2469FEE07}"/>
    <cellStyle name="Comma 3 2 7 2 5 2 2" xfId="14851" xr:uid="{66517F32-730E-4925-A1D6-364EF620960C}"/>
    <cellStyle name="Comma 3 2 7 2 5 2 2 2" xfId="31055" xr:uid="{BC4CC7CD-B89F-411D-9077-25DF50710A41}"/>
    <cellStyle name="Comma 3 2 7 2 5 2 3" xfId="23546" xr:uid="{79249BCE-C188-4207-9BA8-1165B97BE217}"/>
    <cellStyle name="Comma 3 2 7 2 5 3" xfId="9234" xr:uid="{CADDBC49-4C8E-4187-B8D2-76AC2CE7B6C5}"/>
    <cellStyle name="Comma 3 2 7 2 5 3 2" xfId="16698" xr:uid="{31E18596-4A2A-4605-8C27-FA4B60CAD46C}"/>
    <cellStyle name="Comma 3 2 7 2 5 3 2 2" xfId="32902" xr:uid="{C2737C8C-E852-4CC1-B333-C4A1F3A8DD56}"/>
    <cellStyle name="Comma 3 2 7 2 5 3 3" xfId="25438" xr:uid="{A22E8115-D221-4D6C-BE6B-56CC98F896D5}"/>
    <cellStyle name="Comma 3 2 7 2 5 4" xfId="11243" xr:uid="{BE049A46-2048-44AB-AA5F-6F25037C06C7}"/>
    <cellStyle name="Comma 3 2 7 2 5 4 2" xfId="27447" xr:uid="{D55076D9-2698-4A93-9F9C-DC631AFAB568}"/>
    <cellStyle name="Comma 3 2 7 2 5 5" xfId="17334" xr:uid="{46269971-0E91-4484-98FE-BEFC151A9AED}"/>
    <cellStyle name="Comma 3 2 7 2 5 5 2" xfId="33466" xr:uid="{A62E4190-3781-4CAE-8EF9-CE2F61E6B7B5}"/>
    <cellStyle name="Comma 3 2 7 2 5 6" xfId="19841" xr:uid="{CE379307-BD06-4B2F-90C6-10064C872631}"/>
    <cellStyle name="Comma 3 2 7 2 6" xfId="3565" xr:uid="{BBCA6388-4A23-4AEA-A08C-292516E82128}"/>
    <cellStyle name="Comma 3 2 7 2 6 2" xfId="5600" xr:uid="{15C53FCA-49F5-4582-BADD-AD8D812E8524}"/>
    <cellStyle name="Comma 3 2 7 2 6 2 2" xfId="21804" xr:uid="{E81DC74B-46E9-4B98-AE60-A039124DD560}"/>
    <cellStyle name="Comma 3 2 7 2 6 3" xfId="17335" xr:uid="{1C7DE188-F162-4607-ACAE-381823696DA1}"/>
    <cellStyle name="Comma 3 2 7 2 6 3 2" xfId="33467" xr:uid="{BFCBE16C-2286-4165-8304-9C42105DEEC7}"/>
    <cellStyle name="Comma 3 2 7 2 6 4" xfId="19778" xr:uid="{E1106611-C29F-4CC5-BBF0-DACF947228FA}"/>
    <cellStyle name="Comma 3 2 7 2 7" xfId="4102" xr:uid="{D83220B0-4419-464D-841B-44E5F3938210}"/>
    <cellStyle name="Comma 3 2 7 2 7 2" xfId="7772" xr:uid="{8BFABDD8-C036-4D44-8A21-D7DF971ABF37}"/>
    <cellStyle name="Comma 3 2 7 2 7 2 2" xfId="15279" xr:uid="{A4B75146-CBB9-4684-8ED6-E6465748A6F0}"/>
    <cellStyle name="Comma 3 2 7 2 7 2 2 2" xfId="31483" xr:uid="{FDBAF485-2C91-43DB-9B6D-70C18CDF4EEE}"/>
    <cellStyle name="Comma 3 2 7 2 7 2 3" xfId="23976" xr:uid="{605AB794-04E8-461B-BCE0-232FB18C711E}"/>
    <cellStyle name="Comma 3 2 7 2 7 3" xfId="9230" xr:uid="{962C58ED-0926-4B18-819F-0033F430AE9A}"/>
    <cellStyle name="Comma 3 2 7 2 7 3 2" xfId="16694" xr:uid="{E81CF3D3-1D52-4154-B5DA-3CCD59E4470B}"/>
    <cellStyle name="Comma 3 2 7 2 7 3 2 2" xfId="32898" xr:uid="{44139C54-6133-46A6-9D92-44A261175703}"/>
    <cellStyle name="Comma 3 2 7 2 7 3 3" xfId="25434" xr:uid="{F26CC51B-EFE9-44BD-B07D-6EBFC5CAF375}"/>
    <cellStyle name="Comma 3 2 7 2 7 4" xfId="11665" xr:uid="{D757C947-DC5E-41E9-9A91-C674AE90C1C0}"/>
    <cellStyle name="Comma 3 2 7 2 7 4 2" xfId="27869" xr:uid="{E4FA29F9-E47D-43CF-886D-03F0CF7B88EB}"/>
    <cellStyle name="Comma 3 2 7 2 7 5" xfId="17336" xr:uid="{4DC57532-CFB5-4BB9-BB77-689E714A4AF3}"/>
    <cellStyle name="Comma 3 2 7 2 7 5 2" xfId="33468" xr:uid="{EA597E81-BBB5-4BD4-AD16-6103C02F89B0}"/>
    <cellStyle name="Comma 3 2 7 2 7 6" xfId="20306" xr:uid="{6F37F243-F56D-47C9-B1A3-C849658D2AA3}"/>
    <cellStyle name="Comma 3 2 7 2 8" xfId="4527" xr:uid="{C41EDDD5-1A87-48C2-B0C3-2637FD2F0979}"/>
    <cellStyle name="Comma 3 2 7 2 8 2" xfId="8197" xr:uid="{AFC3C1BD-94A8-409C-A0CB-906C64FB3946}"/>
    <cellStyle name="Comma 3 2 7 2 8 2 2" xfId="15704" xr:uid="{FA7A263A-6214-4A21-961F-FA12771AF31E}"/>
    <cellStyle name="Comma 3 2 7 2 8 2 2 2" xfId="31908" xr:uid="{436A5670-8FED-42E2-8DD4-FA0160A6AF03}"/>
    <cellStyle name="Comma 3 2 7 2 8 2 3" xfId="24401" xr:uid="{A1B92D59-4B36-4D8F-BA8C-92434B43CD5B}"/>
    <cellStyle name="Comma 3 2 7 2 8 3" xfId="5477" xr:uid="{585C4BD5-F5B9-4E18-8A56-52B73E6C8A72}"/>
    <cellStyle name="Comma 3 2 7 2 8 3 2" xfId="13015" xr:uid="{D3B8E3E7-36E1-470A-A767-8105B41C925D}"/>
    <cellStyle name="Comma 3 2 7 2 8 3 2 2" xfId="29219" xr:uid="{EDD7728D-AADF-49B7-B9BB-5E11D925EF82}"/>
    <cellStyle name="Comma 3 2 7 2 8 3 3" xfId="21681" xr:uid="{05D46A40-88C1-4340-99DC-FF7145B17A4A}"/>
    <cellStyle name="Comma 3 2 7 2 8 4" xfId="12090" xr:uid="{19155EB9-1C29-45F3-B367-DD32732ACE09}"/>
    <cellStyle name="Comma 3 2 7 2 8 4 2" xfId="28294" xr:uid="{3561C6F5-92AF-4376-B019-05C27E7009D8}"/>
    <cellStyle name="Comma 3 2 7 2 8 5" xfId="17337" xr:uid="{0EC65B40-3B41-44A1-8CC3-F56D088F93E5}"/>
    <cellStyle name="Comma 3 2 7 2 8 5 2" xfId="33469" xr:uid="{8F8D11A2-D982-473B-9F42-822BAF536193}"/>
    <cellStyle name="Comma 3 2 7 2 8 6" xfId="20731" xr:uid="{7EED5D56-6B3C-4AB8-9BAD-37AA7AFC2CFD}"/>
    <cellStyle name="Comma 3 2 7 2 9" xfId="4954" xr:uid="{DA2CCAB3-03E2-48FF-BE03-321B06A980F4}"/>
    <cellStyle name="Comma 3 2 7 2 9 2" xfId="8620" xr:uid="{5430B29E-D7E8-41C2-A096-D4C5DE555797}"/>
    <cellStyle name="Comma 3 2 7 2 9 2 2" xfId="16127" xr:uid="{796AA3D0-CB1C-41DA-A1D5-FA011CE47AF7}"/>
    <cellStyle name="Comma 3 2 7 2 9 2 2 2" xfId="32331" xr:uid="{257C5416-A4B0-48EF-B464-6A92B9845E99}"/>
    <cellStyle name="Comma 3 2 7 2 9 2 3" xfId="24824" xr:uid="{834E5D30-BEBA-4952-AF1B-082830F4B819}"/>
    <cellStyle name="Comma 3 2 7 2 9 3" xfId="12512" xr:uid="{8E06C504-4A27-48E7-BDC4-220E5431C32A}"/>
    <cellStyle name="Comma 3 2 7 2 9 3 2" xfId="28716" xr:uid="{E4FDD969-A1AB-41D5-BD07-6D2B18C54C3A}"/>
    <cellStyle name="Comma 3 2 7 2 9 4" xfId="21158" xr:uid="{7D158272-BE78-4DE7-9C76-C96A0FD49269}"/>
    <cellStyle name="Comma 3 2 7 3" xfId="1774" xr:uid="{4912BDCB-990B-4E30-B227-40DA76FE5A7F}"/>
    <cellStyle name="Comma 3 2 7 3 10" xfId="5639" xr:uid="{EF4C18FC-C65E-4EB2-8317-0E4BE76F792F}"/>
    <cellStyle name="Comma 3 2 7 3 10 2" xfId="13154" xr:uid="{90D51E0A-C963-43A7-A371-F9CC362C55B1}"/>
    <cellStyle name="Comma 3 2 7 3 10 2 2" xfId="29358" xr:uid="{0C20BDF1-8953-407A-91A8-652EE9B9A771}"/>
    <cellStyle name="Comma 3 2 7 3 10 3" xfId="21843" xr:uid="{EACFBA2D-811A-4DC0-9068-C56EE06769DD}"/>
    <cellStyle name="Comma 3 2 7 3 11" xfId="9567" xr:uid="{877F3C47-E5A4-41CA-A368-F073135480AB}"/>
    <cellStyle name="Comma 3 2 7 3 11 2" xfId="25771" xr:uid="{12CB9C34-59F3-4B85-B9D9-8F31B7C2EB39}"/>
    <cellStyle name="Comma 3 2 7 3 12" xfId="17338" xr:uid="{4C030905-F746-448A-AB77-CE6E26354A44}"/>
    <cellStyle name="Comma 3 2 7 3 12 2" xfId="33470" xr:uid="{2ACBD2B1-9BAF-44E7-AB40-B09038525D79}"/>
    <cellStyle name="Comma 3 2 7 3 13" xfId="18090" xr:uid="{BF5C478A-02F0-46F3-9B78-92DB0DA0C390}"/>
    <cellStyle name="Comma 3 2 7 3 2" xfId="1923" xr:uid="{C8143F30-A166-461E-94BA-1D142E1B9905}"/>
    <cellStyle name="Comma 3 2 7 3 2 10" xfId="9703" xr:uid="{DA0712B3-021E-4FC8-9E96-800818F9A799}"/>
    <cellStyle name="Comma 3 2 7 3 2 10 2" xfId="25907" xr:uid="{A0B8FEEA-9D00-4D1B-8746-7915F5421277}"/>
    <cellStyle name="Comma 3 2 7 3 2 11" xfId="17339" xr:uid="{ACB80879-A953-46AD-97C3-4981021B94C9}"/>
    <cellStyle name="Comma 3 2 7 3 2 11 2" xfId="33471" xr:uid="{C625CF2B-5AEC-42A0-B169-394D0872E50A}"/>
    <cellStyle name="Comma 3 2 7 3 2 12" xfId="18227" xr:uid="{A859FF9B-054F-48B7-AD87-90BA3F03D1BA}"/>
    <cellStyle name="Comma 3 2 7 3 2 2" xfId="2430" xr:uid="{63F7C1A7-D324-406D-8185-1FCAD3859FE2}"/>
    <cellStyle name="Comma 3 2 7 3 2 2 2" xfId="3277" xr:uid="{3E4BD8C8-1AA5-4762-BC82-6A8E067EBB53}"/>
    <cellStyle name="Comma 3 2 7 3 2 2 2 2" xfId="7059" xr:uid="{C4CA25A2-4E54-47FA-A9AA-3604114478DE}"/>
    <cellStyle name="Comma 3 2 7 3 2 2 2 2 2" xfId="14570" xr:uid="{E8DB8319-34A4-478E-9A84-E5A2F25204DD}"/>
    <cellStyle name="Comma 3 2 7 3 2 2 2 2 2 2" xfId="30774" xr:uid="{443F989B-AF46-412B-9EBA-FF709E93FE57}"/>
    <cellStyle name="Comma 3 2 7 3 2 2 2 2 3" xfId="23263" xr:uid="{CCB19FBA-2CF3-45B3-A249-6F4758CDA5D2}"/>
    <cellStyle name="Comma 3 2 7 3 2 2 2 3" xfId="5428" xr:uid="{795A6462-3EC9-42C3-A0A9-7DB35643E073}"/>
    <cellStyle name="Comma 3 2 7 3 2 2 2 3 2" xfId="12973" xr:uid="{6289A2E9-1749-4305-95B7-AEBD657FC174}"/>
    <cellStyle name="Comma 3 2 7 3 2 2 2 3 2 2" xfId="29177" xr:uid="{01F5F57F-9B46-4AFC-AB1C-A74BB93264B6}"/>
    <cellStyle name="Comma 3 2 7 3 2 2 2 3 3" xfId="21632" xr:uid="{E1665D29-7452-42A7-AFDE-5416A66E7DBF}"/>
    <cellStyle name="Comma 3 2 7 3 2 2 2 4" xfId="10970" xr:uid="{4BE773C9-0C1C-4827-834E-B1ABF2958251}"/>
    <cellStyle name="Comma 3 2 7 3 2 2 2 4 2" xfId="27174" xr:uid="{E2CC26A8-4964-4464-9DAC-87DC1A549FEE}"/>
    <cellStyle name="Comma 3 2 7 3 2 2 2 5" xfId="17341" xr:uid="{8CFF662E-4940-41AB-9CE0-AEBF23580090}"/>
    <cellStyle name="Comma 3 2 7 3 2 2 2 5 2" xfId="33473" xr:uid="{FB397FEF-1C51-4CE2-9C88-5797184DFAD8}"/>
    <cellStyle name="Comma 3 2 7 3 2 2 2 6" xfId="19497" xr:uid="{82AF55F7-30D2-4EB2-8A14-E5EF50542336}"/>
    <cellStyle name="Comma 3 2 7 3 2 2 3" xfId="6214" xr:uid="{F6DEDE59-3070-418E-865B-B47820EAF0B9}"/>
    <cellStyle name="Comma 3 2 7 3 2 2 3 2" xfId="13726" xr:uid="{61226BB4-FE08-46B0-BBF5-E7DA21D83CA7}"/>
    <cellStyle name="Comma 3 2 7 3 2 2 3 2 2" xfId="29930" xr:uid="{B990225C-A3C4-49DE-BCE5-515478FA4DB7}"/>
    <cellStyle name="Comma 3 2 7 3 2 2 3 3" xfId="22418" xr:uid="{67D1CDA0-B5BE-40F2-B4D3-CA50D138E794}"/>
    <cellStyle name="Comma 3 2 7 3 2 2 4" xfId="9049" xr:uid="{B6C025BF-68C0-4560-9AF7-7E64877C2A53}"/>
    <cellStyle name="Comma 3 2 7 3 2 2 4 2" xfId="16538" xr:uid="{2E78F44C-917E-4A8F-8E27-AFE8F0E4A07A}"/>
    <cellStyle name="Comma 3 2 7 3 2 2 4 2 2" xfId="32742" xr:uid="{8DF65B52-B9D1-441C-90AB-832A3C85F990}"/>
    <cellStyle name="Comma 3 2 7 3 2 2 4 3" xfId="25253" xr:uid="{0F62A602-8D6D-4E4E-89E4-8B968870A352}"/>
    <cellStyle name="Comma 3 2 7 3 2 2 5" xfId="10126" xr:uid="{E86A7FA0-1D95-4122-895A-DEE5E1DFF550}"/>
    <cellStyle name="Comma 3 2 7 3 2 2 5 2" xfId="26330" xr:uid="{CF437A89-5076-420E-BC19-9C319EDAB47C}"/>
    <cellStyle name="Comma 3 2 7 3 2 2 6" xfId="17340" xr:uid="{8F70028B-FC96-4BA1-A805-C053F3716E6F}"/>
    <cellStyle name="Comma 3 2 7 3 2 2 6 2" xfId="33472" xr:uid="{962F8609-EFB6-4221-B24C-0A3A97BC3B0E}"/>
    <cellStyle name="Comma 3 2 7 3 2 2 7" xfId="18652" xr:uid="{454E0095-0369-46CE-AE62-CEF6FEED97F7}"/>
    <cellStyle name="Comma 3 2 7 3 2 3" xfId="2852" xr:uid="{7446FD9E-6DDD-412E-9AF3-7E3962B3C6CC}"/>
    <cellStyle name="Comma 3 2 7 3 2 3 2" xfId="6636" xr:uid="{80EEBABE-00FD-4749-A3BD-FF470C6DC26F}"/>
    <cellStyle name="Comma 3 2 7 3 2 3 2 2" xfId="14148" xr:uid="{6A905414-73E7-4194-A3A7-243EF5DB538A}"/>
    <cellStyle name="Comma 3 2 7 3 2 3 2 2 2" xfId="30352" xr:uid="{4494E0F0-51BC-4F96-866B-547056C42DE1}"/>
    <cellStyle name="Comma 3 2 7 3 2 3 2 3" xfId="22840" xr:uid="{FF9628E8-1AFD-4D8A-94FD-8639BEB77E03}"/>
    <cellStyle name="Comma 3 2 7 3 2 3 3" xfId="9008" xr:uid="{462876EB-2455-48B9-A9EF-CD608E8F6BE3}"/>
    <cellStyle name="Comma 3 2 7 3 2 3 3 2" xfId="16500" xr:uid="{0A032579-8F9C-40AF-AD84-C78482E09F77}"/>
    <cellStyle name="Comma 3 2 7 3 2 3 3 2 2" xfId="32704" xr:uid="{AEDDA2C7-E1AC-4E75-9EB4-F2B64BDB4F7D}"/>
    <cellStyle name="Comma 3 2 7 3 2 3 3 3" xfId="25212" xr:uid="{170DD8E0-BE70-4D5C-B8CA-43BB690FBD93}"/>
    <cellStyle name="Comma 3 2 7 3 2 3 4" xfId="10548" xr:uid="{5FA62025-BA5E-49C7-912D-960BB070C242}"/>
    <cellStyle name="Comma 3 2 7 3 2 3 4 2" xfId="26752" xr:uid="{58CFCCC1-0161-435E-A0AF-737ACCD46EB4}"/>
    <cellStyle name="Comma 3 2 7 3 2 3 5" xfId="17342" xr:uid="{A5621949-C8C2-45FA-ABED-F00DBC88F264}"/>
    <cellStyle name="Comma 3 2 7 3 2 3 5 2" xfId="33474" xr:uid="{08254A7A-2FCF-4856-ABDD-7CCFD9D37786}"/>
    <cellStyle name="Comma 3 2 7 3 2 3 6" xfId="19074" xr:uid="{AA655FE3-8668-4C9D-9C3C-2858EDCE7FEA}"/>
    <cellStyle name="Comma 3 2 7 3 2 4" xfId="3783" xr:uid="{8681D6B1-DCA8-49F0-8424-6CD71BDCDBF4}"/>
    <cellStyle name="Comma 3 2 7 3 2 4 2" xfId="7493" xr:uid="{03EF665A-4E34-43EC-B7FF-E31590F426DD}"/>
    <cellStyle name="Comma 3 2 7 3 2 4 2 2" xfId="15002" xr:uid="{0C2E8357-FDA8-498D-814B-E1D9C73B91E3}"/>
    <cellStyle name="Comma 3 2 7 3 2 4 2 2 2" xfId="31206" xr:uid="{D7448F8F-EE2A-4D27-BE38-B2D748398AC6}"/>
    <cellStyle name="Comma 3 2 7 3 2 4 2 3" xfId="23697" xr:uid="{E78A8826-2B00-4AFF-BE5F-DF5649A59ECD}"/>
    <cellStyle name="Comma 3 2 7 3 2 4 3" xfId="9148" xr:uid="{E731A2A3-AFD4-45C2-B70F-D2F5DD3BE882}"/>
    <cellStyle name="Comma 3 2 7 3 2 4 3 2" xfId="16625" xr:uid="{90C80A9F-D1D0-4110-89DB-C7420EF0DAF5}"/>
    <cellStyle name="Comma 3 2 7 3 2 4 3 2 2" xfId="32829" xr:uid="{0853033A-2ED3-46C4-8F81-B6FE51AF848A}"/>
    <cellStyle name="Comma 3 2 7 3 2 4 3 3" xfId="25352" xr:uid="{48AECDE4-BD0A-4870-AB6C-4272E59AF59A}"/>
    <cellStyle name="Comma 3 2 7 3 2 4 4" xfId="11393" xr:uid="{DEA1CAD3-28F0-4E28-985F-D2B1E15573C4}"/>
    <cellStyle name="Comma 3 2 7 3 2 4 4 2" xfId="27597" xr:uid="{31FFADB7-CD55-4915-B0DC-863EE9F34400}"/>
    <cellStyle name="Comma 3 2 7 3 2 4 5" xfId="17343" xr:uid="{F305964C-1F52-4C36-91C2-23644763D586}"/>
    <cellStyle name="Comma 3 2 7 3 2 4 5 2" xfId="33475" xr:uid="{BA84DB4B-25A9-401A-8863-C559BF7AF70C}"/>
    <cellStyle name="Comma 3 2 7 3 2 4 6" xfId="19992" xr:uid="{EDB5D55A-DB30-4AEF-BE55-F580E6B6932E}"/>
    <cellStyle name="Comma 3 2 7 3 2 5" xfId="3389" xr:uid="{DC60A285-B771-4A99-A8CE-4E8C7E15FF9B}"/>
    <cellStyle name="Comma 3 2 7 3 2 5 2" xfId="5434" xr:uid="{FD0CB9D4-AB32-431A-9D58-048734390BD9}"/>
    <cellStyle name="Comma 3 2 7 3 2 5 2 2" xfId="21638" xr:uid="{30A34154-26B1-4734-98B0-90BBB9A4F20C}"/>
    <cellStyle name="Comma 3 2 7 3 2 5 3" xfId="17344" xr:uid="{89B195BA-B808-4104-8196-4EABEC68568D}"/>
    <cellStyle name="Comma 3 2 7 3 2 5 3 2" xfId="33476" xr:uid="{856C1237-ACEA-436E-B2CF-C8590FE2A46B}"/>
    <cellStyle name="Comma 3 2 7 3 2 5 4" xfId="19606" xr:uid="{D1EAFE6D-196E-4849-92A8-478A6495E7AC}"/>
    <cellStyle name="Comma 3 2 7 3 2 6" xfId="4252" xr:uid="{27FC2EDB-3C85-41B1-B3E5-95298C0A5580}"/>
    <cellStyle name="Comma 3 2 7 3 2 6 2" xfId="7922" xr:uid="{79BFF1A5-1DD6-478E-BBFD-A78927BEA63A}"/>
    <cellStyle name="Comma 3 2 7 3 2 6 2 2" xfId="15429" xr:uid="{BB85E4C3-F004-43D6-B0AC-B6C06B2172D6}"/>
    <cellStyle name="Comma 3 2 7 3 2 6 2 2 2" xfId="31633" xr:uid="{C86E08C6-39FF-4E4A-B584-A11F53C0A026}"/>
    <cellStyle name="Comma 3 2 7 3 2 6 2 3" xfId="24126" xr:uid="{E9FDC9C5-F549-4A5C-AF97-5E0ABE4E481D}"/>
    <cellStyle name="Comma 3 2 7 3 2 6 3" xfId="5427" xr:uid="{356754D8-7468-4839-BF68-9EB12E1312A5}"/>
    <cellStyle name="Comma 3 2 7 3 2 6 3 2" xfId="12972" xr:uid="{74EA18C7-764E-4877-9E03-84215859237D}"/>
    <cellStyle name="Comma 3 2 7 3 2 6 3 2 2" xfId="29176" xr:uid="{D8EB2202-3F8C-4ACB-8DCE-6E258B9FE0B6}"/>
    <cellStyle name="Comma 3 2 7 3 2 6 3 3" xfId="21631" xr:uid="{4930C038-64C8-47EF-935F-BEAD7FC0D5B6}"/>
    <cellStyle name="Comma 3 2 7 3 2 6 4" xfId="11815" xr:uid="{E6486B9B-0564-4032-A474-EBB362081760}"/>
    <cellStyle name="Comma 3 2 7 3 2 6 4 2" xfId="28019" xr:uid="{FB1ED6CC-AFB8-4284-8C72-EBBD957FBEA0}"/>
    <cellStyle name="Comma 3 2 7 3 2 6 5" xfId="17345" xr:uid="{FAAD8B37-52F2-43DC-A860-234596BB308C}"/>
    <cellStyle name="Comma 3 2 7 3 2 6 5 2" xfId="33477" xr:uid="{62975A17-510E-4E51-8EB7-502EAF6FD18E}"/>
    <cellStyle name="Comma 3 2 7 3 2 6 6" xfId="20456" xr:uid="{D4D616E8-611C-40F0-B5E9-0D87DE1583B9}"/>
    <cellStyle name="Comma 3 2 7 3 2 7" xfId="4677" xr:uid="{7EB2B80C-48FF-4011-BFAD-93F6760B75B9}"/>
    <cellStyle name="Comma 3 2 7 3 2 7 2" xfId="8347" xr:uid="{E94516D7-34C2-4AFF-8065-13D6DC38678D}"/>
    <cellStyle name="Comma 3 2 7 3 2 7 2 2" xfId="15854" xr:uid="{F292B078-CD4C-4780-87DE-8D32D22F966B}"/>
    <cellStyle name="Comma 3 2 7 3 2 7 2 2 2" xfId="32058" xr:uid="{DCA1755E-5413-43C1-8B88-58B76ED7C825}"/>
    <cellStyle name="Comma 3 2 7 3 2 7 2 3" xfId="24551" xr:uid="{BEA28932-4979-4AFD-8F3F-12C6535074DC}"/>
    <cellStyle name="Comma 3 2 7 3 2 7 3" xfId="8960" xr:uid="{5110B27C-9BBD-4362-9A1F-5A2F83054372}"/>
    <cellStyle name="Comma 3 2 7 3 2 7 3 2" xfId="16455" xr:uid="{048FE5DB-1ADD-4F6F-A240-B72C79C6107E}"/>
    <cellStyle name="Comma 3 2 7 3 2 7 3 2 2" xfId="32659" xr:uid="{588093F0-B803-41E4-AF20-ED4669E957A1}"/>
    <cellStyle name="Comma 3 2 7 3 2 7 3 3" xfId="25164" xr:uid="{14E623DC-DAB6-4475-8103-8429082C46F1}"/>
    <cellStyle name="Comma 3 2 7 3 2 7 4" xfId="12240" xr:uid="{B441D50B-1CB7-4DF8-961C-78BFD4075E1D}"/>
    <cellStyle name="Comma 3 2 7 3 2 7 4 2" xfId="28444" xr:uid="{1819AB42-91F0-4C6B-985B-4D05A2DC84E6}"/>
    <cellStyle name="Comma 3 2 7 3 2 7 5" xfId="17346" xr:uid="{6AD01C4F-E756-45E4-A9A4-EBE1278E447B}"/>
    <cellStyle name="Comma 3 2 7 3 2 7 5 2" xfId="33478" xr:uid="{032D2A80-A56A-4600-8519-2AC17317F0AB}"/>
    <cellStyle name="Comma 3 2 7 3 2 7 6" xfId="20881" xr:uid="{79A71970-5BE3-4528-B7E0-4513E9711DD8}"/>
    <cellStyle name="Comma 3 2 7 3 2 8" xfId="5105" xr:uid="{5F361C38-9CAE-45DA-85D8-1DB6B470D190}"/>
    <cellStyle name="Comma 3 2 7 3 2 8 2" xfId="8770" xr:uid="{3B19C917-81C0-4C85-B440-63F38EA4EE72}"/>
    <cellStyle name="Comma 3 2 7 3 2 8 2 2" xfId="16277" xr:uid="{BE27FACF-0CC8-42BB-BF86-E5EB69E6D33E}"/>
    <cellStyle name="Comma 3 2 7 3 2 8 2 2 2" xfId="32481" xr:uid="{1492A990-C8A9-4452-BA26-55098AA3A998}"/>
    <cellStyle name="Comma 3 2 7 3 2 8 2 3" xfId="24974" xr:uid="{5774D337-D39E-4685-8ED2-10D2C184108F}"/>
    <cellStyle name="Comma 3 2 7 3 2 8 3" xfId="12662" xr:uid="{5AE89CD2-B504-47DB-80DC-57AC2CE89F95}"/>
    <cellStyle name="Comma 3 2 7 3 2 8 3 2" xfId="28866" xr:uid="{73DA9DB1-B5C7-4C66-B937-1C88EA6D2472}"/>
    <cellStyle name="Comma 3 2 7 3 2 8 4" xfId="21309" xr:uid="{04EB2A1A-2D90-44B8-AD78-CD38CFA9A640}"/>
    <cellStyle name="Comma 3 2 7 3 2 9" xfId="5776" xr:uid="{2CE0603C-993B-4A88-A4E0-46A353364872}"/>
    <cellStyle name="Comma 3 2 7 3 2 9 2" xfId="13291" xr:uid="{912F4802-119E-47E1-9275-AAD5A211265E}"/>
    <cellStyle name="Comma 3 2 7 3 2 9 2 2" xfId="29495" xr:uid="{EC478E07-C534-44EF-B9FC-15FB74F1DCA5}"/>
    <cellStyle name="Comma 3 2 7 3 2 9 3" xfId="21980" xr:uid="{951E336C-553C-4520-A91E-01FAA9771F2C}"/>
    <cellStyle name="Comma 3 2 7 3 3" xfId="2292" xr:uid="{B6637F42-ACBB-45D5-8DA5-B18E75E6B907}"/>
    <cellStyle name="Comma 3 2 7 3 3 2" xfId="3141" xr:uid="{33D2A3CA-C5AF-4AD9-8CCA-A47FE882D126}"/>
    <cellStyle name="Comma 3 2 7 3 3 2 2" xfId="6923" xr:uid="{ABD60DA7-7DFC-4D45-93BA-43EAF3BB7EB7}"/>
    <cellStyle name="Comma 3 2 7 3 3 2 2 2" xfId="14434" xr:uid="{D96A9751-09A3-4220-8C3D-49CADDC91BED}"/>
    <cellStyle name="Comma 3 2 7 3 3 2 2 2 2" xfId="30638" xr:uid="{D0009304-B4FA-478E-A229-D3A270110EEE}"/>
    <cellStyle name="Comma 3 2 7 3 3 2 2 3" xfId="23127" xr:uid="{60AA9832-4F9A-483C-BCA7-8F377A9211A8}"/>
    <cellStyle name="Comma 3 2 7 3 3 2 3" xfId="5439" xr:uid="{FFAD7AEE-A1C8-4F8A-A0E2-E848EF9560E0}"/>
    <cellStyle name="Comma 3 2 7 3 3 2 3 2" xfId="12982" xr:uid="{89F8EF5E-B9AB-45B4-B23E-901110055212}"/>
    <cellStyle name="Comma 3 2 7 3 3 2 3 2 2" xfId="29186" xr:uid="{BDC1980A-29D0-45E8-B004-BE55965A2D3E}"/>
    <cellStyle name="Comma 3 2 7 3 3 2 3 3" xfId="21643" xr:uid="{032912E1-2A87-48C4-A3E6-80F7046216C3}"/>
    <cellStyle name="Comma 3 2 7 3 3 2 4" xfId="10834" xr:uid="{FE4B6D57-35E9-4466-9AE2-3787C0EBED8B}"/>
    <cellStyle name="Comma 3 2 7 3 3 2 4 2" xfId="27038" xr:uid="{74F80745-114C-4A44-8383-2B31835873DF}"/>
    <cellStyle name="Comma 3 2 7 3 3 2 5" xfId="17348" xr:uid="{C4C95383-C76F-4133-B74F-3854D2C75E06}"/>
    <cellStyle name="Comma 3 2 7 3 3 2 5 2" xfId="33480" xr:uid="{6098170E-70B9-4329-B0B1-D4E14058AEAF}"/>
    <cellStyle name="Comma 3 2 7 3 3 2 6" xfId="19361" xr:uid="{3C280FE2-7169-483F-A63A-73F923008BC6}"/>
    <cellStyle name="Comma 3 2 7 3 3 3" xfId="6078" xr:uid="{78318389-D294-45E3-A322-17B83F398D09}"/>
    <cellStyle name="Comma 3 2 7 3 3 3 2" xfId="13590" xr:uid="{BC9B78A6-19AC-4CC2-998E-FA25C068F3CA}"/>
    <cellStyle name="Comma 3 2 7 3 3 3 2 2" xfId="29794" xr:uid="{39378EA1-1B5A-4440-9012-15C3FF03DFEF}"/>
    <cellStyle name="Comma 3 2 7 3 3 3 3" xfId="22282" xr:uid="{D0F7CD04-5E32-49AC-A676-660ADEBCB731}"/>
    <cellStyle name="Comma 3 2 7 3 3 4" xfId="8916" xr:uid="{C332175B-99BA-4FCA-A8EC-51C1292BCBE7}"/>
    <cellStyle name="Comma 3 2 7 3 3 4 2" xfId="16419" xr:uid="{A103B632-BEE6-4D42-9FA5-81F630802648}"/>
    <cellStyle name="Comma 3 2 7 3 3 4 2 2" xfId="32623" xr:uid="{26646D90-7023-4EE0-AA0F-778FD245D447}"/>
    <cellStyle name="Comma 3 2 7 3 3 4 3" xfId="25120" xr:uid="{3F4BAA02-67E5-495E-A821-D0F1E5C8C27F}"/>
    <cellStyle name="Comma 3 2 7 3 3 5" xfId="9990" xr:uid="{9698C8D2-A55E-4836-B890-2E3DDB58B016}"/>
    <cellStyle name="Comma 3 2 7 3 3 5 2" xfId="26194" xr:uid="{26BB22D7-4840-40C1-8160-B1E42D63EA4E}"/>
    <cellStyle name="Comma 3 2 7 3 3 6" xfId="17347" xr:uid="{7CE7A227-2947-4D74-9E48-31D689B9E246}"/>
    <cellStyle name="Comma 3 2 7 3 3 6 2" xfId="33479" xr:uid="{C9148643-BBD9-4399-96C9-574A57FE86FC}"/>
    <cellStyle name="Comma 3 2 7 3 3 7" xfId="18516" xr:uid="{90C922E6-7F75-4D13-AF22-0D136FDCDBF7}"/>
    <cellStyle name="Comma 3 2 7 3 4" xfId="2716" xr:uid="{53DF502A-22D1-4385-ABAD-D6E382F30C84}"/>
    <cellStyle name="Comma 3 2 7 3 4 2" xfId="6500" xr:uid="{A179DC9D-FB97-4191-819B-0153213F408E}"/>
    <cellStyle name="Comma 3 2 7 3 4 2 2" xfId="14012" xr:uid="{223998D5-EEF6-4730-A88F-351AA8D5789D}"/>
    <cellStyle name="Comma 3 2 7 3 4 2 2 2" xfId="30216" xr:uid="{F5023C6D-CB05-4BDA-9E8B-2AF4EBF422A4}"/>
    <cellStyle name="Comma 3 2 7 3 4 2 3" xfId="22704" xr:uid="{C6902C1D-4FDC-4AB3-A42D-08A21DBB216B}"/>
    <cellStyle name="Comma 3 2 7 3 4 3" xfId="9062" xr:uid="{98C6C54D-4385-4439-9925-803479BA3267}"/>
    <cellStyle name="Comma 3 2 7 3 4 3 2" xfId="16547" xr:uid="{89B91CA8-4D01-403D-AB51-212F77D20AAE}"/>
    <cellStyle name="Comma 3 2 7 3 4 3 2 2" xfId="32751" xr:uid="{56F1DAA7-E804-4400-A93E-27F92F8BBB38}"/>
    <cellStyle name="Comma 3 2 7 3 4 3 3" xfId="25266" xr:uid="{849A4B8C-4C48-47A9-BD85-CAE99781F71B}"/>
    <cellStyle name="Comma 3 2 7 3 4 4" xfId="10412" xr:uid="{0F849BE5-7C08-4F79-ACC2-07561290191E}"/>
    <cellStyle name="Comma 3 2 7 3 4 4 2" xfId="26616" xr:uid="{43D3D1BD-C8A5-4E20-ADFF-0B33D6F9E382}"/>
    <cellStyle name="Comma 3 2 7 3 4 5" xfId="17349" xr:uid="{F8745A9E-F063-43FE-8BC5-1A71F55D6C15}"/>
    <cellStyle name="Comma 3 2 7 3 4 5 2" xfId="33481" xr:uid="{2A7617C2-1D28-4008-9B95-70AFF89850A2}"/>
    <cellStyle name="Comma 3 2 7 3 4 6" xfId="18938" xr:uid="{AA4F74D1-2114-43E0-9C1F-1A808528D9F4}"/>
    <cellStyle name="Comma 3 2 7 3 5" xfId="3646" xr:uid="{9DA0BE30-C1AD-4A00-9A85-D9DDE50256ED}"/>
    <cellStyle name="Comma 3 2 7 3 5 2" xfId="7356" xr:uid="{C308EE2C-D1E6-4E5E-9467-C368721A8E95}"/>
    <cellStyle name="Comma 3 2 7 3 5 2 2" xfId="14865" xr:uid="{7A0743B3-8EA6-4280-B8B1-661FA8D90D57}"/>
    <cellStyle name="Comma 3 2 7 3 5 2 2 2" xfId="31069" xr:uid="{2D1DA555-9B49-4711-B2EB-9A2E22F7B9CC}"/>
    <cellStyle name="Comma 3 2 7 3 5 2 3" xfId="23560" xr:uid="{B9D03651-1690-4712-A134-F592356889AE}"/>
    <cellStyle name="Comma 3 2 7 3 5 3" xfId="9257" xr:uid="{F6F0512E-9046-4C38-B261-7D5375988D6B}"/>
    <cellStyle name="Comma 3 2 7 3 5 3 2" xfId="16718" xr:uid="{119B4271-5FA9-4F63-A104-995BDD3282FB}"/>
    <cellStyle name="Comma 3 2 7 3 5 3 2 2" xfId="32922" xr:uid="{37F114F3-64B4-4029-8CD0-7D31350C0924}"/>
    <cellStyle name="Comma 3 2 7 3 5 3 3" xfId="25461" xr:uid="{9E80DB09-536F-436F-8EBC-48AB5938D9BE}"/>
    <cellStyle name="Comma 3 2 7 3 5 4" xfId="11257" xr:uid="{284F937E-3B1B-4546-BB0F-36BB7B60335A}"/>
    <cellStyle name="Comma 3 2 7 3 5 4 2" xfId="27461" xr:uid="{97DEF591-DF05-4F67-8834-D04D866FC135}"/>
    <cellStyle name="Comma 3 2 7 3 5 5" xfId="17350" xr:uid="{6C8892C1-4EFB-4E34-A089-34FF640AD82D}"/>
    <cellStyle name="Comma 3 2 7 3 5 5 2" xfId="33482" xr:uid="{F8FBC12A-3FDA-473F-BFD8-7403BBDB2A24}"/>
    <cellStyle name="Comma 3 2 7 3 5 6" xfId="19855" xr:uid="{BB4EFD1E-4881-4BEB-94B9-9B8E1CBBFBC6}"/>
    <cellStyle name="Comma 3 2 7 3 6" xfId="3922" xr:uid="{D93393D5-BB46-4467-963C-F501EC7773AF}"/>
    <cellStyle name="Comma 3 2 7 3 6 2" xfId="5471" xr:uid="{780F675F-8CE2-471A-A2CE-446926A48476}"/>
    <cellStyle name="Comma 3 2 7 3 6 2 2" xfId="21675" xr:uid="{5A6FE05B-B7F3-42E3-8BB0-62A34859BC3C}"/>
    <cellStyle name="Comma 3 2 7 3 6 3" xfId="17351" xr:uid="{389549E1-6DCF-4319-9C59-086DD15166EB}"/>
    <cellStyle name="Comma 3 2 7 3 6 3 2" xfId="33483" xr:uid="{1CDAAECB-2153-4126-87F8-738122CF3919}"/>
    <cellStyle name="Comma 3 2 7 3 6 4" xfId="20128" xr:uid="{86F49A50-E3CE-4B81-931E-E980B43257AD}"/>
    <cellStyle name="Comma 3 2 7 3 7" xfId="4116" xr:uid="{7F479AE9-A2B0-4F0C-B8AD-A5F464F84DDA}"/>
    <cellStyle name="Comma 3 2 7 3 7 2" xfId="7786" xr:uid="{CD0593A0-5804-4A50-8E90-4109DF4CB563}"/>
    <cellStyle name="Comma 3 2 7 3 7 2 2" xfId="15293" xr:uid="{507C7182-28FF-454E-89A2-5F8E0B0E5EDB}"/>
    <cellStyle name="Comma 3 2 7 3 7 2 2 2" xfId="31497" xr:uid="{8D5944C9-7DC6-49E5-8942-CEB5551DA285}"/>
    <cellStyle name="Comma 3 2 7 3 7 2 3" xfId="23990" xr:uid="{7F8F5E09-3AB2-451A-94AB-8E4D9BC817F0}"/>
    <cellStyle name="Comma 3 2 7 3 7 3" xfId="9214" xr:uid="{4A34396D-66E4-445C-AE4A-DD2F82DE49D4}"/>
    <cellStyle name="Comma 3 2 7 3 7 3 2" xfId="16682" xr:uid="{D602061D-5157-42E6-B29F-F62C0B0DD5F5}"/>
    <cellStyle name="Comma 3 2 7 3 7 3 2 2" xfId="32886" xr:uid="{E7760B64-5F9A-4790-89C4-C4B9C906D7FC}"/>
    <cellStyle name="Comma 3 2 7 3 7 3 3" xfId="25418" xr:uid="{E42711F5-98ED-41EA-9BAB-F63C93A525A7}"/>
    <cellStyle name="Comma 3 2 7 3 7 4" xfId="11679" xr:uid="{141C1511-160B-4338-AE41-A44FF086A895}"/>
    <cellStyle name="Comma 3 2 7 3 7 4 2" xfId="27883" xr:uid="{312F7184-43B7-4386-A6BD-52FC18ED35B3}"/>
    <cellStyle name="Comma 3 2 7 3 7 5" xfId="17352" xr:uid="{5789ECFA-4D50-441A-844C-8756FCEC19DB}"/>
    <cellStyle name="Comma 3 2 7 3 7 5 2" xfId="33484" xr:uid="{E58FC182-9466-437B-8D11-F1636780509F}"/>
    <cellStyle name="Comma 3 2 7 3 7 6" xfId="20320" xr:uid="{1864B41F-F58F-4978-B4B7-90CFA121F840}"/>
    <cellStyle name="Comma 3 2 7 3 8" xfId="4541" xr:uid="{1F736AFA-C3BA-4DAE-AD7E-A6F4252A0923}"/>
    <cellStyle name="Comma 3 2 7 3 8 2" xfId="8211" xr:uid="{07F94283-213F-4951-B170-66141598FA93}"/>
    <cellStyle name="Comma 3 2 7 3 8 2 2" xfId="15718" xr:uid="{452355A2-81CD-4BEE-9A2E-9F88D80BE6EF}"/>
    <cellStyle name="Comma 3 2 7 3 8 2 2 2" xfId="31922" xr:uid="{6D3D60BB-F2DC-4C67-AE2D-C79487739212}"/>
    <cellStyle name="Comma 3 2 7 3 8 2 3" xfId="24415" xr:uid="{F7D7D58A-203E-4526-BE08-CD379F4A2BC4}"/>
    <cellStyle name="Comma 3 2 7 3 8 3" xfId="9092" xr:uid="{8CC2E4AD-FD3B-44D4-9403-F02BA4BB4B7F}"/>
    <cellStyle name="Comma 3 2 7 3 8 3 2" xfId="16572" xr:uid="{3E2B4849-5B89-4117-A6B7-C5A90351A0FD}"/>
    <cellStyle name="Comma 3 2 7 3 8 3 2 2" xfId="32776" xr:uid="{D34C3688-8F3A-4725-8CCC-F4194A777BE3}"/>
    <cellStyle name="Comma 3 2 7 3 8 3 3" xfId="25296" xr:uid="{4A72B28E-8F4F-4660-A103-6BCFE4235C95}"/>
    <cellStyle name="Comma 3 2 7 3 8 4" xfId="12104" xr:uid="{037000A9-1A98-4E5E-BADE-6AD44A4CF190}"/>
    <cellStyle name="Comma 3 2 7 3 8 4 2" xfId="28308" xr:uid="{0BB4E8DC-9420-4C99-9EBE-06CCD71D77BA}"/>
    <cellStyle name="Comma 3 2 7 3 8 5" xfId="17353" xr:uid="{34390BB4-E13D-43C5-8898-DECFE0BCDA67}"/>
    <cellStyle name="Comma 3 2 7 3 8 5 2" xfId="33485" xr:uid="{0B4569B5-AA81-4DAC-A3E2-F88689C50F1D}"/>
    <cellStyle name="Comma 3 2 7 3 8 6" xfId="20745" xr:uid="{B7E9D02D-D427-4E45-8EB2-54781A29D46F}"/>
    <cellStyle name="Comma 3 2 7 3 9" xfId="4968" xr:uid="{07443188-1159-49FF-938B-101B15E62D15}"/>
    <cellStyle name="Comma 3 2 7 3 9 2" xfId="8634" xr:uid="{C6DB420F-ECB4-46A8-A557-5FEC939F2DC0}"/>
    <cellStyle name="Comma 3 2 7 3 9 2 2" xfId="16141" xr:uid="{B0C79D52-B15D-4A0B-8449-9716371DCE12}"/>
    <cellStyle name="Comma 3 2 7 3 9 2 2 2" xfId="32345" xr:uid="{0097AFE7-1A50-4CF7-B423-29A983D17EFB}"/>
    <cellStyle name="Comma 3 2 7 3 9 2 3" xfId="24838" xr:uid="{D4203D0C-7848-4662-8B57-E18C701CE1D0}"/>
    <cellStyle name="Comma 3 2 7 3 9 3" xfId="12526" xr:uid="{5D783766-1014-427B-9887-CB785551B132}"/>
    <cellStyle name="Comma 3 2 7 3 9 3 2" xfId="28730" xr:uid="{75CC61B6-7F57-4D57-8FAA-47CDB3EECB0C}"/>
    <cellStyle name="Comma 3 2 7 3 9 4" xfId="21172" xr:uid="{FC5A4E0D-87FF-485E-9529-16A8A2709F9C}"/>
    <cellStyle name="Comma 3 2 7 4" xfId="1792" xr:uid="{E9C358B2-89AE-4A4A-A878-33579CB77EDA}"/>
    <cellStyle name="Comma 3 2 7 4 10" xfId="5653" xr:uid="{86B4DFFB-5C37-43F2-B732-48E7DF02CDA0}"/>
    <cellStyle name="Comma 3 2 7 4 10 2" xfId="13168" xr:uid="{56512971-1D78-4AFE-BD47-1FA99C773773}"/>
    <cellStyle name="Comma 3 2 7 4 10 2 2" xfId="29372" xr:uid="{9E456EF6-017A-4C1E-BCA1-C8B7BAE8FF62}"/>
    <cellStyle name="Comma 3 2 7 4 10 3" xfId="21857" xr:uid="{29BDC1A1-4CB4-471F-90FE-6B2167AFBC25}"/>
    <cellStyle name="Comma 3 2 7 4 11" xfId="9581" xr:uid="{BC6263FB-2600-405C-ADEB-B27258F144F6}"/>
    <cellStyle name="Comma 3 2 7 4 11 2" xfId="25785" xr:uid="{74D1C452-0272-49FE-82EA-5482526A6B89}"/>
    <cellStyle name="Comma 3 2 7 4 12" xfId="17354" xr:uid="{E7C67DD5-FDF0-45EE-9E55-5E37130E7D6B}"/>
    <cellStyle name="Comma 3 2 7 4 12 2" xfId="33486" xr:uid="{0B2B5189-81E0-415D-9C1E-3CF10A10502A}"/>
    <cellStyle name="Comma 3 2 7 4 13" xfId="18104" xr:uid="{52D55958-4BC9-4C5F-A4EB-BA789983AAD4}"/>
    <cellStyle name="Comma 3 2 7 4 2" xfId="1924" xr:uid="{C8CD67CD-19A7-4E3F-B1EF-E4E02D521C18}"/>
    <cellStyle name="Comma 3 2 7 4 2 10" xfId="9704" xr:uid="{70755E2D-1BD7-4F50-9A94-F71F48C0D8EE}"/>
    <cellStyle name="Comma 3 2 7 4 2 10 2" xfId="25908" xr:uid="{67696098-3944-4749-94EC-329A564F7B33}"/>
    <cellStyle name="Comma 3 2 7 4 2 11" xfId="17355" xr:uid="{6FA1FDA8-9F6D-48F1-A6AC-E9268372809E}"/>
    <cellStyle name="Comma 3 2 7 4 2 11 2" xfId="33487" xr:uid="{516B8ACE-73DD-4404-A425-8D19A71FFE70}"/>
    <cellStyle name="Comma 3 2 7 4 2 12" xfId="18228" xr:uid="{825E33C2-A549-4CC6-B2A2-53E6BF90464A}"/>
    <cellStyle name="Comma 3 2 7 4 2 2" xfId="2431" xr:uid="{7DE71057-EBBB-49D1-82C4-D340DC56EBF3}"/>
    <cellStyle name="Comma 3 2 7 4 2 2 2" xfId="3278" xr:uid="{14638E26-F0AA-49FA-A7DE-64893CF56190}"/>
    <cellStyle name="Comma 3 2 7 4 2 2 2 2" xfId="7060" xr:uid="{B7C07112-EE8D-4666-AD6D-5FE6876F954E}"/>
    <cellStyle name="Comma 3 2 7 4 2 2 2 2 2" xfId="14571" xr:uid="{F524407C-DEB3-4620-8539-830374B4BD71}"/>
    <cellStyle name="Comma 3 2 7 4 2 2 2 2 2 2" xfId="30775" xr:uid="{87250E46-5836-4840-8D2D-CFBD34CBD81E}"/>
    <cellStyle name="Comma 3 2 7 4 2 2 2 2 3" xfId="23264" xr:uid="{1297069B-0B2E-46BA-8221-32CA2762B4FC}"/>
    <cellStyle name="Comma 3 2 7 4 2 2 2 3" xfId="9327" xr:uid="{765B3B6E-0E5A-4ED4-9200-4137AAD338BC}"/>
    <cellStyle name="Comma 3 2 7 4 2 2 2 3 2" xfId="16772" xr:uid="{9C14D6C0-33F5-4FCD-86C6-03D176244E93}"/>
    <cellStyle name="Comma 3 2 7 4 2 2 2 3 2 2" xfId="32976" xr:uid="{60D64135-6B73-49B9-9FCE-6ACB200561C5}"/>
    <cellStyle name="Comma 3 2 7 4 2 2 2 3 3" xfId="25531" xr:uid="{EE7650AC-D3F0-4FBD-AAF2-FC1DE98FF193}"/>
    <cellStyle name="Comma 3 2 7 4 2 2 2 4" xfId="10971" xr:uid="{AB17F07B-874A-436E-B1DD-F3508858DB8D}"/>
    <cellStyle name="Comma 3 2 7 4 2 2 2 4 2" xfId="27175" xr:uid="{19A150E3-4EA8-4C87-9604-261926420ED8}"/>
    <cellStyle name="Comma 3 2 7 4 2 2 2 5" xfId="17357" xr:uid="{465E486B-4A4D-4EB3-8CDC-6416FEA4A71F}"/>
    <cellStyle name="Comma 3 2 7 4 2 2 2 5 2" xfId="33489" xr:uid="{1E947B2D-1AF7-42CD-816D-2F1913DF26E7}"/>
    <cellStyle name="Comma 3 2 7 4 2 2 2 6" xfId="19498" xr:uid="{BCDCDD40-4EF3-4051-A30A-014EA4039C4D}"/>
    <cellStyle name="Comma 3 2 7 4 2 2 3" xfId="6215" xr:uid="{16E62BB9-F81A-4BF3-8404-35D556607433}"/>
    <cellStyle name="Comma 3 2 7 4 2 2 3 2" xfId="13727" xr:uid="{231CE217-3918-4FD3-BC57-9BA16E3D4E8A}"/>
    <cellStyle name="Comma 3 2 7 4 2 2 3 2 2" xfId="29931" xr:uid="{B36C0B88-FD92-4D6C-8374-38A74F57870A}"/>
    <cellStyle name="Comma 3 2 7 4 2 2 3 3" xfId="22419" xr:uid="{9F079E3A-2E58-4DAD-92FC-90EAA9BD9CD1}"/>
    <cellStyle name="Comma 3 2 7 4 2 2 4" xfId="9236" xr:uid="{CFCF1520-44E3-4E9D-BA51-CF19D60CB115}"/>
    <cellStyle name="Comma 3 2 7 4 2 2 4 2" xfId="16700" xr:uid="{00FB1F74-10B8-49EB-880E-94BF54378FAF}"/>
    <cellStyle name="Comma 3 2 7 4 2 2 4 2 2" xfId="32904" xr:uid="{CC276FF9-BF86-4D98-9EFC-DFD53639233F}"/>
    <cellStyle name="Comma 3 2 7 4 2 2 4 3" xfId="25440" xr:uid="{FE32F537-08A4-4852-9130-E330C7F73877}"/>
    <cellStyle name="Comma 3 2 7 4 2 2 5" xfId="10127" xr:uid="{B7E1CA4A-22D0-495D-9582-AFB28A0C6D11}"/>
    <cellStyle name="Comma 3 2 7 4 2 2 5 2" xfId="26331" xr:uid="{33562A9F-6AF3-4EF8-8C08-3CADA76ED43A}"/>
    <cellStyle name="Comma 3 2 7 4 2 2 6" xfId="17356" xr:uid="{F00BC443-0A6E-445C-9291-6ED5ECCC174A}"/>
    <cellStyle name="Comma 3 2 7 4 2 2 6 2" xfId="33488" xr:uid="{D30D9847-E4DB-4053-8F31-E686EC51045C}"/>
    <cellStyle name="Comma 3 2 7 4 2 2 7" xfId="18653" xr:uid="{B56734FD-CECC-4A1E-BFF4-B7211E75D90B}"/>
    <cellStyle name="Comma 3 2 7 4 2 3" xfId="2853" xr:uid="{BF3350F5-B059-484B-8D9A-8CEB09D27C1A}"/>
    <cellStyle name="Comma 3 2 7 4 2 3 2" xfId="6637" xr:uid="{8C3E5AA5-2F23-4B2E-81A8-4FD1A5B9957D}"/>
    <cellStyle name="Comma 3 2 7 4 2 3 2 2" xfId="14149" xr:uid="{8FEDAC0C-2CE7-48B4-A2D4-F26384622EDD}"/>
    <cellStyle name="Comma 3 2 7 4 2 3 2 2 2" xfId="30353" xr:uid="{D8BB9416-D05B-4ED7-8C35-0E8CCFB72951}"/>
    <cellStyle name="Comma 3 2 7 4 2 3 2 3" xfId="22841" xr:uid="{DBE72FCB-3C4E-4C7C-93E7-3DB168B2009A}"/>
    <cellStyle name="Comma 3 2 7 4 2 3 3" xfId="5240" xr:uid="{9BD9F735-77E1-4CC0-9225-976CFA5B4808}"/>
    <cellStyle name="Comma 3 2 7 4 2 3 3 2" xfId="12791" xr:uid="{0ED68BB5-686D-4C75-9455-1568BD6B7F91}"/>
    <cellStyle name="Comma 3 2 7 4 2 3 3 2 2" xfId="28995" xr:uid="{D1F308A0-4F5F-4395-BE36-F153215FBB6B}"/>
    <cellStyle name="Comma 3 2 7 4 2 3 3 3" xfId="21444" xr:uid="{A4F9CADF-8D9F-4E40-A187-40590B281808}"/>
    <cellStyle name="Comma 3 2 7 4 2 3 4" xfId="10549" xr:uid="{D7BD19E0-2468-4B40-9130-8D3D23D588E3}"/>
    <cellStyle name="Comma 3 2 7 4 2 3 4 2" xfId="26753" xr:uid="{7316C69D-0E78-40F8-AD68-18022E6123C3}"/>
    <cellStyle name="Comma 3 2 7 4 2 3 5" xfId="17358" xr:uid="{A00AB4F2-5D09-46DF-AEF9-99C39AE45C07}"/>
    <cellStyle name="Comma 3 2 7 4 2 3 5 2" xfId="33490" xr:uid="{575A6618-AB83-4183-BE5F-AE8E1D951A37}"/>
    <cellStyle name="Comma 3 2 7 4 2 3 6" xfId="19075" xr:uid="{A864F5D2-E37C-4E27-A75B-6D4C35CDC8B2}"/>
    <cellStyle name="Comma 3 2 7 4 2 4" xfId="3784" xr:uid="{A580B579-A5B9-430D-8271-EAF6E16B8E8E}"/>
    <cellStyle name="Comma 3 2 7 4 2 4 2" xfId="7494" xr:uid="{65B59F7E-BCE9-47EA-A7BB-136345523F3C}"/>
    <cellStyle name="Comma 3 2 7 4 2 4 2 2" xfId="15003" xr:uid="{2F3086C2-22F4-4AAA-88F1-F6157F8F7A74}"/>
    <cellStyle name="Comma 3 2 7 4 2 4 2 2 2" xfId="31207" xr:uid="{0EFE574D-28F2-471A-B522-C943E0431F0A}"/>
    <cellStyle name="Comma 3 2 7 4 2 4 2 3" xfId="23698" xr:uid="{65DC07DF-127F-4E86-9890-416C6BC95356}"/>
    <cellStyle name="Comma 3 2 7 4 2 4 3" xfId="9215" xr:uid="{E3DD9C03-C48D-4EBD-A43B-528AF6ACFCBF}"/>
    <cellStyle name="Comma 3 2 7 4 2 4 3 2" xfId="16683" xr:uid="{9A2857AE-83B4-4E3E-82D3-54594D86A80F}"/>
    <cellStyle name="Comma 3 2 7 4 2 4 3 2 2" xfId="32887" xr:uid="{9BA0B18D-4B91-4750-B7D2-B1A8487FAA33}"/>
    <cellStyle name="Comma 3 2 7 4 2 4 3 3" xfId="25419" xr:uid="{30880D9E-2A3A-4D77-BE79-443FF6C48CB1}"/>
    <cellStyle name="Comma 3 2 7 4 2 4 4" xfId="11394" xr:uid="{75B3F80A-752E-482D-B381-B86C03CA464F}"/>
    <cellStyle name="Comma 3 2 7 4 2 4 4 2" xfId="27598" xr:uid="{DEC7E61D-B4B7-4452-90E2-A6EAB317A50A}"/>
    <cellStyle name="Comma 3 2 7 4 2 4 5" xfId="17359" xr:uid="{1BCAE7E7-8F28-4BC8-85A8-3C8C2DEF3214}"/>
    <cellStyle name="Comma 3 2 7 4 2 4 5 2" xfId="33491" xr:uid="{BAD99E69-86F7-4143-A72B-BC8F3358660F}"/>
    <cellStyle name="Comma 3 2 7 4 2 4 6" xfId="19993" xr:uid="{C775E3B9-7997-4AD2-A321-77F59F29166E}"/>
    <cellStyle name="Comma 3 2 7 4 2 5" xfId="3393" xr:uid="{94A02D75-DFCF-48DF-9118-E714F6C09DED}"/>
    <cellStyle name="Comma 3 2 7 4 2 5 2" xfId="9369" xr:uid="{2EF0A4DB-A7CE-4CEB-A39B-C05770B3746F}"/>
    <cellStyle name="Comma 3 2 7 4 2 5 2 2" xfId="25573" xr:uid="{B7A5EBD4-BFB9-4C34-98A3-4A11D63DEC4C}"/>
    <cellStyle name="Comma 3 2 7 4 2 5 3" xfId="17360" xr:uid="{4DF54191-1C22-4F11-BCF3-C0C38BDA9396}"/>
    <cellStyle name="Comma 3 2 7 4 2 5 3 2" xfId="33492" xr:uid="{717A979C-C56F-4572-8CD1-420C6F191DF4}"/>
    <cellStyle name="Comma 3 2 7 4 2 5 4" xfId="19610" xr:uid="{3190C031-8E28-4AEF-AE46-48CDFEC55C35}"/>
    <cellStyle name="Comma 3 2 7 4 2 6" xfId="4253" xr:uid="{BF595344-3D7B-4BF0-818D-7DD70264B85B}"/>
    <cellStyle name="Comma 3 2 7 4 2 6 2" xfId="7923" xr:uid="{927C664B-1F6C-4684-B73E-FB1A162239BF}"/>
    <cellStyle name="Comma 3 2 7 4 2 6 2 2" xfId="15430" xr:uid="{276845C6-75E2-49FD-B97B-3ECEE0DFC455}"/>
    <cellStyle name="Comma 3 2 7 4 2 6 2 2 2" xfId="31634" xr:uid="{1F6FB0D8-300A-4C6A-9FDA-433517C2DD90}"/>
    <cellStyle name="Comma 3 2 7 4 2 6 2 3" xfId="24127" xr:uid="{0DD74796-5FDB-4939-B73C-C3A35C3095BF}"/>
    <cellStyle name="Comma 3 2 7 4 2 6 3" xfId="9039" xr:uid="{0FBF9224-B09B-46A7-95B9-57BAB5B3C2B7}"/>
    <cellStyle name="Comma 3 2 7 4 2 6 3 2" xfId="16528" xr:uid="{09F37985-3DDC-488F-A122-DB7188E9E16C}"/>
    <cellStyle name="Comma 3 2 7 4 2 6 3 2 2" xfId="32732" xr:uid="{5E1CA665-6CB4-45CC-BF0C-DF0FCDCB729B}"/>
    <cellStyle name="Comma 3 2 7 4 2 6 3 3" xfId="25243" xr:uid="{DFEA95BE-2328-4577-949F-87DA107F4325}"/>
    <cellStyle name="Comma 3 2 7 4 2 6 4" xfId="11816" xr:uid="{DCA3F93E-D22D-4B5B-B237-4E98F402C41F}"/>
    <cellStyle name="Comma 3 2 7 4 2 6 4 2" xfId="28020" xr:uid="{13FF5D0F-731A-447E-981A-C75E9191D1AA}"/>
    <cellStyle name="Comma 3 2 7 4 2 6 5" xfId="17361" xr:uid="{D0BAFDE9-97A1-42C5-878A-661F4D985847}"/>
    <cellStyle name="Comma 3 2 7 4 2 6 5 2" xfId="33493" xr:uid="{D60B5BB0-5126-4032-AACB-6018A60894BD}"/>
    <cellStyle name="Comma 3 2 7 4 2 6 6" xfId="20457" xr:uid="{91A06D29-AD3A-4661-B71B-23681BE7404A}"/>
    <cellStyle name="Comma 3 2 7 4 2 7" xfId="4678" xr:uid="{6970F22C-A3A2-4CBE-80E7-AC119DD45D8F}"/>
    <cellStyle name="Comma 3 2 7 4 2 7 2" xfId="8348" xr:uid="{98F1AEAB-0D24-4EAE-87E0-E157D5791C7B}"/>
    <cellStyle name="Comma 3 2 7 4 2 7 2 2" xfId="15855" xr:uid="{EC8F24CF-D9CF-44A4-9A9B-DF3C8B04C207}"/>
    <cellStyle name="Comma 3 2 7 4 2 7 2 2 2" xfId="32059" xr:uid="{8C91286B-7E39-4101-B7BA-BEED9DF1E070}"/>
    <cellStyle name="Comma 3 2 7 4 2 7 2 3" xfId="24552" xr:uid="{185DA17B-B4C9-4B36-A86F-64E13F71885F}"/>
    <cellStyle name="Comma 3 2 7 4 2 7 3" xfId="9156" xr:uid="{B1FFD77E-1CE7-48EF-A3DA-49B368FE15ED}"/>
    <cellStyle name="Comma 3 2 7 4 2 7 3 2" xfId="16631" xr:uid="{710748C7-4060-4BC2-8B1B-CB9810B8FBB3}"/>
    <cellStyle name="Comma 3 2 7 4 2 7 3 2 2" xfId="32835" xr:uid="{75BCFCBB-8172-4F8B-9639-8C2BE25DF061}"/>
    <cellStyle name="Comma 3 2 7 4 2 7 3 3" xfId="25360" xr:uid="{8B0DFECA-6551-4534-9B35-62DBE265BAA2}"/>
    <cellStyle name="Comma 3 2 7 4 2 7 4" xfId="12241" xr:uid="{0D500DE3-E666-4482-B87D-6C158CA70E96}"/>
    <cellStyle name="Comma 3 2 7 4 2 7 4 2" xfId="28445" xr:uid="{016CB5EA-9F5C-4A12-A3E8-3556E2467813}"/>
    <cellStyle name="Comma 3 2 7 4 2 7 5" xfId="17362" xr:uid="{39AD5A82-DAAA-4D4F-A5C8-54F11D7CA47B}"/>
    <cellStyle name="Comma 3 2 7 4 2 7 5 2" xfId="33494" xr:uid="{95D56FA0-D6F5-4F63-981F-009695E066C1}"/>
    <cellStyle name="Comma 3 2 7 4 2 7 6" xfId="20882" xr:uid="{4E6F5F65-D5FB-443C-8B40-512AAC7A493E}"/>
    <cellStyle name="Comma 3 2 7 4 2 8" xfId="5106" xr:uid="{6E0DF0C7-5414-4482-9779-36DE6924C9BC}"/>
    <cellStyle name="Comma 3 2 7 4 2 8 2" xfId="8771" xr:uid="{142EC573-9F87-43D3-B971-4E77D0D5792A}"/>
    <cellStyle name="Comma 3 2 7 4 2 8 2 2" xfId="16278" xr:uid="{D399BBA3-9906-41EE-B71B-26497992DB85}"/>
    <cellStyle name="Comma 3 2 7 4 2 8 2 2 2" xfId="32482" xr:uid="{80E0C5E6-40D6-4C34-B39C-85D67DD0667F}"/>
    <cellStyle name="Comma 3 2 7 4 2 8 2 3" xfId="24975" xr:uid="{00A6B78D-F36A-45A3-B61B-D15F4F4C17A0}"/>
    <cellStyle name="Comma 3 2 7 4 2 8 3" xfId="12663" xr:uid="{8515FD00-A33B-4681-8029-C6279E374BFE}"/>
    <cellStyle name="Comma 3 2 7 4 2 8 3 2" xfId="28867" xr:uid="{1DCF7FC4-8045-4376-9056-BC53072B497F}"/>
    <cellStyle name="Comma 3 2 7 4 2 8 4" xfId="21310" xr:uid="{D94BED64-EBB8-48F7-AF60-007A754BD43E}"/>
    <cellStyle name="Comma 3 2 7 4 2 9" xfId="5777" xr:uid="{F80E24B5-A33F-475C-B46D-DF1126344F28}"/>
    <cellStyle name="Comma 3 2 7 4 2 9 2" xfId="13292" xr:uid="{D12409B3-DF92-47B4-AD4D-EE7B4F81B465}"/>
    <cellStyle name="Comma 3 2 7 4 2 9 2 2" xfId="29496" xr:uid="{8979902D-236A-4015-BD78-B5BCEEAA97E8}"/>
    <cellStyle name="Comma 3 2 7 4 2 9 3" xfId="21981" xr:uid="{6CCB6D44-CFF5-40BD-B0EC-4E2944683CA0}"/>
    <cellStyle name="Comma 3 2 7 4 3" xfId="2308" xr:uid="{C0735CB4-F098-4023-8DB2-4F15E246DA2F}"/>
    <cellStyle name="Comma 3 2 7 4 3 2" xfId="3155" xr:uid="{AA968F89-E803-4BD0-9C97-D48A870243CC}"/>
    <cellStyle name="Comma 3 2 7 4 3 2 2" xfId="6937" xr:uid="{0A44E697-FB9B-4CF7-B516-0285993EF32C}"/>
    <cellStyle name="Comma 3 2 7 4 3 2 2 2" xfId="14448" xr:uid="{C287552A-8B1B-4908-A742-AED56097ACAC}"/>
    <cellStyle name="Comma 3 2 7 4 3 2 2 2 2" xfId="30652" xr:uid="{E12F4780-9F7F-4BFD-B2D1-220C76DFB48A}"/>
    <cellStyle name="Comma 3 2 7 4 3 2 2 3" xfId="23141" xr:uid="{324F3867-2B11-4C4D-A6FD-05224D0BEEAD}"/>
    <cellStyle name="Comma 3 2 7 4 3 2 3" xfId="9028" xr:uid="{A5B9AE91-805A-4837-8EED-018D1FFD88E4}"/>
    <cellStyle name="Comma 3 2 7 4 3 2 3 2" xfId="16519" xr:uid="{294E80D9-E22A-42D3-9D9A-F2DA6A8A53B4}"/>
    <cellStyle name="Comma 3 2 7 4 3 2 3 2 2" xfId="32723" xr:uid="{5D779417-C916-496D-89CC-2148410C276E}"/>
    <cellStyle name="Comma 3 2 7 4 3 2 3 3" xfId="25232" xr:uid="{6D51B9EF-BAE6-48C8-8787-BB01F73E8167}"/>
    <cellStyle name="Comma 3 2 7 4 3 2 4" xfId="10848" xr:uid="{D38BC4A1-2A84-4CF8-BCCD-F537EB25A5C5}"/>
    <cellStyle name="Comma 3 2 7 4 3 2 4 2" xfId="27052" xr:uid="{3C2A3615-251F-48C6-AE5A-87AC31C3748B}"/>
    <cellStyle name="Comma 3 2 7 4 3 2 5" xfId="17364" xr:uid="{FDA5B47B-83C2-42FC-8332-9F7B9F9316EC}"/>
    <cellStyle name="Comma 3 2 7 4 3 2 5 2" xfId="33496" xr:uid="{91426876-55E9-4E9E-9F28-B7EB85CA1F56}"/>
    <cellStyle name="Comma 3 2 7 4 3 2 6" xfId="19375" xr:uid="{99C352A8-A5EE-43FE-92A6-C2A778669CAD}"/>
    <cellStyle name="Comma 3 2 7 4 3 3" xfId="6092" xr:uid="{7EFCEFD2-7B37-4B11-9DF2-26186BF87F39}"/>
    <cellStyle name="Comma 3 2 7 4 3 3 2" xfId="13604" xr:uid="{343E4665-83F8-477F-A2EF-4468B12AA336}"/>
    <cellStyle name="Comma 3 2 7 4 3 3 2 2" xfId="29808" xr:uid="{809E24FE-A8D5-4CA4-A321-45322D2519F4}"/>
    <cellStyle name="Comma 3 2 7 4 3 3 3" xfId="22296" xr:uid="{AB57BFA2-3DE4-4F0E-AD52-34BC212B9990}"/>
    <cellStyle name="Comma 3 2 7 4 3 4" xfId="5513" xr:uid="{39846358-0F8F-403D-80BB-DDA9A1E25577}"/>
    <cellStyle name="Comma 3 2 7 4 3 4 2" xfId="13043" xr:uid="{C53ACAC6-76C7-4245-91AA-331135769A7F}"/>
    <cellStyle name="Comma 3 2 7 4 3 4 2 2" xfId="29247" xr:uid="{4437F08F-3329-4CFB-8547-F4E9CE436EE3}"/>
    <cellStyle name="Comma 3 2 7 4 3 4 3" xfId="21717" xr:uid="{3B58718F-40BC-4D14-A031-EC56124B882E}"/>
    <cellStyle name="Comma 3 2 7 4 3 5" xfId="10004" xr:uid="{A7CC8C9B-5BF6-4697-B406-6206D5971478}"/>
    <cellStyle name="Comma 3 2 7 4 3 5 2" xfId="26208" xr:uid="{32012DA7-5E0E-4F1C-BFE9-DBE049FEAA2F}"/>
    <cellStyle name="Comma 3 2 7 4 3 6" xfId="17363" xr:uid="{E35585EF-5AC5-4A8C-8988-92D5BF7B1484}"/>
    <cellStyle name="Comma 3 2 7 4 3 6 2" xfId="33495" xr:uid="{19D11D61-897A-413C-9057-4652CBAB9CCD}"/>
    <cellStyle name="Comma 3 2 7 4 3 7" xfId="18530" xr:uid="{2897C05B-86C8-40F7-84AF-177047E25C23}"/>
    <cellStyle name="Comma 3 2 7 4 4" xfId="2730" xr:uid="{78E48A00-9110-4CFC-9601-D52B05698BC0}"/>
    <cellStyle name="Comma 3 2 7 4 4 2" xfId="6514" xr:uid="{8F5F67BE-8D0F-4DDF-B3DA-57B44EA8E85D}"/>
    <cellStyle name="Comma 3 2 7 4 4 2 2" xfId="14026" xr:uid="{E3A8A1B7-5FC2-4F52-BDC4-A1584EC27BDF}"/>
    <cellStyle name="Comma 3 2 7 4 4 2 2 2" xfId="30230" xr:uid="{E9890571-71A8-4A0F-8CE4-B72FB5D90C67}"/>
    <cellStyle name="Comma 3 2 7 4 4 2 3" xfId="22718" xr:uid="{65E31631-78A9-4A3D-8E42-63EE30896F57}"/>
    <cellStyle name="Comma 3 2 7 4 4 3" xfId="5444" xr:uid="{23C691DD-4CD8-46C1-93FF-7598B388FF2A}"/>
    <cellStyle name="Comma 3 2 7 4 4 3 2" xfId="12987" xr:uid="{8CD07C0C-69DD-4C96-A245-95813D69FFDF}"/>
    <cellStyle name="Comma 3 2 7 4 4 3 2 2" xfId="29191" xr:uid="{CED2DC0F-CC18-4569-8EC1-846520F8A770}"/>
    <cellStyle name="Comma 3 2 7 4 4 3 3" xfId="21648" xr:uid="{798208B5-7749-4967-9EF7-24F767AA3697}"/>
    <cellStyle name="Comma 3 2 7 4 4 4" xfId="10426" xr:uid="{5A1563EA-FD8D-4B4D-ADF4-BD888A9CC26C}"/>
    <cellStyle name="Comma 3 2 7 4 4 4 2" xfId="26630" xr:uid="{05DCBC2F-380E-4DE9-AB8B-84D261A7D720}"/>
    <cellStyle name="Comma 3 2 7 4 4 5" xfId="17365" xr:uid="{476FD958-7930-45E2-B46E-DFA8B8A3A76A}"/>
    <cellStyle name="Comma 3 2 7 4 4 5 2" xfId="33497" xr:uid="{A58A331F-86E5-4800-A6BC-7611FA955161}"/>
    <cellStyle name="Comma 3 2 7 4 4 6" xfId="18952" xr:uid="{0CE9BF03-30BD-4185-8830-ED7A1AF255DC}"/>
    <cellStyle name="Comma 3 2 7 4 5" xfId="3660" xr:uid="{5D340149-F723-4106-A373-CF5E9C1B8009}"/>
    <cellStyle name="Comma 3 2 7 4 5 2" xfId="7370" xr:uid="{CCBAB6EE-9429-4266-95C6-A7460778AF49}"/>
    <cellStyle name="Comma 3 2 7 4 5 2 2" xfId="14879" xr:uid="{A5260C5A-7691-4DA7-92B3-40C823512E70}"/>
    <cellStyle name="Comma 3 2 7 4 5 2 2 2" xfId="31083" xr:uid="{83AAEE10-7956-42A4-9C7C-3CC77F56C41B}"/>
    <cellStyle name="Comma 3 2 7 4 5 2 3" xfId="23574" xr:uid="{D98201A0-3E73-4085-8806-CA0D10B9B58B}"/>
    <cellStyle name="Comma 3 2 7 4 5 3" xfId="8961" xr:uid="{0186ADD0-AD65-4B7B-9532-1837172F480D}"/>
    <cellStyle name="Comma 3 2 7 4 5 3 2" xfId="16456" xr:uid="{692DA54F-C79D-44CD-9FE6-BBD0C05079BB}"/>
    <cellStyle name="Comma 3 2 7 4 5 3 2 2" xfId="32660" xr:uid="{09270B50-997B-493C-A263-069040017E54}"/>
    <cellStyle name="Comma 3 2 7 4 5 3 3" xfId="25165" xr:uid="{D38B05E5-DC90-44C7-9A1E-AD885499D4FC}"/>
    <cellStyle name="Comma 3 2 7 4 5 4" xfId="11271" xr:uid="{A07AF2A7-A601-4A82-86CE-1FF96934CD11}"/>
    <cellStyle name="Comma 3 2 7 4 5 4 2" xfId="27475" xr:uid="{FE01401B-2EDA-434C-8B53-F2A556177592}"/>
    <cellStyle name="Comma 3 2 7 4 5 5" xfId="17366" xr:uid="{7E325277-475A-4535-B691-3F36BA3304D2}"/>
    <cellStyle name="Comma 3 2 7 4 5 5 2" xfId="33498" xr:uid="{29AFE43A-E6A2-4E98-BBD5-81406CE2C598}"/>
    <cellStyle name="Comma 3 2 7 4 5 6" xfId="19869" xr:uid="{933997DF-BA9B-472A-BB4F-B0F6680C96BC}"/>
    <cellStyle name="Comma 3 2 7 4 6" xfId="3891" xr:uid="{B69E2F9A-1774-4760-B08C-D091B9FA72FC}"/>
    <cellStyle name="Comma 3 2 7 4 6 2" xfId="9226" xr:uid="{08767F1E-04D6-4821-8750-6F4419E68196}"/>
    <cellStyle name="Comma 3 2 7 4 6 2 2" xfId="25430" xr:uid="{9E7EE925-2CCA-42BD-A679-3E811B374ED7}"/>
    <cellStyle name="Comma 3 2 7 4 6 3" xfId="17367" xr:uid="{4F2A094B-C42F-440C-95F1-02DD4B8CB3AA}"/>
    <cellStyle name="Comma 3 2 7 4 6 3 2" xfId="33499" xr:uid="{758FBF85-28FF-4D6C-8EA5-C1A6B64FDD3F}"/>
    <cellStyle name="Comma 3 2 7 4 6 4" xfId="20100" xr:uid="{631FAA35-6791-45C3-8712-902992BAE3F9}"/>
    <cellStyle name="Comma 3 2 7 4 7" xfId="4130" xr:uid="{2A5FFD74-2AF7-4EFE-8B54-E9F00D9E6E8E}"/>
    <cellStyle name="Comma 3 2 7 4 7 2" xfId="7800" xr:uid="{E60569D6-9F83-4B3B-B208-57BB082D93FF}"/>
    <cellStyle name="Comma 3 2 7 4 7 2 2" xfId="15307" xr:uid="{5EDC5B7C-6613-499A-8EF4-91AA854B85E3}"/>
    <cellStyle name="Comma 3 2 7 4 7 2 2 2" xfId="31511" xr:uid="{14CD4045-82D6-473F-851C-A62EE12FD4FD}"/>
    <cellStyle name="Comma 3 2 7 4 7 2 3" xfId="24004" xr:uid="{1B1C9402-0A0E-4FB4-90BE-1FDC040248B2}"/>
    <cellStyle name="Comma 3 2 7 4 7 3" xfId="5515" xr:uid="{64610E70-AB9C-4797-A9C6-5AC1F640CDEF}"/>
    <cellStyle name="Comma 3 2 7 4 7 3 2" xfId="13045" xr:uid="{533E07E3-BF7F-4197-8EAC-E6EE4C671D75}"/>
    <cellStyle name="Comma 3 2 7 4 7 3 2 2" xfId="29249" xr:uid="{7C8781D7-ABB9-4354-8A90-CA31D54026E1}"/>
    <cellStyle name="Comma 3 2 7 4 7 3 3" xfId="21719" xr:uid="{5F938146-E802-4926-9756-18E67685DA1E}"/>
    <cellStyle name="Comma 3 2 7 4 7 4" xfId="11693" xr:uid="{6C882485-2609-4307-9F4A-68ED83671908}"/>
    <cellStyle name="Comma 3 2 7 4 7 4 2" xfId="27897" xr:uid="{FDD6191B-B59F-4FC8-A831-9777E08FD596}"/>
    <cellStyle name="Comma 3 2 7 4 7 5" xfId="17368" xr:uid="{7957355F-640A-4DDD-97D6-F6BDC80779CC}"/>
    <cellStyle name="Comma 3 2 7 4 7 5 2" xfId="33500" xr:uid="{BF546576-ED75-4DAB-AB61-2521E16F4C01}"/>
    <cellStyle name="Comma 3 2 7 4 7 6" xfId="20334" xr:uid="{B504B833-A275-4F61-98E4-61C1731B6F61}"/>
    <cellStyle name="Comma 3 2 7 4 8" xfId="4555" xr:uid="{921DC314-9CE4-4A12-B4F8-AB472131DB3D}"/>
    <cellStyle name="Comma 3 2 7 4 8 2" xfId="8225" xr:uid="{E1C80A43-E96B-4290-B90D-4ED53A5DBAAA}"/>
    <cellStyle name="Comma 3 2 7 4 8 2 2" xfId="15732" xr:uid="{9EEB04DE-4BEE-4969-A84F-CB823506FCA4}"/>
    <cellStyle name="Comma 3 2 7 4 8 2 2 2" xfId="31936" xr:uid="{366108D9-6427-4D3E-AB20-CD82771FFC6D}"/>
    <cellStyle name="Comma 3 2 7 4 8 2 3" xfId="24429" xr:uid="{FB488D8D-992D-4949-AC0B-BE6564E97B20}"/>
    <cellStyle name="Comma 3 2 7 4 8 3" xfId="8910" xr:uid="{0C1BF835-BD5D-42CA-AAB2-65855B3E7B8E}"/>
    <cellStyle name="Comma 3 2 7 4 8 3 2" xfId="16413" xr:uid="{2023E890-C993-4BD4-902F-7BFFC6C4E570}"/>
    <cellStyle name="Comma 3 2 7 4 8 3 2 2" xfId="32617" xr:uid="{2BAE8AF3-DD3E-419D-B16C-7400C3E89300}"/>
    <cellStyle name="Comma 3 2 7 4 8 3 3" xfId="25114" xr:uid="{84B4602E-E7CB-4134-967A-E6ABB3365032}"/>
    <cellStyle name="Comma 3 2 7 4 8 4" xfId="12118" xr:uid="{5B9D8C55-2BB4-4BC4-91E7-7B443F770EBC}"/>
    <cellStyle name="Comma 3 2 7 4 8 4 2" xfId="28322" xr:uid="{72E57923-8E5A-4B44-AB88-85723083A49E}"/>
    <cellStyle name="Comma 3 2 7 4 8 5" xfId="17369" xr:uid="{97E3B91E-6F2E-4D50-8E0A-402C6FA1E679}"/>
    <cellStyle name="Comma 3 2 7 4 8 5 2" xfId="33501" xr:uid="{74C86CE1-2208-461D-A23D-8CBC37CEFC77}"/>
    <cellStyle name="Comma 3 2 7 4 8 6" xfId="20759" xr:uid="{F5BE003E-CFB6-4A70-AD21-13223C84EE44}"/>
    <cellStyle name="Comma 3 2 7 4 9" xfId="4982" xr:uid="{45743B33-4A57-4D27-BDEF-E2597551CFB5}"/>
    <cellStyle name="Comma 3 2 7 4 9 2" xfId="8648" xr:uid="{8C71FF8E-3802-48A9-BBCB-0734FE686D14}"/>
    <cellStyle name="Comma 3 2 7 4 9 2 2" xfId="16155" xr:uid="{8432F976-AA46-49E1-B0BF-968CB8405262}"/>
    <cellStyle name="Comma 3 2 7 4 9 2 2 2" xfId="32359" xr:uid="{CFDE8EEB-DE17-4F58-B0A1-F1CF9A2F784A}"/>
    <cellStyle name="Comma 3 2 7 4 9 2 3" xfId="24852" xr:uid="{E7267C27-4C5B-4954-88F7-E90FBD7A9CFD}"/>
    <cellStyle name="Comma 3 2 7 4 9 3" xfId="12540" xr:uid="{4E86F693-6B0A-493A-8F11-68508AA215B0}"/>
    <cellStyle name="Comma 3 2 7 4 9 3 2" xfId="28744" xr:uid="{69D2F035-8B35-432A-9A98-527D2E399D23}"/>
    <cellStyle name="Comma 3 2 7 4 9 4" xfId="21186" xr:uid="{7FDBEB90-863C-4D20-99E4-92BD2790A005}"/>
    <cellStyle name="Comma 3 2 7 5" xfId="1925" xr:uid="{AABD24D3-84CC-46B9-9B40-DF1553E8FECB}"/>
    <cellStyle name="Comma 3 2 7 5 10" xfId="9705" xr:uid="{FC968174-2BC7-43B3-8ECC-B7F151EECBA1}"/>
    <cellStyle name="Comma 3 2 7 5 10 2" xfId="25909" xr:uid="{EE4EE98B-62E7-4ECA-8F2F-1F9200612F11}"/>
    <cellStyle name="Comma 3 2 7 5 11" xfId="17370" xr:uid="{AAD466AF-03FD-473B-A1F2-92037CB4D8B5}"/>
    <cellStyle name="Comma 3 2 7 5 11 2" xfId="33502" xr:uid="{D44C03DE-0353-46BE-8EC8-D81A29B72FBC}"/>
    <cellStyle name="Comma 3 2 7 5 12" xfId="18229" xr:uid="{8F20F39F-3E61-40DE-82C1-B44A7BCE8ED8}"/>
    <cellStyle name="Comma 3 2 7 5 2" xfId="2432" xr:uid="{0F93C693-8E7C-4CA9-828D-111E3C6C086E}"/>
    <cellStyle name="Comma 3 2 7 5 2 2" xfId="3279" xr:uid="{38D832FB-89F0-4EA5-B774-359AF5AB8EBD}"/>
    <cellStyle name="Comma 3 2 7 5 2 2 2" xfId="7061" xr:uid="{3746046E-C95B-404F-BB51-FEA603B21041}"/>
    <cellStyle name="Comma 3 2 7 5 2 2 2 2" xfId="14572" xr:uid="{B5CCEF25-7D5B-4301-8BE5-202E9F7E6CA8}"/>
    <cellStyle name="Comma 3 2 7 5 2 2 2 2 2" xfId="30776" xr:uid="{342C7A2A-3157-48A7-AC0A-49BB931957E1}"/>
    <cellStyle name="Comma 3 2 7 5 2 2 2 3" xfId="23265" xr:uid="{69AA9C95-5E25-4C76-9576-EAE7DF97ECC6}"/>
    <cellStyle name="Comma 3 2 7 5 2 2 3" xfId="5598" xr:uid="{1212D421-F358-487A-8C14-3D60AE9EC8A6}"/>
    <cellStyle name="Comma 3 2 7 5 2 2 3 2" xfId="13114" xr:uid="{731089FB-8D2D-404D-80A4-834E91B4134E}"/>
    <cellStyle name="Comma 3 2 7 5 2 2 3 2 2" xfId="29318" xr:uid="{9D61866D-8AB5-4CF8-AFD0-748EDC07C5F0}"/>
    <cellStyle name="Comma 3 2 7 5 2 2 3 3" xfId="21802" xr:uid="{BF6D2BEF-0476-4A51-B7F5-66DF185B1197}"/>
    <cellStyle name="Comma 3 2 7 5 2 2 4" xfId="10972" xr:uid="{A1209D29-7A72-4D14-9317-ABFAF52271F5}"/>
    <cellStyle name="Comma 3 2 7 5 2 2 4 2" xfId="27176" xr:uid="{00493268-031A-47E2-9638-D569F3BCE8ED}"/>
    <cellStyle name="Comma 3 2 7 5 2 2 5" xfId="17372" xr:uid="{B2D0C3CB-006F-433A-9A60-7B79C3846BA9}"/>
    <cellStyle name="Comma 3 2 7 5 2 2 5 2" xfId="33504" xr:uid="{9A3C0835-3DCE-47CF-B334-5464C2E18B09}"/>
    <cellStyle name="Comma 3 2 7 5 2 2 6" xfId="19499" xr:uid="{E86F9DD0-AB21-4F9A-AA86-B36EFBCE844D}"/>
    <cellStyle name="Comma 3 2 7 5 2 3" xfId="6216" xr:uid="{56B50774-DB04-45AC-B40F-D85A6D74043C}"/>
    <cellStyle name="Comma 3 2 7 5 2 3 2" xfId="13728" xr:uid="{3F36D6C0-DBDC-4B10-B722-C0CFF5468C54}"/>
    <cellStyle name="Comma 3 2 7 5 2 3 2 2" xfId="29932" xr:uid="{394E5D8F-57E5-4958-BD21-403169609A17}"/>
    <cellStyle name="Comma 3 2 7 5 2 3 3" xfId="22420" xr:uid="{C281E0E8-1383-4A01-AB1C-A59B757D73B0}"/>
    <cellStyle name="Comma 3 2 7 5 2 4" xfId="5599" xr:uid="{E96DF8E4-0787-42D4-B41D-0A223D500441}"/>
    <cellStyle name="Comma 3 2 7 5 2 4 2" xfId="13115" xr:uid="{E3F6A6D8-25E9-410F-AB48-B80259577B5C}"/>
    <cellStyle name="Comma 3 2 7 5 2 4 2 2" xfId="29319" xr:uid="{28455DE6-FB35-478A-A98D-9BE7C249CF8E}"/>
    <cellStyle name="Comma 3 2 7 5 2 4 3" xfId="21803" xr:uid="{2AE85F12-9B5B-489C-ACE4-B5566CAF279F}"/>
    <cellStyle name="Comma 3 2 7 5 2 5" xfId="10128" xr:uid="{3926D5E9-A2C1-4265-8D58-2721AD3D4F26}"/>
    <cellStyle name="Comma 3 2 7 5 2 5 2" xfId="26332" xr:uid="{D4A0038C-7C98-418F-A174-8947034B691E}"/>
    <cellStyle name="Comma 3 2 7 5 2 6" xfId="17371" xr:uid="{C9355D0D-6777-47C5-8777-4CE08BF25408}"/>
    <cellStyle name="Comma 3 2 7 5 2 6 2" xfId="33503" xr:uid="{46872D9F-F44D-4C72-8180-B981E581045E}"/>
    <cellStyle name="Comma 3 2 7 5 2 7" xfId="18654" xr:uid="{9D70F268-A88E-4286-AD30-6D6548907384}"/>
    <cellStyle name="Comma 3 2 7 5 3" xfId="2854" xr:uid="{1EA95235-7842-418D-88D2-5CA4C7F7B08E}"/>
    <cellStyle name="Comma 3 2 7 5 3 2" xfId="6638" xr:uid="{61BE6C99-14F8-4949-9998-10CFA7BA9B54}"/>
    <cellStyle name="Comma 3 2 7 5 3 2 2" xfId="14150" xr:uid="{150079E6-5A7A-4363-8006-73DB1B558689}"/>
    <cellStyle name="Comma 3 2 7 5 3 2 2 2" xfId="30354" xr:uid="{954C04A8-87C5-4E9E-8525-734AEF3B146B}"/>
    <cellStyle name="Comma 3 2 7 5 3 2 3" xfId="22842" xr:uid="{E8DC7B79-0A85-4F0E-88B3-DBDE7B38C30C}"/>
    <cellStyle name="Comma 3 2 7 5 3 3" xfId="5267" xr:uid="{5889D39A-84C9-4755-85DF-59B903F90836}"/>
    <cellStyle name="Comma 3 2 7 5 3 3 2" xfId="12816" xr:uid="{A9BCD68B-26F6-452E-911B-2CAC7C38F9D1}"/>
    <cellStyle name="Comma 3 2 7 5 3 3 2 2" xfId="29020" xr:uid="{989CDC59-D285-41D5-948B-BE3DE0E7B60F}"/>
    <cellStyle name="Comma 3 2 7 5 3 3 3" xfId="21471" xr:uid="{6625463C-A04C-4216-911B-A13335A69B3A}"/>
    <cellStyle name="Comma 3 2 7 5 3 4" xfId="10550" xr:uid="{C06178ED-0A9F-4BCC-9F00-675A15991D5B}"/>
    <cellStyle name="Comma 3 2 7 5 3 4 2" xfId="26754" xr:uid="{54822CAC-00CB-46F7-8B3A-E58B4F7EA256}"/>
    <cellStyle name="Comma 3 2 7 5 3 5" xfId="17373" xr:uid="{86B6DBAF-1AD5-44EB-BDF5-042759F9A01A}"/>
    <cellStyle name="Comma 3 2 7 5 3 5 2" xfId="33505" xr:uid="{ABC7B69F-84A2-4267-92A9-7595E398B3D6}"/>
    <cellStyle name="Comma 3 2 7 5 3 6" xfId="19076" xr:uid="{5FE6DF96-9CFD-4075-90A8-65A88DD0CB99}"/>
    <cellStyle name="Comma 3 2 7 5 4" xfId="3785" xr:uid="{D2D22965-91ED-4F8D-9050-8C6E74AC1B89}"/>
    <cellStyle name="Comma 3 2 7 5 4 2" xfId="7495" xr:uid="{2D423A12-E65B-44D6-B4AD-E513D4874F8A}"/>
    <cellStyle name="Comma 3 2 7 5 4 2 2" xfId="15004" xr:uid="{2E609952-613D-4998-AD58-F23B9599953F}"/>
    <cellStyle name="Comma 3 2 7 5 4 2 2 2" xfId="31208" xr:uid="{C7A5525E-D831-465D-8EE6-07364C898481}"/>
    <cellStyle name="Comma 3 2 7 5 4 2 3" xfId="23699" xr:uid="{ACAEEF4B-7692-49D5-8168-A80054276722}"/>
    <cellStyle name="Comma 3 2 7 5 4 3" xfId="9304" xr:uid="{406F52A4-ADC0-4DCF-8732-6160ADAAA316}"/>
    <cellStyle name="Comma 3 2 7 5 4 3 2" xfId="16757" xr:uid="{87BDDE90-02EE-4237-B2B6-60149569A5AF}"/>
    <cellStyle name="Comma 3 2 7 5 4 3 2 2" xfId="32961" xr:uid="{18F058A0-36F0-479D-82B0-EA115C0476C6}"/>
    <cellStyle name="Comma 3 2 7 5 4 3 3" xfId="25508" xr:uid="{2F8F69C4-E587-4BE7-833D-8D1BDD3D0A4A}"/>
    <cellStyle name="Comma 3 2 7 5 4 4" xfId="11395" xr:uid="{A1B8820B-1183-4B38-AEDD-3B57D6ECAA54}"/>
    <cellStyle name="Comma 3 2 7 5 4 4 2" xfId="27599" xr:uid="{375F4638-4B72-419A-805E-0A280AA93456}"/>
    <cellStyle name="Comma 3 2 7 5 4 5" xfId="17374" xr:uid="{2382AF6D-E4AC-4B24-8BD0-F433923F8C6B}"/>
    <cellStyle name="Comma 3 2 7 5 4 5 2" xfId="33506" xr:uid="{6B816DD9-C615-4DB1-BDD0-7057204BD5CF}"/>
    <cellStyle name="Comma 3 2 7 5 4 6" xfId="19994" xr:uid="{4E13A200-E446-44D4-A7BF-388CD4C591BF}"/>
    <cellStyle name="Comma 3 2 7 5 5" xfId="3893" xr:uid="{9891C9A8-E5E4-49F2-A2E5-607DD8F5C1EA}"/>
    <cellStyle name="Comma 3 2 7 5 5 2" xfId="9253" xr:uid="{0A2C99EB-EB05-4112-A115-2944661C4888}"/>
    <cellStyle name="Comma 3 2 7 5 5 2 2" xfId="25457" xr:uid="{0E9988E5-2DBB-4540-B8E2-C66FF1F3EC3A}"/>
    <cellStyle name="Comma 3 2 7 5 5 3" xfId="17375" xr:uid="{2E30CBB7-FADF-4EE5-82DA-F0E576020CAF}"/>
    <cellStyle name="Comma 3 2 7 5 5 3 2" xfId="33507" xr:uid="{811EE9D1-4635-448B-98C1-055528C60208}"/>
    <cellStyle name="Comma 3 2 7 5 5 4" xfId="20102" xr:uid="{F777DE77-6F1A-41FC-8E5C-C3DA413E8F19}"/>
    <cellStyle name="Comma 3 2 7 5 6" xfId="4254" xr:uid="{A4E55A8F-D417-46B3-BB2D-BEB70C720C77}"/>
    <cellStyle name="Comma 3 2 7 5 6 2" xfId="7924" xr:uid="{7CAD9C53-2019-46AF-BFDA-87D05A469964}"/>
    <cellStyle name="Comma 3 2 7 5 6 2 2" xfId="15431" xr:uid="{33FA5FEF-7AC2-4B07-A7CD-537780AD8043}"/>
    <cellStyle name="Comma 3 2 7 5 6 2 2 2" xfId="31635" xr:uid="{9C524C77-8F91-4085-BFCF-5C56E86FD2F4}"/>
    <cellStyle name="Comma 3 2 7 5 6 2 3" xfId="24128" xr:uid="{753CAA95-400B-4EEA-8755-055644757EBB}"/>
    <cellStyle name="Comma 3 2 7 5 6 3" xfId="9119" xr:uid="{A6A2BC06-F59E-4F7C-A7B1-09119D4BD196}"/>
    <cellStyle name="Comma 3 2 7 5 6 3 2" xfId="16597" xr:uid="{8B4B947A-1067-4736-9061-C5229046E601}"/>
    <cellStyle name="Comma 3 2 7 5 6 3 2 2" xfId="32801" xr:uid="{FBFA90B1-454C-4A1F-8930-E870B0265D40}"/>
    <cellStyle name="Comma 3 2 7 5 6 3 3" xfId="25323" xr:uid="{3C455B20-B9E3-4B0A-B658-7124B3A18C8E}"/>
    <cellStyle name="Comma 3 2 7 5 6 4" xfId="11817" xr:uid="{0D05EC4C-070A-4C8E-A176-D90F4523B115}"/>
    <cellStyle name="Comma 3 2 7 5 6 4 2" xfId="28021" xr:uid="{261C0B9F-CDCE-45DC-8C75-A685F8164C46}"/>
    <cellStyle name="Comma 3 2 7 5 6 5" xfId="17376" xr:uid="{4FF4ED79-F3F4-4EFE-8BF8-474972CCB83C}"/>
    <cellStyle name="Comma 3 2 7 5 6 5 2" xfId="33508" xr:uid="{42407B5A-FE37-4F32-947D-06BC24ABEFC8}"/>
    <cellStyle name="Comma 3 2 7 5 6 6" xfId="20458" xr:uid="{561AB905-03E1-4B2D-A07B-C303C86DF4E8}"/>
    <cellStyle name="Comma 3 2 7 5 7" xfId="4679" xr:uid="{CFD0F875-BBB5-485A-B8D3-54E766E95F2C}"/>
    <cellStyle name="Comma 3 2 7 5 7 2" xfId="8349" xr:uid="{D12AAAA6-9E8F-4077-B22B-395B496D18DD}"/>
    <cellStyle name="Comma 3 2 7 5 7 2 2" xfId="15856" xr:uid="{80215E98-1A01-46C1-9B9C-4866DDEA997B}"/>
    <cellStyle name="Comma 3 2 7 5 7 2 2 2" xfId="32060" xr:uid="{2F5C1D3B-3036-4C41-94DB-CDD68172BE3C}"/>
    <cellStyle name="Comma 3 2 7 5 7 2 3" xfId="24553" xr:uid="{6A0EEF29-A08B-46E4-B6EA-86316B2AA453}"/>
    <cellStyle name="Comma 3 2 7 5 7 3" xfId="5479" xr:uid="{E2633A45-C16C-42D4-937F-A097C976E0F1}"/>
    <cellStyle name="Comma 3 2 7 5 7 3 2" xfId="13017" xr:uid="{D2602166-7F45-4C5E-8466-BD1457C0507D}"/>
    <cellStyle name="Comma 3 2 7 5 7 3 2 2" xfId="29221" xr:uid="{7F27A52A-627C-474E-8288-1F4A4FF42A86}"/>
    <cellStyle name="Comma 3 2 7 5 7 3 3" xfId="21683" xr:uid="{0D48F161-CFCE-4B0E-AADE-53713BFEDB9D}"/>
    <cellStyle name="Comma 3 2 7 5 7 4" xfId="12242" xr:uid="{89F6F015-4BE4-4AF0-95DC-1834CF7B5077}"/>
    <cellStyle name="Comma 3 2 7 5 7 4 2" xfId="28446" xr:uid="{81BB35EE-F8E2-4CF5-A0F0-5C9C7AC7E2D0}"/>
    <cellStyle name="Comma 3 2 7 5 7 5" xfId="17377" xr:uid="{8F81ED3C-1C82-4704-93D7-F666568F9480}"/>
    <cellStyle name="Comma 3 2 7 5 7 5 2" xfId="33509" xr:uid="{209D1A9F-EEDE-4669-A4B2-8AAF1D816529}"/>
    <cellStyle name="Comma 3 2 7 5 7 6" xfId="20883" xr:uid="{CFA5A83C-27BF-41C5-9A22-D41C60308397}"/>
    <cellStyle name="Comma 3 2 7 5 8" xfId="5107" xr:uid="{E50CFBDA-BA0D-496C-BC55-CD1A087F5564}"/>
    <cellStyle name="Comma 3 2 7 5 8 2" xfId="8772" xr:uid="{7AC37FAD-9B3B-4A36-8FC5-43BA900CD06E}"/>
    <cellStyle name="Comma 3 2 7 5 8 2 2" xfId="16279" xr:uid="{4B28F3FE-8AF2-45CD-860E-71F5928C7ED4}"/>
    <cellStyle name="Comma 3 2 7 5 8 2 2 2" xfId="32483" xr:uid="{45151C64-458A-4A6F-8BBB-7C0552F37594}"/>
    <cellStyle name="Comma 3 2 7 5 8 2 3" xfId="24976" xr:uid="{1DB5D4A7-6EAA-4A58-94E7-1260742D6F48}"/>
    <cellStyle name="Comma 3 2 7 5 8 3" xfId="12664" xr:uid="{7A8B7A6F-DCD4-4209-944A-1085B223E4CE}"/>
    <cellStyle name="Comma 3 2 7 5 8 3 2" xfId="28868" xr:uid="{E5A6EFD0-3C27-4CC3-89D7-C225DEA6C985}"/>
    <cellStyle name="Comma 3 2 7 5 8 4" xfId="21311" xr:uid="{F3D147FA-8FA9-4AB7-A3FA-82E0F226F111}"/>
    <cellStyle name="Comma 3 2 7 5 9" xfId="5778" xr:uid="{8C00869B-FCD3-445A-A310-8280DEC61809}"/>
    <cellStyle name="Comma 3 2 7 5 9 2" xfId="13293" xr:uid="{BEB11B5D-ECE4-4DC6-87BE-B5460DD3F3C1}"/>
    <cellStyle name="Comma 3 2 7 5 9 2 2" xfId="29497" xr:uid="{1648D945-501B-499E-B102-723417907BD5}"/>
    <cellStyle name="Comma 3 2 7 5 9 3" xfId="21982" xr:uid="{ACD4FA7F-F2B1-4252-B351-6B82DDCCD724}"/>
    <cellStyle name="Comma 3 2 7 6" xfId="2205" xr:uid="{32BDB854-6C93-4A97-B8B1-59E6D731CBA4}"/>
    <cellStyle name="Comma 3 2 7 6 2" xfId="3113" xr:uid="{C903D83B-8F4F-4C8B-94D7-84E5A91C3855}"/>
    <cellStyle name="Comma 3 2 7 6 2 2" xfId="6895" xr:uid="{034993BD-36A1-40DA-9B06-AACA32228565}"/>
    <cellStyle name="Comma 3 2 7 6 2 2 2" xfId="14406" xr:uid="{30DCD27B-D0FB-4151-9C96-D96D2115C6F2}"/>
    <cellStyle name="Comma 3 2 7 6 2 2 2 2" xfId="30610" xr:uid="{F17E0BFB-A0D8-45A9-87C1-3FB4A6673E42}"/>
    <cellStyle name="Comma 3 2 7 6 2 2 3" xfId="23099" xr:uid="{528093D8-64A1-4D7F-9C22-6A45555A1D3C}"/>
    <cellStyle name="Comma 3 2 7 6 2 3" xfId="9189" xr:uid="{5374BB94-5959-4F01-B0F4-5947457183DD}"/>
    <cellStyle name="Comma 3 2 7 6 2 3 2" xfId="16660" xr:uid="{B8ADD0D0-D7C7-4FD0-9F48-A426BE865D38}"/>
    <cellStyle name="Comma 3 2 7 6 2 3 2 2" xfId="32864" xr:uid="{E7D6F274-32CE-458F-988E-30183DA9B954}"/>
    <cellStyle name="Comma 3 2 7 6 2 3 3" xfId="25393" xr:uid="{B1D094FE-03FF-4A33-9606-9DBD30272680}"/>
    <cellStyle name="Comma 3 2 7 6 2 4" xfId="10806" xr:uid="{DAFA30A2-4A88-4BF6-B96B-76929B4B835E}"/>
    <cellStyle name="Comma 3 2 7 6 2 4 2" xfId="27010" xr:uid="{7BB6828B-9821-4D55-B5BF-6C6F422A16FD}"/>
    <cellStyle name="Comma 3 2 7 6 2 5" xfId="17379" xr:uid="{E140F0A9-8143-42D0-B76B-FA77DD6F7AA6}"/>
    <cellStyle name="Comma 3 2 7 6 2 5 2" xfId="33511" xr:uid="{752FE5F5-3C9E-4453-B5E9-15516C694814}"/>
    <cellStyle name="Comma 3 2 7 6 2 6" xfId="19333" xr:uid="{3D666834-ED2C-4614-BCB0-8999E994C936}"/>
    <cellStyle name="Comma 3 2 7 6 3" xfId="6039" xr:uid="{AA619A0E-C1B4-4F36-A7BD-6B5C3A4CBA79}"/>
    <cellStyle name="Comma 3 2 7 6 3 2" xfId="13553" xr:uid="{F685A099-2527-4860-8C91-C132A9792E46}"/>
    <cellStyle name="Comma 3 2 7 6 3 2 2" xfId="29757" xr:uid="{318E732E-1F14-4D39-A620-6EDA5F9FDADE}"/>
    <cellStyle name="Comma 3 2 7 6 3 3" xfId="22243" xr:uid="{118F5FA0-4699-41F9-99BE-4DCC22F9934C}"/>
    <cellStyle name="Comma 3 2 7 6 4" xfId="9085" xr:uid="{25BAFD44-EDF2-4AA5-A150-858DA14CDE89}"/>
    <cellStyle name="Comma 3 2 7 6 4 2" xfId="16565" xr:uid="{ADE3BC77-2BAE-427F-8A67-108A71EDD384}"/>
    <cellStyle name="Comma 3 2 7 6 4 2 2" xfId="32769" xr:uid="{2E74DE81-C2C4-4AAC-BC7F-B05CCCC970CE}"/>
    <cellStyle name="Comma 3 2 7 6 4 3" xfId="25289" xr:uid="{96115CE4-FFED-477D-92EB-9C051A54BE9D}"/>
    <cellStyle name="Comma 3 2 7 6 5" xfId="9962" xr:uid="{729FF2B2-6946-4148-AD6F-228E5E6C9AD1}"/>
    <cellStyle name="Comma 3 2 7 6 5 2" xfId="26166" xr:uid="{F2A49106-7BD6-4D54-970D-DD44048738FE}"/>
    <cellStyle name="Comma 3 2 7 6 6" xfId="17378" xr:uid="{27F2EA90-2521-463E-A24D-50E86C149493}"/>
    <cellStyle name="Comma 3 2 7 6 6 2" xfId="33510" xr:uid="{C538DC19-C750-4217-B864-8F3261B74DFC}"/>
    <cellStyle name="Comma 3 2 7 6 7" xfId="18488" xr:uid="{67A795DE-14AC-4234-9AC3-9CCBCE878A28}"/>
    <cellStyle name="Comma 3 2 7 7" xfId="2688" xr:uid="{0BF43257-A7EA-49D3-A292-45E7C53309F7}"/>
    <cellStyle name="Comma 3 2 7 7 2" xfId="6472" xr:uid="{F4FC0CCC-05DF-4D80-BA42-BF32AA6E0287}"/>
    <cellStyle name="Comma 3 2 7 7 2 2" xfId="13984" xr:uid="{1A8530F4-02F0-451C-9AD7-6D3750CFE276}"/>
    <cellStyle name="Comma 3 2 7 7 2 2 2" xfId="30188" xr:uid="{00802B5A-804B-478B-9066-8B21C8FC03C2}"/>
    <cellStyle name="Comma 3 2 7 7 2 3" xfId="22676" xr:uid="{BAC47382-ED45-4F7F-9DF4-3DC47F72B66E}"/>
    <cellStyle name="Comma 3 2 7 7 3" xfId="9114" xr:uid="{B42BBA05-2637-4DDB-B05D-88DA09F2B650}"/>
    <cellStyle name="Comma 3 2 7 7 3 2" xfId="16592" xr:uid="{F6BD2CC8-8C94-4467-BA68-99DCCC27D1A5}"/>
    <cellStyle name="Comma 3 2 7 7 3 2 2" xfId="32796" xr:uid="{36490E7F-280C-4213-9D31-AA516D78AD49}"/>
    <cellStyle name="Comma 3 2 7 7 3 3" xfId="25318" xr:uid="{961D2FAA-3AD2-4000-8C0A-AF977A494319}"/>
    <cellStyle name="Comma 3 2 7 7 4" xfId="10384" xr:uid="{69C24F9F-DA57-47E1-B27A-984F23AC05FB}"/>
    <cellStyle name="Comma 3 2 7 7 4 2" xfId="26588" xr:uid="{4BA172EE-6067-4BB6-84A7-47A5A8B3FE6E}"/>
    <cellStyle name="Comma 3 2 7 7 5" xfId="17380" xr:uid="{7DB7F58C-F16A-4353-8634-18A72B87D39A}"/>
    <cellStyle name="Comma 3 2 7 7 5 2" xfId="33512" xr:uid="{32761808-8FAA-454E-9E0D-7AC17A855986}"/>
    <cellStyle name="Comma 3 2 7 7 6" xfId="18910" xr:uid="{57A994BA-2755-4DAC-99F4-CD131E8D5E21}"/>
    <cellStyle name="Comma 3 2 7 8" xfId="3615" xr:uid="{CF890CED-ACB8-42CE-A411-F706874F845A}"/>
    <cellStyle name="Comma 3 2 7 8 2" xfId="7328" xr:uid="{84B4A85E-E4F3-4A83-B36A-9218CC670FC5}"/>
    <cellStyle name="Comma 3 2 7 8 2 2" xfId="14837" xr:uid="{7F9E22A1-BA4F-48EF-8C0B-7ED49844B694}"/>
    <cellStyle name="Comma 3 2 7 8 2 2 2" xfId="31041" xr:uid="{1F49BC38-F6FE-4CE7-BE99-45C46B7EF66A}"/>
    <cellStyle name="Comma 3 2 7 8 2 3" xfId="23532" xr:uid="{742202A1-3F50-4E2D-AE99-6F5CFF570555}"/>
    <cellStyle name="Comma 3 2 7 8 3" xfId="7600" xr:uid="{7F5CB492-1970-4460-A0A9-074A8FB443ED}"/>
    <cellStyle name="Comma 3 2 7 8 3 2" xfId="15107" xr:uid="{33FBC833-9CFB-4D1E-8120-F22CFC14AEEF}"/>
    <cellStyle name="Comma 3 2 7 8 3 2 2" xfId="31311" xr:uid="{9A652D9A-3FBB-4B41-AF6C-A9C006C19E30}"/>
    <cellStyle name="Comma 3 2 7 8 3 3" xfId="23804" xr:uid="{2C5180DA-A194-463D-ADCC-D24ACFDDD48C}"/>
    <cellStyle name="Comma 3 2 7 8 4" xfId="11229" xr:uid="{192E9AE5-77F3-42C7-8ACC-4C1627C51862}"/>
    <cellStyle name="Comma 3 2 7 8 4 2" xfId="27433" xr:uid="{CDF908E0-F7C6-48B4-9A7B-E0E778207DB4}"/>
    <cellStyle name="Comma 3 2 7 8 5" xfId="17381" xr:uid="{0BA37323-4EAE-425A-9CEB-10727E3C1AE0}"/>
    <cellStyle name="Comma 3 2 7 8 5 2" xfId="33513" xr:uid="{5885F223-127B-4E1F-BE24-0DA82CA230FB}"/>
    <cellStyle name="Comma 3 2 7 8 6" xfId="19824" xr:uid="{1B7040D0-148D-4C21-9886-56A82726657E}"/>
    <cellStyle name="Comma 3 2 7 9" xfId="3604" xr:uid="{77D5EA09-ECA7-484C-9C04-F3E8413D5FEB}"/>
    <cellStyle name="Comma 3 2 7 9 2" xfId="5508" xr:uid="{53673543-67BA-4D81-8C3F-6C1BBD9C7CA6}"/>
    <cellStyle name="Comma 3 2 7 9 2 2" xfId="21712" xr:uid="{BD800BAE-F739-4757-8D10-BE3A0C576321}"/>
    <cellStyle name="Comma 3 2 7 9 3" xfId="17382" xr:uid="{2BEA9A01-39C8-4DFE-A8E1-177E5BA636E5}"/>
    <cellStyle name="Comma 3 2 7 9 3 2" xfId="33514" xr:uid="{41AD3870-4E35-402C-915B-ECED613D030E}"/>
    <cellStyle name="Comma 3 2 7 9 4" xfId="19813" xr:uid="{F5DF95F9-71D0-4F9B-8D64-A053660FA36C}"/>
    <cellStyle name="Comma 3 2 8" xfId="1741" xr:uid="{F8D5BFDF-3376-4812-BD72-1EA34F99754A}"/>
    <cellStyle name="Comma 3 2 8 10" xfId="5613" xr:uid="{52CBB4B4-315B-4B33-B4E4-683984978684}"/>
    <cellStyle name="Comma 3 2 8 10 2" xfId="13128" xr:uid="{A9AD9F1E-B450-45A5-B1F3-1F9E3D1AF511}"/>
    <cellStyle name="Comma 3 2 8 10 2 2" xfId="29332" xr:uid="{8E32B2B1-BBFB-4B5E-BD64-721C31A061D2}"/>
    <cellStyle name="Comma 3 2 8 10 3" xfId="21817" xr:uid="{BFAFBB08-F092-4CC4-BAD3-E955F235B539}"/>
    <cellStyle name="Comma 3 2 8 11" xfId="9541" xr:uid="{CF5B75A5-41C5-4504-89D0-3158765935C2}"/>
    <cellStyle name="Comma 3 2 8 11 2" xfId="25745" xr:uid="{481CB3D1-3026-46EF-BBB9-0F431C6DB016}"/>
    <cellStyle name="Comma 3 2 8 12" xfId="17383" xr:uid="{20B2A20E-E840-4B3A-AD72-32143439E0A4}"/>
    <cellStyle name="Comma 3 2 8 12 2" xfId="33515" xr:uid="{6409C3A7-0321-4D1C-BDA1-27059E6B8665}"/>
    <cellStyle name="Comma 3 2 8 13" xfId="18064" xr:uid="{00A46E29-D939-4F94-AB3B-1E85BC3B1193}"/>
    <cellStyle name="Comma 3 2 8 2" xfId="1926" xr:uid="{48E51747-5687-4CA0-A4D3-8AC9EE3487C9}"/>
    <cellStyle name="Comma 3 2 8 2 10" xfId="9706" xr:uid="{2336209E-1618-4A2A-991B-9B8EBADE8529}"/>
    <cellStyle name="Comma 3 2 8 2 10 2" xfId="25910" xr:uid="{BEEA8A04-ABE3-4CA5-8B23-1CC3FCBEAC0F}"/>
    <cellStyle name="Comma 3 2 8 2 11" xfId="17384" xr:uid="{739E9AB4-0907-44D8-B9C9-219A98D14132}"/>
    <cellStyle name="Comma 3 2 8 2 11 2" xfId="33516" xr:uid="{F920491F-D252-46B2-89DF-4829C77A81F2}"/>
    <cellStyle name="Comma 3 2 8 2 12" xfId="18230" xr:uid="{CD5940DA-D25F-41D9-83B8-4F832A84A932}"/>
    <cellStyle name="Comma 3 2 8 2 2" xfId="2433" xr:uid="{4FABB6AC-60ED-46C2-9165-CBAA8640C858}"/>
    <cellStyle name="Comma 3 2 8 2 2 2" xfId="3280" xr:uid="{49CBE11C-8DCA-4392-8655-E018BBA75411}"/>
    <cellStyle name="Comma 3 2 8 2 2 2 2" xfId="7062" xr:uid="{D79D5D9C-69A8-4DC1-9E75-3985FD948EAB}"/>
    <cellStyle name="Comma 3 2 8 2 2 2 2 2" xfId="14573" xr:uid="{401AC969-1079-4E39-9332-56A88BE764B0}"/>
    <cellStyle name="Comma 3 2 8 2 2 2 2 2 2" xfId="30777" xr:uid="{83C6028A-E461-4C94-ABB1-1A568919AFAF}"/>
    <cellStyle name="Comma 3 2 8 2 2 2 2 3" xfId="23266" xr:uid="{C8BBBF1D-9BC1-4FC3-8207-DF88E9B90204}"/>
    <cellStyle name="Comma 3 2 8 2 2 2 3" xfId="5545" xr:uid="{397F19BF-74B8-4B9B-A43B-7A4AC944D1B6}"/>
    <cellStyle name="Comma 3 2 8 2 2 2 3 2" xfId="13068" xr:uid="{2359CB7F-A5E2-49FA-9000-B45968F40A50}"/>
    <cellStyle name="Comma 3 2 8 2 2 2 3 2 2" xfId="29272" xr:uid="{41AD8316-F4DE-4B3C-A13D-879A09E9E287}"/>
    <cellStyle name="Comma 3 2 8 2 2 2 3 3" xfId="21749" xr:uid="{8C33AC54-FA32-45F9-AE62-939ECA2335B6}"/>
    <cellStyle name="Comma 3 2 8 2 2 2 4" xfId="10973" xr:uid="{EAD62696-A33A-46E6-8D43-348725A21396}"/>
    <cellStyle name="Comma 3 2 8 2 2 2 4 2" xfId="27177" xr:uid="{09101FF5-7FF4-4446-9DBA-037131E447D7}"/>
    <cellStyle name="Comma 3 2 8 2 2 2 5" xfId="17386" xr:uid="{66032AB4-D64E-4478-AC3D-BB981B4BA0F8}"/>
    <cellStyle name="Comma 3 2 8 2 2 2 5 2" xfId="33518" xr:uid="{20DAD218-6E7A-432C-A3C4-3F39BDDD2A83}"/>
    <cellStyle name="Comma 3 2 8 2 2 2 6" xfId="19500" xr:uid="{8B95B446-BF9C-4669-8373-7EEAA892CB96}"/>
    <cellStyle name="Comma 3 2 8 2 2 3" xfId="6217" xr:uid="{1CDD1BED-65D7-4505-9AE0-81DB6D4C69BF}"/>
    <cellStyle name="Comma 3 2 8 2 2 3 2" xfId="13729" xr:uid="{79B96D16-10E3-4249-82FA-9C2647087D52}"/>
    <cellStyle name="Comma 3 2 8 2 2 3 2 2" xfId="29933" xr:uid="{AC277F0E-B69B-4CB4-B965-0025D1395D47}"/>
    <cellStyle name="Comma 3 2 8 2 2 3 3" xfId="22421" xr:uid="{C2A40EEC-7536-45ED-9BDB-C471015B4605}"/>
    <cellStyle name="Comma 3 2 8 2 2 4" xfId="5228" xr:uid="{9FCB66B3-7C23-49EF-8138-F3E20F34E2C1}"/>
    <cellStyle name="Comma 3 2 8 2 2 4 2" xfId="12783" xr:uid="{2658CD81-7F52-42CB-9746-9DFF5FAD74B5}"/>
    <cellStyle name="Comma 3 2 8 2 2 4 2 2" xfId="28987" xr:uid="{2D76DB28-7A2E-4E00-9701-89F6B3487AB5}"/>
    <cellStyle name="Comma 3 2 8 2 2 4 3" xfId="21432" xr:uid="{C3B1F14C-774F-4F5B-A7E4-FE2192268FBD}"/>
    <cellStyle name="Comma 3 2 8 2 2 5" xfId="10129" xr:uid="{86202F2D-2DA2-4F75-96A5-398A6FCCDE2C}"/>
    <cellStyle name="Comma 3 2 8 2 2 5 2" xfId="26333" xr:uid="{5C25111F-D78F-401D-9F83-487ECE1E52DA}"/>
    <cellStyle name="Comma 3 2 8 2 2 6" xfId="17385" xr:uid="{362E484D-DBA8-490B-ABAE-1A5C02668C83}"/>
    <cellStyle name="Comma 3 2 8 2 2 6 2" xfId="33517" xr:uid="{8D08ABED-7669-4169-BE27-D8A6DEC9956E}"/>
    <cellStyle name="Comma 3 2 8 2 2 7" xfId="18655" xr:uid="{7626DF3B-B528-4D6B-9CB4-D64E1BFFB6FA}"/>
    <cellStyle name="Comma 3 2 8 2 3" xfId="2855" xr:uid="{48C31FC9-0BF4-4332-A16E-FB273673F153}"/>
    <cellStyle name="Comma 3 2 8 2 3 2" xfId="6639" xr:uid="{D488E2D6-4C69-4F98-B32B-F02DE663EE7D}"/>
    <cellStyle name="Comma 3 2 8 2 3 2 2" xfId="14151" xr:uid="{B57E9FE6-3C85-4F54-8461-1B7C18BCC1E6}"/>
    <cellStyle name="Comma 3 2 8 2 3 2 2 2" xfId="30355" xr:uid="{83ECBA73-795A-44B9-BFE5-8745F2C4ABFB}"/>
    <cellStyle name="Comma 3 2 8 2 3 2 3" xfId="22843" xr:uid="{68BD2923-E86C-4813-A4A4-00ED3C7F6E72}"/>
    <cellStyle name="Comma 3 2 8 2 3 3" xfId="9275" xr:uid="{7E1FF044-0B2E-434D-927E-7EECA50C5E79}"/>
    <cellStyle name="Comma 3 2 8 2 3 3 2" xfId="16734" xr:uid="{920641A6-D0A2-4EE5-BA01-B500BF849AD3}"/>
    <cellStyle name="Comma 3 2 8 2 3 3 2 2" xfId="32938" xr:uid="{712F0C30-5503-473C-B06C-9AB25C392651}"/>
    <cellStyle name="Comma 3 2 8 2 3 3 3" xfId="25479" xr:uid="{24AADE18-12A6-4AF4-A375-A362DCFF9F85}"/>
    <cellStyle name="Comma 3 2 8 2 3 4" xfId="10551" xr:uid="{83A3D927-6E41-4B07-979E-6A7B3BF36A8B}"/>
    <cellStyle name="Comma 3 2 8 2 3 4 2" xfId="26755" xr:uid="{1CF282DE-C8E3-405C-A184-3800D4F07966}"/>
    <cellStyle name="Comma 3 2 8 2 3 5" xfId="17387" xr:uid="{3DB48E16-6C47-4AD5-A169-005034DE587D}"/>
    <cellStyle name="Comma 3 2 8 2 3 5 2" xfId="33519" xr:uid="{CB813F9A-A120-4727-A738-FF9BD0EA6718}"/>
    <cellStyle name="Comma 3 2 8 2 3 6" xfId="19077" xr:uid="{51EA42C9-51FF-435E-BDC7-811411779F2A}"/>
    <cellStyle name="Comma 3 2 8 2 4" xfId="3786" xr:uid="{5892A477-E689-41D3-8C82-3145590EA4A5}"/>
    <cellStyle name="Comma 3 2 8 2 4 2" xfId="7496" xr:uid="{08B6D8E0-E34B-4AC2-B793-9B28320C635C}"/>
    <cellStyle name="Comma 3 2 8 2 4 2 2" xfId="15005" xr:uid="{547F9398-4922-4E24-A3F9-B31E93AF0FF3}"/>
    <cellStyle name="Comma 3 2 8 2 4 2 2 2" xfId="31209" xr:uid="{3F60960A-8B03-474B-B055-55DB9B58B5A5}"/>
    <cellStyle name="Comma 3 2 8 2 4 2 3" xfId="23700" xr:uid="{11E3D19E-4D2A-4166-BF07-4C23BC633E8D}"/>
    <cellStyle name="Comma 3 2 8 2 4 3" xfId="5466" xr:uid="{C7729CA0-0F85-4895-85B8-BE43ECF1673F}"/>
    <cellStyle name="Comma 3 2 8 2 4 3 2" xfId="13007" xr:uid="{4C47FE3A-10DD-4C69-8287-4B996A5F3B22}"/>
    <cellStyle name="Comma 3 2 8 2 4 3 2 2" xfId="29211" xr:uid="{8C57A8C4-048C-4F35-9394-FDD9FC8D421F}"/>
    <cellStyle name="Comma 3 2 8 2 4 3 3" xfId="21670" xr:uid="{9651DC7D-1A96-476B-B90E-D4DB53783E62}"/>
    <cellStyle name="Comma 3 2 8 2 4 4" xfId="11396" xr:uid="{82FC0779-43AA-407B-B44B-17B23C744523}"/>
    <cellStyle name="Comma 3 2 8 2 4 4 2" xfId="27600" xr:uid="{29674781-CA0E-4D8B-9B2C-FCB1B6180BAE}"/>
    <cellStyle name="Comma 3 2 8 2 4 5" xfId="17388" xr:uid="{397E7C0C-E9AD-49CB-BC01-2FECA83879B1}"/>
    <cellStyle name="Comma 3 2 8 2 4 5 2" xfId="33520" xr:uid="{9D7BFC69-3BB5-4DB6-B87B-8E2C29595917}"/>
    <cellStyle name="Comma 3 2 8 2 4 6" xfId="19995" xr:uid="{2C17849B-C94A-4012-9BB3-A9F206717228}"/>
    <cellStyle name="Comma 3 2 8 2 5" xfId="3556" xr:uid="{EA5AE450-7DBD-4EAE-9765-8D13B1AA1FF5}"/>
    <cellStyle name="Comma 3 2 8 2 5 2" xfId="9261" xr:uid="{50DD229A-3636-4D08-B957-30F008E8B988}"/>
    <cellStyle name="Comma 3 2 8 2 5 2 2" xfId="25465" xr:uid="{55A311CF-0BFD-4F29-B388-B545A65F985D}"/>
    <cellStyle name="Comma 3 2 8 2 5 3" xfId="17389" xr:uid="{EBECE103-6A55-4DA0-9DD5-EB2E67F606EF}"/>
    <cellStyle name="Comma 3 2 8 2 5 3 2" xfId="33521" xr:uid="{D0B6E4C2-C69A-4C7D-9498-15700E8DF0E2}"/>
    <cellStyle name="Comma 3 2 8 2 5 4" xfId="19771" xr:uid="{4B77A373-49ED-4152-8128-1533C84F20A6}"/>
    <cellStyle name="Comma 3 2 8 2 6" xfId="4255" xr:uid="{86A6171A-86C9-4623-A473-A0FF313DF5F6}"/>
    <cellStyle name="Comma 3 2 8 2 6 2" xfId="7925" xr:uid="{7861E397-C48B-4E0A-A72C-17DACFA3DAE2}"/>
    <cellStyle name="Comma 3 2 8 2 6 2 2" xfId="15432" xr:uid="{DE936506-FF5F-48C6-88D1-566C4621FCA3}"/>
    <cellStyle name="Comma 3 2 8 2 6 2 2 2" xfId="31636" xr:uid="{2F72A1D7-9AFC-43D1-B9A0-0CD8075D16A3}"/>
    <cellStyle name="Comma 3 2 8 2 6 2 3" xfId="24129" xr:uid="{AFAD7DA8-9994-43A9-BF64-FFB8D7EFF030}"/>
    <cellStyle name="Comma 3 2 8 2 6 3" xfId="9256" xr:uid="{EA0E2980-3594-4529-AE88-E1C13A8C29B8}"/>
    <cellStyle name="Comma 3 2 8 2 6 3 2" xfId="16717" xr:uid="{AA86EACF-4D17-449C-A3BC-527A1EB57B3C}"/>
    <cellStyle name="Comma 3 2 8 2 6 3 2 2" xfId="32921" xr:uid="{73A7EEF5-3448-4BED-A31F-27AE9476376C}"/>
    <cellStyle name="Comma 3 2 8 2 6 3 3" xfId="25460" xr:uid="{B281EA13-6E26-46D1-89C9-C1BDB65EE543}"/>
    <cellStyle name="Comma 3 2 8 2 6 4" xfId="11818" xr:uid="{0B5490FD-4BAD-4CED-BD29-87E8CE0E8E5B}"/>
    <cellStyle name="Comma 3 2 8 2 6 4 2" xfId="28022" xr:uid="{62CB60E5-5696-4ED0-8CF3-F981A9C7AAB3}"/>
    <cellStyle name="Comma 3 2 8 2 6 5" xfId="17390" xr:uid="{D19B8E24-2AC5-488C-91D2-F3C53F641965}"/>
    <cellStyle name="Comma 3 2 8 2 6 5 2" xfId="33522" xr:uid="{2B4BED0B-297E-4643-862A-7E96099596F0}"/>
    <cellStyle name="Comma 3 2 8 2 6 6" xfId="20459" xr:uid="{101C5EB7-6E2E-412D-9011-51F0537A9874}"/>
    <cellStyle name="Comma 3 2 8 2 7" xfId="4680" xr:uid="{4312A423-CF9D-4FF0-A0B5-40FE71F9C225}"/>
    <cellStyle name="Comma 3 2 8 2 7 2" xfId="8350" xr:uid="{4D6B9A04-52F3-43FE-A204-C60A06A496BB}"/>
    <cellStyle name="Comma 3 2 8 2 7 2 2" xfId="15857" xr:uid="{C28C67E2-BF95-43A8-BC2F-E5B70F478E89}"/>
    <cellStyle name="Comma 3 2 8 2 7 2 2 2" xfId="32061" xr:uid="{AB8C7B53-628D-487B-A94C-C31290F76305}"/>
    <cellStyle name="Comma 3 2 8 2 7 2 3" xfId="24554" xr:uid="{4CCE8C94-F2B7-4EDB-891F-198A087B3D57}"/>
    <cellStyle name="Comma 3 2 8 2 7 3" xfId="9048" xr:uid="{4F3D0709-004C-4396-8FF2-B5ED17DD01EA}"/>
    <cellStyle name="Comma 3 2 8 2 7 3 2" xfId="16537" xr:uid="{F3D97409-5732-4813-9F0B-83C46061E3F2}"/>
    <cellStyle name="Comma 3 2 8 2 7 3 2 2" xfId="32741" xr:uid="{7DB3E6C0-4560-4100-A8EC-D5068C9FF0F9}"/>
    <cellStyle name="Comma 3 2 8 2 7 3 3" xfId="25252" xr:uid="{658FB40D-8912-4066-9DFF-ECB499AD2B50}"/>
    <cellStyle name="Comma 3 2 8 2 7 4" xfId="12243" xr:uid="{BA298ED2-4452-409F-B105-C75AA97746D1}"/>
    <cellStyle name="Comma 3 2 8 2 7 4 2" xfId="28447" xr:uid="{5A2EC891-95C0-4A8A-B30C-8BEFA7545FE2}"/>
    <cellStyle name="Comma 3 2 8 2 7 5" xfId="17391" xr:uid="{0F38595C-1AE2-401C-95E9-0854E02D6EDF}"/>
    <cellStyle name="Comma 3 2 8 2 7 5 2" xfId="33523" xr:uid="{E630BFB6-130B-44AA-A1D8-DE224BC1E7E9}"/>
    <cellStyle name="Comma 3 2 8 2 7 6" xfId="20884" xr:uid="{5217F00B-C528-4427-85F8-7D3D17D0E215}"/>
    <cellStyle name="Comma 3 2 8 2 8" xfId="5108" xr:uid="{8779FC5E-D2C5-4032-B2F5-653BFA4877D7}"/>
    <cellStyle name="Comma 3 2 8 2 8 2" xfId="8773" xr:uid="{E04794DE-AFA1-4434-B653-E0C52E115434}"/>
    <cellStyle name="Comma 3 2 8 2 8 2 2" xfId="16280" xr:uid="{25CFC021-C874-4E51-B371-1CA17BF7562D}"/>
    <cellStyle name="Comma 3 2 8 2 8 2 2 2" xfId="32484" xr:uid="{79F03121-B519-4151-8889-F7211B37603E}"/>
    <cellStyle name="Comma 3 2 8 2 8 2 3" xfId="24977" xr:uid="{6110D651-158A-4A64-BEEC-72BFB139A289}"/>
    <cellStyle name="Comma 3 2 8 2 8 3" xfId="12665" xr:uid="{7F8E61C5-9A96-49CE-8537-0E3A5585C208}"/>
    <cellStyle name="Comma 3 2 8 2 8 3 2" xfId="28869" xr:uid="{8003F77D-C41F-4F10-AB91-4106D67180CF}"/>
    <cellStyle name="Comma 3 2 8 2 8 4" xfId="21312" xr:uid="{51DED7A1-53C0-4B51-9295-A99CB3166C79}"/>
    <cellStyle name="Comma 3 2 8 2 9" xfId="5779" xr:uid="{56CBD6B7-2B02-40F7-9298-3DAF50DA7C64}"/>
    <cellStyle name="Comma 3 2 8 2 9 2" xfId="13294" xr:uid="{AD6A4EF3-6FD4-463D-9C94-870B4CF4EA80}"/>
    <cellStyle name="Comma 3 2 8 2 9 2 2" xfId="29498" xr:uid="{44A4A121-4E1E-499B-9F94-1895FA64B8D8}"/>
    <cellStyle name="Comma 3 2 8 2 9 3" xfId="21983" xr:uid="{6D441685-8787-4ABA-90B0-00107DC44242}"/>
    <cellStyle name="Comma 3 2 8 3" xfId="2262" xr:uid="{059B17FB-03B3-406C-A511-6FD436FDC9F6}"/>
    <cellStyle name="Comma 3 2 8 3 2" xfId="3115" xr:uid="{731E7C53-E53C-497C-BF5B-6518A4AA0FD1}"/>
    <cellStyle name="Comma 3 2 8 3 2 2" xfId="6897" xr:uid="{1271B84D-34CE-4730-AC5B-041C5F41E499}"/>
    <cellStyle name="Comma 3 2 8 3 2 2 2" xfId="14408" xr:uid="{1BA06B50-8B98-445A-86C7-630DBA245DDD}"/>
    <cellStyle name="Comma 3 2 8 3 2 2 2 2" xfId="30612" xr:uid="{70827270-3769-414F-8890-6FA79D3D8E05}"/>
    <cellStyle name="Comma 3 2 8 3 2 2 3" xfId="23101" xr:uid="{4757E265-3771-4859-B02D-D00184FCFC85}"/>
    <cellStyle name="Comma 3 2 8 3 2 3" xfId="9366" xr:uid="{DAA97D72-ACED-4102-B768-BA103ADCC598}"/>
    <cellStyle name="Comma 3 2 8 3 2 3 2" xfId="16808" xr:uid="{392D8295-E125-4509-9D7A-DBDF4B7D6846}"/>
    <cellStyle name="Comma 3 2 8 3 2 3 2 2" xfId="33012" xr:uid="{25CAABAE-9D40-40D4-906E-A97BA5699B64}"/>
    <cellStyle name="Comma 3 2 8 3 2 3 3" xfId="25570" xr:uid="{39068F61-5AB2-4B34-80FE-E869E28141D3}"/>
    <cellStyle name="Comma 3 2 8 3 2 4" xfId="10808" xr:uid="{7393615E-D9D6-4D06-8FB5-826F09619040}"/>
    <cellStyle name="Comma 3 2 8 3 2 4 2" xfId="27012" xr:uid="{31E83BC0-EEBD-4F79-AA49-ACB04D707643}"/>
    <cellStyle name="Comma 3 2 8 3 2 5" xfId="17393" xr:uid="{90871136-AB43-40E7-8E74-996FBD1DC411}"/>
    <cellStyle name="Comma 3 2 8 3 2 5 2" xfId="33525" xr:uid="{F06212DC-A86C-4F4F-A4A6-64B5A49E2094}"/>
    <cellStyle name="Comma 3 2 8 3 2 6" xfId="19335" xr:uid="{574C6FBD-7A40-4EFF-AE9D-28C3E555AAFB}"/>
    <cellStyle name="Comma 3 2 8 3 3" xfId="6051" xr:uid="{389F2D2F-3531-42E8-84F9-7F081D7F95CE}"/>
    <cellStyle name="Comma 3 2 8 3 3 2" xfId="13563" xr:uid="{E9815D71-B1A3-4ACE-836F-A6E728E5EA69}"/>
    <cellStyle name="Comma 3 2 8 3 3 2 2" xfId="29767" xr:uid="{FA6B07E9-77B6-4CD5-83E4-C8F5B92E8605}"/>
    <cellStyle name="Comma 3 2 8 3 3 3" xfId="22255" xr:uid="{2E5493C5-AA9F-41F6-B6EE-5F645E0AB7C0}"/>
    <cellStyle name="Comma 3 2 8 3 4" xfId="9201" xr:uid="{06CAE3B3-EFF7-48CC-9119-CE1766350541}"/>
    <cellStyle name="Comma 3 2 8 3 4 2" xfId="16671" xr:uid="{33DB264B-7B61-4682-85EB-64C2B1F61746}"/>
    <cellStyle name="Comma 3 2 8 3 4 2 2" xfId="32875" xr:uid="{D16141F4-4EAC-4B69-A578-08AB07C904E4}"/>
    <cellStyle name="Comma 3 2 8 3 4 3" xfId="25405" xr:uid="{F8A35D19-ABCB-4E38-9AC4-5EB52D67C2C4}"/>
    <cellStyle name="Comma 3 2 8 3 5" xfId="9964" xr:uid="{FEF4B01C-873E-49DE-B3F2-D7EADF40AF49}"/>
    <cellStyle name="Comma 3 2 8 3 5 2" xfId="26168" xr:uid="{88D747B8-AB5A-4C3A-84B8-7B40E3100610}"/>
    <cellStyle name="Comma 3 2 8 3 6" xfId="17392" xr:uid="{07387C9F-5784-4763-92AD-3B6EAE47194D}"/>
    <cellStyle name="Comma 3 2 8 3 6 2" xfId="33524" xr:uid="{7478F7B2-26BA-4775-BFAA-3738F1ABA717}"/>
    <cellStyle name="Comma 3 2 8 3 7" xfId="18490" xr:uid="{5A138665-69BA-4234-BF91-F4574F274ECE}"/>
    <cellStyle name="Comma 3 2 8 4" xfId="2690" xr:uid="{FCA09333-D409-494A-B4DF-A69820FE3B66}"/>
    <cellStyle name="Comma 3 2 8 4 2" xfId="6474" xr:uid="{BCB5CD52-5EBB-420B-BF86-87A4CB0CAD20}"/>
    <cellStyle name="Comma 3 2 8 4 2 2" xfId="13986" xr:uid="{F705DAEA-ED86-490C-8381-FD14D73E0217}"/>
    <cellStyle name="Comma 3 2 8 4 2 2 2" xfId="30190" xr:uid="{4F7968E7-BD42-48C6-A149-637B5012B806}"/>
    <cellStyle name="Comma 3 2 8 4 2 3" xfId="22678" xr:uid="{030FED0E-A509-4D7F-A62D-8243B3546456}"/>
    <cellStyle name="Comma 3 2 8 4 3" xfId="9078" xr:uid="{1C1DF5D6-B43B-4E02-8CFE-CB71C0B29FD5}"/>
    <cellStyle name="Comma 3 2 8 4 3 2" xfId="16560" xr:uid="{44A0DC59-6D54-4282-99E0-DE7494D789E5}"/>
    <cellStyle name="Comma 3 2 8 4 3 2 2" xfId="32764" xr:uid="{7633C22A-C818-4400-89C1-AE8E83A37F5F}"/>
    <cellStyle name="Comma 3 2 8 4 3 3" xfId="25282" xr:uid="{64BB7FE4-3354-4B0E-A853-9FC931469550}"/>
    <cellStyle name="Comma 3 2 8 4 4" xfId="10386" xr:uid="{F0188AA4-F7B6-49D8-97A4-B7936B6C9584}"/>
    <cellStyle name="Comma 3 2 8 4 4 2" xfId="26590" xr:uid="{1F698BE4-F96A-4B48-9E02-7C33AFBB3EDF}"/>
    <cellStyle name="Comma 3 2 8 4 5" xfId="17394" xr:uid="{7813C355-6E9A-4C7B-90F7-489BFF4115E3}"/>
    <cellStyle name="Comma 3 2 8 4 5 2" xfId="33526" xr:uid="{1C3962C5-208E-4A4E-B500-AD89A94E4F31}"/>
    <cellStyle name="Comma 3 2 8 4 6" xfId="18912" xr:uid="{FFB92244-2C69-443E-9F11-498A2569AC6F}"/>
    <cellStyle name="Comma 3 2 8 5" xfId="3620" xr:uid="{EBCD48B2-6FF4-4221-8A88-9C611A14AB82}"/>
    <cellStyle name="Comma 3 2 8 5 2" xfId="7330" xr:uid="{BB041EEA-E36D-4BC0-BAE7-9E4BC4BA4DCB}"/>
    <cellStyle name="Comma 3 2 8 5 2 2" xfId="14839" xr:uid="{0C4AE38E-1B71-4317-AEB6-4107ADB89A3C}"/>
    <cellStyle name="Comma 3 2 8 5 2 2 2" xfId="31043" xr:uid="{D8B10650-3BBD-489D-ADC1-BA8720FF8ADF}"/>
    <cellStyle name="Comma 3 2 8 5 2 3" xfId="23534" xr:uid="{382F076E-954E-4248-97C0-E3B85B814122}"/>
    <cellStyle name="Comma 3 2 8 5 3" xfId="9263" xr:uid="{3654C2C4-58E6-408A-9CFE-309EAC991264}"/>
    <cellStyle name="Comma 3 2 8 5 3 2" xfId="16723" xr:uid="{5A6CDCD7-76EA-4556-85F3-DE88694066D7}"/>
    <cellStyle name="Comma 3 2 8 5 3 2 2" xfId="32927" xr:uid="{A6E30374-8AA8-4773-A840-9A3771B51F35}"/>
    <cellStyle name="Comma 3 2 8 5 3 3" xfId="25467" xr:uid="{AF5B46A4-5DF3-415C-A0BD-6B78C21507FE}"/>
    <cellStyle name="Comma 3 2 8 5 4" xfId="11231" xr:uid="{0E1676F2-1C68-4F18-A60A-A956C73BEE42}"/>
    <cellStyle name="Comma 3 2 8 5 4 2" xfId="27435" xr:uid="{2820BE4D-642B-4CDC-92F8-352A2D4CF30B}"/>
    <cellStyle name="Comma 3 2 8 5 5" xfId="17395" xr:uid="{BA33BDB0-FE1D-467F-8F6A-D7D61D89C510}"/>
    <cellStyle name="Comma 3 2 8 5 5 2" xfId="33527" xr:uid="{3280478F-D8F2-48D4-BCE4-F9954CAA9963}"/>
    <cellStyle name="Comma 3 2 8 5 6" xfId="19829" xr:uid="{CA55C494-F899-4D7D-A6B4-E42F2BBB0F1E}"/>
    <cellStyle name="Comma 3 2 8 6" xfId="3384" xr:uid="{F7F2BBB5-B84B-4C88-A369-F29A6D7C1733}"/>
    <cellStyle name="Comma 3 2 8 6 2" xfId="5239" xr:uid="{24CBDE2E-3993-4DF5-A3E4-1A662F1D65E8}"/>
    <cellStyle name="Comma 3 2 8 6 2 2" xfId="21443" xr:uid="{7DFE8BC7-E010-4B22-AE64-45C9F3418CBE}"/>
    <cellStyle name="Comma 3 2 8 6 3" xfId="17396" xr:uid="{44DDE34B-221C-4960-B17F-3C888EB063FF}"/>
    <cellStyle name="Comma 3 2 8 6 3 2" xfId="33528" xr:uid="{1206129E-5068-4DA2-9940-8B8E1065B241}"/>
    <cellStyle name="Comma 3 2 8 6 4" xfId="19602" xr:uid="{CAA5C5CB-DCCA-410E-A631-A1D84BAB680F}"/>
    <cellStyle name="Comma 3 2 8 7" xfId="4090" xr:uid="{5429C13D-5CF8-451A-AFAD-682A65E9DE42}"/>
    <cellStyle name="Comma 3 2 8 7 2" xfId="7760" xr:uid="{E10A12E3-5A89-4225-A08C-62DD71763821}"/>
    <cellStyle name="Comma 3 2 8 7 2 2" xfId="15267" xr:uid="{DB72A38B-CE2E-40CF-8BB6-0D4EAF13EC37}"/>
    <cellStyle name="Comma 3 2 8 7 2 2 2" xfId="31471" xr:uid="{46098FD2-6EC0-4B4B-AC83-B277AA40A04B}"/>
    <cellStyle name="Comma 3 2 8 7 2 3" xfId="23964" xr:uid="{069124DF-80B7-4204-BCDE-44A9F8CF43EB}"/>
    <cellStyle name="Comma 3 2 8 7 3" xfId="8882" xr:uid="{260553E3-FA11-4042-B2C8-35A62E4E444C}"/>
    <cellStyle name="Comma 3 2 8 7 3 2" xfId="16387" xr:uid="{D6295364-8476-4DEC-B10B-D7F19C7EC93C}"/>
    <cellStyle name="Comma 3 2 8 7 3 2 2" xfId="32591" xr:uid="{13DE611D-5A79-40BB-A4A1-1919B0D06886}"/>
    <cellStyle name="Comma 3 2 8 7 3 3" xfId="25086" xr:uid="{A162F947-CB55-4B25-A2A0-37A606EB07DB}"/>
    <cellStyle name="Comma 3 2 8 7 4" xfId="11653" xr:uid="{6C44C836-EFAB-42AA-A8CE-44DA286E62C0}"/>
    <cellStyle name="Comma 3 2 8 7 4 2" xfId="27857" xr:uid="{C2ACAB61-C423-4045-925E-F14F9328AEF7}"/>
    <cellStyle name="Comma 3 2 8 7 5" xfId="17397" xr:uid="{73375674-1F8D-4DF4-B7E7-BDAA04FC4C6B}"/>
    <cellStyle name="Comma 3 2 8 7 5 2" xfId="33529" xr:uid="{4FC05A61-A006-45E5-96D7-20FE6EEC985E}"/>
    <cellStyle name="Comma 3 2 8 7 6" xfId="20294" xr:uid="{B587C784-06A9-4801-AC75-ADE6BEE6C1F5}"/>
    <cellStyle name="Comma 3 2 8 8" xfId="4515" xr:uid="{CDFCF90D-F107-46CD-971A-2A407B5F3179}"/>
    <cellStyle name="Comma 3 2 8 8 2" xfId="8185" xr:uid="{3B5B40D2-ADE4-43A9-AC0C-54AAA018F876}"/>
    <cellStyle name="Comma 3 2 8 8 2 2" xfId="15692" xr:uid="{F3912A4E-CBFC-4223-9C27-6FD4C0BC9E94}"/>
    <cellStyle name="Comma 3 2 8 8 2 2 2" xfId="31896" xr:uid="{82E2283B-0C8C-4753-A290-CC2DCA58379F}"/>
    <cellStyle name="Comma 3 2 8 8 2 3" xfId="24389" xr:uid="{7C77719A-839C-4DA4-AC70-6FB1612D42C5}"/>
    <cellStyle name="Comma 3 2 8 8 3" xfId="9091" xr:uid="{D3526CB6-EB7A-4BE2-8458-C80D5F8D5438}"/>
    <cellStyle name="Comma 3 2 8 8 3 2" xfId="16571" xr:uid="{EA0EEFB1-5179-40E8-9F99-164599C8A6C8}"/>
    <cellStyle name="Comma 3 2 8 8 3 2 2" xfId="32775" xr:uid="{56E7625D-BAF6-4C51-96DD-7E4BF83DAE41}"/>
    <cellStyle name="Comma 3 2 8 8 3 3" xfId="25295" xr:uid="{5B426A7B-99BE-4BCF-9BEF-624CC555078E}"/>
    <cellStyle name="Comma 3 2 8 8 4" xfId="12078" xr:uid="{084BF4F7-21CC-4817-AF05-0D2F66FFB6BA}"/>
    <cellStyle name="Comma 3 2 8 8 4 2" xfId="28282" xr:uid="{FA7B8080-5A55-4C1B-A796-4ED81B734F3F}"/>
    <cellStyle name="Comma 3 2 8 8 5" xfId="17398" xr:uid="{14A356CF-82DD-47AA-8C89-184CF05CFB66}"/>
    <cellStyle name="Comma 3 2 8 8 5 2" xfId="33530" xr:uid="{ED014E38-AF92-42F7-AC23-36E83B488361}"/>
    <cellStyle name="Comma 3 2 8 8 6" xfId="20719" xr:uid="{D2505E54-9950-4704-BDFF-1FE1C9AEB61A}"/>
    <cellStyle name="Comma 3 2 8 9" xfId="4942" xr:uid="{1C55A2F0-95FB-412C-A4B0-9733E3BC9194}"/>
    <cellStyle name="Comma 3 2 8 9 2" xfId="8608" xr:uid="{CA55A9FC-A99B-43AA-A92B-ECB7A9B3ECC3}"/>
    <cellStyle name="Comma 3 2 8 9 2 2" xfId="16115" xr:uid="{534D4BAA-33AE-42FE-BDF4-666C4C564127}"/>
    <cellStyle name="Comma 3 2 8 9 2 2 2" xfId="32319" xr:uid="{B0A794FF-39B2-4510-B2E6-A2062849E212}"/>
    <cellStyle name="Comma 3 2 8 9 2 3" xfId="24812" xr:uid="{19DE2280-EA27-4F80-B8AC-04C0618EF3D6}"/>
    <cellStyle name="Comma 3 2 8 9 3" xfId="12500" xr:uid="{CE56CB23-95A4-4D65-BEAE-B77C5BE3810A}"/>
    <cellStyle name="Comma 3 2 8 9 3 2" xfId="28704" xr:uid="{5535F6F9-EDE0-404B-B1E4-607BE548F005}"/>
    <cellStyle name="Comma 3 2 8 9 4" xfId="21146" xr:uid="{56017377-CED4-46DC-897E-056028745F90}"/>
    <cellStyle name="Comma 3 2 9" xfId="1760" xr:uid="{2DAF5910-DC01-466E-99BD-3E9BAD0A44E2}"/>
    <cellStyle name="Comma 3 2 9 10" xfId="5627" xr:uid="{22D56D02-5A6E-48AC-81C2-C3FBFCF6898C}"/>
    <cellStyle name="Comma 3 2 9 10 2" xfId="13142" xr:uid="{54C57871-125D-482D-B37C-24EF937C90D3}"/>
    <cellStyle name="Comma 3 2 9 10 2 2" xfId="29346" xr:uid="{98A5C589-88F3-4330-8235-796E545A5ADB}"/>
    <cellStyle name="Comma 3 2 9 10 3" xfId="21831" xr:uid="{6A1BBF07-4067-4072-A5CA-0873EC8419A3}"/>
    <cellStyle name="Comma 3 2 9 11" xfId="9555" xr:uid="{7C1EF205-426F-476D-97A8-C523A4F72A45}"/>
    <cellStyle name="Comma 3 2 9 11 2" xfId="25759" xr:uid="{C9BAAB19-A3CD-4E5D-8B5C-B1C235F9834F}"/>
    <cellStyle name="Comma 3 2 9 12" xfId="17399" xr:uid="{2729DA7F-1336-42A8-A22F-FFBB239376DD}"/>
    <cellStyle name="Comma 3 2 9 12 2" xfId="33531" xr:uid="{2EE2EA84-9E94-4C30-8798-14A46D74CC16}"/>
    <cellStyle name="Comma 3 2 9 13" xfId="18078" xr:uid="{A41CC0F1-43CB-4A07-B495-33885A578F07}"/>
    <cellStyle name="Comma 3 2 9 2" xfId="1927" xr:uid="{42D5E53B-81E0-43E1-8F75-89B73891E614}"/>
    <cellStyle name="Comma 3 2 9 2 10" xfId="9707" xr:uid="{EADAB3DB-B899-428C-9341-E33F29305F68}"/>
    <cellStyle name="Comma 3 2 9 2 10 2" xfId="25911" xr:uid="{65CF74E7-1B3D-4222-856F-56E8CA095517}"/>
    <cellStyle name="Comma 3 2 9 2 11" xfId="17400" xr:uid="{58934FC7-71EB-46DB-BC95-29290BF22141}"/>
    <cellStyle name="Comma 3 2 9 2 11 2" xfId="33532" xr:uid="{A34B6492-6CD9-4522-9EDF-3FDE290006FD}"/>
    <cellStyle name="Comma 3 2 9 2 12" xfId="18231" xr:uid="{A534AE0E-0ECE-4F28-811E-EB56A4A2C7AE}"/>
    <cellStyle name="Comma 3 2 9 2 2" xfId="2434" xr:uid="{BE23AD3D-9E0C-461B-9FF0-AB1BC9B6F4A2}"/>
    <cellStyle name="Comma 3 2 9 2 2 2" xfId="3281" xr:uid="{6C02F61C-31AF-4335-9A67-950303B1DAA7}"/>
    <cellStyle name="Comma 3 2 9 2 2 2 2" xfId="7063" xr:uid="{315C0D71-55E7-4865-A7C5-D9B03B3D6C54}"/>
    <cellStyle name="Comma 3 2 9 2 2 2 2 2" xfId="14574" xr:uid="{1C92CA75-4635-491C-8FD3-37396B2D387A}"/>
    <cellStyle name="Comma 3 2 9 2 2 2 2 2 2" xfId="30778" xr:uid="{AA581B0C-C7CD-44C8-8E29-5DF58D08DA4B}"/>
    <cellStyle name="Comma 3 2 9 2 2 2 2 3" xfId="23267" xr:uid="{04EAC0A9-249B-4238-93B6-08F2D3409752}"/>
    <cellStyle name="Comma 3 2 9 2 2 2 3" xfId="9024" xr:uid="{802B5A83-8016-4520-B42C-A1C9F7C623B0}"/>
    <cellStyle name="Comma 3 2 9 2 2 2 3 2" xfId="16515" xr:uid="{3C78DDED-951F-4FC4-A2BD-46E85FE32C7E}"/>
    <cellStyle name="Comma 3 2 9 2 2 2 3 2 2" xfId="32719" xr:uid="{C22D7E72-5CD7-4843-BE23-01024046B9EA}"/>
    <cellStyle name="Comma 3 2 9 2 2 2 3 3" xfId="25228" xr:uid="{841D431F-C4F3-499C-941E-F5FCF641C4B1}"/>
    <cellStyle name="Comma 3 2 9 2 2 2 4" xfId="10974" xr:uid="{A8591CDF-9584-4779-B699-6CF0495E3FC6}"/>
    <cellStyle name="Comma 3 2 9 2 2 2 4 2" xfId="27178" xr:uid="{FDB61BDD-74E0-4EFC-ABB4-73ACD2E7EFCF}"/>
    <cellStyle name="Comma 3 2 9 2 2 2 5" xfId="17402" xr:uid="{7BD8F05B-B003-41ED-84AF-38663E12BCAC}"/>
    <cellStyle name="Comma 3 2 9 2 2 2 5 2" xfId="33534" xr:uid="{04E52548-6BB3-48CD-AEFE-F065F258FA4C}"/>
    <cellStyle name="Comma 3 2 9 2 2 2 6" xfId="19501" xr:uid="{D0359C52-329E-4517-AB2B-42F0BFAF1270}"/>
    <cellStyle name="Comma 3 2 9 2 2 3" xfId="6218" xr:uid="{055BA3B2-B24E-4430-A813-2A8FDA669131}"/>
    <cellStyle name="Comma 3 2 9 2 2 3 2" xfId="13730" xr:uid="{18A579D9-655D-4B82-83E1-808605082114}"/>
    <cellStyle name="Comma 3 2 9 2 2 3 2 2" xfId="29934" xr:uid="{2A13C51F-D12B-4D03-94B9-3DDE0DAC1CE5}"/>
    <cellStyle name="Comma 3 2 9 2 2 3 3" xfId="22422" xr:uid="{4EC6F847-3D4C-4030-AFC8-6B97A4DBA12E}"/>
    <cellStyle name="Comma 3 2 9 2 2 4" xfId="5556" xr:uid="{CBA5E331-D590-4772-9464-D0699A43BDC8}"/>
    <cellStyle name="Comma 3 2 9 2 2 4 2" xfId="13075" xr:uid="{25C28CAD-C47B-4F63-9068-BDD0877D1DE9}"/>
    <cellStyle name="Comma 3 2 9 2 2 4 2 2" xfId="29279" xr:uid="{9C82C10C-70E9-4B14-B55E-93ABF80E4DD6}"/>
    <cellStyle name="Comma 3 2 9 2 2 4 3" xfId="21760" xr:uid="{7683ED62-99B1-441C-BF84-2084F694E3D8}"/>
    <cellStyle name="Comma 3 2 9 2 2 5" xfId="10130" xr:uid="{07047C55-24FB-4324-AC78-1D821FBF7DCE}"/>
    <cellStyle name="Comma 3 2 9 2 2 5 2" xfId="26334" xr:uid="{C64B2111-981D-4A9E-89AF-37B130AB5516}"/>
    <cellStyle name="Comma 3 2 9 2 2 6" xfId="17401" xr:uid="{261076D0-7814-414A-991C-8061F8091E9A}"/>
    <cellStyle name="Comma 3 2 9 2 2 6 2" xfId="33533" xr:uid="{04AC74F4-DA57-41C1-BD48-EE403FBB0A60}"/>
    <cellStyle name="Comma 3 2 9 2 2 7" xfId="18656" xr:uid="{93974D5F-B777-46CA-B558-8EE15A9AF569}"/>
    <cellStyle name="Comma 3 2 9 2 3" xfId="2856" xr:uid="{D2EE0F06-1F34-4FB3-8A17-CFAF323BB577}"/>
    <cellStyle name="Comma 3 2 9 2 3 2" xfId="6640" xr:uid="{963F9FD2-47E3-4F6C-BD83-AFBC1D79ACE4}"/>
    <cellStyle name="Comma 3 2 9 2 3 2 2" xfId="14152" xr:uid="{C7754295-91CF-40B7-8745-C336B3DC18EB}"/>
    <cellStyle name="Comma 3 2 9 2 3 2 2 2" xfId="30356" xr:uid="{7A20F39E-D426-414F-9958-DF39B532649B}"/>
    <cellStyle name="Comma 3 2 9 2 3 2 3" xfId="22844" xr:uid="{4CCC9880-B12C-4BA8-8670-B86A02F6C6CD}"/>
    <cellStyle name="Comma 3 2 9 2 3 3" xfId="9093" xr:uid="{67791671-1996-4980-B781-BDB9EC28F3DA}"/>
    <cellStyle name="Comma 3 2 9 2 3 3 2" xfId="16573" xr:uid="{01C2FDBE-6275-4D22-8B5A-CD66C33F46B5}"/>
    <cellStyle name="Comma 3 2 9 2 3 3 2 2" xfId="32777" xr:uid="{3CAE7E91-83CF-4D29-AB3A-61797F23EA86}"/>
    <cellStyle name="Comma 3 2 9 2 3 3 3" xfId="25297" xr:uid="{A2C6E45C-6071-49B2-AD8A-A8EF2D779C29}"/>
    <cellStyle name="Comma 3 2 9 2 3 4" xfId="10552" xr:uid="{41529FEA-9B98-4250-BE36-ECDB26F9C209}"/>
    <cellStyle name="Comma 3 2 9 2 3 4 2" xfId="26756" xr:uid="{3EE9C8C9-1EDE-46FB-A9D9-96CC7C2BD4BE}"/>
    <cellStyle name="Comma 3 2 9 2 3 5" xfId="17403" xr:uid="{3EC0E9FC-104C-427B-818D-68CC019DF7C5}"/>
    <cellStyle name="Comma 3 2 9 2 3 5 2" xfId="33535" xr:uid="{074594D3-B64C-4E6D-B3EB-7DB5CE8DD346}"/>
    <cellStyle name="Comma 3 2 9 2 3 6" xfId="19078" xr:uid="{6343F66F-5B7A-40CE-8B51-E04F1E9F052F}"/>
    <cellStyle name="Comma 3 2 9 2 4" xfId="3787" xr:uid="{0ADE95C6-E732-423E-BEB9-945FCD890A2B}"/>
    <cellStyle name="Comma 3 2 9 2 4 2" xfId="7497" xr:uid="{BBD5736E-063B-4E8B-A4E7-BDB1BCE2058B}"/>
    <cellStyle name="Comma 3 2 9 2 4 2 2" xfId="15006" xr:uid="{EED64295-322C-4977-AB75-43EA2D4B4B31}"/>
    <cellStyle name="Comma 3 2 9 2 4 2 2 2" xfId="31210" xr:uid="{3E941656-B402-4A95-8487-6CB83BD8300C}"/>
    <cellStyle name="Comma 3 2 9 2 4 2 3" xfId="23701" xr:uid="{019E73FD-7C7A-464C-A653-57A7A35EB2E2}"/>
    <cellStyle name="Comma 3 2 9 2 4 3" xfId="5597" xr:uid="{6A61AE14-B607-4524-9262-D0A2E710FE7E}"/>
    <cellStyle name="Comma 3 2 9 2 4 3 2" xfId="13113" xr:uid="{957300EB-7C09-46BE-92CA-6409F57F09B1}"/>
    <cellStyle name="Comma 3 2 9 2 4 3 2 2" xfId="29317" xr:uid="{B4E487CD-AB2B-4C29-9FF9-C956E6F3926D}"/>
    <cellStyle name="Comma 3 2 9 2 4 3 3" xfId="21801" xr:uid="{6BB96F0B-E19E-40D0-A706-4DD4B8D91FD8}"/>
    <cellStyle name="Comma 3 2 9 2 4 4" xfId="11397" xr:uid="{119E250D-748E-4527-AEA0-12B7CD00A0B1}"/>
    <cellStyle name="Comma 3 2 9 2 4 4 2" xfId="27601" xr:uid="{CC93CFAF-C75C-4075-B813-9F02424BD6A5}"/>
    <cellStyle name="Comma 3 2 9 2 4 5" xfId="17404" xr:uid="{396B7482-1FF2-4593-96EB-B2BE35E4D50E}"/>
    <cellStyle name="Comma 3 2 9 2 4 5 2" xfId="33536" xr:uid="{165D9D18-89CE-4625-9E33-1A0DB6123FB8}"/>
    <cellStyle name="Comma 3 2 9 2 4 6" xfId="19996" xr:uid="{5133ED85-0B9B-4370-81CC-526BB2B2D95F}"/>
    <cellStyle name="Comma 3 2 9 2 5" xfId="3562" xr:uid="{8907857C-53BD-41D9-BEAC-21114D21DF95}"/>
    <cellStyle name="Comma 3 2 9 2 5 2" xfId="9352" xr:uid="{1B5DE5D8-611E-447E-9230-6D0DEA6FF34D}"/>
    <cellStyle name="Comma 3 2 9 2 5 2 2" xfId="25556" xr:uid="{592E0A4D-55B8-4B3B-B9F3-BF4923E96A1A}"/>
    <cellStyle name="Comma 3 2 9 2 5 3" xfId="17405" xr:uid="{2CDD7DB0-8F5E-40B6-B50C-534EA5E0FE03}"/>
    <cellStyle name="Comma 3 2 9 2 5 3 2" xfId="33537" xr:uid="{981EBD0F-DD91-479F-A393-0C69477A99B6}"/>
    <cellStyle name="Comma 3 2 9 2 5 4" xfId="19775" xr:uid="{5F79822D-6EB6-4098-831B-68BD7E8E3EAF}"/>
    <cellStyle name="Comma 3 2 9 2 6" xfId="4256" xr:uid="{BE2FAF01-A77D-4C6E-B797-3797226A6463}"/>
    <cellStyle name="Comma 3 2 9 2 6 2" xfId="7926" xr:uid="{841F4654-8468-41ED-B8B5-00D8826E2919}"/>
    <cellStyle name="Comma 3 2 9 2 6 2 2" xfId="15433" xr:uid="{2BB07949-7922-4F2E-BFEC-E5C4AA9C75EC}"/>
    <cellStyle name="Comma 3 2 9 2 6 2 2 2" xfId="31637" xr:uid="{248897E1-8CC4-4E42-B8D0-AAD14C2FC779}"/>
    <cellStyle name="Comma 3 2 9 2 6 2 3" xfId="24130" xr:uid="{7580E592-23E8-4DEE-892A-C9D09160538A}"/>
    <cellStyle name="Comma 3 2 9 2 6 3" xfId="9121" xr:uid="{9A6D2698-01BC-4B8B-9DE6-0F7124153E3B}"/>
    <cellStyle name="Comma 3 2 9 2 6 3 2" xfId="16599" xr:uid="{1C1B6749-1EEC-4B46-8F62-28E7FBC54E87}"/>
    <cellStyle name="Comma 3 2 9 2 6 3 2 2" xfId="32803" xr:uid="{10C06DF7-7325-4829-969E-064D5A909BA7}"/>
    <cellStyle name="Comma 3 2 9 2 6 3 3" xfId="25325" xr:uid="{55B730AE-4E85-4CAC-9BD6-FB443BC367DE}"/>
    <cellStyle name="Comma 3 2 9 2 6 4" xfId="11819" xr:uid="{20861C1D-3DF6-49C6-9269-0A17950BC9D9}"/>
    <cellStyle name="Comma 3 2 9 2 6 4 2" xfId="28023" xr:uid="{BEBC4747-7EB7-4353-AA4A-3AB856ADE6F9}"/>
    <cellStyle name="Comma 3 2 9 2 6 5" xfId="17406" xr:uid="{72D43F2B-EA66-4721-A159-DAD3FE372AB5}"/>
    <cellStyle name="Comma 3 2 9 2 6 5 2" xfId="33538" xr:uid="{177377A2-E99F-4801-B34C-F68F47B7C3D7}"/>
    <cellStyle name="Comma 3 2 9 2 6 6" xfId="20460" xr:uid="{0F691359-1603-4DE0-96BA-FCE207F3F3F0}"/>
    <cellStyle name="Comma 3 2 9 2 7" xfId="4681" xr:uid="{A80B22E2-1F81-4955-A525-2F88CA244BD1}"/>
    <cellStyle name="Comma 3 2 9 2 7 2" xfId="8351" xr:uid="{78E8606A-DA58-4D8A-8385-F3739655D6CC}"/>
    <cellStyle name="Comma 3 2 9 2 7 2 2" xfId="15858" xr:uid="{EA78261A-4927-402D-B879-E1FF6A111A9D}"/>
    <cellStyle name="Comma 3 2 9 2 7 2 2 2" xfId="32062" xr:uid="{8C49A068-D51C-4800-A683-AB61312966A8}"/>
    <cellStyle name="Comma 3 2 9 2 7 2 3" xfId="24555" xr:uid="{2A5D2202-B518-4FA5-AF7B-4724A4AB33BB}"/>
    <cellStyle name="Comma 3 2 9 2 7 3" xfId="5266" xr:uid="{397A947A-C257-4B63-8402-6D490BF87B06}"/>
    <cellStyle name="Comma 3 2 9 2 7 3 2" xfId="12815" xr:uid="{1181B354-204D-4F4A-8DC9-4503943CE5A3}"/>
    <cellStyle name="Comma 3 2 9 2 7 3 2 2" xfId="29019" xr:uid="{DBD9CCD5-F357-44C7-A6B5-CD0567D0BEB6}"/>
    <cellStyle name="Comma 3 2 9 2 7 3 3" xfId="21470" xr:uid="{F1F041D2-CA43-44B2-87F2-263EC3FA0FD6}"/>
    <cellStyle name="Comma 3 2 9 2 7 4" xfId="12244" xr:uid="{310D8357-131C-4260-A0F6-6657C01C8B21}"/>
    <cellStyle name="Comma 3 2 9 2 7 4 2" xfId="28448" xr:uid="{92AE6EF9-DAE1-4DB9-A891-7C91A0076DFD}"/>
    <cellStyle name="Comma 3 2 9 2 7 5" xfId="17407" xr:uid="{71CA993E-A625-4F4B-88C2-4106A0B94E0D}"/>
    <cellStyle name="Comma 3 2 9 2 7 5 2" xfId="33539" xr:uid="{D27A8FC3-A0E9-436B-8A1D-C41F7A2D21F8}"/>
    <cellStyle name="Comma 3 2 9 2 7 6" xfId="20885" xr:uid="{AF72755F-0EDE-4454-94DF-B540F8503E75}"/>
    <cellStyle name="Comma 3 2 9 2 8" xfId="5109" xr:uid="{D8310970-4090-4D87-8FEC-04700F6986BF}"/>
    <cellStyle name="Comma 3 2 9 2 8 2" xfId="8774" xr:uid="{EEDC5511-1CEA-42E7-875A-0F40BECD0DB3}"/>
    <cellStyle name="Comma 3 2 9 2 8 2 2" xfId="16281" xr:uid="{72A6D1E2-935E-493F-AC53-11C43A36B26A}"/>
    <cellStyle name="Comma 3 2 9 2 8 2 2 2" xfId="32485" xr:uid="{0E5A9774-2B34-44F8-B2FF-57875D4F670E}"/>
    <cellStyle name="Comma 3 2 9 2 8 2 3" xfId="24978" xr:uid="{1CA1C2A9-7FA2-4ADE-A3FB-BC941B6597D5}"/>
    <cellStyle name="Comma 3 2 9 2 8 3" xfId="12666" xr:uid="{3BA87ECB-79EF-4119-AB30-DE571974DCAE}"/>
    <cellStyle name="Comma 3 2 9 2 8 3 2" xfId="28870" xr:uid="{61D92C90-0588-48DF-A2C4-14F287C0363A}"/>
    <cellStyle name="Comma 3 2 9 2 8 4" xfId="21313" xr:uid="{EF8D9687-ACA0-4EE7-BDCC-9237877F9FD1}"/>
    <cellStyle name="Comma 3 2 9 2 9" xfId="5780" xr:uid="{9CC16A62-B496-4017-B06C-CD507FCAC7FC}"/>
    <cellStyle name="Comma 3 2 9 2 9 2" xfId="13295" xr:uid="{1FA8058C-090B-485F-B7E6-B99CC41E1099}"/>
    <cellStyle name="Comma 3 2 9 2 9 2 2" xfId="29499" xr:uid="{6173F904-6E42-4555-A099-4382E44C1E58}"/>
    <cellStyle name="Comma 3 2 9 2 9 3" xfId="21984" xr:uid="{55EC3CDC-6961-4DA4-8FA4-347F32F62F9F}"/>
    <cellStyle name="Comma 3 2 9 3" xfId="2279" xr:uid="{9862FEAC-E4FC-4133-965F-E6975F28C8F2}"/>
    <cellStyle name="Comma 3 2 9 3 2" xfId="3129" xr:uid="{475D7DB4-8A70-47FD-B845-B2402517818C}"/>
    <cellStyle name="Comma 3 2 9 3 2 2" xfId="6911" xr:uid="{C1309C70-948D-453E-9DD3-4B6DAAEFB0F1}"/>
    <cellStyle name="Comma 3 2 9 3 2 2 2" xfId="14422" xr:uid="{98F7B8C9-ACB5-465B-88CF-EBFE30DEF482}"/>
    <cellStyle name="Comma 3 2 9 3 2 2 2 2" xfId="30626" xr:uid="{5F62225F-CF6F-4508-A2B8-44D930A9E2F0}"/>
    <cellStyle name="Comma 3 2 9 3 2 2 3" xfId="23115" xr:uid="{FCC7B0FC-4E1F-4301-9EF7-6639D5F0BDF3}"/>
    <cellStyle name="Comma 3 2 9 3 2 3" xfId="6046" xr:uid="{23A67365-F508-479C-B858-3A248042D125}"/>
    <cellStyle name="Comma 3 2 9 3 2 3 2" xfId="13559" xr:uid="{1676FC2D-CA3D-4F12-92B0-B3A331EAAD3C}"/>
    <cellStyle name="Comma 3 2 9 3 2 3 2 2" xfId="29763" xr:uid="{DD104C2F-CA58-4498-AB2B-5DB02C3C91F7}"/>
    <cellStyle name="Comma 3 2 9 3 2 3 3" xfId="22250" xr:uid="{EB27A093-0662-4C57-910D-D9503E2A1AFD}"/>
    <cellStyle name="Comma 3 2 9 3 2 4" xfId="10822" xr:uid="{671BCED8-CCAF-454C-9E26-FEFC406499A5}"/>
    <cellStyle name="Comma 3 2 9 3 2 4 2" xfId="27026" xr:uid="{479162CD-18C7-4551-BF61-8B5F89B35501}"/>
    <cellStyle name="Comma 3 2 9 3 2 5" xfId="17409" xr:uid="{83358C92-68E1-4D1F-AE6B-E5C847389CD3}"/>
    <cellStyle name="Comma 3 2 9 3 2 5 2" xfId="33541" xr:uid="{F13C8977-72E4-4219-845C-8BABD2CE3B25}"/>
    <cellStyle name="Comma 3 2 9 3 2 6" xfId="19349" xr:uid="{6BC6B9CC-21BA-47C4-B324-E86BE1FE1CCF}"/>
    <cellStyle name="Comma 3 2 9 3 3" xfId="6066" xr:uid="{8602A88C-10D8-425E-B194-91517CF44375}"/>
    <cellStyle name="Comma 3 2 9 3 3 2" xfId="13578" xr:uid="{929EF9FA-1AC8-4801-824E-0CBC9343B37F}"/>
    <cellStyle name="Comma 3 2 9 3 3 2 2" xfId="29782" xr:uid="{08A05197-065D-4BCC-8976-49BC380E65DF}"/>
    <cellStyle name="Comma 3 2 9 3 3 3" xfId="22270" xr:uid="{9B8F8FCE-30AA-42D6-AECD-D5690191A9B7}"/>
    <cellStyle name="Comma 3 2 9 3 4" xfId="8875" xr:uid="{E453C1CF-3B4A-4A95-AE9E-8310BF0A2850}"/>
    <cellStyle name="Comma 3 2 9 3 4 2" xfId="16381" xr:uid="{5B6FF549-16BA-42BD-858E-A741AD19D209}"/>
    <cellStyle name="Comma 3 2 9 3 4 2 2" xfId="32585" xr:uid="{E6C3E8C8-D68E-489B-A932-001CBAD04EFF}"/>
    <cellStyle name="Comma 3 2 9 3 4 3" xfId="25079" xr:uid="{9FACDA28-A46A-480A-A740-E746142B32E3}"/>
    <cellStyle name="Comma 3 2 9 3 5" xfId="9978" xr:uid="{26BCAED5-90F1-413C-BE66-C8520425BB7E}"/>
    <cellStyle name="Comma 3 2 9 3 5 2" xfId="26182" xr:uid="{73C361B4-0CB7-40EE-A7C3-50E05810D7FA}"/>
    <cellStyle name="Comma 3 2 9 3 6" xfId="17408" xr:uid="{CBB9EFB5-C0FF-40BC-9707-1D24E8CAECCC}"/>
    <cellStyle name="Comma 3 2 9 3 6 2" xfId="33540" xr:uid="{148638EC-A6B9-4656-96FA-1496FEEF60D0}"/>
    <cellStyle name="Comma 3 2 9 3 7" xfId="18504" xr:uid="{7E32E62B-3A75-4E56-A7CD-2AF6916942A6}"/>
    <cellStyle name="Comma 3 2 9 4" xfId="2704" xr:uid="{62421EF9-8ED2-4776-83CB-F1D0937F8A79}"/>
    <cellStyle name="Comma 3 2 9 4 2" xfId="6488" xr:uid="{7EF7B492-6B02-4EAF-9A83-89E60A512593}"/>
    <cellStyle name="Comma 3 2 9 4 2 2" xfId="14000" xr:uid="{FBD998F8-1B58-4E98-BFD7-2FB067D2268F}"/>
    <cellStyle name="Comma 3 2 9 4 2 2 2" xfId="30204" xr:uid="{C413DDB9-D568-4D3D-877F-0DDC2AEC593D}"/>
    <cellStyle name="Comma 3 2 9 4 2 3" xfId="22692" xr:uid="{F51FA5A9-3E36-4097-A870-32174CE8CD3D}"/>
    <cellStyle name="Comma 3 2 9 4 3" xfId="5446" xr:uid="{DF245E60-D989-4387-965A-FC5BBEC21E4A}"/>
    <cellStyle name="Comma 3 2 9 4 3 2" xfId="12989" xr:uid="{BA3A0AEC-FC64-4DAA-84F1-CB6125BB1049}"/>
    <cellStyle name="Comma 3 2 9 4 3 2 2" xfId="29193" xr:uid="{BA2A1905-893F-4582-B0AF-EFA801C43EF3}"/>
    <cellStyle name="Comma 3 2 9 4 3 3" xfId="21650" xr:uid="{9D1E5BA0-D1BC-4B37-9F87-785184F2AC8D}"/>
    <cellStyle name="Comma 3 2 9 4 4" xfId="10400" xr:uid="{9346B6AB-74C8-47F0-91B2-F49B469C0635}"/>
    <cellStyle name="Comma 3 2 9 4 4 2" xfId="26604" xr:uid="{801AEAB9-46AA-427F-B385-F20F427CD0ED}"/>
    <cellStyle name="Comma 3 2 9 4 5" xfId="17410" xr:uid="{2CE07164-06C7-420F-A6A1-B2C5B5D12CA8}"/>
    <cellStyle name="Comma 3 2 9 4 5 2" xfId="33542" xr:uid="{73676900-0641-42AD-B8AC-947096410412}"/>
    <cellStyle name="Comma 3 2 9 4 6" xfId="18926" xr:uid="{117CE5EA-5AD4-4B37-9A8E-86C38517614D}"/>
    <cellStyle name="Comma 3 2 9 5" xfId="3634" xr:uid="{6400EE9E-9A5C-4C18-9316-4C1FFB17B167}"/>
    <cellStyle name="Comma 3 2 9 5 2" xfId="7344" xr:uid="{E64B42ED-D1DF-4891-9E1B-E5CE8E7D7677}"/>
    <cellStyle name="Comma 3 2 9 5 2 2" xfId="14853" xr:uid="{D9401FC4-A5A3-44A6-9782-A40F9354F4CC}"/>
    <cellStyle name="Comma 3 2 9 5 2 2 2" xfId="31057" xr:uid="{6C850CD4-4108-4299-BB0F-0BD7DAA68AEF}"/>
    <cellStyle name="Comma 3 2 9 5 2 3" xfId="23548" xr:uid="{08C7C0D4-6070-4958-BD9D-7FD17E495312}"/>
    <cellStyle name="Comma 3 2 9 5 3" xfId="5225" xr:uid="{79AFDC69-084F-4585-A1D3-BAA8EEAC3CE4}"/>
    <cellStyle name="Comma 3 2 9 5 3 2" xfId="12781" xr:uid="{7988A7C3-54E5-4856-82DE-6ACD60428EA4}"/>
    <cellStyle name="Comma 3 2 9 5 3 2 2" xfId="28985" xr:uid="{D4D6B4F6-68B7-43FF-845A-E6C252851DD6}"/>
    <cellStyle name="Comma 3 2 9 5 3 3" xfId="21429" xr:uid="{D283CDBE-F942-4716-8979-BDC6B421F14C}"/>
    <cellStyle name="Comma 3 2 9 5 4" xfId="11245" xr:uid="{53B6A783-CBA5-4C0F-AF35-1D2F0F8CD9E8}"/>
    <cellStyle name="Comma 3 2 9 5 4 2" xfId="27449" xr:uid="{3EC5CFA8-35EA-433A-805D-79CAF60B909E}"/>
    <cellStyle name="Comma 3 2 9 5 5" xfId="17411" xr:uid="{947CEC3B-49AD-4560-952F-B3C9B80EDFF4}"/>
    <cellStyle name="Comma 3 2 9 5 5 2" xfId="33543" xr:uid="{59499ED7-7DE4-48C5-8C6E-0E4B4855D37C}"/>
    <cellStyle name="Comma 3 2 9 5 6" xfId="19843" xr:uid="{9D686F10-15B5-4E45-A8E9-007B62EF2405}"/>
    <cellStyle name="Comma 3 2 9 6" xfId="3924" xr:uid="{25786202-79D5-435F-9955-30CB51A13BE1}"/>
    <cellStyle name="Comma 3 2 9 6 2" xfId="8923" xr:uid="{A0DDF39C-381D-4C59-8CC3-7C6D0EB042AB}"/>
    <cellStyle name="Comma 3 2 9 6 2 2" xfId="25127" xr:uid="{D3FC1BCD-F2E0-469A-A17F-CDE2EFA6B6B7}"/>
    <cellStyle name="Comma 3 2 9 6 3" xfId="17412" xr:uid="{101A3056-A5AB-4DD9-A08D-8FAA32628783}"/>
    <cellStyle name="Comma 3 2 9 6 3 2" xfId="33544" xr:uid="{87C288AE-76A9-4A66-930A-75AD4F8A06BD}"/>
    <cellStyle name="Comma 3 2 9 6 4" xfId="20130" xr:uid="{20E8C28C-4ECC-40A8-8796-B9BB0972C006}"/>
    <cellStyle name="Comma 3 2 9 7" xfId="4104" xr:uid="{0B0D395D-EE5D-4113-9043-985555A158FB}"/>
    <cellStyle name="Comma 3 2 9 7 2" xfId="7774" xr:uid="{16152E55-DBA4-4877-9DF1-037719D675A4}"/>
    <cellStyle name="Comma 3 2 9 7 2 2" xfId="15281" xr:uid="{4706050E-BFDE-4E58-9098-83E6F9845354}"/>
    <cellStyle name="Comma 3 2 9 7 2 2 2" xfId="31485" xr:uid="{7E1DB02B-94CC-491F-B8B8-965AFFE50FA1}"/>
    <cellStyle name="Comma 3 2 9 7 2 3" xfId="23978" xr:uid="{B44081A5-9FBD-4F67-AD89-4BAD48B9AFEF}"/>
    <cellStyle name="Comma 3 2 9 7 3" xfId="5591" xr:uid="{61C7608E-C42F-46A6-A577-6B995E3AEBC8}"/>
    <cellStyle name="Comma 3 2 9 7 3 2" xfId="13107" xr:uid="{AD27C308-F8E2-47B7-BE1E-6DF68F26E2F1}"/>
    <cellStyle name="Comma 3 2 9 7 3 2 2" xfId="29311" xr:uid="{2F131B85-41D6-4EA9-9555-B686F128B48B}"/>
    <cellStyle name="Comma 3 2 9 7 3 3" xfId="21795" xr:uid="{D8E52407-1124-49BF-8205-6B471DDD3FF7}"/>
    <cellStyle name="Comma 3 2 9 7 4" xfId="11667" xr:uid="{413CA08C-BB2F-479D-B6B7-D0EF6134DC85}"/>
    <cellStyle name="Comma 3 2 9 7 4 2" xfId="27871" xr:uid="{6F6E0CDD-41E1-4BE4-A454-467134950CBA}"/>
    <cellStyle name="Comma 3 2 9 7 5" xfId="17413" xr:uid="{1BA95D40-2E44-4227-9F77-AC0A9B9E72DD}"/>
    <cellStyle name="Comma 3 2 9 7 5 2" xfId="33545" xr:uid="{029685BD-7224-4BA4-B9CC-D9636C380AA6}"/>
    <cellStyle name="Comma 3 2 9 7 6" xfId="20308" xr:uid="{00F5CCB8-4519-4484-9B5E-3A80904F66ED}"/>
    <cellStyle name="Comma 3 2 9 8" xfId="4529" xr:uid="{D0B5A85A-22A5-493F-9876-F482EA4A888B}"/>
    <cellStyle name="Comma 3 2 9 8 2" xfId="8199" xr:uid="{2190F5AE-4AE0-4CA4-843B-AFD215CABB05}"/>
    <cellStyle name="Comma 3 2 9 8 2 2" xfId="15706" xr:uid="{8DE6D420-8DD3-43F7-9562-D524BE9EDF44}"/>
    <cellStyle name="Comma 3 2 9 8 2 2 2" xfId="31910" xr:uid="{E72623E5-A195-4100-88D4-E51AC1C11EDE}"/>
    <cellStyle name="Comma 3 2 9 8 2 3" xfId="24403" xr:uid="{600458DA-1612-49C8-B8D3-A6B7D1B71666}"/>
    <cellStyle name="Comma 3 2 9 8 3" xfId="9324" xr:uid="{DB45F47B-25F9-4C1D-BC89-44EF96281338}"/>
    <cellStyle name="Comma 3 2 9 8 3 2" xfId="16770" xr:uid="{74552D28-D2E5-45E5-9BC7-EBA381FEBE68}"/>
    <cellStyle name="Comma 3 2 9 8 3 2 2" xfId="32974" xr:uid="{531B9E38-443E-4901-8B6E-3EF1328BDD5E}"/>
    <cellStyle name="Comma 3 2 9 8 3 3" xfId="25528" xr:uid="{FF16E738-4EB8-46E6-80C3-F8E7040066A9}"/>
    <cellStyle name="Comma 3 2 9 8 4" xfId="12092" xr:uid="{F4D4C64E-DB5B-4351-942A-01EA1AC6AE45}"/>
    <cellStyle name="Comma 3 2 9 8 4 2" xfId="28296" xr:uid="{B84A99B9-B95B-42B8-A51E-C6039CA4321D}"/>
    <cellStyle name="Comma 3 2 9 8 5" xfId="17414" xr:uid="{1013D1CA-DC66-4171-B2EF-6BD017998707}"/>
    <cellStyle name="Comma 3 2 9 8 5 2" xfId="33546" xr:uid="{FD1CC418-32EA-4CD4-B37B-F2116A7BC63D}"/>
    <cellStyle name="Comma 3 2 9 8 6" xfId="20733" xr:uid="{6B469CC5-7CC4-4551-9E97-43AC23ABBF79}"/>
    <cellStyle name="Comma 3 2 9 9" xfId="4956" xr:uid="{C54EC971-07AB-4EBB-B14A-316C9AFCE47C}"/>
    <cellStyle name="Comma 3 2 9 9 2" xfId="8622" xr:uid="{7E836A28-D29B-4BB8-ADEC-CF9B61DB9ACC}"/>
    <cellStyle name="Comma 3 2 9 9 2 2" xfId="16129" xr:uid="{3339575D-F34F-4139-9CC5-9600566B0A42}"/>
    <cellStyle name="Comma 3 2 9 9 2 2 2" xfId="32333" xr:uid="{74CC72A3-6A47-4110-BCDB-C5F765687006}"/>
    <cellStyle name="Comma 3 2 9 9 2 3" xfId="24826" xr:uid="{9EAC3867-7354-4456-9D6F-391927EE8D55}"/>
    <cellStyle name="Comma 3 2 9 9 3" xfId="12514" xr:uid="{766D00B5-028F-4257-8740-561D6AA55AB3}"/>
    <cellStyle name="Comma 3 2 9 9 3 2" xfId="28718" xr:uid="{551700B9-B56A-4126-BA41-BB44FECFAF75}"/>
    <cellStyle name="Comma 3 2 9 9 4" xfId="21160" xr:uid="{BF809074-55B2-4811-ADED-497E816AE1B5}"/>
    <cellStyle name="Comma 3 3" xfId="1149" xr:uid="{3FB4C79D-6557-499B-8F15-195F562A190E}"/>
    <cellStyle name="Comma 3 3 2" xfId="4927" xr:uid="{D5E93478-8240-4601-BAAA-EEBB8F71E6D1}"/>
    <cellStyle name="Comma 3 3 2 2" xfId="21131" xr:uid="{A9BA9070-A4F1-4008-9375-4570EE46F184}"/>
    <cellStyle name="Comma 3 3 3" xfId="17415" xr:uid="{EB8CE92D-FCF0-4F58-867F-9D49FCF86CA0}"/>
    <cellStyle name="Comma 3 3 3 2" xfId="33547" xr:uid="{3A1D30B1-4402-49BA-887D-ED88BDC7DBFB}"/>
    <cellStyle name="Comma 3 3 4" xfId="18047" xr:uid="{69201775-DF36-4001-91C6-4BCF9E10B1C1}"/>
    <cellStyle name="Comma 3 4" xfId="1563" xr:uid="{6291B8DF-D883-4CEB-B0EA-FC4DA499045B}"/>
    <cellStyle name="Comma 3 4 10" xfId="4077" xr:uid="{CA8E6A3A-3498-43BF-9640-C779EB636233}"/>
    <cellStyle name="Comma 3 4 10 2" xfId="7747" xr:uid="{9E77A644-39BC-46C5-AF92-E5385085C09C}"/>
    <cellStyle name="Comma 3 4 10 2 2" xfId="15254" xr:uid="{9A9CAA26-5A01-4713-A82C-660349F7217D}"/>
    <cellStyle name="Comma 3 4 10 2 2 2" xfId="31458" xr:uid="{A9B2F17F-1C5F-4B5A-A7F4-B96624F8B869}"/>
    <cellStyle name="Comma 3 4 10 2 3" xfId="23951" xr:uid="{5B1950EC-465D-4F52-BBF8-58C1F882188F}"/>
    <cellStyle name="Comma 3 4 10 3" xfId="9116" xr:uid="{779D09A0-C50A-4DD0-B987-163AB4C95004}"/>
    <cellStyle name="Comma 3 4 10 3 2" xfId="16594" xr:uid="{6E9CC973-A281-419D-811B-11E01EFEC847}"/>
    <cellStyle name="Comma 3 4 10 3 2 2" xfId="32798" xr:uid="{9AA954B0-32EE-46E8-9EC6-0CE03023F28F}"/>
    <cellStyle name="Comma 3 4 10 3 3" xfId="25320" xr:uid="{44BCD36F-CBFA-4075-8C9E-36D5006B4A92}"/>
    <cellStyle name="Comma 3 4 10 4" xfId="11640" xr:uid="{F9E3E521-A2D3-4792-9B9C-DF46BD68A491}"/>
    <cellStyle name="Comma 3 4 10 4 2" xfId="27844" xr:uid="{908FDD6C-B023-4791-BD2C-B5D54F63D880}"/>
    <cellStyle name="Comma 3 4 10 5" xfId="17417" xr:uid="{540CDEE4-D8FD-4D43-86EF-0CB4E52D1AEB}"/>
    <cellStyle name="Comma 3 4 10 5 2" xfId="33549" xr:uid="{5A700185-4302-4336-96FB-D7FF38DAEC8B}"/>
    <cellStyle name="Comma 3 4 10 6" xfId="20281" xr:uid="{109A0195-BB05-47F4-BD64-0F57C1C9F867}"/>
    <cellStyle name="Comma 3 4 11" xfId="4502" xr:uid="{4CCAA5D1-E4EE-49B2-9B0E-A4C380732FDB}"/>
    <cellStyle name="Comma 3 4 11 2" xfId="8172" xr:uid="{16EE9A31-CBE4-4A1B-9E40-E1F0C1F5955B}"/>
    <cellStyle name="Comma 3 4 11 2 2" xfId="15679" xr:uid="{5CC0D47F-6C6C-4966-8483-780757A35F87}"/>
    <cellStyle name="Comma 3 4 11 2 2 2" xfId="31883" xr:uid="{8BE73A41-96F5-49E7-98D5-919A0DE65BE9}"/>
    <cellStyle name="Comma 3 4 11 2 3" xfId="24376" xr:uid="{C9B4E3E3-BE7F-4D31-9C88-7EBFDA0535C0}"/>
    <cellStyle name="Comma 3 4 11 3" xfId="9013" xr:uid="{AB8AFB98-A7EE-45D6-9F18-7A99B4F3842F}"/>
    <cellStyle name="Comma 3 4 11 3 2" xfId="16504" xr:uid="{3DA06C53-5937-439B-99F7-7417248B10C3}"/>
    <cellStyle name="Comma 3 4 11 3 2 2" xfId="32708" xr:uid="{1E8B0AE5-A9C7-4503-8C52-B95285C163E0}"/>
    <cellStyle name="Comma 3 4 11 3 3" xfId="25217" xr:uid="{66C4802C-002A-4B2F-803C-BE781F4C67B8}"/>
    <cellStyle name="Comma 3 4 11 4" xfId="12065" xr:uid="{8A2A3067-2D25-4774-BA1B-3615697D5120}"/>
    <cellStyle name="Comma 3 4 11 4 2" xfId="28269" xr:uid="{BED73FDC-3537-4291-94B3-A13B6B07398E}"/>
    <cellStyle name="Comma 3 4 11 5" xfId="17418" xr:uid="{D4C15C98-036F-436E-8150-516F5AC2D817}"/>
    <cellStyle name="Comma 3 4 11 5 2" xfId="33550" xr:uid="{274ADF08-A5E4-433C-A208-E3EFF34CE6FB}"/>
    <cellStyle name="Comma 3 4 11 6" xfId="20706" xr:uid="{33049DC5-BF6C-44CA-B343-73F4CF8E1463}"/>
    <cellStyle name="Comma 3 4 12" xfId="4929" xr:uid="{094E8316-E3CF-48A8-BFB2-1E956E3A89BD}"/>
    <cellStyle name="Comma 3 4 12 2" xfId="8595" xr:uid="{9A1DB61E-AA41-4E5C-96F1-9271E287C551}"/>
    <cellStyle name="Comma 3 4 12 2 2" xfId="16102" xr:uid="{136A92E2-02DD-4035-9422-F47D1AB73636}"/>
    <cellStyle name="Comma 3 4 12 2 2 2" xfId="32306" xr:uid="{CF30C775-D3EA-4BF4-9FE5-EB67C7EB12A4}"/>
    <cellStyle name="Comma 3 4 12 2 3" xfId="24799" xr:uid="{4E9467B5-5983-4C2E-B8B4-FED8372F8D40}"/>
    <cellStyle name="Comma 3 4 12 3" xfId="12487" xr:uid="{726C2943-0544-4382-939A-2ADB6F8B86B1}"/>
    <cellStyle name="Comma 3 4 12 3 2" xfId="28691" xr:uid="{70A86360-0B36-4E74-BD35-20339287D350}"/>
    <cellStyle name="Comma 3 4 12 4" xfId="21133" xr:uid="{3F1919F0-8734-4369-ACEF-1ACB7E4DC02B}"/>
    <cellStyle name="Comma 3 4 13" xfId="5563" xr:uid="{07D5BDFA-5F35-430C-B777-C062863281D0}"/>
    <cellStyle name="Comma 3 4 13 2" xfId="13082" xr:uid="{422B19F5-55B4-4E3E-9E64-F89047509A1E}"/>
    <cellStyle name="Comma 3 4 13 2 2" xfId="29286" xr:uid="{FC6AD048-0FC7-4202-BCDC-52627221CEB3}"/>
    <cellStyle name="Comma 3 4 13 3" xfId="21767" xr:uid="{D640617D-86C6-4989-8CF6-6D582D4278EE}"/>
    <cellStyle name="Comma 3 4 14" xfId="9528" xr:uid="{998CFE4F-1C6F-45C9-86AC-6A5DC0313B82}"/>
    <cellStyle name="Comma 3 4 14 2" xfId="25732" xr:uid="{8F05F885-09E0-428F-BE27-9DA217E877A3}"/>
    <cellStyle name="Comma 3 4 15" xfId="17416" xr:uid="{B93C84B7-33F9-40B1-A522-5EE63A38E7C2}"/>
    <cellStyle name="Comma 3 4 15 2" xfId="33548" xr:uid="{31EC13F9-57F0-4F76-9BCA-65A01FF082CE}"/>
    <cellStyle name="Comma 3 4 16" xfId="18050" xr:uid="{455E80AC-B0DD-4106-A9BB-E32B64CA5F3F}"/>
    <cellStyle name="Comma 3 4 2" xfId="1745" xr:uid="{2BD7FD12-C9EB-410C-99A8-72B47925D8D3}"/>
    <cellStyle name="Comma 3 4 2 10" xfId="5614" xr:uid="{745B155A-6FE0-496A-867E-71D8211FF8FB}"/>
    <cellStyle name="Comma 3 4 2 10 2" xfId="13129" xr:uid="{EA0D4D3C-3360-417B-A3A0-5DF85BA129CB}"/>
    <cellStyle name="Comma 3 4 2 10 2 2" xfId="29333" xr:uid="{F610B528-35C3-4ABF-B9F2-874C8A7A3C2C}"/>
    <cellStyle name="Comma 3 4 2 10 3" xfId="21818" xr:uid="{53579622-5E63-4B5B-99C5-1C314D6EAB64}"/>
    <cellStyle name="Comma 3 4 2 11" xfId="9542" xr:uid="{A27006C7-951D-46C0-BB88-8A847E3CE2E2}"/>
    <cellStyle name="Comma 3 4 2 11 2" xfId="25746" xr:uid="{59CFB84D-2787-4BA3-B395-3B1FCD231402}"/>
    <cellStyle name="Comma 3 4 2 12" xfId="17419" xr:uid="{B24A73B4-B6D4-4515-AB8F-9595CBEE8C7A}"/>
    <cellStyle name="Comma 3 4 2 12 2" xfId="33551" xr:uid="{C58ECDC8-FD36-49F6-A08C-0525D15CE1F3}"/>
    <cellStyle name="Comma 3 4 2 13" xfId="18065" xr:uid="{20BA3085-4D08-4A76-B2C3-81E0B769192A}"/>
    <cellStyle name="Comma 3 4 2 2" xfId="1928" xr:uid="{D95AF685-FB7C-4149-9F5E-AFB3D66F2781}"/>
    <cellStyle name="Comma 3 4 2 2 10" xfId="9708" xr:uid="{A949EE75-CDD3-43B1-AF08-F1EF7FEBB272}"/>
    <cellStyle name="Comma 3 4 2 2 10 2" xfId="25912" xr:uid="{FBFEDE91-DCE5-46E6-B666-0C89795C0C84}"/>
    <cellStyle name="Comma 3 4 2 2 11" xfId="17420" xr:uid="{9A2BD0CE-91BA-4E71-AA28-0B17536318D4}"/>
    <cellStyle name="Comma 3 4 2 2 11 2" xfId="33552" xr:uid="{840F5D4D-4D62-4956-8CF8-5AA625D893A1}"/>
    <cellStyle name="Comma 3 4 2 2 12" xfId="18232" xr:uid="{A51834C4-9E72-4B40-8270-B85836438A22}"/>
    <cellStyle name="Comma 3 4 2 2 2" xfId="2435" xr:uid="{F3AFF460-642E-4CD7-9DD5-E604D0497C3D}"/>
    <cellStyle name="Comma 3 4 2 2 2 2" xfId="3282" xr:uid="{80434031-5732-4A17-BD56-3AD150051E70}"/>
    <cellStyle name="Comma 3 4 2 2 2 2 2" xfId="7064" xr:uid="{8311C796-E4C6-4C30-821F-81E075409A91}"/>
    <cellStyle name="Comma 3 4 2 2 2 2 2 2" xfId="14575" xr:uid="{77B608D6-C27E-4416-BD55-7D7163CFEB58}"/>
    <cellStyle name="Comma 3 4 2 2 2 2 2 2 2" xfId="30779" xr:uid="{EEDA86E6-79F2-4AC7-92EB-F1C346BEC758}"/>
    <cellStyle name="Comma 3 4 2 2 2 2 2 3" xfId="23268" xr:uid="{26D181F5-9CC5-4BC0-9CF0-CC90F8B9B640}"/>
    <cellStyle name="Comma 3 4 2 2 2 2 3" xfId="9332" xr:uid="{149CAE1B-A933-4FDE-A07D-39A729ACA092}"/>
    <cellStyle name="Comma 3 4 2 2 2 2 3 2" xfId="16776" xr:uid="{5C718923-96ED-463D-AB26-A822E25FF853}"/>
    <cellStyle name="Comma 3 4 2 2 2 2 3 2 2" xfId="32980" xr:uid="{C9850417-2732-41A4-9A7F-FDF6305F1FC9}"/>
    <cellStyle name="Comma 3 4 2 2 2 2 3 3" xfId="25536" xr:uid="{270423FC-53B7-4C16-966F-080E0E0A8596}"/>
    <cellStyle name="Comma 3 4 2 2 2 2 4" xfId="10975" xr:uid="{2717A35C-74A4-42FB-AA4C-37CA3FEE893B}"/>
    <cellStyle name="Comma 3 4 2 2 2 2 4 2" xfId="27179" xr:uid="{6A9F5F6F-DC36-4083-AC4D-693F58D7AB44}"/>
    <cellStyle name="Comma 3 4 2 2 2 2 5" xfId="17422" xr:uid="{ECB28BCD-1AC4-4DC2-BACF-D556E95D5293}"/>
    <cellStyle name="Comma 3 4 2 2 2 2 5 2" xfId="33554" xr:uid="{D69DC951-272C-4601-BBE5-60EF8E613AFB}"/>
    <cellStyle name="Comma 3 4 2 2 2 2 6" xfId="19502" xr:uid="{BE3E8081-DB27-403B-A703-BE0602A90464}"/>
    <cellStyle name="Comma 3 4 2 2 2 3" xfId="6219" xr:uid="{09C78CE7-24D0-4297-A401-FDB3026A95FD}"/>
    <cellStyle name="Comma 3 4 2 2 2 3 2" xfId="13731" xr:uid="{3A0B8C7A-8270-41CB-9D66-D11D8BAE459C}"/>
    <cellStyle name="Comma 3 4 2 2 2 3 2 2" xfId="29935" xr:uid="{07B97A9D-C83E-4B3E-8A97-0838A0A0F952}"/>
    <cellStyle name="Comma 3 4 2 2 2 3 3" xfId="22423" xr:uid="{B3EDE167-C673-439D-A9F0-117570CBDD81}"/>
    <cellStyle name="Comma 3 4 2 2 2 4" xfId="9109" xr:uid="{79F25A67-008A-4AB6-82B5-DA70D64693E5}"/>
    <cellStyle name="Comma 3 4 2 2 2 4 2" xfId="16587" xr:uid="{6CA76555-F460-4667-A00D-C82C9F35D443}"/>
    <cellStyle name="Comma 3 4 2 2 2 4 2 2" xfId="32791" xr:uid="{9C0912B9-53D8-4D03-B494-CB0466C71C6D}"/>
    <cellStyle name="Comma 3 4 2 2 2 4 3" xfId="25313" xr:uid="{DA75742D-9577-4D4B-96FB-69316301B3B8}"/>
    <cellStyle name="Comma 3 4 2 2 2 5" xfId="10131" xr:uid="{C1FFE89F-606D-46BA-8CFE-15D134E3ED2A}"/>
    <cellStyle name="Comma 3 4 2 2 2 5 2" xfId="26335" xr:uid="{AE5987AE-09A3-493E-A84A-FCAEB66ACFDD}"/>
    <cellStyle name="Comma 3 4 2 2 2 6" xfId="17421" xr:uid="{2962B724-7720-4A13-A450-7DA071BA7B21}"/>
    <cellStyle name="Comma 3 4 2 2 2 6 2" xfId="33553" xr:uid="{08AD4DAA-661C-48BC-ACC9-CA8322FA8BA8}"/>
    <cellStyle name="Comma 3 4 2 2 2 7" xfId="18657" xr:uid="{2E6D692E-1E23-4890-90FB-FF910207A109}"/>
    <cellStyle name="Comma 3 4 2 2 3" xfId="2857" xr:uid="{D0F6D709-6D0B-4BE8-B705-8EFD818AACE7}"/>
    <cellStyle name="Comma 3 4 2 2 3 2" xfId="6641" xr:uid="{B805E8E5-A132-457D-A4E7-FA45244C2205}"/>
    <cellStyle name="Comma 3 4 2 2 3 2 2" xfId="14153" xr:uid="{8D788FE8-0628-4B85-8870-FB21C453C4BF}"/>
    <cellStyle name="Comma 3 4 2 2 3 2 2 2" xfId="30357" xr:uid="{6B81429C-82F8-4378-91FF-5DF7C977B515}"/>
    <cellStyle name="Comma 3 4 2 2 3 2 3" xfId="22845" xr:uid="{3C4F561A-9B40-40D0-ADC7-6FCF33D028AC}"/>
    <cellStyle name="Comma 3 4 2 2 3 3" xfId="9318" xr:uid="{70BA85D4-D38D-4355-B508-1A3D0EDB970A}"/>
    <cellStyle name="Comma 3 4 2 2 3 3 2" xfId="16765" xr:uid="{497AD870-85BD-4710-9E0B-D494757F91DB}"/>
    <cellStyle name="Comma 3 4 2 2 3 3 2 2" xfId="32969" xr:uid="{F0D9203D-23A2-4133-AB06-5385BF08F5A7}"/>
    <cellStyle name="Comma 3 4 2 2 3 3 3" xfId="25522" xr:uid="{4E7C5BE9-10BD-4FFE-8CEC-6D3F6BEA6D34}"/>
    <cellStyle name="Comma 3 4 2 2 3 4" xfId="10553" xr:uid="{1000CDE3-4321-43A9-B6B2-CADD5A99FC5B}"/>
    <cellStyle name="Comma 3 4 2 2 3 4 2" xfId="26757" xr:uid="{604BB765-A0F4-4A73-8108-33E25B357B6C}"/>
    <cellStyle name="Comma 3 4 2 2 3 5" xfId="17423" xr:uid="{8C3C6B7A-C86A-4A24-8218-987AE537AA9F}"/>
    <cellStyle name="Comma 3 4 2 2 3 5 2" xfId="33555" xr:uid="{A3E3F342-64FF-4A7E-BD30-48D26F5E315A}"/>
    <cellStyle name="Comma 3 4 2 2 3 6" xfId="19079" xr:uid="{3C523282-580B-4F1C-A3D6-2DC965CA7B8C}"/>
    <cellStyle name="Comma 3 4 2 2 4" xfId="3788" xr:uid="{E8506343-5635-4207-9536-36215AB45D96}"/>
    <cellStyle name="Comma 3 4 2 2 4 2" xfId="7498" xr:uid="{55B580C2-F16D-4DDC-9E47-3E19BBC3126C}"/>
    <cellStyle name="Comma 3 4 2 2 4 2 2" xfId="15007" xr:uid="{477C9A21-D45D-4284-AE4C-51B2473F0106}"/>
    <cellStyle name="Comma 3 4 2 2 4 2 2 2" xfId="31211" xr:uid="{A5E99012-132E-4F9E-B100-4B01D93818D8}"/>
    <cellStyle name="Comma 3 4 2 2 4 2 3" xfId="23702" xr:uid="{02AB7180-3FA3-450A-B0AF-30C954BFDBF5}"/>
    <cellStyle name="Comma 3 4 2 2 4 3" xfId="5465" xr:uid="{A2D50704-8A4E-4960-B921-9FA23F84819F}"/>
    <cellStyle name="Comma 3 4 2 2 4 3 2" xfId="13006" xr:uid="{A4788854-D676-40AC-B235-7F17989CD805}"/>
    <cellStyle name="Comma 3 4 2 2 4 3 2 2" xfId="29210" xr:uid="{D73F4075-0FE0-42CF-992E-08899C824DBF}"/>
    <cellStyle name="Comma 3 4 2 2 4 3 3" xfId="21669" xr:uid="{E305DB5B-5B84-410A-88DC-968747E26BE3}"/>
    <cellStyle name="Comma 3 4 2 2 4 4" xfId="11398" xr:uid="{E791E6D6-A2AB-4BAE-ACC0-FC6DC4292F45}"/>
    <cellStyle name="Comma 3 4 2 2 4 4 2" xfId="27602" xr:uid="{75846624-5EB0-4CA4-9264-D1199C46C651}"/>
    <cellStyle name="Comma 3 4 2 2 4 5" xfId="17424" xr:uid="{268271D8-0207-4830-B4BC-09BA9E2D7140}"/>
    <cellStyle name="Comma 3 4 2 2 4 5 2" xfId="33556" xr:uid="{199953B0-DBC3-409C-BB06-370742667BFC}"/>
    <cellStyle name="Comma 3 4 2 2 4 6" xfId="19997" xr:uid="{FD707E11-BDAE-4B01-9DDF-ACC87A44C7E2}"/>
    <cellStyle name="Comma 3 4 2 2 5" xfId="3414" xr:uid="{EE3DAD68-66FF-4B9B-B1A4-E57C3DD909B1}"/>
    <cellStyle name="Comma 3 4 2 2 5 2" xfId="9009" xr:uid="{10693C3E-07E9-413B-9A91-3CF21ADF57A8}"/>
    <cellStyle name="Comma 3 4 2 2 5 2 2" xfId="25213" xr:uid="{35BE6C81-70A9-447E-8367-F7426933C3FF}"/>
    <cellStyle name="Comma 3 4 2 2 5 3" xfId="17425" xr:uid="{ADC18DEC-12CC-4393-B13F-C3D31B7AA1D8}"/>
    <cellStyle name="Comma 3 4 2 2 5 3 2" xfId="33557" xr:uid="{B9F7E952-ED38-4473-A5C7-B6313A570F62}"/>
    <cellStyle name="Comma 3 4 2 2 5 4" xfId="19630" xr:uid="{40D3AC69-2987-4916-A90A-DEAF8A348597}"/>
    <cellStyle name="Comma 3 4 2 2 6" xfId="4257" xr:uid="{0112C41E-452C-43F8-8B60-913D11EFFAA8}"/>
    <cellStyle name="Comma 3 4 2 2 6 2" xfId="7927" xr:uid="{F609B74D-94FA-4935-8A16-F88D30AF034A}"/>
    <cellStyle name="Comma 3 4 2 2 6 2 2" xfId="15434" xr:uid="{11BD5F02-C037-4D99-BD43-F2319719D269}"/>
    <cellStyle name="Comma 3 4 2 2 6 2 2 2" xfId="31638" xr:uid="{B0277CC9-84A3-4834-9725-15D6EB09EB36}"/>
    <cellStyle name="Comma 3 4 2 2 6 2 3" xfId="24131" xr:uid="{511C2862-B0E0-4136-8112-065F188D173B}"/>
    <cellStyle name="Comma 3 4 2 2 6 3" xfId="5536" xr:uid="{E29F8779-5D08-4BFB-AE47-AD0CDD93B736}"/>
    <cellStyle name="Comma 3 4 2 2 6 3 2" xfId="13062" xr:uid="{CF60EBD8-CA68-4B27-B993-208E7BA35F62}"/>
    <cellStyle name="Comma 3 4 2 2 6 3 2 2" xfId="29266" xr:uid="{406E5A80-2880-48E4-93E3-E4FD5BAFFF66}"/>
    <cellStyle name="Comma 3 4 2 2 6 3 3" xfId="21740" xr:uid="{E0EA6307-5409-4F23-80DB-3A987FC49B79}"/>
    <cellStyle name="Comma 3 4 2 2 6 4" xfId="11820" xr:uid="{63B0B227-A253-4123-8CE7-1587030D6F9B}"/>
    <cellStyle name="Comma 3 4 2 2 6 4 2" xfId="28024" xr:uid="{BE29B5C3-FFD0-4230-8FE3-CFC255D02D1E}"/>
    <cellStyle name="Comma 3 4 2 2 6 5" xfId="17426" xr:uid="{BBBE3CB4-7E4A-4EB5-AE23-4EE121672681}"/>
    <cellStyle name="Comma 3 4 2 2 6 5 2" xfId="33558" xr:uid="{669BC06E-2794-488A-821F-7126EA743582}"/>
    <cellStyle name="Comma 3 4 2 2 6 6" xfId="20461" xr:uid="{25C9AF85-2CF5-43C0-9C54-08A6C0DF6C8D}"/>
    <cellStyle name="Comma 3 4 2 2 7" xfId="4682" xr:uid="{665A1EA2-36D9-4E68-B94B-53974927CDB1}"/>
    <cellStyle name="Comma 3 4 2 2 7 2" xfId="8352" xr:uid="{B9B3DAFF-4C74-4981-8B59-A5BC94D9BC28}"/>
    <cellStyle name="Comma 3 4 2 2 7 2 2" xfId="15859" xr:uid="{EC00F6E4-43E9-42CA-9322-13E8A3503E48}"/>
    <cellStyle name="Comma 3 4 2 2 7 2 2 2" xfId="32063" xr:uid="{60099A60-3CCD-4C4A-8650-F1E1D5D5A0FA}"/>
    <cellStyle name="Comma 3 4 2 2 7 2 3" xfId="24556" xr:uid="{068B6EF5-3717-46E6-A9EE-936680C13332}"/>
    <cellStyle name="Comma 3 4 2 2 7 3" xfId="5565" xr:uid="{05F045AF-E12B-4F0C-A69D-29D12BB26295}"/>
    <cellStyle name="Comma 3 4 2 2 7 3 2" xfId="13084" xr:uid="{AC74455F-DF65-4259-A034-7E3764C85464}"/>
    <cellStyle name="Comma 3 4 2 2 7 3 2 2" xfId="29288" xr:uid="{AD56C004-CCE0-415A-A5AB-FDEA842893FD}"/>
    <cellStyle name="Comma 3 4 2 2 7 3 3" xfId="21769" xr:uid="{D5482DA4-232B-420C-A34F-4C897FF5FFD6}"/>
    <cellStyle name="Comma 3 4 2 2 7 4" xfId="12245" xr:uid="{2CF48EFB-AE3E-4CF2-B887-04E130332CBF}"/>
    <cellStyle name="Comma 3 4 2 2 7 4 2" xfId="28449" xr:uid="{FE0ADBCA-0832-4FC5-9B57-F308AFE1AC56}"/>
    <cellStyle name="Comma 3 4 2 2 7 5" xfId="17427" xr:uid="{80142807-0755-4C20-B666-789D9A6CF86C}"/>
    <cellStyle name="Comma 3 4 2 2 7 5 2" xfId="33559" xr:uid="{29E47704-F92C-4378-A8FF-18978BA97314}"/>
    <cellStyle name="Comma 3 4 2 2 7 6" xfId="20886" xr:uid="{B058A72F-1B44-46F9-B8E9-686C07971634}"/>
    <cellStyle name="Comma 3 4 2 2 8" xfId="5110" xr:uid="{7179BF62-D5DE-42D3-AE42-7184B6961564}"/>
    <cellStyle name="Comma 3 4 2 2 8 2" xfId="8775" xr:uid="{E5910E53-046D-441A-A773-21C901A3896F}"/>
    <cellStyle name="Comma 3 4 2 2 8 2 2" xfId="16282" xr:uid="{F1587C2F-CC47-4FD7-917A-BE9A89FDEA38}"/>
    <cellStyle name="Comma 3 4 2 2 8 2 2 2" xfId="32486" xr:uid="{4A6D60BD-B252-4DA3-8E5D-444716EF23AE}"/>
    <cellStyle name="Comma 3 4 2 2 8 2 3" xfId="24979" xr:uid="{5A90E800-6E94-4228-A7AC-A8B9D93A0AFE}"/>
    <cellStyle name="Comma 3 4 2 2 8 3" xfId="12667" xr:uid="{8DDB40BC-C75F-4F72-A4CD-ADAF8E312FF6}"/>
    <cellStyle name="Comma 3 4 2 2 8 3 2" xfId="28871" xr:uid="{F7A325EF-CF14-4435-8CF9-63C1A6F74152}"/>
    <cellStyle name="Comma 3 4 2 2 8 4" xfId="21314" xr:uid="{76FBFDB0-AA6C-41E8-8F44-9FC3EE209BCE}"/>
    <cellStyle name="Comma 3 4 2 2 9" xfId="5781" xr:uid="{F90454FD-5205-453E-9399-A4F3C2083D1F}"/>
    <cellStyle name="Comma 3 4 2 2 9 2" xfId="13296" xr:uid="{9E158E8D-8ED5-4902-BA7C-FBFDADAF7E32}"/>
    <cellStyle name="Comma 3 4 2 2 9 2 2" xfId="29500" xr:uid="{FE4DFE3C-DF55-4F5A-A820-560670C81123}"/>
    <cellStyle name="Comma 3 4 2 2 9 3" xfId="21985" xr:uid="{DEF2E044-4E9F-4718-A6F6-D940A0104B4A}"/>
    <cellStyle name="Comma 3 4 2 3" xfId="2265" xr:uid="{AC86D1A3-36A6-4C01-9175-0018E4F16AD3}"/>
    <cellStyle name="Comma 3 4 2 3 2" xfId="3116" xr:uid="{7F527429-5805-46EA-B08B-6742E66C6326}"/>
    <cellStyle name="Comma 3 4 2 3 2 2" xfId="6898" xr:uid="{D1B71922-7B1E-4485-80AA-32F8632DA785}"/>
    <cellStyle name="Comma 3 4 2 3 2 2 2" xfId="14409" xr:uid="{92F483F7-24C1-4A53-926C-EE1601D6FDE3}"/>
    <cellStyle name="Comma 3 4 2 3 2 2 2 2" xfId="30613" xr:uid="{181453EE-268B-4D36-AC98-C147FB1700FC}"/>
    <cellStyle name="Comma 3 4 2 3 2 2 3" xfId="23102" xr:uid="{36356EF4-DEA8-4F41-8028-22643B6BC672}"/>
    <cellStyle name="Comma 3 4 2 3 2 3" xfId="5423" xr:uid="{1AF61B1D-BD43-4BBC-A76F-B6F9439F1D4F}"/>
    <cellStyle name="Comma 3 4 2 3 2 3 2" xfId="12969" xr:uid="{FC8DD8EB-B12A-4CFC-B539-B566C2DF7407}"/>
    <cellStyle name="Comma 3 4 2 3 2 3 2 2" xfId="29173" xr:uid="{2FA031DB-BC8A-4AE3-97DC-F9F29ED26748}"/>
    <cellStyle name="Comma 3 4 2 3 2 3 3" xfId="21627" xr:uid="{32B978F6-D8D3-4AE3-A72E-CB34E018290B}"/>
    <cellStyle name="Comma 3 4 2 3 2 4" xfId="10809" xr:uid="{A622B9CD-8AD5-4FA7-BE9C-6946F0B94652}"/>
    <cellStyle name="Comma 3 4 2 3 2 4 2" xfId="27013" xr:uid="{2BD995EB-6F0D-4033-A865-E8F7D7335522}"/>
    <cellStyle name="Comma 3 4 2 3 2 5" xfId="17429" xr:uid="{48050609-AECC-4C35-9DAB-E7FAE613FB4B}"/>
    <cellStyle name="Comma 3 4 2 3 2 5 2" xfId="33561" xr:uid="{2914A346-D323-4F19-9BFF-EDA34CE1887B}"/>
    <cellStyle name="Comma 3 4 2 3 2 6" xfId="19336" xr:uid="{0EDFA99C-83B2-44C4-BFE3-BE1337F0B695}"/>
    <cellStyle name="Comma 3 4 2 3 3" xfId="6053" xr:uid="{F0060D89-2969-4D40-8097-139F10EEFECF}"/>
    <cellStyle name="Comma 3 4 2 3 3 2" xfId="13565" xr:uid="{A66D447C-E3B7-4EBB-A017-ECA28305CFB9}"/>
    <cellStyle name="Comma 3 4 2 3 3 2 2" xfId="29769" xr:uid="{D9FDDE7B-FA70-40F4-8154-E70DF5FF1637}"/>
    <cellStyle name="Comma 3 4 2 3 3 3" xfId="22257" xr:uid="{8AA675F1-B983-460B-885E-CD45A48A6441}"/>
    <cellStyle name="Comma 3 4 2 3 4" xfId="8897" xr:uid="{399145A9-BE53-4E6B-B5EC-4416D82EF108}"/>
    <cellStyle name="Comma 3 4 2 3 4 2" xfId="16400" xr:uid="{57A304F6-241F-4C30-A4EB-AF3A0CFB1D05}"/>
    <cellStyle name="Comma 3 4 2 3 4 2 2" xfId="32604" xr:uid="{23EB8196-CF15-4FF0-AD76-88249915294F}"/>
    <cellStyle name="Comma 3 4 2 3 4 3" xfId="25101" xr:uid="{EAC567A6-91D0-428F-8935-D59286314174}"/>
    <cellStyle name="Comma 3 4 2 3 5" xfId="9965" xr:uid="{93BD9290-AB5F-4029-961E-4F8B53F9D03C}"/>
    <cellStyle name="Comma 3 4 2 3 5 2" xfId="26169" xr:uid="{641A9F71-0382-4ADB-9909-81D8FF32819A}"/>
    <cellStyle name="Comma 3 4 2 3 6" xfId="17428" xr:uid="{3F0FED64-4358-4296-9AD3-2A3FF5528F62}"/>
    <cellStyle name="Comma 3 4 2 3 6 2" xfId="33560" xr:uid="{038E02EE-E676-43CD-9687-DE7A4DD306E1}"/>
    <cellStyle name="Comma 3 4 2 3 7" xfId="18491" xr:uid="{B6B9296F-D117-41E1-8F2C-1345FA48514B}"/>
    <cellStyle name="Comma 3 4 2 4" xfId="2691" xr:uid="{5C52EAAF-EB83-4E32-9465-C29301EEDEAF}"/>
    <cellStyle name="Comma 3 4 2 4 2" xfId="6475" xr:uid="{B90ECEEC-8C82-4266-836A-D92BE8048D45}"/>
    <cellStyle name="Comma 3 4 2 4 2 2" xfId="13987" xr:uid="{85EC1DC0-F22C-4CA4-BDAB-20381039E841}"/>
    <cellStyle name="Comma 3 4 2 4 2 2 2" xfId="30191" xr:uid="{3DDA6494-4EBE-4521-8D80-D860EBDC676C}"/>
    <cellStyle name="Comma 3 4 2 4 2 3" xfId="22679" xr:uid="{6158EA82-6E1A-4002-BE16-84AEC30C3715}"/>
    <cellStyle name="Comma 3 4 2 4 3" xfId="5521" xr:uid="{E8C59297-0FC0-4EC5-9C7E-D133EBAF7086}"/>
    <cellStyle name="Comma 3 4 2 4 3 2" xfId="13050" xr:uid="{627B5C48-5418-4FBA-A35B-B7487127CC7E}"/>
    <cellStyle name="Comma 3 4 2 4 3 2 2" xfId="29254" xr:uid="{03853122-1A71-49D3-AA47-65F618CD2216}"/>
    <cellStyle name="Comma 3 4 2 4 3 3" xfId="21725" xr:uid="{ABFFFCE1-5692-4D38-ADB1-A9EE8C92A8BE}"/>
    <cellStyle name="Comma 3 4 2 4 4" xfId="10387" xr:uid="{3593D8B6-69D8-498B-8359-33CF5E609401}"/>
    <cellStyle name="Comma 3 4 2 4 4 2" xfId="26591" xr:uid="{568D0474-8565-4693-8D5B-A4AE20668309}"/>
    <cellStyle name="Comma 3 4 2 4 5" xfId="17430" xr:uid="{5A114976-A821-401D-B110-BB6D6ED0CA4D}"/>
    <cellStyle name="Comma 3 4 2 4 5 2" xfId="33562" xr:uid="{F65E0B7B-0E2C-4036-9BAF-C593FCCBB1F6}"/>
    <cellStyle name="Comma 3 4 2 4 6" xfId="18913" xr:uid="{59E8C118-2E67-4803-B0CA-9278CFAC8A8B}"/>
    <cellStyle name="Comma 3 4 2 5" xfId="3621" xr:uid="{8CCE1318-4BB3-4151-B605-B0DCD1BEFEB8}"/>
    <cellStyle name="Comma 3 4 2 5 2" xfId="7331" xr:uid="{FD918463-EE5A-4D77-AC0D-E539D97DCA35}"/>
    <cellStyle name="Comma 3 4 2 5 2 2" xfId="14840" xr:uid="{87F19115-A428-4956-A60C-FD5D7177547A}"/>
    <cellStyle name="Comma 3 4 2 5 2 2 2" xfId="31044" xr:uid="{71F162BF-5E74-40AD-8AD8-40C25965B8D9}"/>
    <cellStyle name="Comma 3 4 2 5 2 3" xfId="23535" xr:uid="{0E5CF690-52D3-47E9-8923-0ACAEDF957EC}"/>
    <cellStyle name="Comma 3 4 2 5 3" xfId="9311" xr:uid="{7C6B40C8-9692-4B93-89D6-A7F57FC5C84E}"/>
    <cellStyle name="Comma 3 4 2 5 3 2" xfId="16760" xr:uid="{CB9D5621-C87A-4227-A90E-69C75563246D}"/>
    <cellStyle name="Comma 3 4 2 5 3 2 2" xfId="32964" xr:uid="{C815A17C-78DD-4FF9-9D6D-3F5D5CAFF12F}"/>
    <cellStyle name="Comma 3 4 2 5 3 3" xfId="25515" xr:uid="{D0426CFD-12A5-4FDE-B1EC-93D013D4B27B}"/>
    <cellStyle name="Comma 3 4 2 5 4" xfId="11232" xr:uid="{4DBAFCB8-DB0E-49D9-A5C4-4C746A6CA8DA}"/>
    <cellStyle name="Comma 3 4 2 5 4 2" xfId="27436" xr:uid="{686C6191-7002-480F-96F2-89DBB95197D7}"/>
    <cellStyle name="Comma 3 4 2 5 5" xfId="17431" xr:uid="{B8C219DB-317E-47BA-B85E-47FC0DF4C559}"/>
    <cellStyle name="Comma 3 4 2 5 5 2" xfId="33563" xr:uid="{95044CCF-672B-43C3-9184-236DC8F375E4}"/>
    <cellStyle name="Comma 3 4 2 5 6" xfId="19830" xr:uid="{42E8963C-7581-494E-943A-E954AAAFED47}"/>
    <cellStyle name="Comma 3 4 2 6" xfId="3560" xr:uid="{21BCFD1A-FC86-478A-B3D4-08B389ADB029}"/>
    <cellStyle name="Comma 3 4 2 6 2" xfId="8946" xr:uid="{AC8C5003-A6B6-426E-AAB7-98339F5335FB}"/>
    <cellStyle name="Comma 3 4 2 6 2 2" xfId="25150" xr:uid="{76ED6FF2-3531-4167-8DD2-0C25471ED295}"/>
    <cellStyle name="Comma 3 4 2 6 3" xfId="17432" xr:uid="{110E69E4-E310-402D-BFDC-361C07AE6D29}"/>
    <cellStyle name="Comma 3 4 2 6 3 2" xfId="33564" xr:uid="{5FFFCFE3-12EC-4D78-AD86-243C48875338}"/>
    <cellStyle name="Comma 3 4 2 6 4" xfId="19774" xr:uid="{FD631EE6-4E91-4EC6-928C-36B970CABA0F}"/>
    <cellStyle name="Comma 3 4 2 7" xfId="4091" xr:uid="{8ED3BE91-C988-4A01-9081-B4E79BCF3FC0}"/>
    <cellStyle name="Comma 3 4 2 7 2" xfId="7761" xr:uid="{DEB27DCC-613D-4409-B92B-79D4E4DC2A29}"/>
    <cellStyle name="Comma 3 4 2 7 2 2" xfId="15268" xr:uid="{D7448578-73FE-409F-A0DE-A8B76A5E0D52}"/>
    <cellStyle name="Comma 3 4 2 7 2 2 2" xfId="31472" xr:uid="{9105C88E-55BC-437E-A0E4-C82E79A84FAB}"/>
    <cellStyle name="Comma 3 4 2 7 2 3" xfId="23965" xr:uid="{E2E44916-D842-4D19-A670-236D3BC9DC12}"/>
    <cellStyle name="Comma 3 4 2 7 3" xfId="9363" xr:uid="{69C5D8A0-8B3A-4DBF-8B4C-D033A43F896A}"/>
    <cellStyle name="Comma 3 4 2 7 3 2" xfId="16805" xr:uid="{9B287088-3279-4D80-AD8F-6F7976F42CFE}"/>
    <cellStyle name="Comma 3 4 2 7 3 2 2" xfId="33009" xr:uid="{5B564F67-7D18-4EB0-837E-2FCA7AD4A997}"/>
    <cellStyle name="Comma 3 4 2 7 3 3" xfId="25567" xr:uid="{2F87B27B-F4DD-49C2-8CAA-642CD24ADDB7}"/>
    <cellStyle name="Comma 3 4 2 7 4" xfId="11654" xr:uid="{30421630-C56F-409C-A4A1-0627FA7248AE}"/>
    <cellStyle name="Comma 3 4 2 7 4 2" xfId="27858" xr:uid="{8065A011-636D-4B55-9D36-9975CA8AA659}"/>
    <cellStyle name="Comma 3 4 2 7 5" xfId="17433" xr:uid="{747A12F8-B5F2-46D4-A719-4A414D3AFB3A}"/>
    <cellStyle name="Comma 3 4 2 7 5 2" xfId="33565" xr:uid="{5AE0738F-C8F0-4970-82E2-7E8CDE097E8C}"/>
    <cellStyle name="Comma 3 4 2 7 6" xfId="20295" xr:uid="{E7D01EEF-31B1-4F4D-8EB0-6688CC26C74F}"/>
    <cellStyle name="Comma 3 4 2 8" xfId="4516" xr:uid="{20CCE865-D075-4167-8CFA-B61989DEC78B}"/>
    <cellStyle name="Comma 3 4 2 8 2" xfId="8186" xr:uid="{5A7A2054-61C1-4815-87BF-B85F0A305A6E}"/>
    <cellStyle name="Comma 3 4 2 8 2 2" xfId="15693" xr:uid="{15FB7C13-C770-42C6-8F7E-49A77DACB7F1}"/>
    <cellStyle name="Comma 3 4 2 8 2 2 2" xfId="31897" xr:uid="{7AC22C7B-337C-4FCC-83B9-C3F2956981B9}"/>
    <cellStyle name="Comma 3 4 2 8 2 3" xfId="24390" xr:uid="{85964589-3D46-47A4-978F-BBC54F815CCD}"/>
    <cellStyle name="Comma 3 4 2 8 3" xfId="9213" xr:uid="{DB7A15D0-A811-439C-A9FA-9BC01EA81518}"/>
    <cellStyle name="Comma 3 4 2 8 3 2" xfId="16681" xr:uid="{11FCC623-3208-4EFC-96DD-E2BFB2FA7C0F}"/>
    <cellStyle name="Comma 3 4 2 8 3 2 2" xfId="32885" xr:uid="{BDC6ACDE-4E84-488A-AA09-B03080562558}"/>
    <cellStyle name="Comma 3 4 2 8 3 3" xfId="25417" xr:uid="{432880D8-C9F2-4B2F-AD35-44E815D9FC65}"/>
    <cellStyle name="Comma 3 4 2 8 4" xfId="12079" xr:uid="{19FF5693-BDAF-49B8-B913-8ADA412B0D9D}"/>
    <cellStyle name="Comma 3 4 2 8 4 2" xfId="28283" xr:uid="{6157D8A9-B914-4410-ADDF-626F763007BB}"/>
    <cellStyle name="Comma 3 4 2 8 5" xfId="17434" xr:uid="{11C06EE5-BA61-44D4-B418-F245AEA88CBE}"/>
    <cellStyle name="Comma 3 4 2 8 5 2" xfId="33566" xr:uid="{B80FE398-C3E8-4D0A-9BBC-37D8BC8D5DC2}"/>
    <cellStyle name="Comma 3 4 2 8 6" xfId="20720" xr:uid="{7584BEC6-3E8C-487F-BBDB-8786E807FDAB}"/>
    <cellStyle name="Comma 3 4 2 9" xfId="4943" xr:uid="{78E99CBA-E10B-4168-84CA-9392AD1010C6}"/>
    <cellStyle name="Comma 3 4 2 9 2" xfId="8609" xr:uid="{C5233188-5658-420C-A030-B8D8B162AB37}"/>
    <cellStyle name="Comma 3 4 2 9 2 2" xfId="16116" xr:uid="{893E3442-D7BC-4EAD-9DB5-4E983BE03FD5}"/>
    <cellStyle name="Comma 3 4 2 9 2 2 2" xfId="32320" xr:uid="{251E83F3-5140-4A44-B0E4-A4F542E15692}"/>
    <cellStyle name="Comma 3 4 2 9 2 3" xfId="24813" xr:uid="{A61C6494-3CBC-4A90-B65C-1E8056D95962}"/>
    <cellStyle name="Comma 3 4 2 9 3" xfId="12501" xr:uid="{C5642049-D69F-4E19-ACD8-FA88B7DD1B00}"/>
    <cellStyle name="Comma 3 4 2 9 3 2" xfId="28705" xr:uid="{B53330BD-A789-4E5E-9E4C-0419B9D9AE16}"/>
    <cellStyle name="Comma 3 4 2 9 4" xfId="21147" xr:uid="{44208E0F-8954-4879-A0F4-FA1398F7BEC8}"/>
    <cellStyle name="Comma 3 4 3" xfId="1763" xr:uid="{2C2DC0D9-1BC7-40A8-921F-45B605BEEB60}"/>
    <cellStyle name="Comma 3 4 3 10" xfId="5628" xr:uid="{440952D8-BBC4-4033-B70F-B8E72A94F0DD}"/>
    <cellStyle name="Comma 3 4 3 10 2" xfId="13143" xr:uid="{FB8BC7D8-80E6-4446-9330-EB7101BA9282}"/>
    <cellStyle name="Comma 3 4 3 10 2 2" xfId="29347" xr:uid="{17D79B1D-9B93-45CF-8605-4DB0680FD3CA}"/>
    <cellStyle name="Comma 3 4 3 10 3" xfId="21832" xr:uid="{EB9AB474-727B-4940-AD62-3C70AE0BD3CD}"/>
    <cellStyle name="Comma 3 4 3 11" xfId="9556" xr:uid="{479C281F-1C26-4743-BA61-6F0A012E718C}"/>
    <cellStyle name="Comma 3 4 3 11 2" xfId="25760" xr:uid="{6DADC8ED-3399-4CD7-A812-C11567A9F910}"/>
    <cellStyle name="Comma 3 4 3 12" xfId="17435" xr:uid="{98DA0252-7ACF-4903-9268-3323CE8076ED}"/>
    <cellStyle name="Comma 3 4 3 12 2" xfId="33567" xr:uid="{289D917B-6460-4006-BDF4-2DB231BC3132}"/>
    <cellStyle name="Comma 3 4 3 13" xfId="18079" xr:uid="{633E16F6-0555-4140-89F9-3C32D622D10B}"/>
    <cellStyle name="Comma 3 4 3 2" xfId="1929" xr:uid="{3EA2A25C-D603-440B-959F-8257B772B35E}"/>
    <cellStyle name="Comma 3 4 3 2 10" xfId="9709" xr:uid="{D46D7F69-9EA9-4B09-BCBB-2EBB2C06D119}"/>
    <cellStyle name="Comma 3 4 3 2 10 2" xfId="25913" xr:uid="{2C1B6749-0359-4A41-9BDA-C200E9D83086}"/>
    <cellStyle name="Comma 3 4 3 2 11" xfId="17436" xr:uid="{636CF635-9FFD-4363-B63C-345B24651782}"/>
    <cellStyle name="Comma 3 4 3 2 11 2" xfId="33568" xr:uid="{74918E3A-01AA-4565-9E6B-6036D5AD2050}"/>
    <cellStyle name="Comma 3 4 3 2 12" xfId="18233" xr:uid="{53E04FF3-1718-4491-AD35-06224C6FA45B}"/>
    <cellStyle name="Comma 3 4 3 2 2" xfId="2436" xr:uid="{AE7FA8E7-A027-411F-B6A1-CDA8AE92E026}"/>
    <cellStyle name="Comma 3 4 3 2 2 2" xfId="3283" xr:uid="{E2B4A85A-2A53-4115-AF6C-8710499FCB66}"/>
    <cellStyle name="Comma 3 4 3 2 2 2 2" xfId="7065" xr:uid="{FF2A2F4A-7171-4680-BAC6-550E0FBD3242}"/>
    <cellStyle name="Comma 3 4 3 2 2 2 2 2" xfId="14576" xr:uid="{1E89DF53-0F7C-4B61-BE65-350980A55B4C}"/>
    <cellStyle name="Comma 3 4 3 2 2 2 2 2 2" xfId="30780" xr:uid="{9D835E9A-65DA-4CAA-A49C-BBF5489ADB33}"/>
    <cellStyle name="Comma 3 4 3 2 2 2 2 3" xfId="23269" xr:uid="{613E07D1-AF9E-4C6A-A449-B8D98CC608E9}"/>
    <cellStyle name="Comma 3 4 3 2 2 2 3" xfId="9372" xr:uid="{71A4ACC8-97E1-4D65-95FE-D7BEB5B15243}"/>
    <cellStyle name="Comma 3 4 3 2 2 2 3 2" xfId="16813" xr:uid="{83B3D521-54C3-45E5-A654-1590CB6AFD17}"/>
    <cellStyle name="Comma 3 4 3 2 2 2 3 2 2" xfId="33017" xr:uid="{BB0AC27C-A2A5-42CC-829C-B41C9B0C8057}"/>
    <cellStyle name="Comma 3 4 3 2 2 2 3 3" xfId="25576" xr:uid="{00F97C18-18EE-4498-A8B7-7A742268D342}"/>
    <cellStyle name="Comma 3 4 3 2 2 2 4" xfId="10976" xr:uid="{3B47B294-630A-4F88-B553-E054C9C61320}"/>
    <cellStyle name="Comma 3 4 3 2 2 2 4 2" xfId="27180" xr:uid="{064298B1-84AE-4DF9-B5A7-4D115646CE3A}"/>
    <cellStyle name="Comma 3 4 3 2 2 2 5" xfId="17438" xr:uid="{E8443BC0-D7EE-4DB4-96FD-F8F1D4AD8F21}"/>
    <cellStyle name="Comma 3 4 3 2 2 2 5 2" xfId="33570" xr:uid="{A90F7D78-D596-4405-9FAE-22BABF983433}"/>
    <cellStyle name="Comma 3 4 3 2 2 2 6" xfId="19503" xr:uid="{5EBE7C1E-ECC7-450D-9EF9-30FDA90B378C}"/>
    <cellStyle name="Comma 3 4 3 2 2 3" xfId="6220" xr:uid="{F768C5DA-4E00-4AD8-BF9D-1152D2735781}"/>
    <cellStyle name="Comma 3 4 3 2 2 3 2" xfId="13732" xr:uid="{BC02AD13-BF32-434F-94DB-E4908DC8ADE7}"/>
    <cellStyle name="Comma 3 4 3 2 2 3 2 2" xfId="29936" xr:uid="{47BD4B1C-C6D8-4746-8FF7-B9024897E660}"/>
    <cellStyle name="Comma 3 4 3 2 2 3 3" xfId="22424" xr:uid="{095CC921-DBBD-4ECA-8B10-27CBF841DD64}"/>
    <cellStyle name="Comma 3 4 3 2 2 4" xfId="5237" xr:uid="{48B50417-60E2-4D12-B9CC-99457A3F024E}"/>
    <cellStyle name="Comma 3 4 3 2 2 4 2" xfId="12789" xr:uid="{60422713-6BD9-4D30-94DA-BC26F02AA334}"/>
    <cellStyle name="Comma 3 4 3 2 2 4 2 2" xfId="28993" xr:uid="{8D5EA8B8-F960-4EA1-AC09-12E8C1AD2A40}"/>
    <cellStyle name="Comma 3 4 3 2 2 4 3" xfId="21441" xr:uid="{17CD6BE8-AA28-4248-B027-DA705785E6B4}"/>
    <cellStyle name="Comma 3 4 3 2 2 5" xfId="10132" xr:uid="{65640F71-7555-400B-8C2F-712462B6EFD5}"/>
    <cellStyle name="Comma 3 4 3 2 2 5 2" xfId="26336" xr:uid="{F954C6D0-A620-4AAE-8701-95541C741968}"/>
    <cellStyle name="Comma 3 4 3 2 2 6" xfId="17437" xr:uid="{61A439A1-7359-4DA4-84F1-A9EA59C95DE5}"/>
    <cellStyle name="Comma 3 4 3 2 2 6 2" xfId="33569" xr:uid="{F6DD5354-EA47-4871-AF12-40147F70408A}"/>
    <cellStyle name="Comma 3 4 3 2 2 7" xfId="18658" xr:uid="{51C7B272-6637-4966-AF20-F1E140512F39}"/>
    <cellStyle name="Comma 3 4 3 2 3" xfId="2858" xr:uid="{B5EAE51F-9C3D-488A-ABAA-7F4460C7E3C6}"/>
    <cellStyle name="Comma 3 4 3 2 3 2" xfId="6642" xr:uid="{E157C855-CC97-49E4-830D-B08EBDAE1083}"/>
    <cellStyle name="Comma 3 4 3 2 3 2 2" xfId="14154" xr:uid="{F59FEC37-109F-4A3E-A5FF-B3910A10F9CD}"/>
    <cellStyle name="Comma 3 4 3 2 3 2 2 2" xfId="30358" xr:uid="{FFE2A0BA-78B7-47D0-806E-B4BB7551BBA9}"/>
    <cellStyle name="Comma 3 4 3 2 3 2 3" xfId="22846" xr:uid="{66B2265E-BAD1-43B1-AAF6-BAF9C22D9C58}"/>
    <cellStyle name="Comma 3 4 3 2 3 3" xfId="9066" xr:uid="{22BD6552-6B15-4E04-8A27-94044C18A916}"/>
    <cellStyle name="Comma 3 4 3 2 3 3 2" xfId="16551" xr:uid="{52257186-ACFE-4D6E-BE01-DC44863CDE6E}"/>
    <cellStyle name="Comma 3 4 3 2 3 3 2 2" xfId="32755" xr:uid="{9AE2D549-8612-4B11-84B6-9C83B661B99B}"/>
    <cellStyle name="Comma 3 4 3 2 3 3 3" xfId="25270" xr:uid="{B3E7D9A4-E195-42FA-9D4B-20D43995CD21}"/>
    <cellStyle name="Comma 3 4 3 2 3 4" xfId="10554" xr:uid="{C3002E3D-F5FA-46AE-9C14-0A9FA342B5A6}"/>
    <cellStyle name="Comma 3 4 3 2 3 4 2" xfId="26758" xr:uid="{9AD4E394-F20B-4A54-A13A-2B7D3326E7E4}"/>
    <cellStyle name="Comma 3 4 3 2 3 5" xfId="17439" xr:uid="{8D7DA3FE-F203-460C-9620-7F7F03056E14}"/>
    <cellStyle name="Comma 3 4 3 2 3 5 2" xfId="33571" xr:uid="{5632F07B-B698-4B14-B860-CE5F6F29C6DC}"/>
    <cellStyle name="Comma 3 4 3 2 3 6" xfId="19080" xr:uid="{9CED69A8-6A41-4644-B5AC-4B8952DEED71}"/>
    <cellStyle name="Comma 3 4 3 2 4" xfId="3789" xr:uid="{C52B406F-B10A-4A16-AA75-7BBCE372376E}"/>
    <cellStyle name="Comma 3 4 3 2 4 2" xfId="7499" xr:uid="{5F46FA56-BA2C-41E1-AAD6-98CA0157814C}"/>
    <cellStyle name="Comma 3 4 3 2 4 2 2" xfId="15008" xr:uid="{2EEACF5F-923B-4A37-A949-3462105901C9}"/>
    <cellStyle name="Comma 3 4 3 2 4 2 2 2" xfId="31212" xr:uid="{2E090C47-1A4C-4629-AFB0-D986AF1B1E5E}"/>
    <cellStyle name="Comma 3 4 3 2 4 2 3" xfId="23703" xr:uid="{05989861-5445-4690-9B8C-890EB9A5A3EB}"/>
    <cellStyle name="Comma 3 4 3 2 4 3" xfId="8908" xr:uid="{A29FD15C-5D11-4035-A7D3-F3A88D19C73E}"/>
    <cellStyle name="Comma 3 4 3 2 4 3 2" xfId="16411" xr:uid="{7D437F0C-3919-4D2E-9907-FBF36DC9DC9B}"/>
    <cellStyle name="Comma 3 4 3 2 4 3 2 2" xfId="32615" xr:uid="{4F0F3E00-13F1-4361-8964-4807F21CE264}"/>
    <cellStyle name="Comma 3 4 3 2 4 3 3" xfId="25112" xr:uid="{32097359-C610-443B-9186-3207730CA08F}"/>
    <cellStyle name="Comma 3 4 3 2 4 4" xfId="11399" xr:uid="{9D500314-4449-4240-B4AA-E7493FB38C04}"/>
    <cellStyle name="Comma 3 4 3 2 4 4 2" xfId="27603" xr:uid="{F4EF1F2C-744E-4D09-910B-C3A11DFAD766}"/>
    <cellStyle name="Comma 3 4 3 2 4 5" xfId="17440" xr:uid="{ADDE5204-11AE-4670-A7C0-E0824A379C42}"/>
    <cellStyle name="Comma 3 4 3 2 4 5 2" xfId="33572" xr:uid="{7F128823-222C-41AA-A047-12C7F1D29926}"/>
    <cellStyle name="Comma 3 4 3 2 4 6" xfId="19998" xr:uid="{C6286BDF-55DE-4779-A544-52DBBE7EF910}"/>
    <cellStyle name="Comma 3 4 3 2 5" xfId="3579" xr:uid="{EB189F7F-56BA-4ECE-8682-A04CA8A0E875}"/>
    <cellStyle name="Comma 3 4 3 2 5 2" xfId="8891" xr:uid="{BE963A3C-EEF3-45B5-B102-F85BD6A91F29}"/>
    <cellStyle name="Comma 3 4 3 2 5 2 2" xfId="25095" xr:uid="{6565D962-5555-4F7B-B41A-A1E1D8B1A228}"/>
    <cellStyle name="Comma 3 4 3 2 5 3" xfId="17441" xr:uid="{2B5690DA-361F-4A7C-86DF-8BBD41A479BC}"/>
    <cellStyle name="Comma 3 4 3 2 5 3 2" xfId="33573" xr:uid="{9839A2BC-A7A1-431F-809C-004C6CC2FB1C}"/>
    <cellStyle name="Comma 3 4 3 2 5 4" xfId="19791" xr:uid="{F695BB75-8B70-4DA6-AA38-9A1D0F792262}"/>
    <cellStyle name="Comma 3 4 3 2 6" xfId="4258" xr:uid="{129D001D-8DAE-448D-B481-E2F1D52EFEC5}"/>
    <cellStyle name="Comma 3 4 3 2 6 2" xfId="7928" xr:uid="{31B56AD9-31AC-46E9-98AD-545195697AF7}"/>
    <cellStyle name="Comma 3 4 3 2 6 2 2" xfId="15435" xr:uid="{F3EE9196-2C62-420E-A77F-0DB73B461F01}"/>
    <cellStyle name="Comma 3 4 3 2 6 2 2 2" xfId="31639" xr:uid="{02728D44-73A0-4D08-9317-D20473A92D59}"/>
    <cellStyle name="Comma 3 4 3 2 6 2 3" xfId="24132" xr:uid="{99435769-AAD3-4A66-A40D-820C0C3AE610}"/>
    <cellStyle name="Comma 3 4 3 2 6 3" xfId="5483" xr:uid="{52E92FDF-7C3A-47C5-B8DE-B4375F4E16EA}"/>
    <cellStyle name="Comma 3 4 3 2 6 3 2" xfId="13021" xr:uid="{EBAE01E1-20EF-4AE5-85A1-4FB5C9C394FB}"/>
    <cellStyle name="Comma 3 4 3 2 6 3 2 2" xfId="29225" xr:uid="{98B59DCD-70D3-404B-8D17-6F9EE6BA8557}"/>
    <cellStyle name="Comma 3 4 3 2 6 3 3" xfId="21687" xr:uid="{12D8E59C-2E5D-4A26-ADCA-CE79861F0CDF}"/>
    <cellStyle name="Comma 3 4 3 2 6 4" xfId="11821" xr:uid="{AF3ABE73-A4EA-4F33-96A8-676962A3492D}"/>
    <cellStyle name="Comma 3 4 3 2 6 4 2" xfId="28025" xr:uid="{341C4CC5-CBDF-4FD9-9226-41990AF47F90}"/>
    <cellStyle name="Comma 3 4 3 2 6 5" xfId="17442" xr:uid="{6543EEB0-8A1E-4D5F-B980-FDD1FCB2AB35}"/>
    <cellStyle name="Comma 3 4 3 2 6 5 2" xfId="33574" xr:uid="{B66259DD-9F4F-448F-9634-0BBF08D72C7E}"/>
    <cellStyle name="Comma 3 4 3 2 6 6" xfId="20462" xr:uid="{14E58FFF-1C13-44C9-8A42-2978ECFF97D5}"/>
    <cellStyle name="Comma 3 4 3 2 7" xfId="4683" xr:uid="{4D6709A7-8765-4BE5-A17A-129CB2FB8A7D}"/>
    <cellStyle name="Comma 3 4 3 2 7 2" xfId="8353" xr:uid="{AD319D8F-BB6C-4957-A5BE-C903D0FD4C10}"/>
    <cellStyle name="Comma 3 4 3 2 7 2 2" xfId="15860" xr:uid="{5DB5D5AE-6F6E-436E-BFCC-772E25B877B3}"/>
    <cellStyle name="Comma 3 4 3 2 7 2 2 2" xfId="32064" xr:uid="{9D725C3A-4AB6-4762-B12C-78AFBF56EF4D}"/>
    <cellStyle name="Comma 3 4 3 2 7 2 3" xfId="24557" xr:uid="{C34BBFE8-DE49-4DED-95B2-18D46DC03B17}"/>
    <cellStyle name="Comma 3 4 3 2 7 3" xfId="9126" xr:uid="{76DE7A48-D7A0-4B9D-A338-240320E74D9B}"/>
    <cellStyle name="Comma 3 4 3 2 7 3 2" xfId="16604" xr:uid="{73FD173A-9DF4-4BD5-89D7-2E9FB1EC81FC}"/>
    <cellStyle name="Comma 3 4 3 2 7 3 2 2" xfId="32808" xr:uid="{538FCBBE-7137-4843-81C0-F72230C89202}"/>
    <cellStyle name="Comma 3 4 3 2 7 3 3" xfId="25330" xr:uid="{A0E02E25-B0A9-4591-A79E-595A63FEF572}"/>
    <cellStyle name="Comma 3 4 3 2 7 4" xfId="12246" xr:uid="{E0D7DA2D-FD2F-4B3D-AF1C-F73DDD791544}"/>
    <cellStyle name="Comma 3 4 3 2 7 4 2" xfId="28450" xr:uid="{65DEF6D7-4181-440F-995D-6A96710522DE}"/>
    <cellStyle name="Comma 3 4 3 2 7 5" xfId="17443" xr:uid="{EA0EC226-8399-4287-A8FC-F5121390409D}"/>
    <cellStyle name="Comma 3 4 3 2 7 5 2" xfId="33575" xr:uid="{112C4A4D-B55A-4820-AA6D-D27201D9419D}"/>
    <cellStyle name="Comma 3 4 3 2 7 6" xfId="20887" xr:uid="{0C7BD44E-1978-44B8-9EE0-0B7F933836D7}"/>
    <cellStyle name="Comma 3 4 3 2 8" xfId="5111" xr:uid="{7A110BB6-840B-4771-8062-69862C28C32D}"/>
    <cellStyle name="Comma 3 4 3 2 8 2" xfId="8776" xr:uid="{6DB28D33-F224-484E-BC01-9D720FBA1DC1}"/>
    <cellStyle name="Comma 3 4 3 2 8 2 2" xfId="16283" xr:uid="{399E1EB0-D76E-4E30-93CE-92C45CCF22D3}"/>
    <cellStyle name="Comma 3 4 3 2 8 2 2 2" xfId="32487" xr:uid="{FED92292-5506-47DB-96DC-B0F32431020E}"/>
    <cellStyle name="Comma 3 4 3 2 8 2 3" xfId="24980" xr:uid="{878BA803-DCFA-4F33-8461-BC0F429E5B86}"/>
    <cellStyle name="Comma 3 4 3 2 8 3" xfId="12668" xr:uid="{03957476-5755-4E2E-8228-6412BBC5A98F}"/>
    <cellStyle name="Comma 3 4 3 2 8 3 2" xfId="28872" xr:uid="{6E5F2190-1AE7-4C6B-8DBC-58F22EDE1B40}"/>
    <cellStyle name="Comma 3 4 3 2 8 4" xfId="21315" xr:uid="{721B4187-058A-4B26-843F-CF8C6CDC4F05}"/>
    <cellStyle name="Comma 3 4 3 2 9" xfId="5782" xr:uid="{BB58497A-EF52-4908-9FCE-7B885EC6ACFA}"/>
    <cellStyle name="Comma 3 4 3 2 9 2" xfId="13297" xr:uid="{2D23BA7D-E8AB-46C0-8964-242E943D85BB}"/>
    <cellStyle name="Comma 3 4 3 2 9 2 2" xfId="29501" xr:uid="{FCE35B8C-FF11-4912-ABD0-B02C10D9466B}"/>
    <cellStyle name="Comma 3 4 3 2 9 3" xfId="21986" xr:uid="{1995B196-43E5-46D4-BF31-678E40291CFE}"/>
    <cellStyle name="Comma 3 4 3 3" xfId="2281" xr:uid="{A104507C-D9D2-46F8-827F-F7CE611B5AE7}"/>
    <cellStyle name="Comma 3 4 3 3 2" xfId="3130" xr:uid="{A298997B-9C5F-456C-BB50-3DAD9A5E0D89}"/>
    <cellStyle name="Comma 3 4 3 3 2 2" xfId="6912" xr:uid="{B4D00D15-9856-4BC5-8163-0AA202E8BFB9}"/>
    <cellStyle name="Comma 3 4 3 3 2 2 2" xfId="14423" xr:uid="{C9F93351-857B-478B-B743-1712C90E474F}"/>
    <cellStyle name="Comma 3 4 3 3 2 2 2 2" xfId="30627" xr:uid="{A96AC9AE-E67E-4802-B3EB-4E41D8B60E73}"/>
    <cellStyle name="Comma 3 4 3 3 2 2 3" xfId="23116" xr:uid="{D0930BEA-7B15-40C4-829A-CF8E098B7B55}"/>
    <cellStyle name="Comma 3 4 3 3 2 3" xfId="5246" xr:uid="{967AC550-C9C9-48B8-BBBA-8250695771E3}"/>
    <cellStyle name="Comma 3 4 3 3 2 3 2" xfId="12797" xr:uid="{6546B4B4-43BC-4B75-A013-1F6A00727AA4}"/>
    <cellStyle name="Comma 3 4 3 3 2 3 2 2" xfId="29001" xr:uid="{1BF4DF51-3A7E-43C4-94CD-3583229DDE63}"/>
    <cellStyle name="Comma 3 4 3 3 2 3 3" xfId="21450" xr:uid="{0CF12FC5-724B-439A-8F58-412B339B1B1B}"/>
    <cellStyle name="Comma 3 4 3 3 2 4" xfId="10823" xr:uid="{064DE14D-8664-428B-BBE6-A87BAA13C5CA}"/>
    <cellStyle name="Comma 3 4 3 3 2 4 2" xfId="27027" xr:uid="{E76CCF57-56C3-4C59-B70D-674882E1F61E}"/>
    <cellStyle name="Comma 3 4 3 3 2 5" xfId="17445" xr:uid="{3B3C2243-1600-4C5C-B207-1C6A74BA49FC}"/>
    <cellStyle name="Comma 3 4 3 3 2 5 2" xfId="33577" xr:uid="{B7B2284B-C50A-42B8-915D-814988C75468}"/>
    <cellStyle name="Comma 3 4 3 3 2 6" xfId="19350" xr:uid="{2B816731-A71C-424D-8AC7-246A2A98997E}"/>
    <cellStyle name="Comma 3 4 3 3 3" xfId="6067" xr:uid="{92DA90D9-E078-4EAD-84CA-AA0FE84C55DA}"/>
    <cellStyle name="Comma 3 4 3 3 3 2" xfId="13579" xr:uid="{076227B2-0747-4EB6-B5DD-6E850FCC38BA}"/>
    <cellStyle name="Comma 3 4 3 3 3 2 2" xfId="29783" xr:uid="{C8EFB027-F077-4F0E-AEE9-ED867B414A0A}"/>
    <cellStyle name="Comma 3 4 3 3 3 3" xfId="22271" xr:uid="{983A7193-D7F5-40DE-A785-51E338AB6BFB}"/>
    <cellStyle name="Comma 3 4 3 3 4" xfId="5605" xr:uid="{C65DA41B-916A-4226-87DA-FFDC2D3AB4E9}"/>
    <cellStyle name="Comma 3 4 3 3 4 2" xfId="13120" xr:uid="{F9E71A96-AC3E-4506-AF56-17A99F7A40BD}"/>
    <cellStyle name="Comma 3 4 3 3 4 2 2" xfId="29324" xr:uid="{9718A8F4-AAA0-4B8B-8986-02AF5371AA84}"/>
    <cellStyle name="Comma 3 4 3 3 4 3" xfId="21809" xr:uid="{652FE1A1-4DAC-4D19-AFC1-39C26D8628BB}"/>
    <cellStyle name="Comma 3 4 3 3 5" xfId="9979" xr:uid="{AC15403B-D251-4186-A694-32252B6F97F2}"/>
    <cellStyle name="Comma 3 4 3 3 5 2" xfId="26183" xr:uid="{46A3F622-D9EA-41CF-84C6-25583BD48183}"/>
    <cellStyle name="Comma 3 4 3 3 6" xfId="17444" xr:uid="{DD439DB9-CF60-449C-96C0-F9E0F6FFAAB6}"/>
    <cellStyle name="Comma 3 4 3 3 6 2" xfId="33576" xr:uid="{0E058184-77B5-4D04-BB6C-5A65FAB3FCDE}"/>
    <cellStyle name="Comma 3 4 3 3 7" xfId="18505" xr:uid="{BEC03B7F-82BF-4630-8C8D-926208B909A4}"/>
    <cellStyle name="Comma 3 4 3 4" xfId="2705" xr:uid="{44F9607F-38B2-431A-A5E4-359DE3DAEF85}"/>
    <cellStyle name="Comma 3 4 3 4 2" xfId="6489" xr:uid="{E5742020-5785-46F8-A3F9-D1010A4546A9}"/>
    <cellStyle name="Comma 3 4 3 4 2 2" xfId="14001" xr:uid="{CC7A99D2-EC89-4CBF-9133-CB2E7A131314}"/>
    <cellStyle name="Comma 3 4 3 4 2 2 2" xfId="30205" xr:uid="{72632793-C6A5-421D-B34C-8DA9ED15A1B7}"/>
    <cellStyle name="Comma 3 4 3 4 2 3" xfId="22693" xr:uid="{D5F8E9EF-5A9A-4CB5-B240-8D3C442E0E5D}"/>
    <cellStyle name="Comma 3 4 3 4 3" xfId="8907" xr:uid="{32F1D22E-4D86-4D1E-A148-FA29EC1E56CF}"/>
    <cellStyle name="Comma 3 4 3 4 3 2" xfId="16410" xr:uid="{B37AED08-20F6-46E9-BB55-FD85054B633E}"/>
    <cellStyle name="Comma 3 4 3 4 3 2 2" xfId="32614" xr:uid="{FAA89BED-3A99-497B-93C4-4C29480F998A}"/>
    <cellStyle name="Comma 3 4 3 4 3 3" xfId="25111" xr:uid="{6420D85E-420A-442F-A49D-A0775F3A66FA}"/>
    <cellStyle name="Comma 3 4 3 4 4" xfId="10401" xr:uid="{658A1A1F-94AC-4925-85BF-1ED86D4A6261}"/>
    <cellStyle name="Comma 3 4 3 4 4 2" xfId="26605" xr:uid="{196A6AF1-02C3-49D3-9EE5-4E5F7E6030B7}"/>
    <cellStyle name="Comma 3 4 3 4 5" xfId="17446" xr:uid="{24CC3DE5-256D-4E0B-881B-3DDFBEB443FE}"/>
    <cellStyle name="Comma 3 4 3 4 5 2" xfId="33578" xr:uid="{2E6E733F-3909-4C0E-85DF-82F3627585AC}"/>
    <cellStyle name="Comma 3 4 3 4 6" xfId="18927" xr:uid="{1DBD8B96-273D-4E63-9C34-E0E1EEA919A4}"/>
    <cellStyle name="Comma 3 4 3 5" xfId="3635" xr:uid="{991A29F2-91ED-4085-97D6-F18FFB610521}"/>
    <cellStyle name="Comma 3 4 3 5 2" xfId="7345" xr:uid="{6268F7F5-7500-4087-A0A2-9696B779CAD4}"/>
    <cellStyle name="Comma 3 4 3 5 2 2" xfId="14854" xr:uid="{5C9A6BE8-AE01-4E10-A73A-24EAF3560BE4}"/>
    <cellStyle name="Comma 3 4 3 5 2 2 2" xfId="31058" xr:uid="{C39687B8-D382-486F-90AD-48B93B7841F7}"/>
    <cellStyle name="Comma 3 4 3 5 2 3" xfId="23549" xr:uid="{FA783010-A610-4B77-A6A4-01BD5147A3AD}"/>
    <cellStyle name="Comma 3 4 3 5 3" xfId="5467" xr:uid="{3FA4C95E-1516-4ADF-A1BF-0390E849045C}"/>
    <cellStyle name="Comma 3 4 3 5 3 2" xfId="13008" xr:uid="{33A1316B-C3BC-406B-B41E-99828E7AA549}"/>
    <cellStyle name="Comma 3 4 3 5 3 2 2" xfId="29212" xr:uid="{AB62DEB6-C1A0-4BCD-BB2F-194DEFF27DFE}"/>
    <cellStyle name="Comma 3 4 3 5 3 3" xfId="21671" xr:uid="{4E3F72AB-1552-4CAA-9CBA-BF7F1DAC60EF}"/>
    <cellStyle name="Comma 3 4 3 5 4" xfId="11246" xr:uid="{2D404EBD-79A3-48C8-AE4D-C823D893FA76}"/>
    <cellStyle name="Comma 3 4 3 5 4 2" xfId="27450" xr:uid="{3DA101DA-EA13-4887-82A7-32906728143D}"/>
    <cellStyle name="Comma 3 4 3 5 5" xfId="17447" xr:uid="{2CBCAD31-9762-4FA7-B661-4399F1009C11}"/>
    <cellStyle name="Comma 3 4 3 5 5 2" xfId="33579" xr:uid="{939050D2-B1C6-4DBA-B077-5498937B4896}"/>
    <cellStyle name="Comma 3 4 3 5 6" xfId="19844" xr:uid="{BEDF8BC2-9B3D-4F52-B80F-E60879519CFF}"/>
    <cellStyle name="Comma 3 4 3 6" xfId="3914" xr:uid="{C7EDB96D-4519-4B4B-9445-07C5A5D7E41D}"/>
    <cellStyle name="Comma 3 4 3 6 2" xfId="9325" xr:uid="{3E7F568C-8653-4605-BCDC-7A5DE66AB7AD}"/>
    <cellStyle name="Comma 3 4 3 6 2 2" xfId="25529" xr:uid="{AC3C094B-9DAF-437F-AF08-2278ECCBA723}"/>
    <cellStyle name="Comma 3 4 3 6 3" xfId="17448" xr:uid="{3CF0F117-6429-437D-9D51-3346B2550143}"/>
    <cellStyle name="Comma 3 4 3 6 3 2" xfId="33580" xr:uid="{B848B386-0F01-4083-873B-471FDEC00332}"/>
    <cellStyle name="Comma 3 4 3 6 4" xfId="20123" xr:uid="{9F697CCE-417A-49D7-9161-E0EB22B00B5D}"/>
    <cellStyle name="Comma 3 4 3 7" xfId="4105" xr:uid="{999FBFD4-16F5-4693-A9CC-AEF5E35F4E49}"/>
    <cellStyle name="Comma 3 4 3 7 2" xfId="7775" xr:uid="{FB5B4F64-FAAD-4D03-89F9-89340F10A7B8}"/>
    <cellStyle name="Comma 3 4 3 7 2 2" xfId="15282" xr:uid="{B561FD7B-1D7A-4046-8A2B-3800BD1B194A}"/>
    <cellStyle name="Comma 3 4 3 7 2 2 2" xfId="31486" xr:uid="{015A032E-2B38-4020-B6BA-0931235AB410}"/>
    <cellStyle name="Comma 3 4 3 7 2 3" xfId="23979" xr:uid="{7E8A36F4-DB48-4A34-9036-5BC6ECD053FE}"/>
    <cellStyle name="Comma 3 4 3 7 3" xfId="5570" xr:uid="{F4CCB7D8-2748-47B3-BDF7-D1D4A9002B79}"/>
    <cellStyle name="Comma 3 4 3 7 3 2" xfId="13088" xr:uid="{0D95E26A-448F-4D1D-A32D-F3B11A183E73}"/>
    <cellStyle name="Comma 3 4 3 7 3 2 2" xfId="29292" xr:uid="{68CBF895-B512-4BC1-80CC-D63188559BAE}"/>
    <cellStyle name="Comma 3 4 3 7 3 3" xfId="21774" xr:uid="{BE8EF55B-B1BA-40C5-A9F0-9D3F66F4D158}"/>
    <cellStyle name="Comma 3 4 3 7 4" xfId="11668" xr:uid="{3CEEC996-6095-44F2-8BCA-3451DC7B8318}"/>
    <cellStyle name="Comma 3 4 3 7 4 2" xfId="27872" xr:uid="{973C7BC2-4150-4EFF-8D4E-C0E93435134D}"/>
    <cellStyle name="Comma 3 4 3 7 5" xfId="17449" xr:uid="{88BBC347-C6F6-40BB-A339-B6DD9D5AC464}"/>
    <cellStyle name="Comma 3 4 3 7 5 2" xfId="33581" xr:uid="{55D58AAF-F0A3-49CC-AA53-295902F70907}"/>
    <cellStyle name="Comma 3 4 3 7 6" xfId="20309" xr:uid="{DC8610A1-A7E7-4594-8ADE-396DB4C64FBA}"/>
    <cellStyle name="Comma 3 4 3 8" xfId="4530" xr:uid="{16AC28F5-173E-43BE-8500-D3997BD92896}"/>
    <cellStyle name="Comma 3 4 3 8 2" xfId="8200" xr:uid="{B86FEE13-CF9B-4769-BE29-5D83BA702A95}"/>
    <cellStyle name="Comma 3 4 3 8 2 2" xfId="15707" xr:uid="{F843EF36-6311-4B29-BA71-86FCFD7FEE63}"/>
    <cellStyle name="Comma 3 4 3 8 2 2 2" xfId="31911" xr:uid="{5A62670C-ACF2-4B7A-86C5-0DC3DC2ADA74}"/>
    <cellStyle name="Comma 3 4 3 8 2 3" xfId="24404" xr:uid="{3E1432BE-4B2A-4E82-8841-D48C3C1F628B}"/>
    <cellStyle name="Comma 3 4 3 8 3" xfId="9196" xr:uid="{C0381A28-B015-4D7D-86AA-390FBCF72F57}"/>
    <cellStyle name="Comma 3 4 3 8 3 2" xfId="16667" xr:uid="{D7AB4BA1-8EA8-448F-83CA-84E8580AAD46}"/>
    <cellStyle name="Comma 3 4 3 8 3 2 2" xfId="32871" xr:uid="{F1BFE44C-2910-42D6-8FD4-8CF921A1AABA}"/>
    <cellStyle name="Comma 3 4 3 8 3 3" xfId="25400" xr:uid="{9170A96D-B389-47B6-80B8-4AC0FCDD5C7A}"/>
    <cellStyle name="Comma 3 4 3 8 4" xfId="12093" xr:uid="{CA9CDD21-5C03-47FA-B31A-2AF65569B24B}"/>
    <cellStyle name="Comma 3 4 3 8 4 2" xfId="28297" xr:uid="{C7BDC456-10A6-41FC-A2D1-F971FFA10F5A}"/>
    <cellStyle name="Comma 3 4 3 8 5" xfId="17450" xr:uid="{B4363868-C807-4C78-B6C4-15EF2F682A31}"/>
    <cellStyle name="Comma 3 4 3 8 5 2" xfId="33582" xr:uid="{9601464F-E10B-4E50-9295-64C94B2FB87D}"/>
    <cellStyle name="Comma 3 4 3 8 6" xfId="20734" xr:uid="{73EA6EA0-2B4A-4DDE-9993-4005A19AA097}"/>
    <cellStyle name="Comma 3 4 3 9" xfId="4957" xr:uid="{26392940-9352-430D-ADD1-75E98C32A3A9}"/>
    <cellStyle name="Comma 3 4 3 9 2" xfId="8623" xr:uid="{9299AB1B-60CB-4BA7-BBDE-0C4C7CB53F1F}"/>
    <cellStyle name="Comma 3 4 3 9 2 2" xfId="16130" xr:uid="{D6CD3CF0-F500-4B9F-8104-765D1EC405F8}"/>
    <cellStyle name="Comma 3 4 3 9 2 2 2" xfId="32334" xr:uid="{4DF53195-2305-4B7C-B546-089B084492AC}"/>
    <cellStyle name="Comma 3 4 3 9 2 3" xfId="24827" xr:uid="{6DC93B5F-26EE-44DB-A16A-C6B99123C8D1}"/>
    <cellStyle name="Comma 3 4 3 9 3" xfId="12515" xr:uid="{0F7997C8-1B88-4209-8515-FCF67FBA1D9E}"/>
    <cellStyle name="Comma 3 4 3 9 3 2" xfId="28719" xr:uid="{7B81E0D3-E0C0-4646-AC9F-6400957D34E5}"/>
    <cellStyle name="Comma 3 4 3 9 4" xfId="21161" xr:uid="{5442910A-8ED3-4245-9092-02167A814747}"/>
    <cellStyle name="Comma 3 4 4" xfId="1781" xr:uid="{E8818D1D-C567-4AD7-B576-DC77E5035BCE}"/>
    <cellStyle name="Comma 3 4 4 10" xfId="5642" xr:uid="{93F502B6-51E9-4D1F-9843-88FBEC816756}"/>
    <cellStyle name="Comma 3 4 4 10 2" xfId="13157" xr:uid="{226F4604-87F6-4498-B3EA-52BD705ADEF0}"/>
    <cellStyle name="Comma 3 4 4 10 2 2" xfId="29361" xr:uid="{FEA3A394-9452-49AD-9063-A1987593B972}"/>
    <cellStyle name="Comma 3 4 4 10 3" xfId="21846" xr:uid="{3CE2F6FE-935C-4030-B30A-8D9ED26B07A7}"/>
    <cellStyle name="Comma 3 4 4 11" xfId="9570" xr:uid="{5A2B3DA7-6EA7-4019-AD97-D514E13F398A}"/>
    <cellStyle name="Comma 3 4 4 11 2" xfId="25774" xr:uid="{23E2BC2A-8C60-4547-805C-715EFBBEED72}"/>
    <cellStyle name="Comma 3 4 4 12" xfId="17451" xr:uid="{F0AD3BEF-AE3F-40C3-AB1E-6DBC6360E166}"/>
    <cellStyle name="Comma 3 4 4 12 2" xfId="33583" xr:uid="{FF3B6F6A-8187-410A-BF27-D233D41D57AA}"/>
    <cellStyle name="Comma 3 4 4 13" xfId="18093" xr:uid="{E901116D-E8AB-407C-A63E-C3B5777D6E5B}"/>
    <cellStyle name="Comma 3 4 4 2" xfId="1930" xr:uid="{48A8D8A3-7434-4291-B5E2-A43B6B1AF34A}"/>
    <cellStyle name="Comma 3 4 4 2 10" xfId="9710" xr:uid="{2B5060B5-D752-4F53-ABC8-DB7ED4D33AF6}"/>
    <cellStyle name="Comma 3 4 4 2 10 2" xfId="25914" xr:uid="{72BB98C3-0B92-4547-B6C7-73D100C58B00}"/>
    <cellStyle name="Comma 3 4 4 2 11" xfId="17452" xr:uid="{591C19C2-71B6-46B5-A475-A945A9C2E403}"/>
    <cellStyle name="Comma 3 4 4 2 11 2" xfId="33584" xr:uid="{A927777F-D593-4851-A0C4-970943F21273}"/>
    <cellStyle name="Comma 3 4 4 2 12" xfId="18234" xr:uid="{1D2A2CCA-639D-42D4-86E4-4A0E87EF7706}"/>
    <cellStyle name="Comma 3 4 4 2 2" xfId="2437" xr:uid="{1FE92BA9-09D7-4B8A-AD38-00FAE0A0D73A}"/>
    <cellStyle name="Comma 3 4 4 2 2 2" xfId="3284" xr:uid="{20C9577A-062A-4C7B-A8D7-6EF2C1BFCFF6}"/>
    <cellStyle name="Comma 3 4 4 2 2 2 2" xfId="7066" xr:uid="{D9B9EAA3-B0C6-4AE0-9011-951148CD2DF4}"/>
    <cellStyle name="Comma 3 4 4 2 2 2 2 2" xfId="14577" xr:uid="{C845E985-D431-401A-AF7F-4E5CCC6D0541}"/>
    <cellStyle name="Comma 3 4 4 2 2 2 2 2 2" xfId="30781" xr:uid="{85BC29F4-E266-4C8A-95A1-B07692431304}"/>
    <cellStyle name="Comma 3 4 4 2 2 2 2 3" xfId="23270" xr:uid="{21AA7647-7245-422C-AB6A-DCDB966F0A80}"/>
    <cellStyle name="Comma 3 4 4 2 2 2 3" xfId="9285" xr:uid="{0A1B54DD-8143-4E67-B579-F078965738E7}"/>
    <cellStyle name="Comma 3 4 4 2 2 2 3 2" xfId="16743" xr:uid="{4DBD95D6-67FD-43D9-B2EB-7B28A8948168}"/>
    <cellStyle name="Comma 3 4 4 2 2 2 3 2 2" xfId="32947" xr:uid="{C36A1D25-5323-4FC6-B1E8-119C35B22380}"/>
    <cellStyle name="Comma 3 4 4 2 2 2 3 3" xfId="25489" xr:uid="{AA8D25A8-A495-41B1-81B0-DB80AC92CBA0}"/>
    <cellStyle name="Comma 3 4 4 2 2 2 4" xfId="10977" xr:uid="{4B97D18F-B2D6-44FB-95B4-A9C16A32C19F}"/>
    <cellStyle name="Comma 3 4 4 2 2 2 4 2" xfId="27181" xr:uid="{BA319416-410B-4600-830E-4DC14A8C5933}"/>
    <cellStyle name="Comma 3 4 4 2 2 2 5" xfId="17454" xr:uid="{E18718D2-6494-42D1-B1A4-EC9BADCAE72E}"/>
    <cellStyle name="Comma 3 4 4 2 2 2 5 2" xfId="33586" xr:uid="{6BDCBE3A-1132-4191-8FED-806A54EB169C}"/>
    <cellStyle name="Comma 3 4 4 2 2 2 6" xfId="19504" xr:uid="{03767E83-E204-42D5-9A43-7B6D513A3E8C}"/>
    <cellStyle name="Comma 3 4 4 2 2 3" xfId="6221" xr:uid="{33C441F2-F997-4E88-81C1-48F777BC8817}"/>
    <cellStyle name="Comma 3 4 4 2 2 3 2" xfId="13733" xr:uid="{8AAFB656-0750-412E-B92E-6ACF6892339F}"/>
    <cellStyle name="Comma 3 4 4 2 2 3 2 2" xfId="29937" xr:uid="{1DF2AD8C-E503-4161-BE9F-D5A6D126DE01}"/>
    <cellStyle name="Comma 3 4 4 2 2 3 3" xfId="22425" xr:uid="{FF0B66EB-2502-498D-8E10-08FCCC9C4082}"/>
    <cellStyle name="Comma 3 4 4 2 2 4" xfId="9221" xr:uid="{AE30976F-F6E7-4D27-AABB-3C4B6BF0DB07}"/>
    <cellStyle name="Comma 3 4 4 2 2 4 2" xfId="16687" xr:uid="{5E3B4899-45F4-428B-885A-7C3BAF1F6ED2}"/>
    <cellStyle name="Comma 3 4 4 2 2 4 2 2" xfId="32891" xr:uid="{1CB00CA6-E24E-4AF2-BDFC-97696724CA60}"/>
    <cellStyle name="Comma 3 4 4 2 2 4 3" xfId="25425" xr:uid="{31B0F0A1-7FE7-43C5-98A3-7C34B1295399}"/>
    <cellStyle name="Comma 3 4 4 2 2 5" xfId="10133" xr:uid="{41F8CF98-2A9E-4868-991F-9DE7C0035167}"/>
    <cellStyle name="Comma 3 4 4 2 2 5 2" xfId="26337" xr:uid="{4ADF22AD-7EE8-49A9-A619-EBE7772346CB}"/>
    <cellStyle name="Comma 3 4 4 2 2 6" xfId="17453" xr:uid="{62B8F546-99D4-45CB-93CF-C7DBB49BE583}"/>
    <cellStyle name="Comma 3 4 4 2 2 6 2" xfId="33585" xr:uid="{777B878B-8B4E-46AD-A0B7-D1ABF2B2CBC9}"/>
    <cellStyle name="Comma 3 4 4 2 2 7" xfId="18659" xr:uid="{EDD042EE-EE04-4174-B8C9-6A94A176661F}"/>
    <cellStyle name="Comma 3 4 4 2 3" xfId="2859" xr:uid="{B09508BA-B9E7-4521-B1FD-D2361F7046D5}"/>
    <cellStyle name="Comma 3 4 4 2 3 2" xfId="6643" xr:uid="{D5AE18EF-C40E-46BB-AF54-F1DB68BE88CD}"/>
    <cellStyle name="Comma 3 4 4 2 3 2 2" xfId="14155" xr:uid="{B8A5699E-2122-487D-9C4E-2D831CC33EC4}"/>
    <cellStyle name="Comma 3 4 4 2 3 2 2 2" xfId="30359" xr:uid="{A6E4CDC5-9E31-45F2-A0FA-1644A1667592}"/>
    <cellStyle name="Comma 3 4 4 2 3 2 3" xfId="22847" xr:uid="{E15C5F6F-3013-47A7-9055-02DDC5F5B173}"/>
    <cellStyle name="Comma 3 4 4 2 3 3" xfId="9012" xr:uid="{2462FB04-B16C-4ADF-99F4-FA2DC4A1A03B}"/>
    <cellStyle name="Comma 3 4 4 2 3 3 2" xfId="16503" xr:uid="{AAEFF026-8772-4119-B26A-CAFE04A2D9DD}"/>
    <cellStyle name="Comma 3 4 4 2 3 3 2 2" xfId="32707" xr:uid="{62F85798-42A3-48F8-BA25-1625BCBF8C00}"/>
    <cellStyle name="Comma 3 4 4 2 3 3 3" xfId="25216" xr:uid="{A4491EEF-DB9E-4DA1-AED4-8699B7AB7AEE}"/>
    <cellStyle name="Comma 3 4 4 2 3 4" xfId="10555" xr:uid="{500D6750-7121-49F9-851C-530E38CE1E98}"/>
    <cellStyle name="Comma 3 4 4 2 3 4 2" xfId="26759" xr:uid="{AABF3735-B408-4430-8268-B6D9D8AB3D52}"/>
    <cellStyle name="Comma 3 4 4 2 3 5" xfId="17455" xr:uid="{8A269C02-153A-4608-9A34-74C085F8E2B4}"/>
    <cellStyle name="Comma 3 4 4 2 3 5 2" xfId="33587" xr:uid="{4BB858BF-1979-4AE5-8BC4-AC9D69C0E86F}"/>
    <cellStyle name="Comma 3 4 4 2 3 6" xfId="19081" xr:uid="{ED0AC990-470B-4F65-9471-608069190B7B}"/>
    <cellStyle name="Comma 3 4 4 2 4" xfId="3790" xr:uid="{814A1942-9EE3-4352-A37E-C8583EE0B4C0}"/>
    <cellStyle name="Comma 3 4 4 2 4 2" xfId="7500" xr:uid="{BE5769D3-1A70-49EC-8611-9CCBC5F58A63}"/>
    <cellStyle name="Comma 3 4 4 2 4 2 2" xfId="15009" xr:uid="{28134D2A-04CF-4A17-9453-C4DDCFC883E0}"/>
    <cellStyle name="Comma 3 4 4 2 4 2 2 2" xfId="31213" xr:uid="{B2147239-247E-4823-918F-44D3BDE6DF68}"/>
    <cellStyle name="Comma 3 4 4 2 4 2 3" xfId="23704" xr:uid="{8955C520-F444-49F4-BF5E-98F26ED80ED1}"/>
    <cellStyle name="Comma 3 4 4 2 4 3" xfId="9216" xr:uid="{EEE78F78-5DCD-473B-BB21-F0194FDFC965}"/>
    <cellStyle name="Comma 3 4 4 2 4 3 2" xfId="16684" xr:uid="{C31CCC0C-3FBD-442F-A453-0133C1BAA4CF}"/>
    <cellStyle name="Comma 3 4 4 2 4 3 2 2" xfId="32888" xr:uid="{FAF618B6-D03E-4B13-8CB2-0C40E60FAE25}"/>
    <cellStyle name="Comma 3 4 4 2 4 3 3" xfId="25420" xr:uid="{0965C515-8BE9-4A5D-AEEB-983CBF5D5FBF}"/>
    <cellStyle name="Comma 3 4 4 2 4 4" xfId="11400" xr:uid="{B5DD7A6C-1C12-415C-BF4A-2C2725D6056E}"/>
    <cellStyle name="Comma 3 4 4 2 4 4 2" xfId="27604" xr:uid="{C31B1BB1-54B6-4EDC-B46D-2B0AB9B86605}"/>
    <cellStyle name="Comma 3 4 4 2 4 5" xfId="17456" xr:uid="{B7E17AC6-A449-40D6-BA37-3BBDD9A94C72}"/>
    <cellStyle name="Comma 3 4 4 2 4 5 2" xfId="33588" xr:uid="{A9419E63-3CE0-4699-8B1F-EF1C7C6B0249}"/>
    <cellStyle name="Comma 3 4 4 2 4 6" xfId="19999" xr:uid="{EBDCEF5D-9C33-451B-B413-DB8708EF5F08}"/>
    <cellStyle name="Comma 3 4 4 2 5" xfId="3903" xr:uid="{35477ECD-9A02-48AC-B815-097281C2EEE4}"/>
    <cellStyle name="Comma 3 4 4 2 5 2" xfId="9070" xr:uid="{A9D14BCC-DF29-4AC5-BD49-7B1FE8F3C932}"/>
    <cellStyle name="Comma 3 4 4 2 5 2 2" xfId="25274" xr:uid="{86C7A749-8DD7-4C6E-862A-66947137B572}"/>
    <cellStyle name="Comma 3 4 4 2 5 3" xfId="17457" xr:uid="{E1E55FA3-65F7-4D59-83A0-1B9636BD2027}"/>
    <cellStyle name="Comma 3 4 4 2 5 3 2" xfId="33589" xr:uid="{DDB45AA9-F592-4825-8BE9-287B7B1C7E46}"/>
    <cellStyle name="Comma 3 4 4 2 5 4" xfId="20112" xr:uid="{79EEE393-10CA-41A3-9DEE-7FC84DFBC844}"/>
    <cellStyle name="Comma 3 4 4 2 6" xfId="4259" xr:uid="{DC09391C-AC6F-49CF-9749-650E08B762CF}"/>
    <cellStyle name="Comma 3 4 4 2 6 2" xfId="7929" xr:uid="{B066430A-4146-4767-A4B0-2A5FF0344574}"/>
    <cellStyle name="Comma 3 4 4 2 6 2 2" xfId="15436" xr:uid="{57F87FD0-576D-42F9-BAE2-1B4E6DEE44F9}"/>
    <cellStyle name="Comma 3 4 4 2 6 2 2 2" xfId="31640" xr:uid="{C4D2CCE5-DBAC-42E6-8E7A-ACF7F30C2A00}"/>
    <cellStyle name="Comma 3 4 4 2 6 2 3" xfId="24133" xr:uid="{34F0C28B-7420-4CC4-A37E-548C0B01A1BC}"/>
    <cellStyle name="Comma 3 4 4 2 6 3" xfId="9316" xr:uid="{27886A3B-B807-40E6-AA63-386EFDCF009A}"/>
    <cellStyle name="Comma 3 4 4 2 6 3 2" xfId="16763" xr:uid="{A710CDD5-1C1F-4055-A488-29738A890A36}"/>
    <cellStyle name="Comma 3 4 4 2 6 3 2 2" xfId="32967" xr:uid="{7DE947DD-D434-4868-9443-B6787BF2CC11}"/>
    <cellStyle name="Comma 3 4 4 2 6 3 3" xfId="25520" xr:uid="{72E18DDD-15BB-4098-8D91-3A34222BBE8A}"/>
    <cellStyle name="Comma 3 4 4 2 6 4" xfId="11822" xr:uid="{4D5E5794-B172-4602-91FD-8487F09C2733}"/>
    <cellStyle name="Comma 3 4 4 2 6 4 2" xfId="28026" xr:uid="{563C3A2E-08AD-434A-87CE-57E04F054020}"/>
    <cellStyle name="Comma 3 4 4 2 6 5" xfId="17458" xr:uid="{BECE2618-6C0F-4E71-83D7-8EC50EAC2EA6}"/>
    <cellStyle name="Comma 3 4 4 2 6 5 2" xfId="33590" xr:uid="{8FEE434C-1F11-47E3-AFFE-EE602E494E59}"/>
    <cellStyle name="Comma 3 4 4 2 6 6" xfId="20463" xr:uid="{472E18FA-03A4-495D-93C8-79975B5CC87E}"/>
    <cellStyle name="Comma 3 4 4 2 7" xfId="4684" xr:uid="{A573419F-2625-452A-8018-1B3E185561E3}"/>
    <cellStyle name="Comma 3 4 4 2 7 2" xfId="8354" xr:uid="{391B5CF6-FB31-4577-B1AF-F23EC0439DE3}"/>
    <cellStyle name="Comma 3 4 4 2 7 2 2" xfId="15861" xr:uid="{219D9C04-D855-4090-B96B-B3DA4416347F}"/>
    <cellStyle name="Comma 3 4 4 2 7 2 2 2" xfId="32065" xr:uid="{7396F61C-3A08-4BAA-BA8F-C659E7201E43}"/>
    <cellStyle name="Comma 3 4 4 2 7 2 3" xfId="24558" xr:uid="{FAA4408B-F62E-43D1-BEBF-0C82AE3F4499}"/>
    <cellStyle name="Comma 3 4 4 2 7 3" xfId="9004" xr:uid="{A3A75730-303C-498C-93ED-EB33349FA0A7}"/>
    <cellStyle name="Comma 3 4 4 2 7 3 2" xfId="16496" xr:uid="{63199517-C063-42A0-AE28-A6A5C618563F}"/>
    <cellStyle name="Comma 3 4 4 2 7 3 2 2" xfId="32700" xr:uid="{8C51A35E-697C-4071-82B7-3F7F32322021}"/>
    <cellStyle name="Comma 3 4 4 2 7 3 3" xfId="25208" xr:uid="{7BB70E2D-3FDC-4C90-9E8E-767DB0B1DFEB}"/>
    <cellStyle name="Comma 3 4 4 2 7 4" xfId="12247" xr:uid="{9416FCA2-40F2-4080-80C4-8EEC64F0633B}"/>
    <cellStyle name="Comma 3 4 4 2 7 4 2" xfId="28451" xr:uid="{9946A872-C856-4527-A85C-0C152CB57331}"/>
    <cellStyle name="Comma 3 4 4 2 7 5" xfId="17459" xr:uid="{2703FF5B-96B2-4049-8EB5-5F310D24FC03}"/>
    <cellStyle name="Comma 3 4 4 2 7 5 2" xfId="33591" xr:uid="{54CB2852-E854-4492-AD0E-2D49EA6F17F7}"/>
    <cellStyle name="Comma 3 4 4 2 7 6" xfId="20888" xr:uid="{A43F787B-DFB5-45B9-8C21-9D0CD53248E9}"/>
    <cellStyle name="Comma 3 4 4 2 8" xfId="5112" xr:uid="{B2D1FD7F-6D95-4606-8367-0F3E39E1865B}"/>
    <cellStyle name="Comma 3 4 4 2 8 2" xfId="8777" xr:uid="{02F88039-AF6D-42A6-82CC-3C381E5CEFDB}"/>
    <cellStyle name="Comma 3 4 4 2 8 2 2" xfId="16284" xr:uid="{45CC5F3D-984E-4882-BD3F-96E97FDA8BCA}"/>
    <cellStyle name="Comma 3 4 4 2 8 2 2 2" xfId="32488" xr:uid="{CB335B8D-EAF2-4C43-847B-31A965D7E80D}"/>
    <cellStyle name="Comma 3 4 4 2 8 2 3" xfId="24981" xr:uid="{B564051B-58CF-4068-8C5B-7A839A576119}"/>
    <cellStyle name="Comma 3 4 4 2 8 3" xfId="12669" xr:uid="{C4F53DA8-3719-4127-9C4D-2B3519E5A0C2}"/>
    <cellStyle name="Comma 3 4 4 2 8 3 2" xfId="28873" xr:uid="{5578EDA5-F6A5-44DF-BBFF-6C92ED2DB7A6}"/>
    <cellStyle name="Comma 3 4 4 2 8 4" xfId="21316" xr:uid="{6CF77099-10D6-4EA0-8DA1-22AA4206C42C}"/>
    <cellStyle name="Comma 3 4 4 2 9" xfId="5783" xr:uid="{8B43B64B-246F-4EAD-918F-EBE19C9C90E5}"/>
    <cellStyle name="Comma 3 4 4 2 9 2" xfId="13298" xr:uid="{DB2E1296-E4C0-4BD0-BBB5-F6A066E7BD4D}"/>
    <cellStyle name="Comma 3 4 4 2 9 2 2" xfId="29502" xr:uid="{D3B27595-FDEE-4BE4-B3E6-2692FF191984}"/>
    <cellStyle name="Comma 3 4 4 2 9 3" xfId="21987" xr:uid="{D434782F-5B44-43E4-B8A3-C4B49001D720}"/>
    <cellStyle name="Comma 3 4 4 3" xfId="2297" xr:uid="{5A7096C5-5AFC-4097-944A-5F005FE8A6CC}"/>
    <cellStyle name="Comma 3 4 4 3 2" xfId="3144" xr:uid="{BD1EBA0D-0DD6-4556-ABEF-7C83F9BF53E4}"/>
    <cellStyle name="Comma 3 4 4 3 2 2" xfId="6926" xr:uid="{1CF3DD89-C452-455C-A7B0-99A5D37945B7}"/>
    <cellStyle name="Comma 3 4 4 3 2 2 2" xfId="14437" xr:uid="{04C40D79-B8AC-40A4-944E-C910A2B1A3A9}"/>
    <cellStyle name="Comma 3 4 4 3 2 2 2 2" xfId="30641" xr:uid="{8D517C00-194F-4648-A5B1-CCCCD150500C}"/>
    <cellStyle name="Comma 3 4 4 3 2 2 3" xfId="23130" xr:uid="{7D540142-2324-4DD0-AC9F-527C1B552601}"/>
    <cellStyle name="Comma 3 4 4 3 2 3" xfId="8996" xr:uid="{E56929FF-768C-4C41-B596-F2AE4162F542}"/>
    <cellStyle name="Comma 3 4 4 3 2 3 2" xfId="16489" xr:uid="{3D9E0720-8FBF-475B-B7DF-95FCDA31E0DA}"/>
    <cellStyle name="Comma 3 4 4 3 2 3 2 2" xfId="32693" xr:uid="{6FCA90E8-3ED9-44A4-B88C-2F22626CB2E2}"/>
    <cellStyle name="Comma 3 4 4 3 2 3 3" xfId="25200" xr:uid="{89330B5D-984C-4254-BD07-6ABD10B65DCB}"/>
    <cellStyle name="Comma 3 4 4 3 2 4" xfId="10837" xr:uid="{DA51859C-6DDB-4E59-A328-AD622075CB13}"/>
    <cellStyle name="Comma 3 4 4 3 2 4 2" xfId="27041" xr:uid="{5419C7C5-382C-428A-918C-2E412BE9B4D8}"/>
    <cellStyle name="Comma 3 4 4 3 2 5" xfId="17461" xr:uid="{72FF7CD0-CB1E-46DE-985D-7D45760C8B2F}"/>
    <cellStyle name="Comma 3 4 4 3 2 5 2" xfId="33593" xr:uid="{B0EC2D7F-65C1-48BC-A893-9E7CA5F668AC}"/>
    <cellStyle name="Comma 3 4 4 3 2 6" xfId="19364" xr:uid="{C3308E3C-EBDF-4461-8A0E-BE421301A9F7}"/>
    <cellStyle name="Comma 3 4 4 3 3" xfId="6081" xr:uid="{81355200-2476-457C-A41A-86201DFB38B2}"/>
    <cellStyle name="Comma 3 4 4 3 3 2" xfId="13593" xr:uid="{52F015A4-67D8-48B1-B043-B4B2173CB486}"/>
    <cellStyle name="Comma 3 4 4 3 3 2 2" xfId="29797" xr:uid="{616BD9D6-58EE-48C8-938B-BC7DEA40E441}"/>
    <cellStyle name="Comma 3 4 4 3 3 3" xfId="22285" xr:uid="{6ECEC852-3903-4DF9-8A08-2DC1986F696F}"/>
    <cellStyle name="Comma 3 4 4 3 4" xfId="5531" xr:uid="{F0769024-3F94-435D-8A15-44AFECA292DF}"/>
    <cellStyle name="Comma 3 4 4 3 4 2" xfId="13057" xr:uid="{69134659-4A46-467C-A309-EA01F91FE0F3}"/>
    <cellStyle name="Comma 3 4 4 3 4 2 2" xfId="29261" xr:uid="{1735531B-719B-4A04-9ACA-63B8D15D4BA0}"/>
    <cellStyle name="Comma 3 4 4 3 4 3" xfId="21735" xr:uid="{388E0A6C-5300-4E61-9792-24175A05A3F9}"/>
    <cellStyle name="Comma 3 4 4 3 5" xfId="9993" xr:uid="{FAC51AD8-E368-455C-A164-904DF30F24A3}"/>
    <cellStyle name="Comma 3 4 4 3 5 2" xfId="26197" xr:uid="{A9E71EAB-C6AE-41B9-B0EF-A2203D61F4C1}"/>
    <cellStyle name="Comma 3 4 4 3 6" xfId="17460" xr:uid="{C0514F6D-0A9A-47DA-BBCC-A25C8AA583A2}"/>
    <cellStyle name="Comma 3 4 4 3 6 2" xfId="33592" xr:uid="{B595EC1E-54DF-4F99-9B8C-3940D8F97C70}"/>
    <cellStyle name="Comma 3 4 4 3 7" xfId="18519" xr:uid="{508DD791-8BC2-4C2C-A4EA-73455E0A7E9D}"/>
    <cellStyle name="Comma 3 4 4 4" xfId="2719" xr:uid="{633DE5C3-521B-4F44-8DB1-87F105F41418}"/>
    <cellStyle name="Comma 3 4 4 4 2" xfId="6503" xr:uid="{E393D65D-A783-44A8-A659-2F1817D307A8}"/>
    <cellStyle name="Comma 3 4 4 4 2 2" xfId="14015" xr:uid="{4408E422-75FD-4992-BCEF-E438B3AD4879}"/>
    <cellStyle name="Comma 3 4 4 4 2 2 2" xfId="30219" xr:uid="{19ED20ED-AB5C-47EE-8B3C-7532D817CCD9}"/>
    <cellStyle name="Comma 3 4 4 4 2 3" xfId="22707" xr:uid="{0FA90E93-AC51-4FD9-B579-9BAD6CD06154}"/>
    <cellStyle name="Comma 3 4 4 4 3" xfId="5594" xr:uid="{6BD121A0-40C6-4766-B3E4-CE8378F3CA02}"/>
    <cellStyle name="Comma 3 4 4 4 3 2" xfId="13110" xr:uid="{D6151907-474D-431A-A41F-7AF9AFCC4D8A}"/>
    <cellStyle name="Comma 3 4 4 4 3 2 2" xfId="29314" xr:uid="{E5372B0B-D4DD-431B-AD86-2A712E09DD32}"/>
    <cellStyle name="Comma 3 4 4 4 3 3" xfId="21798" xr:uid="{606D4A2D-0D69-4A4C-A4BE-3A08FABF921F}"/>
    <cellStyle name="Comma 3 4 4 4 4" xfId="10415" xr:uid="{265C0135-7B02-49D5-88F4-1AC87909D652}"/>
    <cellStyle name="Comma 3 4 4 4 4 2" xfId="26619" xr:uid="{244430B5-4ADA-40B3-9515-2E8079C7B25F}"/>
    <cellStyle name="Comma 3 4 4 4 5" xfId="17462" xr:uid="{31932651-FEDB-4E0F-A2C3-6C6178B6135A}"/>
    <cellStyle name="Comma 3 4 4 4 5 2" xfId="33594" xr:uid="{E3028170-EF4D-4DFC-807F-A8375B42C178}"/>
    <cellStyle name="Comma 3 4 4 4 6" xfId="18941" xr:uid="{70835B75-5BE3-4C7E-B55D-05460E3FF921}"/>
    <cellStyle name="Comma 3 4 4 5" xfId="3649" xr:uid="{824C8568-0AA6-406F-A8FA-02E9E063C719}"/>
    <cellStyle name="Comma 3 4 4 5 2" xfId="7359" xr:uid="{8716BB1E-6B60-438D-B2EE-19DC7DC0E2AB}"/>
    <cellStyle name="Comma 3 4 4 5 2 2" xfId="14868" xr:uid="{4CD44A83-CA74-4E2D-9B4D-6E11D136DA4F}"/>
    <cellStyle name="Comma 3 4 4 5 2 2 2" xfId="31072" xr:uid="{8D6521D7-2E98-45C0-A377-77170230D988}"/>
    <cellStyle name="Comma 3 4 4 5 2 3" xfId="23563" xr:uid="{0B0EF68A-943D-400E-A14F-E003C8FDC731}"/>
    <cellStyle name="Comma 3 4 4 5 3" xfId="6049" xr:uid="{13B83229-1AA0-409C-9F0F-653A0F49930C}"/>
    <cellStyle name="Comma 3 4 4 5 3 2" xfId="13561" xr:uid="{39C8FA55-1528-4324-9D9E-6ABB912BB2EC}"/>
    <cellStyle name="Comma 3 4 4 5 3 2 2" xfId="29765" xr:uid="{16442235-0829-472E-A486-6184AC400F0C}"/>
    <cellStyle name="Comma 3 4 4 5 3 3" xfId="22253" xr:uid="{0317ACF2-4722-4D91-8757-6311B5FFC536}"/>
    <cellStyle name="Comma 3 4 4 5 4" xfId="11260" xr:uid="{9D85C7F5-FA0F-4C9F-AB87-E14DC4DCF8DD}"/>
    <cellStyle name="Comma 3 4 4 5 4 2" xfId="27464" xr:uid="{CCF85838-90C7-4676-A00A-638DCD1FDF34}"/>
    <cellStyle name="Comma 3 4 4 5 5" xfId="17463" xr:uid="{7DFB36AF-D016-4A4E-86FE-42A70AEFEF74}"/>
    <cellStyle name="Comma 3 4 4 5 5 2" xfId="33595" xr:uid="{07704CF5-57D4-40CC-9A3F-4BC2A0A24144}"/>
    <cellStyle name="Comma 3 4 4 5 6" xfId="19858" xr:uid="{F1D93E80-4701-474C-A7B0-569413D983EB}"/>
    <cellStyle name="Comma 3 4 4 6" xfId="3385" xr:uid="{50C7C157-830C-44B5-8C01-3D596D426DED}"/>
    <cellStyle name="Comma 3 4 4 6 2" xfId="5507" xr:uid="{0E297EF0-8682-49A5-919F-A3B173B54331}"/>
    <cellStyle name="Comma 3 4 4 6 2 2" xfId="21711" xr:uid="{4691D67B-561C-4828-A11C-5332E42B17C7}"/>
    <cellStyle name="Comma 3 4 4 6 3" xfId="17464" xr:uid="{E1EC9AEA-A42B-456F-BD02-5DDCA9351758}"/>
    <cellStyle name="Comma 3 4 4 6 3 2" xfId="33596" xr:uid="{96E0352F-3BB6-49C0-BFB5-4D7A015BD7ED}"/>
    <cellStyle name="Comma 3 4 4 6 4" xfId="19603" xr:uid="{DFB999E2-3EC0-4FAB-8FA2-9631B435EBD9}"/>
    <cellStyle name="Comma 3 4 4 7" xfId="4119" xr:uid="{E9DF2D65-6BBD-4116-94EB-70D64BBDD4E9}"/>
    <cellStyle name="Comma 3 4 4 7 2" xfId="7789" xr:uid="{7B1A7068-0C5D-4782-A16B-C33219C73246}"/>
    <cellStyle name="Comma 3 4 4 7 2 2" xfId="15296" xr:uid="{817D2141-C8F1-4E68-9781-329B259024AA}"/>
    <cellStyle name="Comma 3 4 4 7 2 2 2" xfId="31500" xr:uid="{E7254821-D836-4A30-9772-7FA3C6F8B061}"/>
    <cellStyle name="Comma 3 4 4 7 2 3" xfId="23993" xr:uid="{C8439883-208A-4D8B-A336-3E027CFE65E6}"/>
    <cellStyle name="Comma 3 4 4 7 3" xfId="6047" xr:uid="{3AF479B4-6D4F-4326-B746-57DA21F4706B}"/>
    <cellStyle name="Comma 3 4 4 7 3 2" xfId="13560" xr:uid="{9F8FB50E-3034-4195-90F9-5E1F250ED362}"/>
    <cellStyle name="Comma 3 4 4 7 3 2 2" xfId="29764" xr:uid="{9B8D7933-72FF-48E5-A52D-AE0EFC761EAB}"/>
    <cellStyle name="Comma 3 4 4 7 3 3" xfId="22251" xr:uid="{DCE15674-12E9-4646-A636-3969FA0BCD41}"/>
    <cellStyle name="Comma 3 4 4 7 4" xfId="11682" xr:uid="{69C25E7E-0099-43D4-92FF-6D6EE94DFFCA}"/>
    <cellStyle name="Comma 3 4 4 7 4 2" xfId="27886" xr:uid="{A9369340-CFA0-4090-A71C-1079624588D5}"/>
    <cellStyle name="Comma 3 4 4 7 5" xfId="17465" xr:uid="{A2EE3CF4-2F2C-4432-9CA5-3F042897DB2E}"/>
    <cellStyle name="Comma 3 4 4 7 5 2" xfId="33597" xr:uid="{E5D17A4C-738A-43AA-8A3A-A0409AB49B8E}"/>
    <cellStyle name="Comma 3 4 4 7 6" xfId="20323" xr:uid="{405F386D-C149-4605-8BAF-B31F4F4A558B}"/>
    <cellStyle name="Comma 3 4 4 8" xfId="4544" xr:uid="{D7E9266E-A774-47CB-80B4-74A706B030D1}"/>
    <cellStyle name="Comma 3 4 4 8 2" xfId="8214" xr:uid="{2249196A-9788-458D-8ED3-69FB10383467}"/>
    <cellStyle name="Comma 3 4 4 8 2 2" xfId="15721" xr:uid="{9D48C523-C7CA-4B73-BB86-31FCC34FF3C5}"/>
    <cellStyle name="Comma 3 4 4 8 2 2 2" xfId="31925" xr:uid="{7B231752-261A-406F-AD82-690F01BC829B}"/>
    <cellStyle name="Comma 3 4 4 8 2 3" xfId="24418" xr:uid="{187A8A07-A89A-48FF-952B-E97F4E3BB839}"/>
    <cellStyle name="Comma 3 4 4 8 3" xfId="9339" xr:uid="{D088F14B-29EE-48E4-BC91-A7187958C7E8}"/>
    <cellStyle name="Comma 3 4 4 8 3 2" xfId="16783" xr:uid="{F44DDC6D-FA1C-4D59-8A4E-B408310F7F1E}"/>
    <cellStyle name="Comma 3 4 4 8 3 2 2" xfId="32987" xr:uid="{031FCE7F-32E4-45C5-93DE-8D5A6C57C5DB}"/>
    <cellStyle name="Comma 3 4 4 8 3 3" xfId="25543" xr:uid="{01314E5B-3EA6-45F6-9EBD-42FCE492E86D}"/>
    <cellStyle name="Comma 3 4 4 8 4" xfId="12107" xr:uid="{105081EF-A47F-42A7-833B-DFC1289DC6E2}"/>
    <cellStyle name="Comma 3 4 4 8 4 2" xfId="28311" xr:uid="{A10DF499-8873-4576-A837-34CD3B775B80}"/>
    <cellStyle name="Comma 3 4 4 8 5" xfId="17466" xr:uid="{D7E3C6D0-A69D-422F-8A7F-3A1179E76ED5}"/>
    <cellStyle name="Comma 3 4 4 8 5 2" xfId="33598" xr:uid="{1EA95587-0C5A-4DB4-A6BE-CAC3F0995B37}"/>
    <cellStyle name="Comma 3 4 4 8 6" xfId="20748" xr:uid="{75BB121B-A827-46B8-91B7-3350EC16A26C}"/>
    <cellStyle name="Comma 3 4 4 9" xfId="4971" xr:uid="{352011E1-B263-4A2E-83A9-E23F574002DC}"/>
    <cellStyle name="Comma 3 4 4 9 2" xfId="8637" xr:uid="{A310434C-8DAF-4CC4-B595-AC1A07176617}"/>
    <cellStyle name="Comma 3 4 4 9 2 2" xfId="16144" xr:uid="{0E8FCC60-1135-48C5-92FC-6A34C234EA24}"/>
    <cellStyle name="Comma 3 4 4 9 2 2 2" xfId="32348" xr:uid="{CBC3833A-71DE-4809-B59C-23FDADC1860F}"/>
    <cellStyle name="Comma 3 4 4 9 2 3" xfId="24841" xr:uid="{A5F5E404-40D6-450D-8524-2126BD940E1C}"/>
    <cellStyle name="Comma 3 4 4 9 3" xfId="12529" xr:uid="{3A783C59-806B-4A6D-8B33-B5D054D06E45}"/>
    <cellStyle name="Comma 3 4 4 9 3 2" xfId="28733" xr:uid="{2E28F8DD-47D1-4C3E-B71A-369EC7F3CDD0}"/>
    <cellStyle name="Comma 3 4 4 9 4" xfId="21175" xr:uid="{6F2060DD-5374-49C2-908D-7A5F07859FE3}"/>
    <cellStyle name="Comma 3 4 5" xfId="1931" xr:uid="{9873BDC1-6814-4A92-A521-607A463C55F7}"/>
    <cellStyle name="Comma 3 4 5 10" xfId="9711" xr:uid="{11C1CAD0-0BFC-40E0-AE3D-ED39F89F20CB}"/>
    <cellStyle name="Comma 3 4 5 10 2" xfId="25915" xr:uid="{9CFFC852-812B-409F-97F0-A8113B3D161A}"/>
    <cellStyle name="Comma 3 4 5 11" xfId="17467" xr:uid="{3BE7CE52-C8A7-4237-9AA5-7525B45E6883}"/>
    <cellStyle name="Comma 3 4 5 11 2" xfId="33599" xr:uid="{079A42FE-085F-4255-9276-B3AA6F437497}"/>
    <cellStyle name="Comma 3 4 5 12" xfId="18235" xr:uid="{04DD15E7-93B5-4011-A211-DCE6C8AB4043}"/>
    <cellStyle name="Comma 3 4 5 2" xfId="2438" xr:uid="{CAD38F03-F9C3-404F-9C91-5633C3A3CCF8}"/>
    <cellStyle name="Comma 3 4 5 2 2" xfId="3285" xr:uid="{67D14B89-6AA1-4717-9613-C769FE74F64E}"/>
    <cellStyle name="Comma 3 4 5 2 2 2" xfId="7067" xr:uid="{89651DDB-8691-42C4-8B6C-2CA381392493}"/>
    <cellStyle name="Comma 3 4 5 2 2 2 2" xfId="14578" xr:uid="{CC51546A-D79D-4F24-85C8-7D620907BFAA}"/>
    <cellStyle name="Comma 3 4 5 2 2 2 2 2" xfId="30782" xr:uid="{6B1D3B4F-45B5-4580-9177-0FD24C015217}"/>
    <cellStyle name="Comma 3 4 5 2 2 2 3" xfId="23271" xr:uid="{F26C018A-4912-4DF5-B93C-22A8C5812EB7}"/>
    <cellStyle name="Comma 3 4 5 2 2 3" xfId="9057" xr:uid="{8FA5B823-BC1C-49BB-9C01-97BBA8254357}"/>
    <cellStyle name="Comma 3 4 5 2 2 3 2" xfId="16543" xr:uid="{7150773E-6381-4080-8D70-72C03ADECE03}"/>
    <cellStyle name="Comma 3 4 5 2 2 3 2 2" xfId="32747" xr:uid="{E38A460F-0F53-4EC4-8FA4-E0B99480301B}"/>
    <cellStyle name="Comma 3 4 5 2 2 3 3" xfId="25261" xr:uid="{13334B92-87EF-4880-BEF2-4BB57D33715F}"/>
    <cellStyle name="Comma 3 4 5 2 2 4" xfId="10978" xr:uid="{0884DDE1-73AA-4666-AB75-CAB8188D2D43}"/>
    <cellStyle name="Comma 3 4 5 2 2 4 2" xfId="27182" xr:uid="{9EDD5E22-0E9C-4880-8184-34448341AD04}"/>
    <cellStyle name="Comma 3 4 5 2 2 5" xfId="17469" xr:uid="{D184E2AB-3D9C-4E7B-8C73-94F78E6D40F7}"/>
    <cellStyle name="Comma 3 4 5 2 2 5 2" xfId="33601" xr:uid="{3EFE5AC3-7332-4FBA-BCF9-666936ABFB36}"/>
    <cellStyle name="Comma 3 4 5 2 2 6" xfId="19505" xr:uid="{08B3EA83-A5A9-422F-BBE2-8AEE39F6EE88}"/>
    <cellStyle name="Comma 3 4 5 2 3" xfId="6222" xr:uid="{782A8BD9-FF8E-4AD9-8265-FCA78C415D57}"/>
    <cellStyle name="Comma 3 4 5 2 3 2" xfId="13734" xr:uid="{60CFBFD7-700A-4B62-8255-545ED9FEB793}"/>
    <cellStyle name="Comma 3 4 5 2 3 2 2" xfId="29938" xr:uid="{02243EE4-963D-42E7-9A1C-24C7A3F49ED9}"/>
    <cellStyle name="Comma 3 4 5 2 3 3" xfId="22426" xr:uid="{755B4889-456C-4852-B293-914EBEE67D40}"/>
    <cellStyle name="Comma 3 4 5 2 4" xfId="9106" xr:uid="{97B5392B-9D1D-4835-B9E1-AD076DAB3DF8}"/>
    <cellStyle name="Comma 3 4 5 2 4 2" xfId="16584" xr:uid="{716B864C-BC1D-4C57-87D8-DA687A11DF32}"/>
    <cellStyle name="Comma 3 4 5 2 4 2 2" xfId="32788" xr:uid="{36274FFA-B603-4D35-9CBD-9F6E305B95AB}"/>
    <cellStyle name="Comma 3 4 5 2 4 3" xfId="25310" xr:uid="{54C565E5-877E-4E21-843B-CE887F96FF04}"/>
    <cellStyle name="Comma 3 4 5 2 5" xfId="10134" xr:uid="{B3C897F4-697F-48E2-A483-F609AA373357}"/>
    <cellStyle name="Comma 3 4 5 2 5 2" xfId="26338" xr:uid="{4C68C9F1-E349-4A3C-8460-CC5D97B35B1B}"/>
    <cellStyle name="Comma 3 4 5 2 6" xfId="17468" xr:uid="{FC23C2D3-8A36-45A1-859F-1E172A2A83CE}"/>
    <cellStyle name="Comma 3 4 5 2 6 2" xfId="33600" xr:uid="{F913D203-9724-4EC0-8086-DFDEC40FE484}"/>
    <cellStyle name="Comma 3 4 5 2 7" xfId="18660" xr:uid="{EDFB4D81-1265-4A29-B2CA-2AAEF7C993EE}"/>
    <cellStyle name="Comma 3 4 5 3" xfId="2860" xr:uid="{0A5DE826-C12F-4945-AC47-EBC663E7BC8E}"/>
    <cellStyle name="Comma 3 4 5 3 2" xfId="6644" xr:uid="{BB2565EF-438F-489F-A406-66BD1928AA7B}"/>
    <cellStyle name="Comma 3 4 5 3 2 2" xfId="14156" xr:uid="{2AFAA593-C66C-4CB2-9136-681FD567C60D}"/>
    <cellStyle name="Comma 3 4 5 3 2 2 2" xfId="30360" xr:uid="{3EB5C02E-0096-4A0B-8B41-53F273F993BB}"/>
    <cellStyle name="Comma 3 4 5 3 2 3" xfId="22848" xr:uid="{FC401E10-711E-4AF6-9737-B201D60AB0BB}"/>
    <cellStyle name="Comma 3 4 5 3 3" xfId="5433" xr:uid="{E488EC5B-C9CB-40DB-9208-8BFD54745EEF}"/>
    <cellStyle name="Comma 3 4 5 3 3 2" xfId="12977" xr:uid="{39B3B89F-9DE7-4215-A44E-BAED5734BD76}"/>
    <cellStyle name="Comma 3 4 5 3 3 2 2" xfId="29181" xr:uid="{6B043CC5-3BAA-4792-9DDD-84B6FC2237FD}"/>
    <cellStyle name="Comma 3 4 5 3 3 3" xfId="21637" xr:uid="{CC1D68E1-D179-497C-88AA-2D797D1DA093}"/>
    <cellStyle name="Comma 3 4 5 3 4" xfId="10556" xr:uid="{A8540F24-5BE9-454A-B7C4-93D0528CCD5C}"/>
    <cellStyle name="Comma 3 4 5 3 4 2" xfId="26760" xr:uid="{D220BC87-92E0-4CD8-A2BE-2E06EEE8D9D5}"/>
    <cellStyle name="Comma 3 4 5 3 5" xfId="17470" xr:uid="{F59CB3C8-708A-4B5E-9A1D-147A4462B17A}"/>
    <cellStyle name="Comma 3 4 5 3 5 2" xfId="33602" xr:uid="{FADF8052-2BC3-4DEF-B70C-25FED2F52D85}"/>
    <cellStyle name="Comma 3 4 5 3 6" xfId="19082" xr:uid="{F497AF38-2E25-4723-B430-506DF89D0566}"/>
    <cellStyle name="Comma 3 4 5 4" xfId="3791" xr:uid="{E03B3F43-78ED-4AF6-820D-483B6D2F3DBF}"/>
    <cellStyle name="Comma 3 4 5 4 2" xfId="7501" xr:uid="{024A3468-D7A4-4C84-9588-0682FB4E7D9A}"/>
    <cellStyle name="Comma 3 4 5 4 2 2" xfId="15010" xr:uid="{5F80A6ED-84B3-4EE8-8562-E8CD43959BD2}"/>
    <cellStyle name="Comma 3 4 5 4 2 2 2" xfId="31214" xr:uid="{2E2F29F2-8D69-437E-9A2A-5BF3A9704A7D}"/>
    <cellStyle name="Comma 3 4 5 4 2 3" xfId="23705" xr:uid="{0D39D554-923F-42AF-A0DC-ECDDEF30FF6D}"/>
    <cellStyle name="Comma 3 4 5 4 3" xfId="8929" xr:uid="{5EA60DAC-0BFA-4571-828A-0697F49C91C8}"/>
    <cellStyle name="Comma 3 4 5 4 3 2" xfId="16428" xr:uid="{3386B1FC-6DC1-4744-97C5-2431AE451BF8}"/>
    <cellStyle name="Comma 3 4 5 4 3 2 2" xfId="32632" xr:uid="{4019A584-2FBF-4F9A-AC4D-A94C262158F9}"/>
    <cellStyle name="Comma 3 4 5 4 3 3" xfId="25133" xr:uid="{1CF3C817-1FED-4C30-8A94-59BE8A4F2CCC}"/>
    <cellStyle name="Comma 3 4 5 4 4" xfId="11401" xr:uid="{59B2E9DA-CCEC-4607-B3E1-7D357637C280}"/>
    <cellStyle name="Comma 3 4 5 4 4 2" xfId="27605" xr:uid="{193CA9D5-DFFD-4345-AE65-063977BC920F}"/>
    <cellStyle name="Comma 3 4 5 4 5" xfId="17471" xr:uid="{73CBF47E-51B9-452A-9B5B-154FFE465612}"/>
    <cellStyle name="Comma 3 4 5 4 5 2" xfId="33603" xr:uid="{76E3D18E-5B7E-4DA9-BB24-CF7979F35F19}"/>
    <cellStyle name="Comma 3 4 5 4 6" xfId="20000" xr:uid="{B7DC5551-2664-47F1-BAA5-4C53B0EE1D1B}"/>
    <cellStyle name="Comma 3 4 5 5" xfId="3405" xr:uid="{F07A74DD-9126-46FD-90B1-B04B6EFD55A0}"/>
    <cellStyle name="Comma 3 4 5 5 2" xfId="8871" xr:uid="{61544F1C-019D-4AA0-A2BF-063078E47044}"/>
    <cellStyle name="Comma 3 4 5 5 2 2" xfId="25075" xr:uid="{1746047A-E111-49E7-97BB-5C43D00A1317}"/>
    <cellStyle name="Comma 3 4 5 5 3" xfId="17472" xr:uid="{099464BD-75D5-4036-9578-CC80375667A5}"/>
    <cellStyle name="Comma 3 4 5 5 3 2" xfId="33604" xr:uid="{938D832F-324A-422C-9521-BB6617CDD2E6}"/>
    <cellStyle name="Comma 3 4 5 5 4" xfId="19621" xr:uid="{5079A81F-A249-442E-A9CB-71DF6CFA069D}"/>
    <cellStyle name="Comma 3 4 5 6" xfId="4260" xr:uid="{E3686059-7643-4C79-BD45-19F3D6E45084}"/>
    <cellStyle name="Comma 3 4 5 6 2" xfId="7930" xr:uid="{1F593090-63C6-4FEA-A5C0-7D5CDC938133}"/>
    <cellStyle name="Comma 3 4 5 6 2 2" xfId="15437" xr:uid="{4B4B2E58-8B2B-4CB5-9EA9-F00AA4FE188B}"/>
    <cellStyle name="Comma 3 4 5 6 2 2 2" xfId="31641" xr:uid="{C7D224BA-4406-4C24-824E-871BCBBF301A}"/>
    <cellStyle name="Comma 3 4 5 6 2 3" xfId="24134" xr:uid="{C7E17D9D-A6DC-47A2-B05B-DCFD34C5A1D3}"/>
    <cellStyle name="Comma 3 4 5 6 3" xfId="9274" xr:uid="{0967283D-750C-4700-917C-80213C652F56}"/>
    <cellStyle name="Comma 3 4 5 6 3 2" xfId="16733" xr:uid="{D8B8F403-EEE4-4767-B332-ADE8F53066EC}"/>
    <cellStyle name="Comma 3 4 5 6 3 2 2" xfId="32937" xr:uid="{47DADA13-7DB1-4816-984A-DF8D65E7906C}"/>
    <cellStyle name="Comma 3 4 5 6 3 3" xfId="25478" xr:uid="{30BCBDD5-7798-4AFB-8428-8A32CC1A539A}"/>
    <cellStyle name="Comma 3 4 5 6 4" xfId="11823" xr:uid="{E9879E80-2EE9-4F6D-8C36-FCAF57F5A790}"/>
    <cellStyle name="Comma 3 4 5 6 4 2" xfId="28027" xr:uid="{D03C6328-7748-4129-B728-555F9262FD33}"/>
    <cellStyle name="Comma 3 4 5 6 5" xfId="17473" xr:uid="{415F201D-C195-4CE4-A7C9-F4D9A8F00B73}"/>
    <cellStyle name="Comma 3 4 5 6 5 2" xfId="33605" xr:uid="{7034C0E9-3063-44DA-BF1A-20DB89DA0CD1}"/>
    <cellStyle name="Comma 3 4 5 6 6" xfId="20464" xr:uid="{06D10470-F34C-46DC-8C4D-7E13493166E1}"/>
    <cellStyle name="Comma 3 4 5 7" xfId="4685" xr:uid="{C74D6D38-E2D5-4C54-BC13-B6C56FA7611C}"/>
    <cellStyle name="Comma 3 4 5 7 2" xfId="8355" xr:uid="{57F8DD64-845A-461D-BE53-015064042169}"/>
    <cellStyle name="Comma 3 4 5 7 2 2" xfId="15862" xr:uid="{C9CCF529-D44D-4BF3-ACEB-AEB2E78CAAC8}"/>
    <cellStyle name="Comma 3 4 5 7 2 2 2" xfId="32066" xr:uid="{EE87E854-547B-43AE-AE25-ADC4AC2EC3DD}"/>
    <cellStyle name="Comma 3 4 5 7 2 3" xfId="24559" xr:uid="{823D2130-348A-42F9-8FD8-E8F800FC4DBD}"/>
    <cellStyle name="Comma 3 4 5 7 3" xfId="5603" xr:uid="{786B6575-5ABE-43DA-9412-CA30C872DB29}"/>
    <cellStyle name="Comma 3 4 5 7 3 2" xfId="13118" xr:uid="{4782124A-E538-4312-94E0-1A30847CAC72}"/>
    <cellStyle name="Comma 3 4 5 7 3 2 2" xfId="29322" xr:uid="{90252815-FCE2-40A0-83E8-9E6D665E1064}"/>
    <cellStyle name="Comma 3 4 5 7 3 3" xfId="21807" xr:uid="{99385CDF-47FE-47E4-89B7-51AF46FC6B14}"/>
    <cellStyle name="Comma 3 4 5 7 4" xfId="12248" xr:uid="{26240B73-A687-4478-8119-ECBAC33CC8D5}"/>
    <cellStyle name="Comma 3 4 5 7 4 2" xfId="28452" xr:uid="{B065EF90-350C-4D4D-A2F7-59E813F49EC2}"/>
    <cellStyle name="Comma 3 4 5 7 5" xfId="17474" xr:uid="{9F9CC4A9-B896-4FDA-A51B-8A98B4425617}"/>
    <cellStyle name="Comma 3 4 5 7 5 2" xfId="33606" xr:uid="{1B59895C-655E-4FF0-8F3F-711FEE5D0FB2}"/>
    <cellStyle name="Comma 3 4 5 7 6" xfId="20889" xr:uid="{845A09BA-826E-4920-95C8-04FD4F20DD6C}"/>
    <cellStyle name="Comma 3 4 5 8" xfId="5113" xr:uid="{0BFA587E-9278-4EB5-AB32-09CD4593640C}"/>
    <cellStyle name="Comma 3 4 5 8 2" xfId="8778" xr:uid="{980B54D6-B645-4885-983E-B249FB92EE79}"/>
    <cellStyle name="Comma 3 4 5 8 2 2" xfId="16285" xr:uid="{922FB41C-BAB3-48CB-9000-9A9D5D3C476C}"/>
    <cellStyle name="Comma 3 4 5 8 2 2 2" xfId="32489" xr:uid="{0C02D99A-A44F-4E59-A02F-7663AC493D43}"/>
    <cellStyle name="Comma 3 4 5 8 2 3" xfId="24982" xr:uid="{189FD3BF-9131-4890-AC56-CE4A8E89603C}"/>
    <cellStyle name="Comma 3 4 5 8 3" xfId="12670" xr:uid="{5E34FC0F-23F0-482A-983B-DFF55A83B56F}"/>
    <cellStyle name="Comma 3 4 5 8 3 2" xfId="28874" xr:uid="{8B844B13-2FD7-463A-8E76-B3EC897D7C65}"/>
    <cellStyle name="Comma 3 4 5 8 4" xfId="21317" xr:uid="{0607FA87-9DBE-40C5-8D81-83967CBFE6B1}"/>
    <cellStyle name="Comma 3 4 5 9" xfId="5784" xr:uid="{50ECC4BC-85A6-4E91-82A1-F5ADE377AF79}"/>
    <cellStyle name="Comma 3 4 5 9 2" xfId="13299" xr:uid="{63DA844B-D79C-4D5F-9973-FBF43FA0F20D}"/>
    <cellStyle name="Comma 3 4 5 9 2 2" xfId="29503" xr:uid="{D37F58A6-4C85-4B92-8F2B-04A13791CB32}"/>
    <cellStyle name="Comma 3 4 5 9 3" xfId="21988" xr:uid="{23A38846-9A30-46B2-86E4-C26DEDFA4415}"/>
    <cellStyle name="Comma 3 4 6" xfId="2194" xr:uid="{8782CB0F-762A-4CD6-A60F-95DEB3A59A54}"/>
    <cellStyle name="Comma 3 4 6 2" xfId="3102" xr:uid="{10B5AA5E-7717-4B08-81DF-8722E4C07F96}"/>
    <cellStyle name="Comma 3 4 6 2 2" xfId="6884" xr:uid="{79CB2745-AAAA-4F9E-A2E6-25AEB8267C6A}"/>
    <cellStyle name="Comma 3 4 6 2 2 2" xfId="14395" xr:uid="{FA9A5CCA-88B2-4E9A-8BA7-3CEE12143754}"/>
    <cellStyle name="Comma 3 4 6 2 2 2 2" xfId="30599" xr:uid="{06DAEE69-4C58-4731-A15B-48EA429B6C06}"/>
    <cellStyle name="Comma 3 4 6 2 2 3" xfId="23088" xr:uid="{C7AA9B27-97A6-4AFC-B2F3-7C03567E3F33}"/>
    <cellStyle name="Comma 3 4 6 2 3" xfId="5463" xr:uid="{B49640DB-DFA8-4D0C-B672-6619A8ECF642}"/>
    <cellStyle name="Comma 3 4 6 2 3 2" xfId="13004" xr:uid="{B0B9B28B-7963-4F1B-B6E3-A8B438B528D8}"/>
    <cellStyle name="Comma 3 4 6 2 3 2 2" xfId="29208" xr:uid="{65B58A55-339B-41EB-9217-B7E1F8C89DB6}"/>
    <cellStyle name="Comma 3 4 6 2 3 3" xfId="21667" xr:uid="{6F1A7802-AC1E-4FBA-B5D4-B18708B3C2A5}"/>
    <cellStyle name="Comma 3 4 6 2 4" xfId="10795" xr:uid="{42C1A2BD-4355-44D5-AA86-B0016E51B231}"/>
    <cellStyle name="Comma 3 4 6 2 4 2" xfId="26999" xr:uid="{52FA89FF-1327-4B4F-AC4B-D3F60E40E06E}"/>
    <cellStyle name="Comma 3 4 6 2 5" xfId="17476" xr:uid="{4AC8D66D-6CB6-4DA9-B170-621EEBF8FD5E}"/>
    <cellStyle name="Comma 3 4 6 2 5 2" xfId="33608" xr:uid="{799ADF89-D23F-4559-A50A-2D02BA523621}"/>
    <cellStyle name="Comma 3 4 6 2 6" xfId="19322" xr:uid="{68F936C5-44EF-4716-8624-522A988EB208}"/>
    <cellStyle name="Comma 3 4 6 3" xfId="6028" xr:uid="{A8D7E1D3-829D-4AFE-B1B7-0E4B067E4DAB}"/>
    <cellStyle name="Comma 3 4 6 3 2" xfId="13542" xr:uid="{AF0EEF49-9FF9-48CE-990A-8DB60A32DE9C}"/>
    <cellStyle name="Comma 3 4 6 3 2 2" xfId="29746" xr:uid="{BFA2A6B4-EB3D-4EFE-A5BA-93FF91A6CE7D}"/>
    <cellStyle name="Comma 3 4 6 3 3" xfId="22232" xr:uid="{52BAD92C-B200-48BA-9608-71711732A0BE}"/>
    <cellStyle name="Comma 3 4 6 4" xfId="9017" xr:uid="{113017A8-E913-4495-ABF5-1ADCB023223B}"/>
    <cellStyle name="Comma 3 4 6 4 2" xfId="16508" xr:uid="{88262ABB-4F55-4C63-96B4-137C7C533FCC}"/>
    <cellStyle name="Comma 3 4 6 4 2 2" xfId="32712" xr:uid="{5B96A717-C620-4412-8868-C7F884748BB8}"/>
    <cellStyle name="Comma 3 4 6 4 3" xfId="25221" xr:uid="{BF27E13C-FF90-45BE-844A-52DB9ABF4020}"/>
    <cellStyle name="Comma 3 4 6 5" xfId="9951" xr:uid="{0A0D13C2-5FC8-4C6E-8466-58C781EC0BE2}"/>
    <cellStyle name="Comma 3 4 6 5 2" xfId="26155" xr:uid="{7F58ED5E-8AAF-44AC-A429-8196347375B1}"/>
    <cellStyle name="Comma 3 4 6 6" xfId="17475" xr:uid="{D303D235-F932-405B-8B68-05346DD6541A}"/>
    <cellStyle name="Comma 3 4 6 6 2" xfId="33607" xr:uid="{F9264CD1-605D-47A0-91E0-BA6908A17E22}"/>
    <cellStyle name="Comma 3 4 6 7" xfId="18477" xr:uid="{2ADBB8E8-0843-4997-A326-EE6E40D6A85D}"/>
    <cellStyle name="Comma 3 4 7" xfId="2677" xr:uid="{19B81AB5-938F-4532-A7F9-636D3D253510}"/>
    <cellStyle name="Comma 3 4 7 2" xfId="6461" xr:uid="{71C4150D-BC58-4D22-9245-61F68F073C37}"/>
    <cellStyle name="Comma 3 4 7 2 2" xfId="13973" xr:uid="{21DADBAB-9756-472F-839E-2E5E106F5977}"/>
    <cellStyle name="Comma 3 4 7 2 2 2" xfId="30177" xr:uid="{48A2355F-F191-4A94-9793-D475DD927426}"/>
    <cellStyle name="Comma 3 4 7 2 3" xfId="22665" xr:uid="{39E821D9-7D1D-4A54-8280-B1BEEF4FEFB5}"/>
    <cellStyle name="Comma 3 4 7 3" xfId="5472" xr:uid="{323FEE3E-7ABF-45BF-9923-AF4C19FFC330}"/>
    <cellStyle name="Comma 3 4 7 3 2" xfId="13010" xr:uid="{BF853C95-9DBF-4BF4-8BB8-95B9AA71D2E5}"/>
    <cellStyle name="Comma 3 4 7 3 2 2" xfId="29214" xr:uid="{A46E2D18-7A47-44DF-A9CE-4BCD53693788}"/>
    <cellStyle name="Comma 3 4 7 3 3" xfId="21676" xr:uid="{BAF8F6DC-38E9-471E-93BA-3EEA497180C1}"/>
    <cellStyle name="Comma 3 4 7 4" xfId="10373" xr:uid="{B187D364-4181-4F6C-ACBE-E79757182936}"/>
    <cellStyle name="Comma 3 4 7 4 2" xfId="26577" xr:uid="{E7207937-0022-470C-A438-7AF1AA5453AA}"/>
    <cellStyle name="Comma 3 4 7 5" xfId="17477" xr:uid="{77459352-BBE8-488B-A978-FA5C7AB860EA}"/>
    <cellStyle name="Comma 3 4 7 5 2" xfId="33609" xr:uid="{3F4EB976-55DD-4D72-8BB3-D6B5D2DE5F4A}"/>
    <cellStyle name="Comma 3 4 7 6" xfId="18899" xr:uid="{9114BF78-1805-44AE-9F51-013E430A1B5B}"/>
    <cellStyle name="Comma 3 4 8" xfId="3603" xr:uid="{154400E5-937F-49C3-862C-796A76AC8F78}"/>
    <cellStyle name="Comma 3 4 8 2" xfId="7317" xr:uid="{3E741B9C-9B04-4BA1-8C94-D3CDCBD4A1F0}"/>
    <cellStyle name="Comma 3 4 8 2 2" xfId="14826" xr:uid="{3BA5D9A1-D4C0-477F-984A-E01A9941DC80}"/>
    <cellStyle name="Comma 3 4 8 2 2 2" xfId="31030" xr:uid="{F97A1C0B-12A9-485C-AE6C-90179144E08C}"/>
    <cellStyle name="Comma 3 4 8 2 3" xfId="23521" xr:uid="{7BAC3537-8D01-454A-BF0F-E6072C86EAD3}"/>
    <cellStyle name="Comma 3 4 8 3" xfId="7162" xr:uid="{C1BC68B0-9A42-4C8A-A04B-B672CF9E6FEF}"/>
    <cellStyle name="Comma 3 4 8 3 2" xfId="14673" xr:uid="{0BAAA421-0B75-439B-8CC6-DB6DC6DD3C3D}"/>
    <cellStyle name="Comma 3 4 8 3 2 2" xfId="30877" xr:uid="{8AF300FE-19B7-4B7B-9D98-91B5106E9DDF}"/>
    <cellStyle name="Comma 3 4 8 3 3" xfId="23366" xr:uid="{17EE94CA-9E53-44FC-AEFA-790E5850ED62}"/>
    <cellStyle name="Comma 3 4 8 4" xfId="11218" xr:uid="{70373654-37E8-475C-8961-CADE9D2C3DFE}"/>
    <cellStyle name="Comma 3 4 8 4 2" xfId="27422" xr:uid="{977D0BB5-9692-47AF-A045-1F465F775014}"/>
    <cellStyle name="Comma 3 4 8 5" xfId="17478" xr:uid="{1A14B5A2-DDC5-41A6-AFD5-BBE706849D88}"/>
    <cellStyle name="Comma 3 4 8 5 2" xfId="33610" xr:uid="{3DE762CB-6EEC-48AB-8712-9B0D66FD9560}"/>
    <cellStyle name="Comma 3 4 8 6" xfId="19812" xr:uid="{D014F127-5F40-455D-B72B-3322679C9762}"/>
    <cellStyle name="Comma 3 4 9" xfId="3909" xr:uid="{87399432-7BA0-4290-93BA-13EDB7D1BEA3}"/>
    <cellStyle name="Comma 3 4 9 2" xfId="6048" xr:uid="{9FC41048-ED42-40C5-A06C-74FCCB4C607A}"/>
    <cellStyle name="Comma 3 4 9 2 2" xfId="22252" xr:uid="{9ACE6983-DF57-41CE-99B2-786D9B39B31F}"/>
    <cellStyle name="Comma 3 4 9 3" xfId="17479" xr:uid="{66B9E678-26B6-4634-B2DB-77C294AD87E5}"/>
    <cellStyle name="Comma 3 4 9 3 2" xfId="33611" xr:uid="{B311C6AF-D59A-4F5A-841C-580DF7CB25CD}"/>
    <cellStyle name="Comma 3 4 9 4" xfId="20118" xr:uid="{4C7B34DE-81F4-403F-B7A5-4C0DB89307F6}"/>
    <cellStyle name="Comma 3 5" xfId="1616" xr:uid="{4A5030D8-7673-4D6B-92D9-9B06744F24A1}"/>
    <cellStyle name="Comma 3 5 10" xfId="4079" xr:uid="{356B3A02-E70D-4981-9CA7-C10B52000624}"/>
    <cellStyle name="Comma 3 5 10 2" xfId="7749" xr:uid="{C2D7EFF0-C766-45FD-BF32-61C1073D087F}"/>
    <cellStyle name="Comma 3 5 10 2 2" xfId="15256" xr:uid="{F5DC3842-D32F-409F-A1AF-2D71C48302E1}"/>
    <cellStyle name="Comma 3 5 10 2 2 2" xfId="31460" xr:uid="{CC855DA8-B47C-44CF-B61E-6C486CC10026}"/>
    <cellStyle name="Comma 3 5 10 2 3" xfId="23953" xr:uid="{ED6D3470-F9EE-4C63-8A2C-AE6E5F8B8144}"/>
    <cellStyle name="Comma 3 5 10 3" xfId="9033" xr:uid="{8848330E-FB18-449A-A88B-9DECAF8261F8}"/>
    <cellStyle name="Comma 3 5 10 3 2" xfId="16523" xr:uid="{1834A806-E670-483D-8015-4C6215A635A0}"/>
    <cellStyle name="Comma 3 5 10 3 2 2" xfId="32727" xr:uid="{A3EBC57E-797D-4A38-B911-2A5C99B4036D}"/>
    <cellStyle name="Comma 3 5 10 3 3" xfId="25237" xr:uid="{A6AB905B-FBAE-4FF2-8E7F-2B65A0E2826F}"/>
    <cellStyle name="Comma 3 5 10 4" xfId="11642" xr:uid="{EB88E664-8758-42F3-9EA8-11DC08E3B1F8}"/>
    <cellStyle name="Comma 3 5 10 4 2" xfId="27846" xr:uid="{04CACC62-8B16-4C5C-A65B-786B7F3A5031}"/>
    <cellStyle name="Comma 3 5 10 5" xfId="17481" xr:uid="{A03895C7-C975-459E-B285-C44C5D7C5577}"/>
    <cellStyle name="Comma 3 5 10 5 2" xfId="33613" xr:uid="{FAD56A31-8AF0-416D-8946-E3AFC3766A92}"/>
    <cellStyle name="Comma 3 5 10 6" xfId="20283" xr:uid="{1D9EB04E-95DB-40B9-A4E8-BA2DA2B7F950}"/>
    <cellStyle name="Comma 3 5 11" xfId="4504" xr:uid="{05709BCC-C391-4792-A0B7-ADDC68FDAB7A}"/>
    <cellStyle name="Comma 3 5 11 2" xfId="8174" xr:uid="{FBED63FA-D662-4ACC-B878-4F40E5D36014}"/>
    <cellStyle name="Comma 3 5 11 2 2" xfId="15681" xr:uid="{0ABD5FDD-67BE-4F05-9C14-08291684DBBA}"/>
    <cellStyle name="Comma 3 5 11 2 2 2" xfId="31885" xr:uid="{687FD5B8-488D-4345-8C1F-3684BB2CD86E}"/>
    <cellStyle name="Comma 3 5 11 2 3" xfId="24378" xr:uid="{7FDC25D6-199E-4D4D-AE07-B4D0802E54F0}"/>
    <cellStyle name="Comma 3 5 11 3" xfId="9142" xr:uid="{C5FD543E-8345-44C5-8D80-1F82E6E3B745}"/>
    <cellStyle name="Comma 3 5 11 3 2" xfId="16619" xr:uid="{32462F79-71F0-42F2-A038-CD90B2919515}"/>
    <cellStyle name="Comma 3 5 11 3 2 2" xfId="32823" xr:uid="{3BFDE5CC-654B-4C05-A575-961E0A635E1C}"/>
    <cellStyle name="Comma 3 5 11 3 3" xfId="25346" xr:uid="{93853E13-70D1-4100-A30A-F8C9320D141D}"/>
    <cellStyle name="Comma 3 5 11 4" xfId="12067" xr:uid="{AF635CB3-1641-415D-8B12-3D33393CE96A}"/>
    <cellStyle name="Comma 3 5 11 4 2" xfId="28271" xr:uid="{A8A309F3-61C8-4FE5-BA4A-1C3BE5907AFB}"/>
    <cellStyle name="Comma 3 5 11 5" xfId="17482" xr:uid="{BE5D4F78-A114-4F83-AC0B-F3FB70C57C42}"/>
    <cellStyle name="Comma 3 5 11 5 2" xfId="33614" xr:uid="{C758A0B7-9619-4735-B79E-0FBFF9840E2C}"/>
    <cellStyle name="Comma 3 5 11 6" xfId="20708" xr:uid="{57352485-C451-4659-B058-AC8CE93F2A8A}"/>
    <cellStyle name="Comma 3 5 12" xfId="4931" xr:uid="{09B22940-FEB2-408D-BC81-792047799A2A}"/>
    <cellStyle name="Comma 3 5 12 2" xfId="8597" xr:uid="{EE4FD5EE-5604-4374-B1CA-85CAC7BF9557}"/>
    <cellStyle name="Comma 3 5 12 2 2" xfId="16104" xr:uid="{4DD097A8-D256-440F-9BEB-B12935A853A4}"/>
    <cellStyle name="Comma 3 5 12 2 2 2" xfId="32308" xr:uid="{719C5954-C8FC-40F1-B2FD-97E0AE552886}"/>
    <cellStyle name="Comma 3 5 12 2 3" xfId="24801" xr:uid="{211A19E0-CC53-45D5-AFBC-026A40E91F75}"/>
    <cellStyle name="Comma 3 5 12 3" xfId="12489" xr:uid="{9C335988-096D-4BA3-9166-E2EB253DB712}"/>
    <cellStyle name="Comma 3 5 12 3 2" xfId="28693" xr:uid="{E7806538-613B-498F-AC28-B1DDCD102407}"/>
    <cellStyle name="Comma 3 5 12 4" xfId="21135" xr:uid="{C2371F8C-A7B6-4F27-9566-E863837C5E5D}"/>
    <cellStyle name="Comma 3 5 13" xfId="5577" xr:uid="{F558AEF2-F18A-44E6-93C1-984746E22A38}"/>
    <cellStyle name="Comma 3 5 13 2" xfId="13094" xr:uid="{7C0C535C-1B54-429B-8F05-CDC7DBB3E62D}"/>
    <cellStyle name="Comma 3 5 13 2 2" xfId="29298" xr:uid="{48534DE1-ADB2-4AAB-9DBE-F1F84EBED74C}"/>
    <cellStyle name="Comma 3 5 13 3" xfId="21781" xr:uid="{21AA8017-4FE3-4878-BD9F-115553C5F182}"/>
    <cellStyle name="Comma 3 5 14" xfId="9530" xr:uid="{8B64F00F-CA5B-4B05-A161-C0FFB7FC5767}"/>
    <cellStyle name="Comma 3 5 14 2" xfId="25734" xr:uid="{70DC101D-A973-4BA0-BD9A-ABDC5B606B74}"/>
    <cellStyle name="Comma 3 5 15" xfId="17480" xr:uid="{19ABB0B4-90FB-4070-8327-8201078ADEF0}"/>
    <cellStyle name="Comma 3 5 15 2" xfId="33612" xr:uid="{6A42EF7C-92B6-4DD1-8CE7-D93DDA768B07}"/>
    <cellStyle name="Comma 3 5 16" xfId="18053" xr:uid="{5CB19E06-5294-46A1-8AD3-F94FB3C00EC7}"/>
    <cellStyle name="Comma 3 5 2" xfId="1747" xr:uid="{80ADA643-032F-47BE-B3BE-2CFE4C669EF9}"/>
    <cellStyle name="Comma 3 5 2 10" xfId="5616" xr:uid="{2BE7D0E4-7570-4E52-A452-9B2642166868}"/>
    <cellStyle name="Comma 3 5 2 10 2" xfId="13131" xr:uid="{4D5C695E-725D-4B1A-ABE1-3A236ED0E5F3}"/>
    <cellStyle name="Comma 3 5 2 10 2 2" xfId="29335" xr:uid="{3B52E5AB-6583-4187-85BC-7CBE61A8B953}"/>
    <cellStyle name="Comma 3 5 2 10 3" xfId="21820" xr:uid="{A3B0F523-EAA7-41D6-8A8C-620493FF5B60}"/>
    <cellStyle name="Comma 3 5 2 11" xfId="9544" xr:uid="{8BB59266-BA1F-467C-BB48-2CF2FA6615AB}"/>
    <cellStyle name="Comma 3 5 2 11 2" xfId="25748" xr:uid="{F3C541D2-6A02-4C32-96F5-1CCE06D9E0E0}"/>
    <cellStyle name="Comma 3 5 2 12" xfId="17483" xr:uid="{041BA16B-5F5D-4C3B-B6C6-51FCEE983B84}"/>
    <cellStyle name="Comma 3 5 2 12 2" xfId="33615" xr:uid="{5D3D54FA-1CEF-45AC-9589-1EEA401FABBD}"/>
    <cellStyle name="Comma 3 5 2 13" xfId="18067" xr:uid="{6BF5DAD3-7E48-4A44-B683-19886574617C}"/>
    <cellStyle name="Comma 3 5 2 2" xfId="1932" xr:uid="{CADDD625-673A-4145-BEAB-64FE40318844}"/>
    <cellStyle name="Comma 3 5 2 2 10" xfId="9712" xr:uid="{48AD6EF0-D389-4E50-87E5-B66DEA7AE4DD}"/>
    <cellStyle name="Comma 3 5 2 2 10 2" xfId="25916" xr:uid="{840C6B73-D2F2-432A-A690-68806EA8BF19}"/>
    <cellStyle name="Comma 3 5 2 2 11" xfId="17484" xr:uid="{17F82402-A6D0-47C1-96A7-3A034F717CC1}"/>
    <cellStyle name="Comma 3 5 2 2 11 2" xfId="33616" xr:uid="{56733FAA-C175-4D93-8D4C-6FA282BE266D}"/>
    <cellStyle name="Comma 3 5 2 2 12" xfId="18236" xr:uid="{7521D581-B010-4291-B4CD-5BE18067F527}"/>
    <cellStyle name="Comma 3 5 2 2 2" xfId="2439" xr:uid="{1BBEC216-FD97-45C2-9BBE-FC10B92CA2E0}"/>
    <cellStyle name="Comma 3 5 2 2 2 2" xfId="3286" xr:uid="{9E284155-D123-407A-8FB4-C2D0132E385B}"/>
    <cellStyle name="Comma 3 5 2 2 2 2 2" xfId="7068" xr:uid="{5DAA4702-69AD-448A-9D97-BCEFA3CB4575}"/>
    <cellStyle name="Comma 3 5 2 2 2 2 2 2" xfId="14579" xr:uid="{2C2AA527-7AA1-4114-8409-42EAA5FAF007}"/>
    <cellStyle name="Comma 3 5 2 2 2 2 2 2 2" xfId="30783" xr:uid="{78E68FE7-1C24-4DD9-B965-6AA59CE89466}"/>
    <cellStyle name="Comma 3 5 2 2 2 2 2 3" xfId="23272" xr:uid="{61B399F8-46B9-4AE9-85B4-97B3494B6840}"/>
    <cellStyle name="Comma 3 5 2 2 2 2 3" xfId="9373" xr:uid="{4409D59E-076E-4AE9-937B-A815B6290154}"/>
    <cellStyle name="Comma 3 5 2 2 2 2 3 2" xfId="16814" xr:uid="{0FC8F456-1B16-458F-A595-3B781C5E1843}"/>
    <cellStyle name="Comma 3 5 2 2 2 2 3 2 2" xfId="33018" xr:uid="{79B88088-99CD-414A-AF13-611A1D326A87}"/>
    <cellStyle name="Comma 3 5 2 2 2 2 3 3" xfId="25577" xr:uid="{4F00A557-741B-45DF-A6A1-BE2F0A2637BE}"/>
    <cellStyle name="Comma 3 5 2 2 2 2 4" xfId="10979" xr:uid="{02D41154-3ACB-4C1B-9BFC-D6D3E12769CE}"/>
    <cellStyle name="Comma 3 5 2 2 2 2 4 2" xfId="27183" xr:uid="{A89109B8-F532-454E-B60D-D228CFBF6B2C}"/>
    <cellStyle name="Comma 3 5 2 2 2 2 5" xfId="17486" xr:uid="{04321F69-AFE6-4C7D-919B-DFC77AF96C86}"/>
    <cellStyle name="Comma 3 5 2 2 2 2 5 2" xfId="33618" xr:uid="{BC245BB4-EDE3-46DE-A898-E28B61A3AAE5}"/>
    <cellStyle name="Comma 3 5 2 2 2 2 6" xfId="19506" xr:uid="{DCAE98E0-177A-415C-90D3-F4EEA4EC1698}"/>
    <cellStyle name="Comma 3 5 2 2 2 3" xfId="6223" xr:uid="{2F2C1544-7185-4753-A65F-923A30F9F393}"/>
    <cellStyle name="Comma 3 5 2 2 2 3 2" xfId="13735" xr:uid="{FD08EC9D-9AAA-4FC7-B567-C9313C862E6F}"/>
    <cellStyle name="Comma 3 5 2 2 2 3 2 2" xfId="29939" xr:uid="{0047BFE2-C71C-41AA-8C36-AE8FBE25C7F1}"/>
    <cellStyle name="Comma 3 5 2 2 2 3 3" xfId="22427" xr:uid="{4C405797-A2C0-4AFA-B139-5D0A97CF6BA0}"/>
    <cellStyle name="Comma 3 5 2 2 2 4" xfId="9122" xr:uid="{F30B638D-56AB-4961-95EB-D7B0C09A750A}"/>
    <cellStyle name="Comma 3 5 2 2 2 4 2" xfId="16600" xr:uid="{E2516468-AB82-45E8-9F57-70E489BA8E28}"/>
    <cellStyle name="Comma 3 5 2 2 2 4 2 2" xfId="32804" xr:uid="{2BD2BD67-7A16-450D-BDC4-8BB2FB585007}"/>
    <cellStyle name="Comma 3 5 2 2 2 4 3" xfId="25326" xr:uid="{17FC8F7A-9073-45F2-8456-8B3617BAB1B1}"/>
    <cellStyle name="Comma 3 5 2 2 2 5" xfId="10135" xr:uid="{B0AFBD1B-2AD9-4332-AB68-DA5C5AF8F08C}"/>
    <cellStyle name="Comma 3 5 2 2 2 5 2" xfId="26339" xr:uid="{3321AC8C-93AF-4EF0-8057-9DC0DE2F6661}"/>
    <cellStyle name="Comma 3 5 2 2 2 6" xfId="17485" xr:uid="{2D989EF8-49E0-42A1-9337-2DC022139143}"/>
    <cellStyle name="Comma 3 5 2 2 2 6 2" xfId="33617" xr:uid="{7AADAE4F-3AA9-4DBD-943F-0D46CE0A8D54}"/>
    <cellStyle name="Comma 3 5 2 2 2 7" xfId="18661" xr:uid="{74E71EA7-E7A5-4193-83BD-8E03C7E20746}"/>
    <cellStyle name="Comma 3 5 2 2 3" xfId="2861" xr:uid="{5CC9EA47-9D06-41ED-A7D8-800F4B65B4A5}"/>
    <cellStyle name="Comma 3 5 2 2 3 2" xfId="6645" xr:uid="{64DA97E6-87BE-40EE-B466-BA8A136063BF}"/>
    <cellStyle name="Comma 3 5 2 2 3 2 2" xfId="14157" xr:uid="{BB38C6AF-64FD-40C3-A248-794538A1313D}"/>
    <cellStyle name="Comma 3 5 2 2 3 2 2 2" xfId="30361" xr:uid="{695CD4AF-9431-4FAD-801D-1A9C46623E05}"/>
    <cellStyle name="Comma 3 5 2 2 3 2 3" xfId="22849" xr:uid="{E1DF6BF2-B124-4CE7-A652-E9C067DAACBE}"/>
    <cellStyle name="Comma 3 5 2 2 3 3" xfId="9079" xr:uid="{278A3271-2513-417A-AE8C-C29A6DCE41B6}"/>
    <cellStyle name="Comma 3 5 2 2 3 3 2" xfId="16561" xr:uid="{9A46C318-2982-4111-BC88-02CF6046BC79}"/>
    <cellStyle name="Comma 3 5 2 2 3 3 2 2" xfId="32765" xr:uid="{DE260F16-BFEE-4115-8D54-373E876030ED}"/>
    <cellStyle name="Comma 3 5 2 2 3 3 3" xfId="25283" xr:uid="{D3DF0BAD-EF85-4557-AEFA-A9DECED74439}"/>
    <cellStyle name="Comma 3 5 2 2 3 4" xfId="10557" xr:uid="{87858FB2-8376-41AC-9ED3-43453C4BBF3E}"/>
    <cellStyle name="Comma 3 5 2 2 3 4 2" xfId="26761" xr:uid="{5EE71ACD-C19A-462C-B1FA-AF9A420CF186}"/>
    <cellStyle name="Comma 3 5 2 2 3 5" xfId="17487" xr:uid="{47921EE2-D9AB-44F4-8AB2-68B84AAF92BC}"/>
    <cellStyle name="Comma 3 5 2 2 3 5 2" xfId="33619" xr:uid="{1FF1DAEA-770D-4897-96B9-54D574E331C7}"/>
    <cellStyle name="Comma 3 5 2 2 3 6" xfId="19083" xr:uid="{6106136B-6946-4BDF-B374-2A0E856A041F}"/>
    <cellStyle name="Comma 3 5 2 2 4" xfId="3792" xr:uid="{8FA9620B-716D-482D-AA68-179329EA7976}"/>
    <cellStyle name="Comma 3 5 2 2 4 2" xfId="7502" xr:uid="{41BC4429-ABB8-43B5-A0DF-FE742F657531}"/>
    <cellStyle name="Comma 3 5 2 2 4 2 2" xfId="15011" xr:uid="{C949EF35-5100-403E-90E6-AB6486A4434B}"/>
    <cellStyle name="Comma 3 5 2 2 4 2 2 2" xfId="31215" xr:uid="{DD9E2E27-176F-4AC7-AF80-678757A9C4C2}"/>
    <cellStyle name="Comma 3 5 2 2 4 2 3" xfId="23706" xr:uid="{6690D9EF-89B9-40C8-B0F9-E84CE8C81CB3}"/>
    <cellStyle name="Comma 3 5 2 2 4 3" xfId="5516" xr:uid="{D3E23409-A69C-4AB9-9705-4F4F0449E0C8}"/>
    <cellStyle name="Comma 3 5 2 2 4 3 2" xfId="13046" xr:uid="{7A8B8F1C-22E8-4F10-A4A8-E9955B870CAA}"/>
    <cellStyle name="Comma 3 5 2 2 4 3 2 2" xfId="29250" xr:uid="{2C115B91-3C5B-4DB2-BDB3-E4F3B176B956}"/>
    <cellStyle name="Comma 3 5 2 2 4 3 3" xfId="21720" xr:uid="{F0457602-4B92-4CDC-B481-E86795C26A54}"/>
    <cellStyle name="Comma 3 5 2 2 4 4" xfId="11402" xr:uid="{E9E94002-7C66-4053-9D27-A81E5130EAC1}"/>
    <cellStyle name="Comma 3 5 2 2 4 4 2" xfId="27606" xr:uid="{A93D2C35-F565-4569-86AC-AF0A981F91A8}"/>
    <cellStyle name="Comma 3 5 2 2 4 5" xfId="17488" xr:uid="{0E65FAC6-8CF0-432A-8E21-DC42700F4C8E}"/>
    <cellStyle name="Comma 3 5 2 2 4 5 2" xfId="33620" xr:uid="{653FAD2C-F436-44EB-9C2C-CB5BADDBCE1B}"/>
    <cellStyle name="Comma 3 5 2 2 4 6" xfId="20001" xr:uid="{8C1D6C84-3C52-4717-9A24-24798555CBF2}"/>
    <cellStyle name="Comma 3 5 2 2 5" xfId="3899" xr:uid="{2F3835CB-7B59-45FF-937C-C78E37A961D9}"/>
    <cellStyle name="Comma 3 5 2 2 5 2" xfId="9098" xr:uid="{FAEE51AF-436D-496D-85B7-6AEDA4FCAFCA}"/>
    <cellStyle name="Comma 3 5 2 2 5 2 2" xfId="25302" xr:uid="{757C3762-21F1-4B8B-B20D-5062DA8CEF3E}"/>
    <cellStyle name="Comma 3 5 2 2 5 3" xfId="17489" xr:uid="{0148E0D8-1179-4DE4-A9AE-07DAFE74B79E}"/>
    <cellStyle name="Comma 3 5 2 2 5 3 2" xfId="33621" xr:uid="{5E3B0489-569D-4723-8D72-2E697E4F0874}"/>
    <cellStyle name="Comma 3 5 2 2 5 4" xfId="20108" xr:uid="{AF489DDE-EDF8-4FF1-A0E1-EAFBD8207A76}"/>
    <cellStyle name="Comma 3 5 2 2 6" xfId="4261" xr:uid="{45F1F257-04F4-45BB-8BE0-2B69A8C0B668}"/>
    <cellStyle name="Comma 3 5 2 2 6 2" xfId="7931" xr:uid="{95A7D687-692D-46C4-A009-96BE4DAFF57B}"/>
    <cellStyle name="Comma 3 5 2 2 6 2 2" xfId="15438" xr:uid="{16A09C10-EF9F-47EF-A8C2-2A0046C822EC}"/>
    <cellStyle name="Comma 3 5 2 2 6 2 2 2" xfId="31642" xr:uid="{3CA0D5C9-2002-44DC-B66D-4C145EE838E0}"/>
    <cellStyle name="Comma 3 5 2 2 6 2 3" xfId="24135" xr:uid="{9C3358E3-C1CB-4407-8692-9F0F8A9E3D0C}"/>
    <cellStyle name="Comma 3 5 2 2 6 3" xfId="8921" xr:uid="{50E5E4AF-B68C-421B-A39F-E03FA9FACC1C}"/>
    <cellStyle name="Comma 3 5 2 2 6 3 2" xfId="16424" xr:uid="{7FAAAC2C-9369-4B12-9A2C-35F8EB0402C7}"/>
    <cellStyle name="Comma 3 5 2 2 6 3 2 2" xfId="32628" xr:uid="{E4E591C6-5036-456C-961E-78F6A4EC1106}"/>
    <cellStyle name="Comma 3 5 2 2 6 3 3" xfId="25125" xr:uid="{582AB6FD-426D-4A00-87F0-1B5AB114C531}"/>
    <cellStyle name="Comma 3 5 2 2 6 4" xfId="11824" xr:uid="{12E54852-C9CE-474C-8AD5-F4EED387118F}"/>
    <cellStyle name="Comma 3 5 2 2 6 4 2" xfId="28028" xr:uid="{6E390235-A0A1-40E9-84AD-CAEF3234EB53}"/>
    <cellStyle name="Comma 3 5 2 2 6 5" xfId="17490" xr:uid="{25A4294D-3BF2-4DFA-8AEA-8000DE6CE5D9}"/>
    <cellStyle name="Comma 3 5 2 2 6 5 2" xfId="33622" xr:uid="{F53C39C3-3515-4873-AB87-C0A088DE4CBC}"/>
    <cellStyle name="Comma 3 5 2 2 6 6" xfId="20465" xr:uid="{42BBCB15-1356-41F1-8E3E-68FEB50EBFCC}"/>
    <cellStyle name="Comma 3 5 2 2 7" xfId="4686" xr:uid="{B9647EAB-2FA0-453D-8C87-AD4CD980065E}"/>
    <cellStyle name="Comma 3 5 2 2 7 2" xfId="8356" xr:uid="{511B9381-7883-40F5-961F-D9D3F3311E78}"/>
    <cellStyle name="Comma 3 5 2 2 7 2 2" xfId="15863" xr:uid="{34E461F2-E8A2-4C75-8D28-9D329285C233}"/>
    <cellStyle name="Comma 3 5 2 2 7 2 2 2" xfId="32067" xr:uid="{AC6A3D08-D8B3-426A-829C-7555787546B2}"/>
    <cellStyle name="Comma 3 5 2 2 7 2 3" xfId="24560" xr:uid="{24A56FFD-903A-42ED-AC88-BE453B978F88}"/>
    <cellStyle name="Comma 3 5 2 2 7 3" xfId="5464" xr:uid="{4FE3B1E5-2553-4A28-8E5E-011A935DE1D8}"/>
    <cellStyle name="Comma 3 5 2 2 7 3 2" xfId="13005" xr:uid="{002B3052-A26B-45B5-A370-3DF86528D952}"/>
    <cellStyle name="Comma 3 5 2 2 7 3 2 2" xfId="29209" xr:uid="{C644C3A8-189B-450A-84DC-A3E142D4C4FD}"/>
    <cellStyle name="Comma 3 5 2 2 7 3 3" xfId="21668" xr:uid="{3D0B5542-AF03-4C91-B7C5-3F10B06942B6}"/>
    <cellStyle name="Comma 3 5 2 2 7 4" xfId="12249" xr:uid="{1B74B4EF-0AF2-4F90-8260-1937869ABC25}"/>
    <cellStyle name="Comma 3 5 2 2 7 4 2" xfId="28453" xr:uid="{59A57633-048C-4D9E-853A-07F833D3A07A}"/>
    <cellStyle name="Comma 3 5 2 2 7 5" xfId="17491" xr:uid="{A9EC5A04-7975-4FF2-A287-9CB6B1B69A06}"/>
    <cellStyle name="Comma 3 5 2 2 7 5 2" xfId="33623" xr:uid="{5E2CC089-0803-44C6-9427-D6E933BCBE03}"/>
    <cellStyle name="Comma 3 5 2 2 7 6" xfId="20890" xr:uid="{2AFD7F7F-4172-49CD-AF50-C543B1ED4857}"/>
    <cellStyle name="Comma 3 5 2 2 8" xfId="5114" xr:uid="{80D17BDA-5D94-4FA0-A32C-C71787008039}"/>
    <cellStyle name="Comma 3 5 2 2 8 2" xfId="8779" xr:uid="{1D52C7C8-4AE1-4380-9D96-E69FB0596EF1}"/>
    <cellStyle name="Comma 3 5 2 2 8 2 2" xfId="16286" xr:uid="{9E8B1178-E3AA-4118-94E0-3C9400D9898C}"/>
    <cellStyle name="Comma 3 5 2 2 8 2 2 2" xfId="32490" xr:uid="{89107267-3AFF-445A-8F6F-CA472EFED881}"/>
    <cellStyle name="Comma 3 5 2 2 8 2 3" xfId="24983" xr:uid="{318E892A-13CE-4238-AFAC-DA48F841FE92}"/>
    <cellStyle name="Comma 3 5 2 2 8 3" xfId="12671" xr:uid="{30AC15C4-60F3-4A38-91D8-7D50A017C3A6}"/>
    <cellStyle name="Comma 3 5 2 2 8 3 2" xfId="28875" xr:uid="{64F3DBC6-6AC4-4071-B83E-CE517D842FF1}"/>
    <cellStyle name="Comma 3 5 2 2 8 4" xfId="21318" xr:uid="{AC37F1DF-04AB-41ED-820D-CED164F729C6}"/>
    <cellStyle name="Comma 3 5 2 2 9" xfId="5785" xr:uid="{B5C75A2D-DC8E-4C1A-9A5A-7988740CC9E1}"/>
    <cellStyle name="Comma 3 5 2 2 9 2" xfId="13300" xr:uid="{D1928FF7-E295-4BBA-A763-30716E216308}"/>
    <cellStyle name="Comma 3 5 2 2 9 2 2" xfId="29504" xr:uid="{021E792B-A648-4CC2-91FF-FC1F5587658D}"/>
    <cellStyle name="Comma 3 5 2 2 9 3" xfId="21989" xr:uid="{A230DB62-5F90-407E-BE2F-60EFA8E63B91}"/>
    <cellStyle name="Comma 3 5 2 3" xfId="2267" xr:uid="{15C9D9E3-1429-4027-B60B-A405AD53AC2A}"/>
    <cellStyle name="Comma 3 5 2 3 2" xfId="3118" xr:uid="{F4A957D1-0C0F-49A2-9092-0D88E79AB991}"/>
    <cellStyle name="Comma 3 5 2 3 2 2" xfId="6900" xr:uid="{0DDDA599-FE30-4779-A416-B3E63A157526}"/>
    <cellStyle name="Comma 3 5 2 3 2 2 2" xfId="14411" xr:uid="{75BC36C6-27CD-4217-A1F6-A4A406F95EFA}"/>
    <cellStyle name="Comma 3 5 2 3 2 2 2 2" xfId="30615" xr:uid="{D57F0FA8-359A-42E7-942C-F8C308C48630}"/>
    <cellStyle name="Comma 3 5 2 3 2 2 3" xfId="23104" xr:uid="{EA9BB31E-2FAE-4FD4-93FF-3D8E84225EB2}"/>
    <cellStyle name="Comma 3 5 2 3 2 3" xfId="8901" xr:uid="{272FD9C7-5355-487A-A6D8-D7A867D7CFC7}"/>
    <cellStyle name="Comma 3 5 2 3 2 3 2" xfId="16404" xr:uid="{81190AB7-ED71-4DED-9E1D-B7F511CF10AE}"/>
    <cellStyle name="Comma 3 5 2 3 2 3 2 2" xfId="32608" xr:uid="{075B6826-0FAE-4380-B834-E6764F47F614}"/>
    <cellStyle name="Comma 3 5 2 3 2 3 3" xfId="25105" xr:uid="{3BF786B0-F4BF-4E23-B499-BAED76413C2F}"/>
    <cellStyle name="Comma 3 5 2 3 2 4" xfId="10811" xr:uid="{A2BFE401-0EA3-4BDC-B301-308D0FFEF895}"/>
    <cellStyle name="Comma 3 5 2 3 2 4 2" xfId="27015" xr:uid="{9DC07CE2-A953-41AA-9730-1C0A1C2BD213}"/>
    <cellStyle name="Comma 3 5 2 3 2 5" xfId="17493" xr:uid="{056D6C0B-0546-4FB0-8791-317B556AF34C}"/>
    <cellStyle name="Comma 3 5 2 3 2 5 2" xfId="33625" xr:uid="{7041136B-13A9-4B37-91C3-2785202398F2}"/>
    <cellStyle name="Comma 3 5 2 3 2 6" xfId="19338" xr:uid="{ABCED536-415A-4C07-AAD4-8ED16F34D8A8}"/>
    <cellStyle name="Comma 3 5 2 3 3" xfId="6055" xr:uid="{3DB65C44-5DEB-49A9-BC84-D3BD7ECDC254}"/>
    <cellStyle name="Comma 3 5 2 3 3 2" xfId="13567" xr:uid="{CBD949E0-E8EB-40BA-9E07-E2AF12585AAD}"/>
    <cellStyle name="Comma 3 5 2 3 3 2 2" xfId="29771" xr:uid="{30DB5704-38CF-485F-BCE9-23CFBB58BC35}"/>
    <cellStyle name="Comma 3 5 2 3 3 3" xfId="22259" xr:uid="{974BB8CB-B8FB-4888-9B9D-5DDA4FE47438}"/>
    <cellStyle name="Comma 3 5 2 3 4" xfId="8941" xr:uid="{9470C3FF-06F1-4B82-9A3C-F4A2B65FFFBF}"/>
    <cellStyle name="Comma 3 5 2 3 4 2" xfId="16439" xr:uid="{C9F00F2D-3750-482D-AE42-2C771945759D}"/>
    <cellStyle name="Comma 3 5 2 3 4 2 2" xfId="32643" xr:uid="{0C5E2F04-CA86-423B-802F-9E6668BB77A9}"/>
    <cellStyle name="Comma 3 5 2 3 4 3" xfId="25145" xr:uid="{CD700268-584B-4852-8C1B-36196E10B3A7}"/>
    <cellStyle name="Comma 3 5 2 3 5" xfId="9967" xr:uid="{353A7292-7B9A-467D-94A8-E3FB2EB2B69C}"/>
    <cellStyle name="Comma 3 5 2 3 5 2" xfId="26171" xr:uid="{7106A369-741C-481C-9697-3965EBF87E32}"/>
    <cellStyle name="Comma 3 5 2 3 6" xfId="17492" xr:uid="{D6245BEF-A25E-4EF6-B91D-7FDB86A2F67D}"/>
    <cellStyle name="Comma 3 5 2 3 6 2" xfId="33624" xr:uid="{E18657A3-C1C4-4E3B-B36D-B0F6F3E205B5}"/>
    <cellStyle name="Comma 3 5 2 3 7" xfId="18493" xr:uid="{0D478FDC-2090-496A-A63F-E7133B720BC0}"/>
    <cellStyle name="Comma 3 5 2 4" xfId="2693" xr:uid="{6B9F113A-6C47-44CD-BC2F-3713DA55DAF3}"/>
    <cellStyle name="Comma 3 5 2 4 2" xfId="6477" xr:uid="{2B941394-646B-402C-8045-3232CBCE6A94}"/>
    <cellStyle name="Comma 3 5 2 4 2 2" xfId="13989" xr:uid="{F2EDD314-6239-4793-B3D5-BC9D124750A4}"/>
    <cellStyle name="Comma 3 5 2 4 2 2 2" xfId="30193" xr:uid="{CDCE8F6B-2EFE-45FF-BBE8-594271D1DB53}"/>
    <cellStyle name="Comma 3 5 2 4 2 3" xfId="22681" xr:uid="{C022A0E9-9301-4F3A-AD15-EEE33EB8785B}"/>
    <cellStyle name="Comma 3 5 2 4 3" xfId="9146" xr:uid="{216E7DF3-DA0A-4B61-84F5-4B93C4177AD1}"/>
    <cellStyle name="Comma 3 5 2 4 3 2" xfId="16623" xr:uid="{895A382A-E594-4FE1-B94E-CB8A5C3DAAC3}"/>
    <cellStyle name="Comma 3 5 2 4 3 2 2" xfId="32827" xr:uid="{45723165-2755-4AD1-8E8A-3064198C1E5F}"/>
    <cellStyle name="Comma 3 5 2 4 3 3" xfId="25350" xr:uid="{8628558B-5CFD-43A7-AFFD-F0D08CE9D616}"/>
    <cellStyle name="Comma 3 5 2 4 4" xfId="10389" xr:uid="{9047262A-A73D-4F76-BF39-144B9B9891E4}"/>
    <cellStyle name="Comma 3 5 2 4 4 2" xfId="26593" xr:uid="{FCD47274-A8B9-4C95-8F98-35679672D8B8}"/>
    <cellStyle name="Comma 3 5 2 4 5" xfId="17494" xr:uid="{2764DF47-2996-4876-846C-7464198F4826}"/>
    <cellStyle name="Comma 3 5 2 4 5 2" xfId="33626" xr:uid="{D362E907-059C-4592-A2C4-407B3AFA56C8}"/>
    <cellStyle name="Comma 3 5 2 4 6" xfId="18915" xr:uid="{7EFA101C-B233-4076-888D-9732E7490750}"/>
    <cellStyle name="Comma 3 5 2 5" xfId="3623" xr:uid="{5E9BE57F-36D0-483C-96F4-4EF0158BC82D}"/>
    <cellStyle name="Comma 3 5 2 5 2" xfId="7333" xr:uid="{C5ADEE7F-9855-4CEB-8894-DA1CD8B69346}"/>
    <cellStyle name="Comma 3 5 2 5 2 2" xfId="14842" xr:uid="{B60CE393-F084-41A5-9CB3-7D323E2A82C9}"/>
    <cellStyle name="Comma 3 5 2 5 2 2 2" xfId="31046" xr:uid="{CF5018A1-6C2D-4C4A-8327-1F06B821106E}"/>
    <cellStyle name="Comma 3 5 2 5 2 3" xfId="23537" xr:uid="{C879D01F-FCB3-4D3D-BE14-5271CBDF7AAB}"/>
    <cellStyle name="Comma 3 5 2 5 3" xfId="5421" xr:uid="{6A5D3921-6365-49B9-BFBE-805EB6C5846E}"/>
    <cellStyle name="Comma 3 5 2 5 3 2" xfId="12967" xr:uid="{231DF7C6-61A0-40E2-935E-F3FC2584938D}"/>
    <cellStyle name="Comma 3 5 2 5 3 2 2" xfId="29171" xr:uid="{D5D30C99-680D-4F31-9023-3DB324E4CBF9}"/>
    <cellStyle name="Comma 3 5 2 5 3 3" xfId="21625" xr:uid="{E75FB20A-7390-4D62-A17E-8F6647E07493}"/>
    <cellStyle name="Comma 3 5 2 5 4" xfId="11234" xr:uid="{1638F7AD-E9A8-43AE-BF49-9D61EF423E3E}"/>
    <cellStyle name="Comma 3 5 2 5 4 2" xfId="27438" xr:uid="{1E73B674-4ECC-4CB3-898B-98707361E3B2}"/>
    <cellStyle name="Comma 3 5 2 5 5" xfId="17495" xr:uid="{41A22C6F-CC5D-4F5C-B9DE-EAE4F71C532B}"/>
    <cellStyle name="Comma 3 5 2 5 5 2" xfId="33627" xr:uid="{942C6903-ACC9-4272-A8B5-36DC4F17F9BF}"/>
    <cellStyle name="Comma 3 5 2 5 6" xfId="19832" xr:uid="{B4E241BB-2CDF-4C70-8942-CBA481588255}"/>
    <cellStyle name="Comma 3 5 2 6" xfId="3925" xr:uid="{392BC905-8CCA-42FC-881F-5C77B0120B1C}"/>
    <cellStyle name="Comma 3 5 2 6 2" xfId="5505" xr:uid="{9549BB6A-1FB2-4438-879D-CB98449551DD}"/>
    <cellStyle name="Comma 3 5 2 6 2 2" xfId="21709" xr:uid="{2A676A93-8130-4BC4-8031-B8590642DFCD}"/>
    <cellStyle name="Comma 3 5 2 6 3" xfId="17496" xr:uid="{ACF98A90-7C85-487A-9469-95927E5B1AAC}"/>
    <cellStyle name="Comma 3 5 2 6 3 2" xfId="33628" xr:uid="{326A5CFE-5282-4E94-90C2-2BE97E4598E7}"/>
    <cellStyle name="Comma 3 5 2 6 4" xfId="20131" xr:uid="{3FAA7C4C-EE35-4E47-96C3-06B4DB45EDF1}"/>
    <cellStyle name="Comma 3 5 2 7" xfId="4093" xr:uid="{DE49036B-DB91-48CE-ADDA-1307967005C6}"/>
    <cellStyle name="Comma 3 5 2 7 2" xfId="7763" xr:uid="{4797A129-4229-4AEE-A8E5-18755A4F200E}"/>
    <cellStyle name="Comma 3 5 2 7 2 2" xfId="15270" xr:uid="{BE13B57F-68C0-47C9-A453-82B7E0079B2C}"/>
    <cellStyle name="Comma 3 5 2 7 2 2 2" xfId="31474" xr:uid="{ADDF6E6A-8218-4D96-8D21-79441B1AB2F4}"/>
    <cellStyle name="Comma 3 5 2 7 2 3" xfId="23967" xr:uid="{CAAD5D55-A03E-4E22-8717-4A9CF22D2BE5}"/>
    <cellStyle name="Comma 3 5 2 7 3" xfId="5468" xr:uid="{68E3F427-9078-462E-B435-F757921A66C2}"/>
    <cellStyle name="Comma 3 5 2 7 3 2" xfId="13009" xr:uid="{E48CE301-EC3F-4043-951E-644211411723}"/>
    <cellStyle name="Comma 3 5 2 7 3 2 2" xfId="29213" xr:uid="{0749911A-4079-4687-9BB8-A0A39648FBF1}"/>
    <cellStyle name="Comma 3 5 2 7 3 3" xfId="21672" xr:uid="{89AA7F9D-F61B-48F4-9AB4-EE7BC2023C19}"/>
    <cellStyle name="Comma 3 5 2 7 4" xfId="11656" xr:uid="{03B9F74C-E314-4210-B606-CAAC878144EC}"/>
    <cellStyle name="Comma 3 5 2 7 4 2" xfId="27860" xr:uid="{43D34CA6-0673-4BA4-8F9B-39AFC25D03FA}"/>
    <cellStyle name="Comma 3 5 2 7 5" xfId="17497" xr:uid="{FF369E26-8068-4D25-8249-390F9C3DB6D7}"/>
    <cellStyle name="Comma 3 5 2 7 5 2" xfId="33629" xr:uid="{BA14ADE1-D94F-4CAE-997B-DBF9B057AD1B}"/>
    <cellStyle name="Comma 3 5 2 7 6" xfId="20297" xr:uid="{07C2E200-E561-40CF-8C97-34E8FE96D5E0}"/>
    <cellStyle name="Comma 3 5 2 8" xfId="4518" xr:uid="{752C3C6E-E5D1-44FB-A828-F605679B403B}"/>
    <cellStyle name="Comma 3 5 2 8 2" xfId="8188" xr:uid="{F55AC819-5603-4C0D-9E99-F7AD5F09C77A}"/>
    <cellStyle name="Comma 3 5 2 8 2 2" xfId="15695" xr:uid="{D69F6389-B3F0-4EA3-B43F-2DF283433FEE}"/>
    <cellStyle name="Comma 3 5 2 8 2 2 2" xfId="31899" xr:uid="{EF8C428D-7D32-411A-86B7-59E58BCEBE44}"/>
    <cellStyle name="Comma 3 5 2 8 2 3" xfId="24392" xr:uid="{C3192ECB-0346-402C-BC8A-724F40E3076D}"/>
    <cellStyle name="Comma 3 5 2 8 3" xfId="8976" xr:uid="{C25A6423-D059-4172-9178-8F2739E67F8C}"/>
    <cellStyle name="Comma 3 5 2 8 3 2" xfId="16470" xr:uid="{FC0235B7-3236-4998-9A0D-B587214FBFAB}"/>
    <cellStyle name="Comma 3 5 2 8 3 2 2" xfId="32674" xr:uid="{4DEDAD9C-51C5-4384-BCA6-94390F368ABB}"/>
    <cellStyle name="Comma 3 5 2 8 3 3" xfId="25180" xr:uid="{50592573-FEC6-4183-B5A1-96DDB4B16DE9}"/>
    <cellStyle name="Comma 3 5 2 8 4" xfId="12081" xr:uid="{FA7D2500-D335-46EE-ADFB-584F26128EBA}"/>
    <cellStyle name="Comma 3 5 2 8 4 2" xfId="28285" xr:uid="{95D72A57-8D4A-4842-A56D-EE36F0968D87}"/>
    <cellStyle name="Comma 3 5 2 8 5" xfId="17498" xr:uid="{335B803D-7CDF-4698-BFBD-EE7483839DF4}"/>
    <cellStyle name="Comma 3 5 2 8 5 2" xfId="33630" xr:uid="{1DF520D0-8B16-4EA2-B848-7E1802ADCBC5}"/>
    <cellStyle name="Comma 3 5 2 8 6" xfId="20722" xr:uid="{52D6A2F7-3292-42DA-9C69-78A2A63364F4}"/>
    <cellStyle name="Comma 3 5 2 9" xfId="4945" xr:uid="{AF68E012-6141-431E-BCC2-64B97AFA74B8}"/>
    <cellStyle name="Comma 3 5 2 9 2" xfId="8611" xr:uid="{C71E2931-0EFE-4783-9067-1F4A7D8787FB}"/>
    <cellStyle name="Comma 3 5 2 9 2 2" xfId="16118" xr:uid="{33C5FC3E-556D-49CD-B5F0-00B7EE3ACE94}"/>
    <cellStyle name="Comma 3 5 2 9 2 2 2" xfId="32322" xr:uid="{6E3531B9-1A32-48E8-8F20-84D43DFEC694}"/>
    <cellStyle name="Comma 3 5 2 9 2 3" xfId="24815" xr:uid="{BCBB99A3-E299-41F0-A2D9-123264171C21}"/>
    <cellStyle name="Comma 3 5 2 9 3" xfId="12503" xr:uid="{E511F42F-F308-491C-AC0D-B384E16EC2B1}"/>
    <cellStyle name="Comma 3 5 2 9 3 2" xfId="28707" xr:uid="{213B39A5-29D4-4348-905B-4C028BA46CD2}"/>
    <cellStyle name="Comma 3 5 2 9 4" xfId="21149" xr:uid="{155DD686-EA36-40F7-98CD-5EE1673F8078}"/>
    <cellStyle name="Comma 3 5 3" xfId="1765" xr:uid="{C3EB8F24-D959-4C32-B95F-7D255FFC6C2E}"/>
    <cellStyle name="Comma 3 5 3 10" xfId="5630" xr:uid="{1F901581-EB1E-4D4A-9920-9A2844D32496}"/>
    <cellStyle name="Comma 3 5 3 10 2" xfId="13145" xr:uid="{46DA6B31-7D30-4577-A773-6E499D510940}"/>
    <cellStyle name="Comma 3 5 3 10 2 2" xfId="29349" xr:uid="{13DD7C8A-F3F2-4F76-ADB9-30C5E85DE825}"/>
    <cellStyle name="Comma 3 5 3 10 3" xfId="21834" xr:uid="{D040E995-5FDC-4217-9EED-B8AA752C5D48}"/>
    <cellStyle name="Comma 3 5 3 11" xfId="9558" xr:uid="{90631645-D471-49E3-83C5-CF2EE5C036D4}"/>
    <cellStyle name="Comma 3 5 3 11 2" xfId="25762" xr:uid="{C78BA8CD-3D66-45B1-A32F-2E4212885E95}"/>
    <cellStyle name="Comma 3 5 3 12" xfId="17499" xr:uid="{438148F3-192A-4529-8DAC-43EC8C00BF1B}"/>
    <cellStyle name="Comma 3 5 3 12 2" xfId="33631" xr:uid="{259E5CD2-611B-4A1B-91EE-456320B27BF6}"/>
    <cellStyle name="Comma 3 5 3 13" xfId="18081" xr:uid="{3646949E-285C-483A-BF0D-261BFC6F3C58}"/>
    <cellStyle name="Comma 3 5 3 2" xfId="1933" xr:uid="{04C74503-6537-44F5-85C3-132BBDFB3AE9}"/>
    <cellStyle name="Comma 3 5 3 2 10" xfId="9713" xr:uid="{0E2A93BE-8575-4C46-8072-F596C6F6DD0C}"/>
    <cellStyle name="Comma 3 5 3 2 10 2" xfId="25917" xr:uid="{9AEA4234-D245-4ACD-BBC5-0EEB4B7A2906}"/>
    <cellStyle name="Comma 3 5 3 2 11" xfId="17500" xr:uid="{DC86DC7E-C4C7-4EF9-AB38-026F502DEC59}"/>
    <cellStyle name="Comma 3 5 3 2 11 2" xfId="33632" xr:uid="{24BA9E35-1370-457A-AFCA-D16635744F9B}"/>
    <cellStyle name="Comma 3 5 3 2 12" xfId="18237" xr:uid="{FD9FDF14-0A0F-447C-80E5-9458CBA91CFF}"/>
    <cellStyle name="Comma 3 5 3 2 2" xfId="2440" xr:uid="{E3B3C7D3-4002-49DF-A2A8-CCF903D454C3}"/>
    <cellStyle name="Comma 3 5 3 2 2 2" xfId="3287" xr:uid="{52155463-A0B2-4F78-967D-94163A88AAC2}"/>
    <cellStyle name="Comma 3 5 3 2 2 2 2" xfId="7069" xr:uid="{82ADB780-B273-4E95-9B9E-D4731D455CE3}"/>
    <cellStyle name="Comma 3 5 3 2 2 2 2 2" xfId="14580" xr:uid="{A48460B5-FF64-4E19-91A2-EBAB157A62CF}"/>
    <cellStyle name="Comma 3 5 3 2 2 2 2 2 2" xfId="30784" xr:uid="{CDBC3038-6EEF-4241-924C-17DD3EA15893}"/>
    <cellStyle name="Comma 3 5 3 2 2 2 2 3" xfId="23273" xr:uid="{585A2A1D-996C-4725-9631-CC37F538BB09}"/>
    <cellStyle name="Comma 3 5 3 2 2 2 3" xfId="5525" xr:uid="{7120D257-DC01-4F21-B2F6-135502F878CA}"/>
    <cellStyle name="Comma 3 5 3 2 2 2 3 2" xfId="13053" xr:uid="{7E7404E6-0346-4C89-96F9-845577D5DB5B}"/>
    <cellStyle name="Comma 3 5 3 2 2 2 3 2 2" xfId="29257" xr:uid="{25066AC0-FF85-479B-88B6-872E3CBD0D09}"/>
    <cellStyle name="Comma 3 5 3 2 2 2 3 3" xfId="21729" xr:uid="{2BBDA94C-AF10-4FE8-840F-6C73A95ACA47}"/>
    <cellStyle name="Comma 3 5 3 2 2 2 4" xfId="10980" xr:uid="{BE65D497-2AB3-48AF-9E97-3E5E42239650}"/>
    <cellStyle name="Comma 3 5 3 2 2 2 4 2" xfId="27184" xr:uid="{A1ABF1EE-AD37-48FA-B7AA-3A69BB5DF56D}"/>
    <cellStyle name="Comma 3 5 3 2 2 2 5" xfId="17502" xr:uid="{E9957512-8F4B-44C1-B947-8D133FC869A1}"/>
    <cellStyle name="Comma 3 5 3 2 2 2 5 2" xfId="33634" xr:uid="{576BD8F6-38D7-4847-8CD1-401BC5BBFC6B}"/>
    <cellStyle name="Comma 3 5 3 2 2 2 6" xfId="19507" xr:uid="{996CF505-EDFA-4D9C-A78E-2B0EC8378298}"/>
    <cellStyle name="Comma 3 5 3 2 2 3" xfId="6224" xr:uid="{37A7AEEB-3E7A-4219-8226-80566E0F6046}"/>
    <cellStyle name="Comma 3 5 3 2 2 3 2" xfId="13736" xr:uid="{25AC147A-875E-49F4-8A88-5927B14284BF}"/>
    <cellStyle name="Comma 3 5 3 2 2 3 2 2" xfId="29940" xr:uid="{CA385841-0855-4E8B-A72C-68495052C17D}"/>
    <cellStyle name="Comma 3 5 3 2 2 3 3" xfId="22428" xr:uid="{441E73E5-8513-4024-A68C-96CFEDAEB93F}"/>
    <cellStyle name="Comma 3 5 3 2 2 4" xfId="9133" xr:uid="{AC1C96CA-D3F9-4482-B31D-F7DFFDC7917C}"/>
    <cellStyle name="Comma 3 5 3 2 2 4 2" xfId="16610" xr:uid="{0D8EE2C6-9C0F-4525-BED9-D9C0A18DF2F0}"/>
    <cellStyle name="Comma 3 5 3 2 2 4 2 2" xfId="32814" xr:uid="{E6EF141C-8DEC-4B27-A8DA-C2492D0A4831}"/>
    <cellStyle name="Comma 3 5 3 2 2 4 3" xfId="25337" xr:uid="{E54D0064-E001-486C-AE6C-6890E513503D}"/>
    <cellStyle name="Comma 3 5 3 2 2 5" xfId="10136" xr:uid="{033D2C79-E654-4948-99D8-B2BA59728D73}"/>
    <cellStyle name="Comma 3 5 3 2 2 5 2" xfId="26340" xr:uid="{C223D920-BC9F-4516-B298-0FDD86CAC500}"/>
    <cellStyle name="Comma 3 5 3 2 2 6" xfId="17501" xr:uid="{E817A326-5E55-4378-83E3-B592F34E1477}"/>
    <cellStyle name="Comma 3 5 3 2 2 6 2" xfId="33633" xr:uid="{D72311F0-5809-4F46-94A7-FBF41C60B912}"/>
    <cellStyle name="Comma 3 5 3 2 2 7" xfId="18662" xr:uid="{24CCE1CA-3557-46F6-8FBC-A10351062442}"/>
    <cellStyle name="Comma 3 5 3 2 3" xfId="2862" xr:uid="{34E8CB7F-66D7-411D-A16C-B49F3050EDD1}"/>
    <cellStyle name="Comma 3 5 3 2 3 2" xfId="6646" xr:uid="{ADC45D6A-F7D9-4DC0-8324-7959732B4B8D}"/>
    <cellStyle name="Comma 3 5 3 2 3 2 2" xfId="14158" xr:uid="{1CE43424-5DBF-4721-81E2-8BD3E6A8FC8B}"/>
    <cellStyle name="Comma 3 5 3 2 3 2 2 2" xfId="30362" xr:uid="{64B289EA-49E4-4A9B-B62E-F4C13C05C50B}"/>
    <cellStyle name="Comma 3 5 3 2 3 2 3" xfId="22850" xr:uid="{B40ECB94-4216-4069-884A-D5A66F14DF14}"/>
    <cellStyle name="Comma 3 5 3 2 3 3" xfId="5442" xr:uid="{2977A3AF-29FD-4926-B837-ABFD35F0BA22}"/>
    <cellStyle name="Comma 3 5 3 2 3 3 2" xfId="12985" xr:uid="{BFF0DCC6-6AE2-45C2-98B5-4525748C2A72}"/>
    <cellStyle name="Comma 3 5 3 2 3 3 2 2" xfId="29189" xr:uid="{7B1F9F92-8CDB-4192-B2CB-4FFD7AA95694}"/>
    <cellStyle name="Comma 3 5 3 2 3 3 3" xfId="21646" xr:uid="{AFC85ADC-9CA7-49E2-8DCC-87F43BDB8578}"/>
    <cellStyle name="Comma 3 5 3 2 3 4" xfId="10558" xr:uid="{D4B56134-65DC-44AC-AF98-83821E1E01F8}"/>
    <cellStyle name="Comma 3 5 3 2 3 4 2" xfId="26762" xr:uid="{E5EE8C4A-331E-4A45-A268-7FFC23170369}"/>
    <cellStyle name="Comma 3 5 3 2 3 5" xfId="17503" xr:uid="{C2D7FF28-38BA-4E2C-A90B-D9291E309B5C}"/>
    <cellStyle name="Comma 3 5 3 2 3 5 2" xfId="33635" xr:uid="{3DDA7C21-784B-4235-9807-DB3DFD4F6F21}"/>
    <cellStyle name="Comma 3 5 3 2 3 6" xfId="19084" xr:uid="{B5F256CA-CA41-4BD4-A1F0-FF6F14AE1697}"/>
    <cellStyle name="Comma 3 5 3 2 4" xfId="3793" xr:uid="{4742B960-AD2F-4339-AECE-304AE4E6087B}"/>
    <cellStyle name="Comma 3 5 3 2 4 2" xfId="7503" xr:uid="{18FECD83-85BE-43D6-A605-09A57BC83E27}"/>
    <cellStyle name="Comma 3 5 3 2 4 2 2" xfId="15012" xr:uid="{2CB0CE4D-CE81-40F2-8A1C-EA1C308904C0}"/>
    <cellStyle name="Comma 3 5 3 2 4 2 2 2" xfId="31216" xr:uid="{FB0B82D4-A50E-4376-BB2D-ABD5B9EE9D58}"/>
    <cellStyle name="Comma 3 5 3 2 4 2 3" xfId="23707" xr:uid="{E82C740A-7829-4D70-8D16-1055AACD687D}"/>
    <cellStyle name="Comma 3 5 3 2 4 3" xfId="5248" xr:uid="{86B4973A-8AB0-4561-A621-33331588E8AC}"/>
    <cellStyle name="Comma 3 5 3 2 4 3 2" xfId="12798" xr:uid="{8352120A-F3CA-48C6-BB8F-ABD8FEA4FFE4}"/>
    <cellStyle name="Comma 3 5 3 2 4 3 2 2" xfId="29002" xr:uid="{81A2FF5B-A2B5-4380-9BF0-F51AA00A2E4B}"/>
    <cellStyle name="Comma 3 5 3 2 4 3 3" xfId="21452" xr:uid="{8FC053DC-3FEE-4B3B-A920-15102B7D574F}"/>
    <cellStyle name="Comma 3 5 3 2 4 4" xfId="11403" xr:uid="{AF7266C3-B66A-4E92-892E-0B0456651BF9}"/>
    <cellStyle name="Comma 3 5 3 2 4 4 2" xfId="27607" xr:uid="{D1FC5BCD-2974-4951-94E8-F0C4A04EB6EE}"/>
    <cellStyle name="Comma 3 5 3 2 4 5" xfId="17504" xr:uid="{DB15AB3D-0149-4ADA-B3BE-5D803D7D09E9}"/>
    <cellStyle name="Comma 3 5 3 2 4 5 2" xfId="33636" xr:uid="{C2D947A9-6DC8-4BBA-9CBE-FBD6A936E018}"/>
    <cellStyle name="Comma 3 5 3 2 4 6" xfId="20002" xr:uid="{01934CFF-3FCE-4181-8631-9CBE768D5D22}"/>
    <cellStyle name="Comma 3 5 3 2 5" xfId="3906" xr:uid="{D95F324A-F6D6-45FA-BB31-87E44B91D752}"/>
    <cellStyle name="Comma 3 5 3 2 5 2" xfId="7593" xr:uid="{8C84F7C4-6A7B-439D-9146-B0248F5FD53F}"/>
    <cellStyle name="Comma 3 5 3 2 5 2 2" xfId="23797" xr:uid="{D2E63382-C381-428B-9F92-6B26DB03CD3A}"/>
    <cellStyle name="Comma 3 5 3 2 5 3" xfId="17505" xr:uid="{44BB2FC6-1752-41A4-A9B6-0E121E481A7E}"/>
    <cellStyle name="Comma 3 5 3 2 5 3 2" xfId="33637" xr:uid="{53F95EE6-2353-44CC-B028-1F2698CB2D26}"/>
    <cellStyle name="Comma 3 5 3 2 5 4" xfId="20115" xr:uid="{BDF87C07-23F6-4563-878D-CA6B7E051ECE}"/>
    <cellStyle name="Comma 3 5 3 2 6" xfId="4262" xr:uid="{EB144919-596C-408F-98C6-DA4467ADDC02}"/>
    <cellStyle name="Comma 3 5 3 2 6 2" xfId="7932" xr:uid="{9F3A4504-25D1-47CA-BF6B-7AFD4CBD2C86}"/>
    <cellStyle name="Comma 3 5 3 2 6 2 2" xfId="15439" xr:uid="{F3D9A3C9-0DFB-463B-9488-10697DF3FE6C}"/>
    <cellStyle name="Comma 3 5 3 2 6 2 2 2" xfId="31643" xr:uid="{EA4381DE-960E-4AC7-9E2B-C8F74A520F1A}"/>
    <cellStyle name="Comma 3 5 3 2 6 2 3" xfId="24136" xr:uid="{7D5B5804-4EE5-4C10-BE90-0F15E9044864}"/>
    <cellStyle name="Comma 3 5 3 2 6 3" xfId="8892" xr:uid="{B27E4778-8D32-4A27-A370-0A3726FFC107}"/>
    <cellStyle name="Comma 3 5 3 2 6 3 2" xfId="16395" xr:uid="{42F7BCF6-D62C-45C1-9DD0-DC5AD0E035E1}"/>
    <cellStyle name="Comma 3 5 3 2 6 3 2 2" xfId="32599" xr:uid="{9EAFE8D5-47EF-47B0-A5E0-D609E074581D}"/>
    <cellStyle name="Comma 3 5 3 2 6 3 3" xfId="25096" xr:uid="{5FDB1A26-9146-4C13-879B-73BF196E80BA}"/>
    <cellStyle name="Comma 3 5 3 2 6 4" xfId="11825" xr:uid="{F7A673D9-3606-420B-8F69-BEC51E3DCA03}"/>
    <cellStyle name="Comma 3 5 3 2 6 4 2" xfId="28029" xr:uid="{4C0F6D89-6B20-4D50-B404-ED6390890F28}"/>
    <cellStyle name="Comma 3 5 3 2 6 5" xfId="17506" xr:uid="{4636FD5E-9774-4FE2-B54C-134035FF9B7B}"/>
    <cellStyle name="Comma 3 5 3 2 6 5 2" xfId="33638" xr:uid="{B5D9772A-224B-4BB6-828C-F319CD2E4E93}"/>
    <cellStyle name="Comma 3 5 3 2 6 6" xfId="20466" xr:uid="{930BAAF4-ED3F-4DC1-B4F9-CEF50414EB02}"/>
    <cellStyle name="Comma 3 5 3 2 7" xfId="4687" xr:uid="{B31D6D10-1864-46A4-9B78-89347FF2778D}"/>
    <cellStyle name="Comma 3 5 3 2 7 2" xfId="8357" xr:uid="{1504D892-E7D1-4B58-9C84-C20226886825}"/>
    <cellStyle name="Comma 3 5 3 2 7 2 2" xfId="15864" xr:uid="{8B6B978C-9AE1-494C-813A-15ABE423E112}"/>
    <cellStyle name="Comma 3 5 3 2 7 2 2 2" xfId="32068" xr:uid="{E6FA27A0-9FB8-4181-9BA7-3389695FF171}"/>
    <cellStyle name="Comma 3 5 3 2 7 2 3" xfId="24561" xr:uid="{4DC4A05F-C712-4280-9B7E-84FA6F6161F9}"/>
    <cellStyle name="Comma 3 5 3 2 7 3" xfId="5476" xr:uid="{11578320-2F3D-464A-8B13-516E84978258}"/>
    <cellStyle name="Comma 3 5 3 2 7 3 2" xfId="13014" xr:uid="{D27EAA6D-9BE0-4AD8-99E4-127E7746C4AF}"/>
    <cellStyle name="Comma 3 5 3 2 7 3 2 2" xfId="29218" xr:uid="{88CB110F-F7F5-4622-82C6-F32664758303}"/>
    <cellStyle name="Comma 3 5 3 2 7 3 3" xfId="21680" xr:uid="{C0406508-F040-483C-87CB-CF95B460F21D}"/>
    <cellStyle name="Comma 3 5 3 2 7 4" xfId="12250" xr:uid="{A81FF93D-568A-4E87-A90D-DE8700394B72}"/>
    <cellStyle name="Comma 3 5 3 2 7 4 2" xfId="28454" xr:uid="{22ADF2BD-8A34-4D75-8D71-3F911959FF01}"/>
    <cellStyle name="Comma 3 5 3 2 7 5" xfId="17507" xr:uid="{A3359EA7-F8E8-4205-A90D-2A8C4C5E7CDC}"/>
    <cellStyle name="Comma 3 5 3 2 7 5 2" xfId="33639" xr:uid="{48908675-DD67-4B4E-BADD-C1BEB5609CA8}"/>
    <cellStyle name="Comma 3 5 3 2 7 6" xfId="20891" xr:uid="{99B0A3F6-5869-4EA8-9D74-80819DCE81D2}"/>
    <cellStyle name="Comma 3 5 3 2 8" xfId="5115" xr:uid="{8BA9D6B4-9EE1-4712-A466-93B3B7865655}"/>
    <cellStyle name="Comma 3 5 3 2 8 2" xfId="8780" xr:uid="{3100B28A-75AF-47B9-A467-BE4458370803}"/>
    <cellStyle name="Comma 3 5 3 2 8 2 2" xfId="16287" xr:uid="{B0EFB956-F3DF-4EDB-BFBB-2ADB9996B555}"/>
    <cellStyle name="Comma 3 5 3 2 8 2 2 2" xfId="32491" xr:uid="{BF97DB5B-817B-4CAA-87D2-67A59A5C328D}"/>
    <cellStyle name="Comma 3 5 3 2 8 2 3" xfId="24984" xr:uid="{4EFD913A-38BE-4B7C-B94E-D2CBB1D1720A}"/>
    <cellStyle name="Comma 3 5 3 2 8 3" xfId="12672" xr:uid="{2FC00530-465A-4F11-86DB-4AD3A9AAEAF9}"/>
    <cellStyle name="Comma 3 5 3 2 8 3 2" xfId="28876" xr:uid="{FE562E41-B8EC-45C9-8F8F-0219CC52963B}"/>
    <cellStyle name="Comma 3 5 3 2 8 4" xfId="21319" xr:uid="{35D185CA-30B5-46EF-8260-7B95CCD1E0CF}"/>
    <cellStyle name="Comma 3 5 3 2 9" xfId="5786" xr:uid="{CB58DA9C-07D5-4BAE-9EF8-6AB5F0031B75}"/>
    <cellStyle name="Comma 3 5 3 2 9 2" xfId="13301" xr:uid="{E17566E6-77AE-4717-BAA0-FE8BE514E0DD}"/>
    <cellStyle name="Comma 3 5 3 2 9 2 2" xfId="29505" xr:uid="{5EFA691D-723C-4823-9D6E-D2D0F9AC9A8B}"/>
    <cellStyle name="Comma 3 5 3 2 9 3" xfId="21990" xr:uid="{8FFA0C69-854F-4660-9604-7DDCEF3B4CE1}"/>
    <cellStyle name="Comma 3 5 3 3" xfId="2283" xr:uid="{ED1F4163-D919-4698-A524-CE2B9DD543CF}"/>
    <cellStyle name="Comma 3 5 3 3 2" xfId="3132" xr:uid="{58526378-6A51-4C4B-80F1-33A380243903}"/>
    <cellStyle name="Comma 3 5 3 3 2 2" xfId="6914" xr:uid="{F774454A-9121-48CA-BBA8-2DF53BDC6C75}"/>
    <cellStyle name="Comma 3 5 3 3 2 2 2" xfId="14425" xr:uid="{E704CBBB-7244-41B5-8DF3-E8CF367CA761}"/>
    <cellStyle name="Comma 3 5 3 3 2 2 2 2" xfId="30629" xr:uid="{A811D0E9-C0AD-4825-9C37-1D0DDA7B766E}"/>
    <cellStyle name="Comma 3 5 3 3 2 2 3" xfId="23118" xr:uid="{A0F7DBB0-34CD-480C-A991-ABBB70A4E8FE}"/>
    <cellStyle name="Comma 3 5 3 3 2 3" xfId="5424" xr:uid="{A9AC83DE-A764-4AD4-AC19-B0F2874CD6D0}"/>
    <cellStyle name="Comma 3 5 3 3 2 3 2" xfId="12970" xr:uid="{D68CB314-A71E-4411-A74A-6B2D52EA4A1D}"/>
    <cellStyle name="Comma 3 5 3 3 2 3 2 2" xfId="29174" xr:uid="{5A498ECC-E237-4C53-B0AC-D1900B859508}"/>
    <cellStyle name="Comma 3 5 3 3 2 3 3" xfId="21628" xr:uid="{906C087C-D97F-4612-AC56-7B8C11ABF7C3}"/>
    <cellStyle name="Comma 3 5 3 3 2 4" xfId="10825" xr:uid="{AF16CB8E-78DC-4134-99CC-283FFD527690}"/>
    <cellStyle name="Comma 3 5 3 3 2 4 2" xfId="27029" xr:uid="{BAED2AE1-CF01-44E9-9876-0E3DDD652FFD}"/>
    <cellStyle name="Comma 3 5 3 3 2 5" xfId="17509" xr:uid="{0AB7CF91-7278-43F5-80FB-449161752C0C}"/>
    <cellStyle name="Comma 3 5 3 3 2 5 2" xfId="33641" xr:uid="{096A8845-4571-4EC2-BD4B-1EF8712E2DE9}"/>
    <cellStyle name="Comma 3 5 3 3 2 6" xfId="19352" xr:uid="{2F924E19-C6F7-422B-835E-328D7E4EE5EE}"/>
    <cellStyle name="Comma 3 5 3 3 3" xfId="6069" xr:uid="{41EC341B-AF27-449A-9973-7DDB004EB04D}"/>
    <cellStyle name="Comma 3 5 3 3 3 2" xfId="13581" xr:uid="{AA537B03-382A-42D2-BFDE-4C602366FF13}"/>
    <cellStyle name="Comma 3 5 3 3 3 2 2" xfId="29785" xr:uid="{82B15878-49FA-41AB-8B9A-8AD9D24392BC}"/>
    <cellStyle name="Comma 3 5 3 3 3 3" xfId="22273" xr:uid="{D4502CAA-6A8A-41C8-B6CB-F17DDA2C186C}"/>
    <cellStyle name="Comma 3 5 3 3 4" xfId="9347" xr:uid="{57BCADED-7619-46C6-891B-86CF26A9792F}"/>
    <cellStyle name="Comma 3 5 3 3 4 2" xfId="16790" xr:uid="{8D59F7C1-9C43-4036-8CF7-CFCC43D84E83}"/>
    <cellStyle name="Comma 3 5 3 3 4 2 2" xfId="32994" xr:uid="{76200D1F-D8CC-412E-806C-A6BEE48AD742}"/>
    <cellStyle name="Comma 3 5 3 3 4 3" xfId="25551" xr:uid="{8AE3FB39-FC58-450C-BD2D-DA05286138F9}"/>
    <cellStyle name="Comma 3 5 3 3 5" xfId="9981" xr:uid="{E3E243AF-6FA8-42BF-8A93-4336C4975C47}"/>
    <cellStyle name="Comma 3 5 3 3 5 2" xfId="26185" xr:uid="{ADD8F5C3-9006-4BCF-B6D1-8B0D37574452}"/>
    <cellStyle name="Comma 3 5 3 3 6" xfId="17508" xr:uid="{1AFE115E-53FA-4A5D-96F4-D9024FC0F6C1}"/>
    <cellStyle name="Comma 3 5 3 3 6 2" xfId="33640" xr:uid="{717C758E-D611-4CFC-95EE-8BABBD19F0AF}"/>
    <cellStyle name="Comma 3 5 3 3 7" xfId="18507" xr:uid="{7B2FD65B-6DB1-4A58-B2A9-0BE58E4C0CD8}"/>
    <cellStyle name="Comma 3 5 3 4" xfId="2707" xr:uid="{7D06944D-521D-45F2-8FE2-68C02866D6F7}"/>
    <cellStyle name="Comma 3 5 3 4 2" xfId="6491" xr:uid="{1C7C2F44-186D-4032-920C-4E956188B78F}"/>
    <cellStyle name="Comma 3 5 3 4 2 2" xfId="14003" xr:uid="{A40169EE-903F-4107-8C9A-5CFB03CE13D5}"/>
    <cellStyle name="Comma 3 5 3 4 2 2 2" xfId="30207" xr:uid="{4F8E4E3B-2132-4469-9E1A-6DB6D54B3C3C}"/>
    <cellStyle name="Comma 3 5 3 4 2 3" xfId="22695" xr:uid="{A33F0635-E074-4BEA-82F4-024EDF047A62}"/>
    <cellStyle name="Comma 3 5 3 4 3" xfId="5436" xr:uid="{E5260FDF-A057-48E9-9059-0014D8C677C4}"/>
    <cellStyle name="Comma 3 5 3 4 3 2" xfId="12979" xr:uid="{FFAD9150-3EC5-4AE5-BA3F-3D4A4AE8A108}"/>
    <cellStyle name="Comma 3 5 3 4 3 2 2" xfId="29183" xr:uid="{8C7D37D9-1A7A-4016-AD0D-559A6D97CE8B}"/>
    <cellStyle name="Comma 3 5 3 4 3 3" xfId="21640" xr:uid="{3DF3CE25-3831-42D4-B2A5-237B5A98E825}"/>
    <cellStyle name="Comma 3 5 3 4 4" xfId="10403" xr:uid="{A88F3D91-1C2E-4785-A49C-57E283383976}"/>
    <cellStyle name="Comma 3 5 3 4 4 2" xfId="26607" xr:uid="{AD032920-B525-4D6A-A730-1852F8BE2241}"/>
    <cellStyle name="Comma 3 5 3 4 5" xfId="17510" xr:uid="{D9AE7A15-0AC8-435F-839E-A16965BD547E}"/>
    <cellStyle name="Comma 3 5 3 4 5 2" xfId="33642" xr:uid="{23F9497C-F648-462C-A399-46694485B107}"/>
    <cellStyle name="Comma 3 5 3 4 6" xfId="18929" xr:uid="{E2B87ECF-F973-4163-AE76-05F57D24AE25}"/>
    <cellStyle name="Comma 3 5 3 5" xfId="3637" xr:uid="{7E43968D-5EBE-4B8C-A756-3BFCFA2389DB}"/>
    <cellStyle name="Comma 3 5 3 5 2" xfId="7347" xr:uid="{37B1D4DA-298A-4F54-B6A2-EAE21003E9E5}"/>
    <cellStyle name="Comma 3 5 3 5 2 2" xfId="14856" xr:uid="{6A2BB4A8-BC77-417C-A026-22C903E967FA}"/>
    <cellStyle name="Comma 3 5 3 5 2 2 2" xfId="31060" xr:uid="{59931CAB-9EAE-44E3-9D56-2A8B0AC5076D}"/>
    <cellStyle name="Comma 3 5 3 5 2 3" xfId="23551" xr:uid="{6F448C42-6994-4DE3-A7A5-E9D6A9290748}"/>
    <cellStyle name="Comma 3 5 3 5 3" xfId="5535" xr:uid="{03FC04AC-0EC4-4989-A7F1-A3AD7B912363}"/>
    <cellStyle name="Comma 3 5 3 5 3 2" xfId="13061" xr:uid="{C52E52C8-07E6-44BE-8840-DB1EF06F8EA1}"/>
    <cellStyle name="Comma 3 5 3 5 3 2 2" xfId="29265" xr:uid="{0C7DB8FF-1BDF-4810-A3C2-4A8FE42A9E3F}"/>
    <cellStyle name="Comma 3 5 3 5 3 3" xfId="21739" xr:uid="{0941B0FE-3C7B-4AE7-B9EA-B7BE60C971D6}"/>
    <cellStyle name="Comma 3 5 3 5 4" xfId="11248" xr:uid="{803264C2-4F44-4ABF-9E5A-AD5477E87DBE}"/>
    <cellStyle name="Comma 3 5 3 5 4 2" xfId="27452" xr:uid="{AD0918D6-CD6E-413C-90B4-606DC8A696B0}"/>
    <cellStyle name="Comma 3 5 3 5 5" xfId="17511" xr:uid="{424F1C2B-9CDF-466F-8A7F-4B80C97162FE}"/>
    <cellStyle name="Comma 3 5 3 5 5 2" xfId="33643" xr:uid="{8A896E46-1A45-4A9F-83B2-0B954559A914}"/>
    <cellStyle name="Comma 3 5 3 5 6" xfId="19846" xr:uid="{59688BEF-F7FB-4C3B-A281-D93DA69D8E62}"/>
    <cellStyle name="Comma 3 5 3 6" xfId="3890" xr:uid="{DEC54422-DF3C-4B13-99AC-676CA0B6D8B8}"/>
    <cellStyle name="Comma 3 5 3 6 2" xfId="5588" xr:uid="{9433F19D-E549-404F-B5D1-C6C5E0704D38}"/>
    <cellStyle name="Comma 3 5 3 6 2 2" xfId="21792" xr:uid="{B2A4B5EA-3065-46EC-8076-2C52CFB4C59A}"/>
    <cellStyle name="Comma 3 5 3 6 3" xfId="17512" xr:uid="{81936EA6-AD07-4825-B2BD-5AB77AC1BFF1}"/>
    <cellStyle name="Comma 3 5 3 6 3 2" xfId="33644" xr:uid="{A89FD36E-CE93-4879-8056-D71DE54D4D1D}"/>
    <cellStyle name="Comma 3 5 3 6 4" xfId="20099" xr:uid="{DA75A7E5-191B-41FB-AE8F-102E57AB4C8E}"/>
    <cellStyle name="Comma 3 5 3 7" xfId="4107" xr:uid="{3553FD87-CEF1-4E6E-AEE8-DFC0B902EDC5}"/>
    <cellStyle name="Comma 3 5 3 7 2" xfId="7777" xr:uid="{208F2E5B-D534-461B-A20A-EB86E1B51AA7}"/>
    <cellStyle name="Comma 3 5 3 7 2 2" xfId="15284" xr:uid="{92E26165-5274-407E-B2A4-FD5939332B9B}"/>
    <cellStyle name="Comma 3 5 3 7 2 2 2" xfId="31488" xr:uid="{BF1C9CAC-2367-4856-87C3-5279369AD0CC}"/>
    <cellStyle name="Comma 3 5 3 7 2 3" xfId="23981" xr:uid="{90F721F6-5C29-4DC5-93DE-C6AD7144B154}"/>
    <cellStyle name="Comma 3 5 3 7 3" xfId="9359" xr:uid="{AB0ED80F-FDB3-4FBE-A970-CDA791587FFD}"/>
    <cellStyle name="Comma 3 5 3 7 3 2" xfId="16801" xr:uid="{B803DA73-6598-4EC1-9F2C-A1BD543206BD}"/>
    <cellStyle name="Comma 3 5 3 7 3 2 2" xfId="33005" xr:uid="{2DFA0AB6-C3BB-4916-A226-5EB53C3154DF}"/>
    <cellStyle name="Comma 3 5 3 7 3 3" xfId="25563" xr:uid="{103E3944-C267-4FBF-A1EE-FF88142B2BA1}"/>
    <cellStyle name="Comma 3 5 3 7 4" xfId="11670" xr:uid="{EB177DB9-F0D6-43F1-948F-7F6C788EE68C}"/>
    <cellStyle name="Comma 3 5 3 7 4 2" xfId="27874" xr:uid="{11D46779-6057-474C-816B-8A9F14A1FA08}"/>
    <cellStyle name="Comma 3 5 3 7 5" xfId="17513" xr:uid="{BD6AB729-6A21-4444-B925-8F07634B7663}"/>
    <cellStyle name="Comma 3 5 3 7 5 2" xfId="33645" xr:uid="{55BF7054-BD2B-4B73-B7D4-CE6BF083044D}"/>
    <cellStyle name="Comma 3 5 3 7 6" xfId="20311" xr:uid="{6C24F66C-B398-4004-B7B8-E79906527A5E}"/>
    <cellStyle name="Comma 3 5 3 8" xfId="4532" xr:uid="{66C0FE6B-B11B-4B25-AC2B-1B4B3FCE38CA}"/>
    <cellStyle name="Comma 3 5 3 8 2" xfId="8202" xr:uid="{C651568B-CEE4-4924-AEC4-9B0C9474F865}"/>
    <cellStyle name="Comma 3 5 3 8 2 2" xfId="15709" xr:uid="{BCFD03F1-882F-42EC-B104-46973C0398FD}"/>
    <cellStyle name="Comma 3 5 3 8 2 2 2" xfId="31913" xr:uid="{1E70F4AA-C199-443F-94D3-99859EE21F4C}"/>
    <cellStyle name="Comma 3 5 3 8 2 3" xfId="24406" xr:uid="{CC470A50-5C0E-4582-B07D-B928C8403A3D}"/>
    <cellStyle name="Comma 3 5 3 8 3" xfId="5607" xr:uid="{EB315611-D752-417D-9D72-F3885C232D68}"/>
    <cellStyle name="Comma 3 5 3 8 3 2" xfId="13122" xr:uid="{4F634285-F57B-41DB-A939-947349D32208}"/>
    <cellStyle name="Comma 3 5 3 8 3 2 2" xfId="29326" xr:uid="{67C5890C-CE64-4B7C-84D6-0D6C665AE691}"/>
    <cellStyle name="Comma 3 5 3 8 3 3" xfId="21811" xr:uid="{00DBA249-90B7-4B31-9878-72145782701B}"/>
    <cellStyle name="Comma 3 5 3 8 4" xfId="12095" xr:uid="{36C906BB-D20E-4CBD-9A8D-83914E7265C0}"/>
    <cellStyle name="Comma 3 5 3 8 4 2" xfId="28299" xr:uid="{BC3B55DE-04DC-48E8-B3D6-B41FDDEDC66E}"/>
    <cellStyle name="Comma 3 5 3 8 5" xfId="17514" xr:uid="{49469942-B80E-4009-BBA7-915EED8A2033}"/>
    <cellStyle name="Comma 3 5 3 8 5 2" xfId="33646" xr:uid="{F37D7CCB-245A-4A8B-9AF4-6AFA4BE757BB}"/>
    <cellStyle name="Comma 3 5 3 8 6" xfId="20736" xr:uid="{FFE523D6-DF27-425A-AC82-E58BB51CEA4A}"/>
    <cellStyle name="Comma 3 5 3 9" xfId="4959" xr:uid="{C400402A-97E6-4FCF-A23A-0CC2344E794E}"/>
    <cellStyle name="Comma 3 5 3 9 2" xfId="8625" xr:uid="{B3C7A1BF-C272-4CA0-B1B7-4472BD01A21A}"/>
    <cellStyle name="Comma 3 5 3 9 2 2" xfId="16132" xr:uid="{4D84E00C-1E85-4F32-88FE-A0E59EB9A0BB}"/>
    <cellStyle name="Comma 3 5 3 9 2 2 2" xfId="32336" xr:uid="{FC8A175A-14E6-4D7A-A9A4-E75E6877944C}"/>
    <cellStyle name="Comma 3 5 3 9 2 3" xfId="24829" xr:uid="{BDB310BC-4473-4404-8FC1-D260484D8253}"/>
    <cellStyle name="Comma 3 5 3 9 3" xfId="12517" xr:uid="{BCA93735-7822-4CFC-8DCA-B389EAA0336B}"/>
    <cellStyle name="Comma 3 5 3 9 3 2" xfId="28721" xr:uid="{99734F9F-32E5-4FB3-A9D8-A0CECD9C9BB9}"/>
    <cellStyle name="Comma 3 5 3 9 4" xfId="21163" xr:uid="{070277CD-86FB-4C75-A236-245005044089}"/>
    <cellStyle name="Comma 3 5 4" xfId="1783" xr:uid="{774CC25F-4E97-4B45-9E8C-7B3FF13F1F2E}"/>
    <cellStyle name="Comma 3 5 4 10" xfId="5644" xr:uid="{766DAB12-300D-4FC0-9ABF-BB74AEF65628}"/>
    <cellStyle name="Comma 3 5 4 10 2" xfId="13159" xr:uid="{064C45A2-2C90-4564-8754-1AFE6817B2A5}"/>
    <cellStyle name="Comma 3 5 4 10 2 2" xfId="29363" xr:uid="{7BA412DD-E145-4D2B-AA8E-4F354430EB9E}"/>
    <cellStyle name="Comma 3 5 4 10 3" xfId="21848" xr:uid="{A1D6DA31-B44F-4455-8AFA-4AD60CDC17E3}"/>
    <cellStyle name="Comma 3 5 4 11" xfId="9572" xr:uid="{7DC69B88-94EA-4F09-AF98-C392B2D16EBB}"/>
    <cellStyle name="Comma 3 5 4 11 2" xfId="25776" xr:uid="{729E4231-4B52-4D9E-A092-3B59F7815B24}"/>
    <cellStyle name="Comma 3 5 4 12" xfId="17515" xr:uid="{B008CEB4-896A-4F63-B7BD-05565C42273C}"/>
    <cellStyle name="Comma 3 5 4 12 2" xfId="33647" xr:uid="{E4A0934A-9DD4-4291-AEBA-20DDC4EF8E33}"/>
    <cellStyle name="Comma 3 5 4 13" xfId="18095" xr:uid="{5B2FCFC3-1081-40E1-8B60-79979D1C550A}"/>
    <cellStyle name="Comma 3 5 4 2" xfId="1934" xr:uid="{BC0F40FA-0AC4-4089-97C6-2878AFD4E991}"/>
    <cellStyle name="Comma 3 5 4 2 10" xfId="9714" xr:uid="{A322171A-B6B4-4679-835F-D8CA25DD69B8}"/>
    <cellStyle name="Comma 3 5 4 2 10 2" xfId="25918" xr:uid="{C3CAAD29-AAD6-4853-9A37-7C9E4011BE54}"/>
    <cellStyle name="Comma 3 5 4 2 11" xfId="17516" xr:uid="{E1AF4CC0-F6B7-44D0-8D1A-4297096F023B}"/>
    <cellStyle name="Comma 3 5 4 2 11 2" xfId="33648" xr:uid="{0198BEA3-128A-4F44-B57B-2F94CDDD54EC}"/>
    <cellStyle name="Comma 3 5 4 2 12" xfId="18238" xr:uid="{96F81C15-FAE1-4F20-B19E-CFCC2811E75A}"/>
    <cellStyle name="Comma 3 5 4 2 2" xfId="2441" xr:uid="{C4D9EBC3-49EA-41DD-9B06-3C3A7B0B4A93}"/>
    <cellStyle name="Comma 3 5 4 2 2 2" xfId="3288" xr:uid="{E3EA7BCC-5D0A-4CD6-BD09-0485251C9250}"/>
    <cellStyle name="Comma 3 5 4 2 2 2 2" xfId="7070" xr:uid="{F7C7036B-8572-4520-ACB7-03FF4A4B34CF}"/>
    <cellStyle name="Comma 3 5 4 2 2 2 2 2" xfId="14581" xr:uid="{1BA347C8-ABD2-4F5E-990E-768A8780FA36}"/>
    <cellStyle name="Comma 3 5 4 2 2 2 2 2 2" xfId="30785" xr:uid="{C5113E5A-0D88-4C1A-9503-560D860AF5B1}"/>
    <cellStyle name="Comma 3 5 4 2 2 2 2 3" xfId="23274" xr:uid="{03194350-222D-4577-8939-C428182B52F7}"/>
    <cellStyle name="Comma 3 5 4 2 2 2 3" xfId="8945" xr:uid="{206DE9E5-965C-4FFA-BDAA-6739D638E732}"/>
    <cellStyle name="Comma 3 5 4 2 2 2 3 2" xfId="16443" xr:uid="{210BFE50-44CB-44D4-8AEE-6D29E41AC4CC}"/>
    <cellStyle name="Comma 3 5 4 2 2 2 3 2 2" xfId="32647" xr:uid="{8E6E4450-FDF5-4D3B-9F83-6B2AA13B8D6F}"/>
    <cellStyle name="Comma 3 5 4 2 2 2 3 3" xfId="25149" xr:uid="{A3D1E844-0070-4DBD-A096-8271EA43419B}"/>
    <cellStyle name="Comma 3 5 4 2 2 2 4" xfId="10981" xr:uid="{0FE7D8AA-033F-444E-8CD3-FADF9333ADCC}"/>
    <cellStyle name="Comma 3 5 4 2 2 2 4 2" xfId="27185" xr:uid="{E7C705BA-3A73-4E19-9E3D-91FADEAB28FD}"/>
    <cellStyle name="Comma 3 5 4 2 2 2 5" xfId="17518" xr:uid="{65355244-6624-41FC-8DB2-4CDAAC71A473}"/>
    <cellStyle name="Comma 3 5 4 2 2 2 5 2" xfId="33650" xr:uid="{A6805FA1-5C5C-4D12-85E0-A0953FBB867D}"/>
    <cellStyle name="Comma 3 5 4 2 2 2 6" xfId="19508" xr:uid="{CF83B284-40A2-4C1C-964B-098DF1C465FF}"/>
    <cellStyle name="Comma 3 5 4 2 2 3" xfId="6225" xr:uid="{4948C2DD-E60F-4446-89A6-2801B202ABAA}"/>
    <cellStyle name="Comma 3 5 4 2 2 3 2" xfId="13737" xr:uid="{5E20CFBF-705A-4CBF-B642-150A60981547}"/>
    <cellStyle name="Comma 3 5 4 2 2 3 2 2" xfId="29941" xr:uid="{E2AD7FA2-3F7C-4E26-B6EF-530B607CD49E}"/>
    <cellStyle name="Comma 3 5 4 2 2 3 3" xfId="22429" xr:uid="{42A07C58-93F1-49AF-98C9-4DF0FA857D8F}"/>
    <cellStyle name="Comma 3 5 4 2 2 4" xfId="9165" xr:uid="{F5D5C40A-8390-434B-9C6A-51A8768CF499}"/>
    <cellStyle name="Comma 3 5 4 2 2 4 2" xfId="16639" xr:uid="{401B9D9B-FA12-4545-B3B5-FA5F5EA21E67}"/>
    <cellStyle name="Comma 3 5 4 2 2 4 2 2" xfId="32843" xr:uid="{BF966507-E7BF-478F-8279-D8CD60AB195F}"/>
    <cellStyle name="Comma 3 5 4 2 2 4 3" xfId="25369" xr:uid="{5A52B332-7CEE-4662-895D-7D94B015E614}"/>
    <cellStyle name="Comma 3 5 4 2 2 5" xfId="10137" xr:uid="{B5204F09-70D0-44DE-9732-F04823CE1B35}"/>
    <cellStyle name="Comma 3 5 4 2 2 5 2" xfId="26341" xr:uid="{4D0F29F2-7B98-4B54-A480-CCDB7F9E2DB3}"/>
    <cellStyle name="Comma 3 5 4 2 2 6" xfId="17517" xr:uid="{3AFC5F24-55DD-473A-967A-F330C98E00FC}"/>
    <cellStyle name="Comma 3 5 4 2 2 6 2" xfId="33649" xr:uid="{BF2BE324-CFAA-426A-A9E6-56C063C70A2F}"/>
    <cellStyle name="Comma 3 5 4 2 2 7" xfId="18663" xr:uid="{4BABE76B-858A-479E-8CDA-1852DE6EE4E0}"/>
    <cellStyle name="Comma 3 5 4 2 3" xfId="2863" xr:uid="{F9C9722B-AE99-4CDE-85F5-8F0CFEFDC7EE}"/>
    <cellStyle name="Comma 3 5 4 2 3 2" xfId="6647" xr:uid="{207A1002-1FBC-4C70-8E5A-5C846A70A919}"/>
    <cellStyle name="Comma 3 5 4 2 3 2 2" xfId="14159" xr:uid="{FF88F0D5-F35C-4825-A34C-946284661509}"/>
    <cellStyle name="Comma 3 5 4 2 3 2 2 2" xfId="30363" xr:uid="{2DF7EB5D-5660-4BE8-A098-C0D8E59E34BC}"/>
    <cellStyle name="Comma 3 5 4 2 3 2 3" xfId="22851" xr:uid="{96D9450B-4F71-4FBB-8414-AF99A37584A7}"/>
    <cellStyle name="Comma 3 5 4 2 3 3" xfId="9268" xr:uid="{AEAE5E97-8981-4304-82D6-B2C89D98C185}"/>
    <cellStyle name="Comma 3 5 4 2 3 3 2" xfId="16728" xr:uid="{60867C03-2E54-4FAA-BB02-CAA35C88954D}"/>
    <cellStyle name="Comma 3 5 4 2 3 3 2 2" xfId="32932" xr:uid="{BC1299A6-D61A-4901-965D-4B17A86A4CA2}"/>
    <cellStyle name="Comma 3 5 4 2 3 3 3" xfId="25472" xr:uid="{149C80FF-3BDD-4CBD-A773-62DE04C9B16E}"/>
    <cellStyle name="Comma 3 5 4 2 3 4" xfId="10559" xr:uid="{2877FFA2-D0F2-489F-9ED4-5161468F8D66}"/>
    <cellStyle name="Comma 3 5 4 2 3 4 2" xfId="26763" xr:uid="{62FBB6F7-182D-4570-B79F-00B42D2373E4}"/>
    <cellStyle name="Comma 3 5 4 2 3 5" xfId="17519" xr:uid="{643F0A84-ED4E-4A9A-A9E1-3356683FD7C2}"/>
    <cellStyle name="Comma 3 5 4 2 3 5 2" xfId="33651" xr:uid="{548B81C7-D1EA-4C5B-AF5F-6382996D1D37}"/>
    <cellStyle name="Comma 3 5 4 2 3 6" xfId="19085" xr:uid="{F2E0F4F4-CE78-4DB0-9A80-FD0D0D3A50B1}"/>
    <cellStyle name="Comma 3 5 4 2 4" xfId="3794" xr:uid="{93686C13-07D6-4ADF-A796-9B315F3758A0}"/>
    <cellStyle name="Comma 3 5 4 2 4 2" xfId="7504" xr:uid="{BEA9E95F-9DAE-4DAB-B78A-43E377124A0B}"/>
    <cellStyle name="Comma 3 5 4 2 4 2 2" xfId="15013" xr:uid="{F0F82426-6675-4AD2-91FC-7B307CFD1436}"/>
    <cellStyle name="Comma 3 5 4 2 4 2 2 2" xfId="31217" xr:uid="{79227323-867F-4A09-BA8C-F7FB7EAB0820}"/>
    <cellStyle name="Comma 3 5 4 2 4 2 3" xfId="23708" xr:uid="{5C0DB0FC-BEF1-438D-B900-A99F50FD06B2}"/>
    <cellStyle name="Comma 3 5 4 2 4 3" xfId="8881" xr:uid="{DB31062F-1D0C-4FE2-B904-A29AAF1ADD22}"/>
    <cellStyle name="Comma 3 5 4 2 4 3 2" xfId="16386" xr:uid="{7A44AC31-21A3-42AE-99B6-DE743F677528}"/>
    <cellStyle name="Comma 3 5 4 2 4 3 2 2" xfId="32590" xr:uid="{C72B42D3-301E-4EE0-A4CB-AEE7F8F95DDB}"/>
    <cellStyle name="Comma 3 5 4 2 4 3 3" xfId="25085" xr:uid="{FE315B27-3C37-4687-B3B1-9A9539FDD743}"/>
    <cellStyle name="Comma 3 5 4 2 4 4" xfId="11404" xr:uid="{D12AE0D6-F0E8-49B2-8CC9-E8E91B53F06D}"/>
    <cellStyle name="Comma 3 5 4 2 4 4 2" xfId="27608" xr:uid="{BBA3AC74-6E7F-4053-A61F-B84E99DCB8EE}"/>
    <cellStyle name="Comma 3 5 4 2 4 5" xfId="17520" xr:uid="{7DE98ADD-D9B2-45C5-858D-C16733CF8B38}"/>
    <cellStyle name="Comma 3 5 4 2 4 5 2" xfId="33652" xr:uid="{C3BADAB8-4C85-4210-992F-CA896D4C5AE1}"/>
    <cellStyle name="Comma 3 5 4 2 4 6" xfId="20003" xr:uid="{CC86298F-C175-4DA0-8FB1-4A84DC205A48}"/>
    <cellStyle name="Comma 3 5 4 2 5" xfId="3557" xr:uid="{B7CA4E68-F0DF-41EC-B6AE-16093458E32A}"/>
    <cellStyle name="Comma 3 5 4 2 5 2" xfId="9051" xr:uid="{2D193020-77EE-4539-86C2-0854A75DF20E}"/>
    <cellStyle name="Comma 3 5 4 2 5 2 2" xfId="25255" xr:uid="{79FBF8EA-C5FE-4FEE-9959-C482A7EA9406}"/>
    <cellStyle name="Comma 3 5 4 2 5 3" xfId="17521" xr:uid="{9CC73625-55BD-4B69-A826-C762CE69BA2A}"/>
    <cellStyle name="Comma 3 5 4 2 5 3 2" xfId="33653" xr:uid="{4AB4431F-A896-4A91-857E-919A04526B7A}"/>
    <cellStyle name="Comma 3 5 4 2 5 4" xfId="19772" xr:uid="{E456B88C-00D7-4C65-9D23-79B424B10092}"/>
    <cellStyle name="Comma 3 5 4 2 6" xfId="4263" xr:uid="{17552412-5679-454D-A35B-10D8CAB249D0}"/>
    <cellStyle name="Comma 3 5 4 2 6 2" xfId="7933" xr:uid="{FF118F26-BBD7-4761-BE22-DD47985F6C2C}"/>
    <cellStyle name="Comma 3 5 4 2 6 2 2" xfId="15440" xr:uid="{07D6703E-079B-4093-A5C1-AD6AD061B45B}"/>
    <cellStyle name="Comma 3 5 4 2 6 2 2 2" xfId="31644" xr:uid="{B36723EB-EE05-484D-BF89-263AD21F81C7}"/>
    <cellStyle name="Comma 3 5 4 2 6 2 3" xfId="24137" xr:uid="{DEE7DEE7-64EC-4F5A-8E76-5AAB70ED0709}"/>
    <cellStyle name="Comma 3 5 4 2 6 3" xfId="9218" xr:uid="{115C1FD2-46C2-40C9-9D1B-967CB2C0AE23}"/>
    <cellStyle name="Comma 3 5 4 2 6 3 2" xfId="16685" xr:uid="{16EF2E53-E435-464F-8C89-304E120C45ED}"/>
    <cellStyle name="Comma 3 5 4 2 6 3 2 2" xfId="32889" xr:uid="{73D19ABA-280E-48B1-9CAD-A785008F8EE3}"/>
    <cellStyle name="Comma 3 5 4 2 6 3 3" xfId="25422" xr:uid="{6C0A5A46-7889-4A59-AF59-DE2BD6FA2F18}"/>
    <cellStyle name="Comma 3 5 4 2 6 4" xfId="11826" xr:uid="{2D8F4CF1-0668-4DA5-9D29-E91CEA852FC2}"/>
    <cellStyle name="Comma 3 5 4 2 6 4 2" xfId="28030" xr:uid="{5ACF2578-BB49-44CC-B36E-6C2660023F7C}"/>
    <cellStyle name="Comma 3 5 4 2 6 5" xfId="17522" xr:uid="{7D9ADC69-3403-47B1-9C0E-90D49AD2C13F}"/>
    <cellStyle name="Comma 3 5 4 2 6 5 2" xfId="33654" xr:uid="{4B40A202-B2B8-4BB9-9377-9B0DB92D8D53}"/>
    <cellStyle name="Comma 3 5 4 2 6 6" xfId="20467" xr:uid="{AAA2B394-8B0C-47D8-9B51-2472F3976E11}"/>
    <cellStyle name="Comma 3 5 4 2 7" xfId="4688" xr:uid="{15EB0498-AE00-4D00-9842-CD796151B48A}"/>
    <cellStyle name="Comma 3 5 4 2 7 2" xfId="8358" xr:uid="{78CEA59A-4B57-4A9D-B08E-1AD9BD51AE6A}"/>
    <cellStyle name="Comma 3 5 4 2 7 2 2" xfId="15865" xr:uid="{EEC91A63-45E5-42A0-8EA4-E24278898EF5}"/>
    <cellStyle name="Comma 3 5 4 2 7 2 2 2" xfId="32069" xr:uid="{08E5C3AF-0C53-4CF5-B282-6BEC7545A31C}"/>
    <cellStyle name="Comma 3 5 4 2 7 2 3" xfId="24562" xr:uid="{057F6C29-2DDA-4179-BEC6-449B60066C65}"/>
    <cellStyle name="Comma 3 5 4 2 7 3" xfId="9247" xr:uid="{50DC753B-8FFC-4C98-A520-CDC3E75CA652}"/>
    <cellStyle name="Comma 3 5 4 2 7 3 2" xfId="16709" xr:uid="{AAC3314E-1291-4C49-A8D4-E3AC7C6BD970}"/>
    <cellStyle name="Comma 3 5 4 2 7 3 2 2" xfId="32913" xr:uid="{742A1EAC-C82E-4159-8123-17CB5E6CCB07}"/>
    <cellStyle name="Comma 3 5 4 2 7 3 3" xfId="25451" xr:uid="{CA17220B-DF2F-4994-B628-29ABEF00D31F}"/>
    <cellStyle name="Comma 3 5 4 2 7 4" xfId="12251" xr:uid="{F9CC07BB-2A4B-4CC3-8E66-86DFE1C72395}"/>
    <cellStyle name="Comma 3 5 4 2 7 4 2" xfId="28455" xr:uid="{B83F488B-CB5D-4D80-B40E-496A3B4B746D}"/>
    <cellStyle name="Comma 3 5 4 2 7 5" xfId="17523" xr:uid="{CC1F943C-2C8B-4632-B12D-E05228D53100}"/>
    <cellStyle name="Comma 3 5 4 2 7 5 2" xfId="33655" xr:uid="{F2243541-28C5-4D7F-AF87-2D65D0089080}"/>
    <cellStyle name="Comma 3 5 4 2 7 6" xfId="20892" xr:uid="{3C0DA0A3-6D7E-491D-9F22-7E247037A6BA}"/>
    <cellStyle name="Comma 3 5 4 2 8" xfId="5116" xr:uid="{CBE2B0D4-98D3-4D54-B5F3-506B0581ECE9}"/>
    <cellStyle name="Comma 3 5 4 2 8 2" xfId="8781" xr:uid="{A9D2C042-F1D7-4AA7-8FFF-8553B1C0B229}"/>
    <cellStyle name="Comma 3 5 4 2 8 2 2" xfId="16288" xr:uid="{B118F057-4E96-4F28-B4D3-90A8417C2D1E}"/>
    <cellStyle name="Comma 3 5 4 2 8 2 2 2" xfId="32492" xr:uid="{BC840F32-831B-477C-9013-979AF23231C7}"/>
    <cellStyle name="Comma 3 5 4 2 8 2 3" xfId="24985" xr:uid="{6DB0F0A7-118B-4576-BDF8-6A779A24297E}"/>
    <cellStyle name="Comma 3 5 4 2 8 3" xfId="12673" xr:uid="{9ADFFB0D-F8C1-44C8-90BA-A07CCC43B70D}"/>
    <cellStyle name="Comma 3 5 4 2 8 3 2" xfId="28877" xr:uid="{BB442AB5-4997-43DE-89FD-59FC3E29D6DC}"/>
    <cellStyle name="Comma 3 5 4 2 8 4" xfId="21320" xr:uid="{68F1EA26-7C21-4E1E-9279-968E96781E48}"/>
    <cellStyle name="Comma 3 5 4 2 9" xfId="5787" xr:uid="{09A2A6F6-6E35-44A5-B7D9-F4A63CE1F1FA}"/>
    <cellStyle name="Comma 3 5 4 2 9 2" xfId="13302" xr:uid="{E5BD658C-0CCB-46DB-BB72-5288AD7EAEF2}"/>
    <cellStyle name="Comma 3 5 4 2 9 2 2" xfId="29506" xr:uid="{1674FB4B-F189-490A-93DC-3A921B6E2DE4}"/>
    <cellStyle name="Comma 3 5 4 2 9 3" xfId="21991" xr:uid="{A3177A91-A234-4574-A65B-3685F4239A9D}"/>
    <cellStyle name="Comma 3 5 4 3" xfId="2299" xr:uid="{1A027504-F875-4BB2-A464-BBF54FF3B928}"/>
    <cellStyle name="Comma 3 5 4 3 2" xfId="3146" xr:uid="{FD9555A8-D2C2-46B8-A33A-9DF756A0F0AF}"/>
    <cellStyle name="Comma 3 5 4 3 2 2" xfId="6928" xr:uid="{24DBDFBD-6321-4D1F-B78D-2A17C75A039D}"/>
    <cellStyle name="Comma 3 5 4 3 2 2 2" xfId="14439" xr:uid="{3BC8E260-E75C-4BBD-9B3F-D91FCE09BCC9}"/>
    <cellStyle name="Comma 3 5 4 3 2 2 2 2" xfId="30643" xr:uid="{EF03408D-AA22-4DCB-A54E-B5AAF5F57E24}"/>
    <cellStyle name="Comma 3 5 4 3 2 2 3" xfId="23132" xr:uid="{F569FDE5-4397-4ED4-9EAD-66299E09B43B}"/>
    <cellStyle name="Comma 3 5 4 3 2 3" xfId="8884" xr:uid="{823268EF-C3EA-4855-AF84-EF45E240EA75}"/>
    <cellStyle name="Comma 3 5 4 3 2 3 2" xfId="16388" xr:uid="{240AD8E7-E2E0-4C67-B6C8-DE65A868B005}"/>
    <cellStyle name="Comma 3 5 4 3 2 3 2 2" xfId="32592" xr:uid="{F3A8CE4F-A4BB-4B35-B1D1-4AAB72E85095}"/>
    <cellStyle name="Comma 3 5 4 3 2 3 3" xfId="25088" xr:uid="{0ECA9045-7C65-4FB5-8C49-F543B4168137}"/>
    <cellStyle name="Comma 3 5 4 3 2 4" xfId="10839" xr:uid="{9DC50D1B-B968-4C19-91CC-4DA2189DC6CD}"/>
    <cellStyle name="Comma 3 5 4 3 2 4 2" xfId="27043" xr:uid="{8F1B9D17-AAE5-4F04-B246-A761EECA5F93}"/>
    <cellStyle name="Comma 3 5 4 3 2 5" xfId="17525" xr:uid="{AA56693C-9CFD-4D03-BE5C-8E0212BA2BDF}"/>
    <cellStyle name="Comma 3 5 4 3 2 5 2" xfId="33657" xr:uid="{094DCA00-35BC-46C2-A073-ED2EF9E0E7BB}"/>
    <cellStyle name="Comma 3 5 4 3 2 6" xfId="19366" xr:uid="{CADDFFF1-5C9F-477C-909A-C74E07459CAC}"/>
    <cellStyle name="Comma 3 5 4 3 3" xfId="6083" xr:uid="{6CD2A10E-80E3-48FF-8D41-9895DB907680}"/>
    <cellStyle name="Comma 3 5 4 3 3 2" xfId="13595" xr:uid="{426490EA-90DA-48C6-BDCB-C926FB8CCAF5}"/>
    <cellStyle name="Comma 3 5 4 3 3 2 2" xfId="29799" xr:uid="{C351B9A7-EC72-41D5-8D0A-91AE6D3BD4DA}"/>
    <cellStyle name="Comma 3 5 4 3 3 3" xfId="22287" xr:uid="{95BBB62A-B76F-487F-ADB9-30E6A82244C2}"/>
    <cellStyle name="Comma 3 5 4 3 4" xfId="5214" xr:uid="{54C88306-1E82-40CD-9F79-0981EAD85B7C}"/>
    <cellStyle name="Comma 3 5 4 3 4 2" xfId="12770" xr:uid="{4881B1FE-297E-46C4-8790-1D7C88482E55}"/>
    <cellStyle name="Comma 3 5 4 3 4 2 2" xfId="28974" xr:uid="{A9D19E87-1483-4575-A6F5-CC4128CA446F}"/>
    <cellStyle name="Comma 3 5 4 3 4 3" xfId="21418" xr:uid="{BEE7E376-7A55-4242-83C7-CF75FDC886DE}"/>
    <cellStyle name="Comma 3 5 4 3 5" xfId="9995" xr:uid="{4DEFEDB6-FEE9-472D-A6CA-87432C858F2F}"/>
    <cellStyle name="Comma 3 5 4 3 5 2" xfId="26199" xr:uid="{DAC3612A-5234-4941-BDE1-81F273519A87}"/>
    <cellStyle name="Comma 3 5 4 3 6" xfId="17524" xr:uid="{63B587BD-2041-47EB-B433-2C5025C47EB5}"/>
    <cellStyle name="Comma 3 5 4 3 6 2" xfId="33656" xr:uid="{26B82845-A1BF-41A1-A9E5-36876DD68DDA}"/>
    <cellStyle name="Comma 3 5 4 3 7" xfId="18521" xr:uid="{7D52F733-20DC-488C-A148-DB542F64565F}"/>
    <cellStyle name="Comma 3 5 4 4" xfId="2721" xr:uid="{32C07A89-56F3-4A10-993A-8BD6FE6DB765}"/>
    <cellStyle name="Comma 3 5 4 4 2" xfId="6505" xr:uid="{831BB0C1-8B40-4A39-B4F2-D9C4EBBE3F04}"/>
    <cellStyle name="Comma 3 5 4 4 2 2" xfId="14017" xr:uid="{E839956C-CF27-4185-BC24-34930C0719FE}"/>
    <cellStyle name="Comma 3 5 4 4 2 2 2" xfId="30221" xr:uid="{75EE2D73-5B4D-4499-8809-296B7061A179}"/>
    <cellStyle name="Comma 3 5 4 4 2 3" xfId="22709" xr:uid="{5BDD6A46-A9BA-49D5-A938-37BF13754E6B}"/>
    <cellStyle name="Comma 3 5 4 4 3" xfId="8970" xr:uid="{B187005B-F168-404A-8E77-711341A170F0}"/>
    <cellStyle name="Comma 3 5 4 4 3 2" xfId="16464" xr:uid="{DE8D8ECF-C70E-4990-A54E-AF72BB1C22A0}"/>
    <cellStyle name="Comma 3 5 4 4 3 2 2" xfId="32668" xr:uid="{656251BF-052A-4848-A94C-120E9B758C90}"/>
    <cellStyle name="Comma 3 5 4 4 3 3" xfId="25174" xr:uid="{07242647-F234-440B-9739-BB098B219630}"/>
    <cellStyle name="Comma 3 5 4 4 4" xfId="10417" xr:uid="{CA7ECF17-60B6-4B8E-AC28-C2E72CE52C9F}"/>
    <cellStyle name="Comma 3 5 4 4 4 2" xfId="26621" xr:uid="{2BE80253-0AEC-42D5-8843-0FCB7DD0D948}"/>
    <cellStyle name="Comma 3 5 4 4 5" xfId="17526" xr:uid="{0181E112-DDF6-4AD5-B2D1-12C0A8A3F043}"/>
    <cellStyle name="Comma 3 5 4 4 5 2" xfId="33658" xr:uid="{2E5F3CB2-C92E-41AC-8ABF-D0861C674C7F}"/>
    <cellStyle name="Comma 3 5 4 4 6" xfId="18943" xr:uid="{81A44BC9-0776-4671-B0E6-0FB52F09CA40}"/>
    <cellStyle name="Comma 3 5 4 5" xfId="3651" xr:uid="{F8097928-3C2B-480B-8462-B34FAE75DC13}"/>
    <cellStyle name="Comma 3 5 4 5 2" xfId="7361" xr:uid="{E48302F1-0F98-4D90-9BFE-569DF1A967BA}"/>
    <cellStyle name="Comma 3 5 4 5 2 2" xfId="14870" xr:uid="{DBAF8690-9501-4651-B900-FF87515A264B}"/>
    <cellStyle name="Comma 3 5 4 5 2 2 2" xfId="31074" xr:uid="{168180EF-59C9-4350-AF4B-8E1597D4E939}"/>
    <cellStyle name="Comma 3 5 4 5 2 3" xfId="23565" xr:uid="{2D9D2E37-7E09-4043-9479-650AA743997B}"/>
    <cellStyle name="Comma 3 5 4 5 3" xfId="5478" xr:uid="{29B9A9BD-DC62-4421-93A0-64DF4748177A}"/>
    <cellStyle name="Comma 3 5 4 5 3 2" xfId="13016" xr:uid="{F3622AA4-08A5-4629-95D7-5A2F6B4A9CF6}"/>
    <cellStyle name="Comma 3 5 4 5 3 2 2" xfId="29220" xr:uid="{2A04297A-E1C8-44E5-BBBF-8319CBF7A2E4}"/>
    <cellStyle name="Comma 3 5 4 5 3 3" xfId="21682" xr:uid="{2868F6A9-4E77-44EE-91D5-229941EC9F88}"/>
    <cellStyle name="Comma 3 5 4 5 4" xfId="11262" xr:uid="{C5064586-C8D4-4BF2-805A-D13ED1BFFE3B}"/>
    <cellStyle name="Comma 3 5 4 5 4 2" xfId="27466" xr:uid="{FF1FE01F-73F7-4988-A9FF-F97B8E09E12D}"/>
    <cellStyle name="Comma 3 5 4 5 5" xfId="17527" xr:uid="{590299DD-CE69-492A-9D73-D80A3AC071AB}"/>
    <cellStyle name="Comma 3 5 4 5 5 2" xfId="33659" xr:uid="{56053CFE-87C4-4859-A794-DF2C1C0124A2}"/>
    <cellStyle name="Comma 3 5 4 5 6" xfId="19860" xr:uid="{4FA9B094-52AA-48DE-9D56-7DC01EBD5F71}"/>
    <cellStyle name="Comma 3 5 4 6" xfId="3573" xr:uid="{3AB8BE91-FA03-4BFF-9824-5574DEA3F98B}"/>
    <cellStyle name="Comma 3 5 4 6 2" xfId="5407" xr:uid="{513200EE-9794-4DAA-9BBC-5FE43FE8B367}"/>
    <cellStyle name="Comma 3 5 4 6 2 2" xfId="21611" xr:uid="{A3143A90-6400-4CCB-B5FB-1C4F96784EAF}"/>
    <cellStyle name="Comma 3 5 4 6 3" xfId="17528" xr:uid="{1731FA3D-7E3D-421F-8773-23E2496DC0EB}"/>
    <cellStyle name="Comma 3 5 4 6 3 2" xfId="33660" xr:uid="{25022D17-13B9-4A12-8BDC-06672E39695D}"/>
    <cellStyle name="Comma 3 5 4 6 4" xfId="19785" xr:uid="{9F997220-43B7-4E2F-8CFA-11016E958108}"/>
    <cellStyle name="Comma 3 5 4 7" xfId="4121" xr:uid="{A773F737-968F-4D5B-A450-CA5EC3AF18EC}"/>
    <cellStyle name="Comma 3 5 4 7 2" xfId="7791" xr:uid="{AA165DA2-1553-402E-89B7-BB72E9A5EEDE}"/>
    <cellStyle name="Comma 3 5 4 7 2 2" xfId="15298" xr:uid="{62845A44-C840-443B-8F98-9F6B2A22D9BB}"/>
    <cellStyle name="Comma 3 5 4 7 2 2 2" xfId="31502" xr:uid="{1C6713BE-50B2-4DAA-82EC-B82364FEF1BD}"/>
    <cellStyle name="Comma 3 5 4 7 2 3" xfId="23995" xr:uid="{AA1FB215-7983-4251-B715-8787B9383289}"/>
    <cellStyle name="Comma 3 5 4 7 3" xfId="5450" xr:uid="{BB87C1AA-3470-48A6-AFBF-58B644ECECEE}"/>
    <cellStyle name="Comma 3 5 4 7 3 2" xfId="12993" xr:uid="{6CCC9457-E7EB-4516-B942-9ECF5DEC2449}"/>
    <cellStyle name="Comma 3 5 4 7 3 2 2" xfId="29197" xr:uid="{404CF9D8-4E4D-4D6A-ACFC-62DC8BDEAC51}"/>
    <cellStyle name="Comma 3 5 4 7 3 3" xfId="21654" xr:uid="{4AFD5C24-E584-4D07-BF1B-6A49D968D8C5}"/>
    <cellStyle name="Comma 3 5 4 7 4" xfId="11684" xr:uid="{54D23710-B9CE-45A5-A3D1-7EEAFB294461}"/>
    <cellStyle name="Comma 3 5 4 7 4 2" xfId="27888" xr:uid="{833A0B3A-C7BC-4442-8E31-1265FA4849F2}"/>
    <cellStyle name="Comma 3 5 4 7 5" xfId="17529" xr:uid="{F929181D-D417-4555-BB17-7C420C496F19}"/>
    <cellStyle name="Comma 3 5 4 7 5 2" xfId="33661" xr:uid="{03128506-7CFD-4195-AE07-1A336E9CE147}"/>
    <cellStyle name="Comma 3 5 4 7 6" xfId="20325" xr:uid="{07838CF4-C8A4-41A0-86AD-EC4A97C04DF2}"/>
    <cellStyle name="Comma 3 5 4 8" xfId="4546" xr:uid="{F38EBDB1-BA41-43FA-A22F-7D03BCCFB845}"/>
    <cellStyle name="Comma 3 5 4 8 2" xfId="8216" xr:uid="{F9575845-884B-41C2-9C27-D60578C88EF6}"/>
    <cellStyle name="Comma 3 5 4 8 2 2" xfId="15723" xr:uid="{6D901718-D43E-4CA6-96BC-E7419F49216E}"/>
    <cellStyle name="Comma 3 5 4 8 2 2 2" xfId="31927" xr:uid="{311B9150-88B6-49A5-A5FD-4521B8F01868}"/>
    <cellStyle name="Comma 3 5 4 8 2 3" xfId="24420" xr:uid="{C8E99776-56BF-41E7-B998-00C6C3DFD51F}"/>
    <cellStyle name="Comma 3 5 4 8 3" xfId="9212" xr:uid="{029B72C6-6C5B-4CBE-922C-85C3E1CB43E1}"/>
    <cellStyle name="Comma 3 5 4 8 3 2" xfId="16680" xr:uid="{5133643E-C752-4EA9-B844-FE7C5AE2A93D}"/>
    <cellStyle name="Comma 3 5 4 8 3 2 2" xfId="32884" xr:uid="{EA525141-0A6F-43A8-86B2-08DEE2149046}"/>
    <cellStyle name="Comma 3 5 4 8 3 3" xfId="25416" xr:uid="{9B9A8BAE-FD51-4AE5-AB6F-7DCCEE58B035}"/>
    <cellStyle name="Comma 3 5 4 8 4" xfId="12109" xr:uid="{410914A6-0FBB-4F4A-8A7F-C81A33826614}"/>
    <cellStyle name="Comma 3 5 4 8 4 2" xfId="28313" xr:uid="{80BFE314-57D4-491F-8D9F-8FCA89092C4F}"/>
    <cellStyle name="Comma 3 5 4 8 5" xfId="17530" xr:uid="{2D92DDB0-8784-4B03-A134-976F15687AF1}"/>
    <cellStyle name="Comma 3 5 4 8 5 2" xfId="33662" xr:uid="{9F059D8C-7FBF-4877-9058-5B652BEF8B4D}"/>
    <cellStyle name="Comma 3 5 4 8 6" xfId="20750" xr:uid="{E9C5C158-8414-45BB-9E76-656E56FCDD03}"/>
    <cellStyle name="Comma 3 5 4 9" xfId="4973" xr:uid="{24A5792E-52C6-44F4-9C2B-C3EF215B1A9A}"/>
    <cellStyle name="Comma 3 5 4 9 2" xfId="8639" xr:uid="{30948355-184B-4036-825A-4A006C851DDE}"/>
    <cellStyle name="Comma 3 5 4 9 2 2" xfId="16146" xr:uid="{2FA4E5B9-9516-4251-94EB-AB0C3A6DAB45}"/>
    <cellStyle name="Comma 3 5 4 9 2 2 2" xfId="32350" xr:uid="{F9C93ABD-41B3-4B5D-9961-BC408B1F0574}"/>
    <cellStyle name="Comma 3 5 4 9 2 3" xfId="24843" xr:uid="{455C8A3F-E462-4032-A39F-C420B924A354}"/>
    <cellStyle name="Comma 3 5 4 9 3" xfId="12531" xr:uid="{3E12E200-52D2-4B23-9B9A-35A02943B90B}"/>
    <cellStyle name="Comma 3 5 4 9 3 2" xfId="28735" xr:uid="{1435C77D-29C7-4518-A936-BD25EDEB8E32}"/>
    <cellStyle name="Comma 3 5 4 9 4" xfId="21177" xr:uid="{6849F711-1961-412A-8731-C2893A310F3A}"/>
    <cellStyle name="Comma 3 5 5" xfId="1935" xr:uid="{59B89608-2439-4AB3-819F-B6760AF9E55F}"/>
    <cellStyle name="Comma 3 5 5 10" xfId="9715" xr:uid="{6AD8B939-A233-4272-BCAC-692D401AD33D}"/>
    <cellStyle name="Comma 3 5 5 10 2" xfId="25919" xr:uid="{90F45182-0F96-47FE-9E2C-13705CA97E45}"/>
    <cellStyle name="Comma 3 5 5 11" xfId="17531" xr:uid="{9B0B77D1-0E3C-4BDE-834C-98135E66779B}"/>
    <cellStyle name="Comma 3 5 5 11 2" xfId="33663" xr:uid="{46FE27B0-7178-4468-9928-00731866E82D}"/>
    <cellStyle name="Comma 3 5 5 12" xfId="18239" xr:uid="{E3D0B2C1-8981-4D18-9B0E-73AACECE74A0}"/>
    <cellStyle name="Comma 3 5 5 2" xfId="2442" xr:uid="{A56475F2-B7D6-418A-A07E-4D26C2EC07C6}"/>
    <cellStyle name="Comma 3 5 5 2 2" xfId="3289" xr:uid="{C6DDD161-D14F-4413-8D2C-AF6ECF32D2F0}"/>
    <cellStyle name="Comma 3 5 5 2 2 2" xfId="7071" xr:uid="{950FCBB8-2425-4C21-BDA7-99FDD7141F0B}"/>
    <cellStyle name="Comma 3 5 5 2 2 2 2" xfId="14582" xr:uid="{623492DE-9005-485D-8314-4FAF6C368AD5}"/>
    <cellStyle name="Comma 3 5 5 2 2 2 2 2" xfId="30786" xr:uid="{785780EB-03DF-4C17-A563-53EE43662D6F}"/>
    <cellStyle name="Comma 3 5 5 2 2 2 3" xfId="23275" xr:uid="{C0C07B12-9AE5-4808-8ABA-52D83297CAA2}"/>
    <cellStyle name="Comma 3 5 5 2 2 3" xfId="9023" xr:uid="{8FEB2719-393F-418C-95DB-D5AB87A075D5}"/>
    <cellStyle name="Comma 3 5 5 2 2 3 2" xfId="16514" xr:uid="{1C4543CF-1ED8-4B08-B32D-0522724AC3E2}"/>
    <cellStyle name="Comma 3 5 5 2 2 3 2 2" xfId="32718" xr:uid="{B1F141DA-2557-4AAF-8960-D1998808FC83}"/>
    <cellStyle name="Comma 3 5 5 2 2 3 3" xfId="25227" xr:uid="{DEF74EE9-1CE7-4A1E-BD7B-63A611F83F54}"/>
    <cellStyle name="Comma 3 5 5 2 2 4" xfId="10982" xr:uid="{45725E60-0CE9-40EB-8AEE-F3C089741E7A}"/>
    <cellStyle name="Comma 3 5 5 2 2 4 2" xfId="27186" xr:uid="{A758861C-3CF0-4FAF-BF4C-B76A354C9012}"/>
    <cellStyle name="Comma 3 5 5 2 2 5" xfId="17533" xr:uid="{C9E78AAB-EF53-458D-8E0B-3BC6E11739BF}"/>
    <cellStyle name="Comma 3 5 5 2 2 5 2" xfId="33665" xr:uid="{3ACC4998-15A6-4FD2-B682-969A214ADD9E}"/>
    <cellStyle name="Comma 3 5 5 2 2 6" xfId="19509" xr:uid="{127C41D8-9DAD-4A57-AB4A-1B29981FC87B}"/>
    <cellStyle name="Comma 3 5 5 2 3" xfId="6226" xr:uid="{F3B50A27-1650-40F1-8B5F-09425FC0F88E}"/>
    <cellStyle name="Comma 3 5 5 2 3 2" xfId="13738" xr:uid="{4EB82555-FB0C-42A2-B150-04DC881591E6}"/>
    <cellStyle name="Comma 3 5 5 2 3 2 2" xfId="29942" xr:uid="{BB885970-C5DD-4506-84C1-488C7D776770}"/>
    <cellStyle name="Comma 3 5 5 2 3 3" xfId="22430" xr:uid="{21015873-6D04-4B34-98AD-84AFDE048FA6}"/>
    <cellStyle name="Comma 3 5 5 2 4" xfId="8873" xr:uid="{1BAECB2D-9085-4E23-8D45-8E6144C2B8E1}"/>
    <cellStyle name="Comma 3 5 5 2 4 2" xfId="16379" xr:uid="{42AC0853-D9F2-4677-8FCF-098605182445}"/>
    <cellStyle name="Comma 3 5 5 2 4 2 2" xfId="32583" xr:uid="{683EBAFC-14D6-4C1C-B978-D7879EE1C5E4}"/>
    <cellStyle name="Comma 3 5 5 2 4 3" xfId="25077" xr:uid="{21366441-EA4A-434D-B920-AEF73EC7DE28}"/>
    <cellStyle name="Comma 3 5 5 2 5" xfId="10138" xr:uid="{4EA20309-1E8A-4F13-9157-69E5C268D87E}"/>
    <cellStyle name="Comma 3 5 5 2 5 2" xfId="26342" xr:uid="{057065D6-5AF6-4F80-B44F-05BDFD37D255}"/>
    <cellStyle name="Comma 3 5 5 2 6" xfId="17532" xr:uid="{5DC49636-9675-44C2-B46F-7DA19A35EC05}"/>
    <cellStyle name="Comma 3 5 5 2 6 2" xfId="33664" xr:uid="{7BAC8EE8-E63C-4AFE-8F3E-F35D0D7566D7}"/>
    <cellStyle name="Comma 3 5 5 2 7" xfId="18664" xr:uid="{57023371-DBB7-4CBA-905F-0972D42723D9}"/>
    <cellStyle name="Comma 3 5 5 3" xfId="2864" xr:uid="{0DE23E2F-9BF4-4985-A769-5BFE35E755F5}"/>
    <cellStyle name="Comma 3 5 5 3 2" xfId="6648" xr:uid="{E37F897E-FEF7-4E0C-9BF3-C1B68E2B83F0}"/>
    <cellStyle name="Comma 3 5 5 3 2 2" xfId="14160" xr:uid="{99AD17B0-BE92-463E-9830-095102362F64}"/>
    <cellStyle name="Comma 3 5 5 3 2 2 2" xfId="30364" xr:uid="{ED324546-6474-4508-89AE-27EDDE15C4D7}"/>
    <cellStyle name="Comma 3 5 5 3 2 3" xfId="22852" xr:uid="{09F44B62-29B9-4E43-9C44-08AF228C1F51}"/>
    <cellStyle name="Comma 3 5 5 3 3" xfId="5611" xr:uid="{9E5BFFA0-7125-403F-B250-BF50FDDE52BC}"/>
    <cellStyle name="Comma 3 5 5 3 3 2" xfId="13126" xr:uid="{ACC5A8B8-9039-4E15-A691-BFB05388FC89}"/>
    <cellStyle name="Comma 3 5 5 3 3 2 2" xfId="29330" xr:uid="{84EE96A1-8FA4-459A-AD3E-06C6083527B6}"/>
    <cellStyle name="Comma 3 5 5 3 3 3" xfId="21815" xr:uid="{8B682978-F68E-46CB-86C6-B96B8C53F50A}"/>
    <cellStyle name="Comma 3 5 5 3 4" xfId="10560" xr:uid="{493D28FF-4270-4889-B916-14F8E640B7BD}"/>
    <cellStyle name="Comma 3 5 5 3 4 2" xfId="26764" xr:uid="{C30DFB32-B3FC-4EFD-B879-9C17F2A97A81}"/>
    <cellStyle name="Comma 3 5 5 3 5" xfId="17534" xr:uid="{4857F72A-EAEF-4127-89AC-AF999BA3CBE0}"/>
    <cellStyle name="Comma 3 5 5 3 5 2" xfId="33666" xr:uid="{A469D54A-E936-43F8-8D36-F91E98183786}"/>
    <cellStyle name="Comma 3 5 5 3 6" xfId="19086" xr:uid="{F65C79E2-32A5-4D98-BC89-FD30E0C264AA}"/>
    <cellStyle name="Comma 3 5 5 4" xfId="3795" xr:uid="{71A7F696-D258-4FA6-86B6-414ECB884C04}"/>
    <cellStyle name="Comma 3 5 5 4 2" xfId="7505" xr:uid="{F0EF6C37-CF6F-4013-B40E-564AFA5BC3B9}"/>
    <cellStyle name="Comma 3 5 5 4 2 2" xfId="15014" xr:uid="{F0826F7A-2C57-4159-AA32-13020D89FA2F}"/>
    <cellStyle name="Comma 3 5 5 4 2 2 2" xfId="31218" xr:uid="{AE3B4B87-8C88-4021-81AE-3D4CD1C19421}"/>
    <cellStyle name="Comma 3 5 5 4 2 3" xfId="23709" xr:uid="{9707AD29-FBBA-4CBA-90DB-69062BB11F3D}"/>
    <cellStyle name="Comma 3 5 5 4 3" xfId="9375" xr:uid="{CF7D3E09-11BE-41BC-AA87-F16FA71948AD}"/>
    <cellStyle name="Comma 3 5 5 4 3 2" xfId="16816" xr:uid="{F28AF4E4-9ECE-4F78-B836-AE0A3DCB32CA}"/>
    <cellStyle name="Comma 3 5 5 4 3 2 2" xfId="33020" xr:uid="{E473DAB5-ECEA-4BB4-A04C-8F85B9A184F2}"/>
    <cellStyle name="Comma 3 5 5 4 3 3" xfId="25579" xr:uid="{94E9A3AA-3BB1-493E-9DEF-06BB892BDCDA}"/>
    <cellStyle name="Comma 3 5 5 4 4" xfId="11405" xr:uid="{4BBB1739-264D-4926-A695-D925C3320FBC}"/>
    <cellStyle name="Comma 3 5 5 4 4 2" xfId="27609" xr:uid="{83B3AFE8-A9AD-4EB7-AA33-98D108EF56D0}"/>
    <cellStyle name="Comma 3 5 5 4 5" xfId="17535" xr:uid="{DC28B4B3-5DFC-423E-B512-94E9233D3FE4}"/>
    <cellStyle name="Comma 3 5 5 4 5 2" xfId="33667" xr:uid="{2AF25DE9-3F47-450D-9FAB-0663FD55974F}"/>
    <cellStyle name="Comma 3 5 5 4 6" xfId="20004" xr:uid="{30B7FAB7-1724-49C3-88B2-2980E64DD5BF}"/>
    <cellStyle name="Comma 3 5 5 5" xfId="3917" xr:uid="{597378D6-B1F2-4A62-8410-06EE3EA4507D}"/>
    <cellStyle name="Comma 3 5 5 5 2" xfId="6044" xr:uid="{A92FBD1B-DAA2-4E14-8E02-3319C90B6145}"/>
    <cellStyle name="Comma 3 5 5 5 2 2" xfId="22248" xr:uid="{87867185-DCCA-4E8D-A5CA-C45058E1A127}"/>
    <cellStyle name="Comma 3 5 5 5 3" xfId="17536" xr:uid="{8B6E6251-45DE-441A-A926-B545990EF7CC}"/>
    <cellStyle name="Comma 3 5 5 5 3 2" xfId="33668" xr:uid="{D7105DAE-A90C-40C4-B179-17A1C58064AC}"/>
    <cellStyle name="Comma 3 5 5 5 4" xfId="20124" xr:uid="{873C2559-9A9C-4A2B-9B12-F0E1FF2E524B}"/>
    <cellStyle name="Comma 3 5 5 6" xfId="4264" xr:uid="{1F5C253C-7E98-4830-9CDA-3C67C34AC4DE}"/>
    <cellStyle name="Comma 3 5 5 6 2" xfId="7934" xr:uid="{D5DFBD19-A16A-488B-8191-DDE6E7E56A29}"/>
    <cellStyle name="Comma 3 5 5 6 2 2" xfId="15441" xr:uid="{59FB9BCD-46AF-472D-AF78-A2A453A26C63}"/>
    <cellStyle name="Comma 3 5 5 6 2 2 2" xfId="31645" xr:uid="{5D1DE3CE-4F5A-4A9E-A7B0-24A04778E683}"/>
    <cellStyle name="Comma 3 5 5 6 2 3" xfId="24138" xr:uid="{1E648567-EF34-4656-8ADD-C16329B060CA}"/>
    <cellStyle name="Comma 3 5 5 6 3" xfId="9086" xr:uid="{DA0ADE3C-A5C2-4504-85F6-8096A60760B9}"/>
    <cellStyle name="Comma 3 5 5 6 3 2" xfId="16566" xr:uid="{A80BEDA1-7948-4343-AE68-5E0BDF401C66}"/>
    <cellStyle name="Comma 3 5 5 6 3 2 2" xfId="32770" xr:uid="{569C3D22-F5C4-49A1-94FA-8655941112BD}"/>
    <cellStyle name="Comma 3 5 5 6 3 3" xfId="25290" xr:uid="{D49C6FF3-A355-4AC7-84C2-DBC7E1E20111}"/>
    <cellStyle name="Comma 3 5 5 6 4" xfId="11827" xr:uid="{7587BDAC-0299-4D6D-8ADE-D3A109149790}"/>
    <cellStyle name="Comma 3 5 5 6 4 2" xfId="28031" xr:uid="{72E72DDA-8D45-4523-B005-F3AF864EDA04}"/>
    <cellStyle name="Comma 3 5 5 6 5" xfId="17537" xr:uid="{48CA1F51-7EA8-41E5-A2A0-7FCC28CCC71D}"/>
    <cellStyle name="Comma 3 5 5 6 5 2" xfId="33669" xr:uid="{73F27A62-BA95-4721-9251-04ABE3EE471B}"/>
    <cellStyle name="Comma 3 5 5 6 6" xfId="20468" xr:uid="{204999B0-3382-4A2F-B395-718CBCE65C98}"/>
    <cellStyle name="Comma 3 5 5 7" xfId="4689" xr:uid="{A509D1ED-BA7F-4033-B9BE-03686BDF6CCE}"/>
    <cellStyle name="Comma 3 5 5 7 2" xfId="8359" xr:uid="{3C5DA909-E5F5-4254-BA71-E04B063B2849}"/>
    <cellStyle name="Comma 3 5 5 7 2 2" xfId="15866" xr:uid="{BD6BC91E-347A-4B33-9F2D-8F57D03EADD6}"/>
    <cellStyle name="Comma 3 5 5 7 2 2 2" xfId="32070" xr:uid="{65D97148-E6F1-49DD-82BC-2F8D9376B693}"/>
    <cellStyle name="Comma 3 5 5 7 2 3" xfId="24563" xr:uid="{0F6D1BA6-5A32-4ED9-92A3-FFEBA901102F}"/>
    <cellStyle name="Comma 3 5 5 7 3" xfId="9292" xr:uid="{5861058D-5FC2-4EF0-A9BF-8AE8919612B3}"/>
    <cellStyle name="Comma 3 5 5 7 3 2" xfId="16749" xr:uid="{5327A64B-ACFD-49A3-8D1E-10AC8E95B09F}"/>
    <cellStyle name="Comma 3 5 5 7 3 2 2" xfId="32953" xr:uid="{1D6950EC-5902-40F4-B668-9DF0C0A8724A}"/>
    <cellStyle name="Comma 3 5 5 7 3 3" xfId="25496" xr:uid="{C772AFD8-223A-42D9-ADB6-32F53BD2E225}"/>
    <cellStyle name="Comma 3 5 5 7 4" xfId="12252" xr:uid="{0C192329-FD3E-4136-8E46-F0EA14927114}"/>
    <cellStyle name="Comma 3 5 5 7 4 2" xfId="28456" xr:uid="{8E37BB9E-81E7-4A20-A611-D50F7EF16648}"/>
    <cellStyle name="Comma 3 5 5 7 5" xfId="17538" xr:uid="{13A2AC3C-F021-4E06-BD5D-8003C228EDAE}"/>
    <cellStyle name="Comma 3 5 5 7 5 2" xfId="33670" xr:uid="{EAEC725C-42B8-4057-8B1E-2A86C1BB8166}"/>
    <cellStyle name="Comma 3 5 5 7 6" xfId="20893" xr:uid="{4C34B474-AB45-4B3D-8227-D6A75512379B}"/>
    <cellStyle name="Comma 3 5 5 8" xfId="5117" xr:uid="{A67A4192-7B27-4329-962C-79D4C01F0424}"/>
    <cellStyle name="Comma 3 5 5 8 2" xfId="8782" xr:uid="{96D708DC-9383-4638-90E6-BEE5288A84DD}"/>
    <cellStyle name="Comma 3 5 5 8 2 2" xfId="16289" xr:uid="{A2DBEBEA-1F47-478B-AC13-001F883C90F7}"/>
    <cellStyle name="Comma 3 5 5 8 2 2 2" xfId="32493" xr:uid="{CDC4166C-3C04-4280-81EB-099BD76CF1F8}"/>
    <cellStyle name="Comma 3 5 5 8 2 3" xfId="24986" xr:uid="{21F59776-AAF6-41A5-B1E7-C6FAA1A185CC}"/>
    <cellStyle name="Comma 3 5 5 8 3" xfId="12674" xr:uid="{41C60E3B-2685-4FEE-9DB6-86EE2D5EC201}"/>
    <cellStyle name="Comma 3 5 5 8 3 2" xfId="28878" xr:uid="{C5E9C2CF-5CF7-46C5-A61D-5E06A846827F}"/>
    <cellStyle name="Comma 3 5 5 8 4" xfId="21321" xr:uid="{0C035941-ACB6-4E66-A503-760F568D99DA}"/>
    <cellStyle name="Comma 3 5 5 9" xfId="5788" xr:uid="{09AAF369-9EEB-4DA0-9997-5D58FE145EA6}"/>
    <cellStyle name="Comma 3 5 5 9 2" xfId="13303" xr:uid="{700E413C-8113-493F-BD65-D34D20AA0A08}"/>
    <cellStyle name="Comma 3 5 5 9 2 2" xfId="29507" xr:uid="{8D2BDF1E-B1D3-4F8E-9E27-A87476A9E233}"/>
    <cellStyle name="Comma 3 5 5 9 3" xfId="21992" xr:uid="{0C87DF34-AF66-4139-86F1-69774FAFC6C3}"/>
    <cellStyle name="Comma 3 5 6" xfId="2196" xr:uid="{BBF473E7-FAB0-4050-8154-07CF684CBEB0}"/>
    <cellStyle name="Comma 3 5 6 2" xfId="3104" xr:uid="{0A446E23-33E6-4F4D-8C5E-CBCFBF37A81F}"/>
    <cellStyle name="Comma 3 5 6 2 2" xfId="6886" xr:uid="{D89163EA-FB31-448C-BDA5-95B2667DD575}"/>
    <cellStyle name="Comma 3 5 6 2 2 2" xfId="14397" xr:uid="{C32D4FF3-EA3E-4066-B193-2E8D37EBEEDA}"/>
    <cellStyle name="Comma 3 5 6 2 2 2 2" xfId="30601" xr:uid="{07EB2503-D13D-45BB-A495-BC3B984EBABD}"/>
    <cellStyle name="Comma 3 5 6 2 2 3" xfId="23090" xr:uid="{111426FE-B93F-4B61-9F0E-ADDE6491A516}"/>
    <cellStyle name="Comma 3 5 6 2 3" xfId="8911" xr:uid="{2CB22FBB-6858-4526-934F-0C0BC0F8DD2D}"/>
    <cellStyle name="Comma 3 5 6 2 3 2" xfId="16414" xr:uid="{9D88229D-AAAF-4D58-ACEE-35DAC5037F5B}"/>
    <cellStyle name="Comma 3 5 6 2 3 2 2" xfId="32618" xr:uid="{289CE77E-FE03-4984-A1A2-7FC8ECDD55EC}"/>
    <cellStyle name="Comma 3 5 6 2 3 3" xfId="25115" xr:uid="{096E4B27-F8CC-4827-B2B1-AB51B5F473AB}"/>
    <cellStyle name="Comma 3 5 6 2 4" xfId="10797" xr:uid="{DFE7C3DE-0B11-4F92-ADB2-A5FA20875DA1}"/>
    <cellStyle name="Comma 3 5 6 2 4 2" xfId="27001" xr:uid="{31589C7F-FD89-4EF6-800D-E8AA9CC99197}"/>
    <cellStyle name="Comma 3 5 6 2 5" xfId="17540" xr:uid="{3661ADB6-970A-453E-8E8B-8E2B2EC8A298}"/>
    <cellStyle name="Comma 3 5 6 2 5 2" xfId="33672" xr:uid="{366E3D2B-7254-4575-87E6-732E670D8D39}"/>
    <cellStyle name="Comma 3 5 6 2 6" xfId="19324" xr:uid="{B327D167-4203-4678-B6E8-D8B04FC91819}"/>
    <cellStyle name="Comma 3 5 6 3" xfId="6030" xr:uid="{4324B582-222F-487D-8C9E-EB257BDD16A4}"/>
    <cellStyle name="Comma 3 5 6 3 2" xfId="13544" xr:uid="{9E843742-CACF-404F-A01B-3CD72C315491}"/>
    <cellStyle name="Comma 3 5 6 3 2 2" xfId="29748" xr:uid="{2A7154AB-3D7A-4650-AE02-9448C96F6CF4}"/>
    <cellStyle name="Comma 3 5 6 3 3" xfId="22234" xr:uid="{477E74F2-ECE4-402B-BDF7-D86545448BDB}"/>
    <cellStyle name="Comma 3 5 6 4" xfId="9168" xr:uid="{9D1543DA-2B4C-45DE-8E31-BD0DA20136EC}"/>
    <cellStyle name="Comma 3 5 6 4 2" xfId="16642" xr:uid="{5450A0AF-AE02-47D9-8CFB-839393B9D58B}"/>
    <cellStyle name="Comma 3 5 6 4 2 2" xfId="32846" xr:uid="{39C2EEDD-50AC-467C-9BE4-BDB078492B25}"/>
    <cellStyle name="Comma 3 5 6 4 3" xfId="25372" xr:uid="{8FA4612B-3A7F-4B87-A784-82F27A4AD399}"/>
    <cellStyle name="Comma 3 5 6 5" xfId="9953" xr:uid="{34E05E84-8C11-4F86-B1EF-2D7ECFB32FDF}"/>
    <cellStyle name="Comma 3 5 6 5 2" xfId="26157" xr:uid="{7518A0A6-8B48-4762-B866-CE8D33C01182}"/>
    <cellStyle name="Comma 3 5 6 6" xfId="17539" xr:uid="{203C30FC-493B-45C3-8477-A7469E72072F}"/>
    <cellStyle name="Comma 3 5 6 6 2" xfId="33671" xr:uid="{2874DD97-65C5-4E30-AE5E-394A422146A7}"/>
    <cellStyle name="Comma 3 5 6 7" xfId="18479" xr:uid="{90F9EFD0-1B7F-4FA4-B97E-6992ACDD53F4}"/>
    <cellStyle name="Comma 3 5 7" xfId="2679" xr:uid="{65715469-F989-476C-A730-454B27593579}"/>
    <cellStyle name="Comma 3 5 7 2" xfId="6463" xr:uid="{3B956423-A5E7-4C83-B840-F283DE64F513}"/>
    <cellStyle name="Comma 3 5 7 2 2" xfId="13975" xr:uid="{0BB0B0E3-2666-42BE-A658-4646BE990501}"/>
    <cellStyle name="Comma 3 5 7 2 2 2" xfId="30179" xr:uid="{21B0BCBC-4619-4239-AFC7-1DC7B96234A0}"/>
    <cellStyle name="Comma 3 5 7 2 3" xfId="22667" xr:uid="{D374EE5F-F5A5-4DBF-80F5-35EDCD0822F5}"/>
    <cellStyle name="Comma 3 5 7 3" xfId="5454" xr:uid="{42067F4C-07B1-410E-8B8E-6BB15F28D5BC}"/>
    <cellStyle name="Comma 3 5 7 3 2" xfId="12996" xr:uid="{8CF61E6A-AB8D-4A30-B66B-0BFBE1E5464E}"/>
    <cellStyle name="Comma 3 5 7 3 2 2" xfId="29200" xr:uid="{A7352BC9-D540-49C6-B526-0A8DD0E3BC24}"/>
    <cellStyle name="Comma 3 5 7 3 3" xfId="21658" xr:uid="{3482FE3C-B9D6-4119-BA90-1257A81AA7BA}"/>
    <cellStyle name="Comma 3 5 7 4" xfId="10375" xr:uid="{A0E60D5D-EDC5-4A30-BCA6-6EFFDC6646EE}"/>
    <cellStyle name="Comma 3 5 7 4 2" xfId="26579" xr:uid="{9CE18453-3AAC-4799-BFB8-268314B63B7F}"/>
    <cellStyle name="Comma 3 5 7 5" xfId="17541" xr:uid="{9371E5B9-BD8C-425C-91CA-E1B692D87B1C}"/>
    <cellStyle name="Comma 3 5 7 5 2" xfId="33673" xr:uid="{152584B2-D5FC-4BB8-BA5E-DD390A725A4E}"/>
    <cellStyle name="Comma 3 5 7 6" xfId="18901" xr:uid="{3D42790C-447E-459D-8B92-28DECA340B8D}"/>
    <cellStyle name="Comma 3 5 8" xfId="3606" xr:uid="{9B5EB7A6-F2FF-44B7-9E4E-B2D0879A6E30}"/>
    <cellStyle name="Comma 3 5 8 2" xfId="7319" xr:uid="{7D53657C-CBF5-402F-9493-148A7D767758}"/>
    <cellStyle name="Comma 3 5 8 2 2" xfId="14828" xr:uid="{C10014D0-60D3-4445-B9A3-7AD6B8AEF44E}"/>
    <cellStyle name="Comma 3 5 8 2 2 2" xfId="31032" xr:uid="{DF517687-41A7-40D8-9E03-B384E54254AB}"/>
    <cellStyle name="Comma 3 5 8 2 3" xfId="23523" xr:uid="{23989E10-1119-4F5B-85B7-73DA6596AAD3}"/>
    <cellStyle name="Comma 3 5 8 3" xfId="9140" xr:uid="{7B774D3E-C5F1-49E9-A6A9-2FB013B120F9}"/>
    <cellStyle name="Comma 3 5 8 3 2" xfId="16617" xr:uid="{2E2AD69B-483F-4F62-88B7-091463F93777}"/>
    <cellStyle name="Comma 3 5 8 3 2 2" xfId="32821" xr:uid="{BEA9F869-D10E-4E34-A9E4-80368725D46F}"/>
    <cellStyle name="Comma 3 5 8 3 3" xfId="25344" xr:uid="{CC275D5F-D54A-40D2-9873-CCBAFDB0A71D}"/>
    <cellStyle name="Comma 3 5 8 4" xfId="11220" xr:uid="{57B0A2CE-C6D8-4C5B-9574-6FB0AFAA421B}"/>
    <cellStyle name="Comma 3 5 8 4 2" xfId="27424" xr:uid="{A3FCD1AF-B262-4E4B-BA2B-084ABFCD7506}"/>
    <cellStyle name="Comma 3 5 8 5" xfId="17542" xr:uid="{9E7856EF-C717-4F48-B43A-4EA07779A378}"/>
    <cellStyle name="Comma 3 5 8 5 2" xfId="33674" xr:uid="{8D359997-5BC3-4A94-9FD2-65F0498947E2}"/>
    <cellStyle name="Comma 3 5 8 6" xfId="19815" xr:uid="{DD9EA010-F10B-4C3B-9ACC-33E42CC5773B}"/>
    <cellStyle name="Comma 3 5 9" xfId="3382" xr:uid="{DA4F7D63-70E1-430F-93D2-D92FD850FE37}"/>
    <cellStyle name="Comma 3 5 9 2" xfId="5251" xr:uid="{B2F71FB1-6682-49A2-8569-E796226E56AE}"/>
    <cellStyle name="Comma 3 5 9 2 2" xfId="21455" xr:uid="{8FEE0BC8-8288-47BA-82EA-A17E5AC65BEB}"/>
    <cellStyle name="Comma 3 5 9 3" xfId="17543" xr:uid="{90194C56-0F35-41BC-9CB5-D0C5999F890F}"/>
    <cellStyle name="Comma 3 5 9 3 2" xfId="33675" xr:uid="{D4BDDB63-4698-48DA-8B9B-05A2968E7870}"/>
    <cellStyle name="Comma 3 5 9 4" xfId="19600" xr:uid="{D880F508-1131-4740-9389-D019146B265B}"/>
    <cellStyle name="Comma 3 6" xfId="1618" xr:uid="{9F08A542-8AD3-404E-92A5-A769E0DC5901}"/>
    <cellStyle name="Comma 3 6 10" xfId="4081" xr:uid="{200F1530-007D-4A1C-A3CB-D04FC297649F}"/>
    <cellStyle name="Comma 3 6 10 2" xfId="7751" xr:uid="{2B5F3199-1835-4496-B305-2E3016B90323}"/>
    <cellStyle name="Comma 3 6 10 2 2" xfId="15258" xr:uid="{72974D39-0B30-4AD3-889F-00D03AE3D16E}"/>
    <cellStyle name="Comma 3 6 10 2 2 2" xfId="31462" xr:uid="{B74B7C68-C64A-4386-840F-BCA83FEA7847}"/>
    <cellStyle name="Comma 3 6 10 2 3" xfId="23955" xr:uid="{875629B9-4343-4314-9FE8-0A8E270E9359}"/>
    <cellStyle name="Comma 3 6 10 3" xfId="9099" xr:uid="{4AB0CDAE-0931-4275-9798-71FE4644EC4A}"/>
    <cellStyle name="Comma 3 6 10 3 2" xfId="16578" xr:uid="{7900F5E9-D051-43F6-BC1D-C767F1E5C532}"/>
    <cellStyle name="Comma 3 6 10 3 2 2" xfId="32782" xr:uid="{435EE9E9-B97F-4B73-BBE5-211883C5CD4D}"/>
    <cellStyle name="Comma 3 6 10 3 3" xfId="25303" xr:uid="{2DCECE60-7353-40F5-B7C3-12FC02B7F096}"/>
    <cellStyle name="Comma 3 6 10 4" xfId="11644" xr:uid="{9AFDA9C4-2E9C-4425-94BB-7BF74971290D}"/>
    <cellStyle name="Comma 3 6 10 4 2" xfId="27848" xr:uid="{1462FA9E-BDC6-47C1-B213-190E27218270}"/>
    <cellStyle name="Comma 3 6 10 5" xfId="17545" xr:uid="{6E84A8EA-DBFF-4B1F-90C2-C39167AD2221}"/>
    <cellStyle name="Comma 3 6 10 5 2" xfId="33677" xr:uid="{EDA4D658-35FB-4410-8115-10289B817F3D}"/>
    <cellStyle name="Comma 3 6 10 6" xfId="20285" xr:uid="{6F8A3A4D-F31E-4726-A90B-61A650166AE4}"/>
    <cellStyle name="Comma 3 6 11" xfId="4506" xr:uid="{2EF557BA-830A-486F-859B-4CA5F5ADDEB4}"/>
    <cellStyle name="Comma 3 6 11 2" xfId="8176" xr:uid="{0FAD36D6-B885-4A0E-9980-1C58AECC19F7}"/>
    <cellStyle name="Comma 3 6 11 2 2" xfId="15683" xr:uid="{0DDFB2ED-E94C-4B8B-AFDD-72D0F4697796}"/>
    <cellStyle name="Comma 3 6 11 2 2 2" xfId="31887" xr:uid="{E41C70C8-F9B6-4D22-B6DE-831DCE1CE317}"/>
    <cellStyle name="Comma 3 6 11 2 3" xfId="24380" xr:uid="{51798F76-DBB9-4C92-BC60-7F477886DD05}"/>
    <cellStyle name="Comma 3 6 11 3" xfId="9364" xr:uid="{58B58FE4-9142-4F4F-B8B4-D3A264BF9E4A}"/>
    <cellStyle name="Comma 3 6 11 3 2" xfId="16806" xr:uid="{69F948C6-2E2A-4624-9258-A91947153C5A}"/>
    <cellStyle name="Comma 3 6 11 3 2 2" xfId="33010" xr:uid="{5C142CE7-D7C6-4501-9460-585CEBB3CF74}"/>
    <cellStyle name="Comma 3 6 11 3 3" xfId="25568" xr:uid="{87058FCD-5132-484E-91B5-2A60B45CA445}"/>
    <cellStyle name="Comma 3 6 11 4" xfId="12069" xr:uid="{1B2C5857-F6E3-4378-99DF-2589DC4A5381}"/>
    <cellStyle name="Comma 3 6 11 4 2" xfId="28273" xr:uid="{F11AB4F0-AC45-4D3A-A8CA-E37BAE6EE262}"/>
    <cellStyle name="Comma 3 6 11 5" xfId="17546" xr:uid="{B3E0C7CC-32C7-4B01-BCAA-18CDFE89F4BE}"/>
    <cellStyle name="Comma 3 6 11 5 2" xfId="33678" xr:uid="{5F9519DC-D426-4D12-ABA8-85CB4E625055}"/>
    <cellStyle name="Comma 3 6 11 6" xfId="20710" xr:uid="{7F336E28-4565-414F-80E1-6F52FA50732E}"/>
    <cellStyle name="Comma 3 6 12" xfId="4933" xr:uid="{3B5D3BEE-20B1-4426-A156-A315B20BFB19}"/>
    <cellStyle name="Comma 3 6 12 2" xfId="8599" xr:uid="{D3D9D809-A960-4329-A5C2-F246C9770DE4}"/>
    <cellStyle name="Comma 3 6 12 2 2" xfId="16106" xr:uid="{0A058841-E70E-4594-BF3B-727204FB35F8}"/>
    <cellStyle name="Comma 3 6 12 2 2 2" xfId="32310" xr:uid="{B97A8EEB-3924-4BAA-9657-96AD13231C6D}"/>
    <cellStyle name="Comma 3 6 12 2 3" xfId="24803" xr:uid="{46672C8F-9874-4F8D-A33F-B236247FED30}"/>
    <cellStyle name="Comma 3 6 12 3" xfId="12491" xr:uid="{58A15D85-8E3C-489A-93EA-016020C6F06C}"/>
    <cellStyle name="Comma 3 6 12 3 2" xfId="28695" xr:uid="{5B18C8F9-9F51-4C39-960B-655400C5B98B}"/>
    <cellStyle name="Comma 3 6 12 4" xfId="21137" xr:uid="{0C334905-FA5B-4624-98E2-04B2807076DD}"/>
    <cellStyle name="Comma 3 6 13" xfId="5579" xr:uid="{889C8ECE-0542-4789-A1BC-5A762BC70CD1}"/>
    <cellStyle name="Comma 3 6 13 2" xfId="13096" xr:uid="{16E15536-305B-4E55-A518-B97D2DA5DEE5}"/>
    <cellStyle name="Comma 3 6 13 2 2" xfId="29300" xr:uid="{AEF25870-FED4-4F1E-89F7-F19A3686C35E}"/>
    <cellStyle name="Comma 3 6 13 3" xfId="21783" xr:uid="{33CB9F98-F776-49F3-A6D0-6192DEDE903B}"/>
    <cellStyle name="Comma 3 6 14" xfId="9532" xr:uid="{7CE6B835-CC14-46E3-ABB1-B88565B1C453}"/>
    <cellStyle name="Comma 3 6 14 2" xfId="25736" xr:uid="{F08F8E7F-1F7C-4F4B-ACBB-0E591BC51D10}"/>
    <cellStyle name="Comma 3 6 15" xfId="17544" xr:uid="{3D25936C-A701-455F-BC08-ECB95BCA9615}"/>
    <cellStyle name="Comma 3 6 15 2" xfId="33676" xr:uid="{A2988500-E1F5-4C62-AC98-71773CFAAD06}"/>
    <cellStyle name="Comma 3 6 16" xfId="18055" xr:uid="{843FEB6C-AE5C-4C30-AC0A-EB9F06A15168}"/>
    <cellStyle name="Comma 3 6 2" xfId="1749" xr:uid="{5BAE5F56-EE6E-498E-84C3-1620B9B99F3F}"/>
    <cellStyle name="Comma 3 6 2 10" xfId="5618" xr:uid="{34D82889-890B-47E6-A922-1821DFC17BF2}"/>
    <cellStyle name="Comma 3 6 2 10 2" xfId="13133" xr:uid="{43140418-79F4-49C6-B516-0654144A2515}"/>
    <cellStyle name="Comma 3 6 2 10 2 2" xfId="29337" xr:uid="{5F0F3317-FA4B-45F8-83FC-ECBE8A760815}"/>
    <cellStyle name="Comma 3 6 2 10 3" xfId="21822" xr:uid="{7A085C24-7968-4561-A446-27634066EC8A}"/>
    <cellStyle name="Comma 3 6 2 11" xfId="9546" xr:uid="{CB2F5DF9-1014-4C86-8D56-BEEE978E4DFA}"/>
    <cellStyle name="Comma 3 6 2 11 2" xfId="25750" xr:uid="{C17601B0-E1A2-4EB7-949B-242776B27D5D}"/>
    <cellStyle name="Comma 3 6 2 12" xfId="17547" xr:uid="{C85F5B7B-09F6-4370-85A3-28E290C12F75}"/>
    <cellStyle name="Comma 3 6 2 12 2" xfId="33679" xr:uid="{7E431B66-265D-4ED1-9216-2BDF9309C009}"/>
    <cellStyle name="Comma 3 6 2 13" xfId="18069" xr:uid="{D7BEBF29-40C2-48D4-8B01-1FB9321573C9}"/>
    <cellStyle name="Comma 3 6 2 2" xfId="1936" xr:uid="{0964C4AB-35DB-48DD-B3E3-D1A461FCF232}"/>
    <cellStyle name="Comma 3 6 2 2 10" xfId="9716" xr:uid="{60AAAA73-E17B-4D8A-A7FA-4D3080B6A343}"/>
    <cellStyle name="Comma 3 6 2 2 10 2" xfId="25920" xr:uid="{D0A147B2-B2D4-484B-93B5-348AD57EB61C}"/>
    <cellStyle name="Comma 3 6 2 2 11" xfId="17548" xr:uid="{4A83DF04-97E8-4863-AAF8-FC498DA7D713}"/>
    <cellStyle name="Comma 3 6 2 2 11 2" xfId="33680" xr:uid="{73967705-06B1-40D8-A770-09FD35029099}"/>
    <cellStyle name="Comma 3 6 2 2 12" xfId="18240" xr:uid="{1B15F021-4E77-476C-A4C5-711658845616}"/>
    <cellStyle name="Comma 3 6 2 2 2" xfId="2443" xr:uid="{8F66AAF8-3AD7-46B9-904E-15899B0AAA90}"/>
    <cellStyle name="Comma 3 6 2 2 2 2" xfId="3290" xr:uid="{13B19453-8F9D-4916-BE5C-E68FEBB42C90}"/>
    <cellStyle name="Comma 3 6 2 2 2 2 2" xfId="7072" xr:uid="{1AEA3601-D832-4B7D-9056-47C0FEEA2997}"/>
    <cellStyle name="Comma 3 6 2 2 2 2 2 2" xfId="14583" xr:uid="{E929405C-EE6E-4725-9E66-A5393937F58B}"/>
    <cellStyle name="Comma 3 6 2 2 2 2 2 2 2" xfId="30787" xr:uid="{2C1CAFE2-EFFC-48EE-AE68-02AB0D898512}"/>
    <cellStyle name="Comma 3 6 2 2 2 2 2 3" xfId="23276" xr:uid="{98262848-A51E-4051-8A67-91191BAF408C}"/>
    <cellStyle name="Comma 3 6 2 2 2 2 3" xfId="8876" xr:uid="{EC5F3D33-689B-4611-BF46-23F0C73668C0}"/>
    <cellStyle name="Comma 3 6 2 2 2 2 3 2" xfId="16382" xr:uid="{709A206E-2EEA-4396-A1AF-806CB8F8C8DB}"/>
    <cellStyle name="Comma 3 6 2 2 2 2 3 2 2" xfId="32586" xr:uid="{586EA77D-452F-40A3-9F43-79B6820F088A}"/>
    <cellStyle name="Comma 3 6 2 2 2 2 3 3" xfId="25080" xr:uid="{BCEF1889-7EEC-4D7F-9D8B-C96E76663B7A}"/>
    <cellStyle name="Comma 3 6 2 2 2 2 4" xfId="10983" xr:uid="{308EE086-759C-4AC9-8F4D-090A346153C8}"/>
    <cellStyle name="Comma 3 6 2 2 2 2 4 2" xfId="27187" xr:uid="{80E48A73-4409-4FEA-AFBE-453D74662040}"/>
    <cellStyle name="Comma 3 6 2 2 2 2 5" xfId="17550" xr:uid="{C2DA21AA-F3A6-4DA5-9618-32518DBFE5A1}"/>
    <cellStyle name="Comma 3 6 2 2 2 2 5 2" xfId="33682" xr:uid="{BBF079DC-AAD7-4E82-A56C-7EFD8D600889}"/>
    <cellStyle name="Comma 3 6 2 2 2 2 6" xfId="19510" xr:uid="{291D3023-A619-40C2-BD7D-589B86BA0191}"/>
    <cellStyle name="Comma 3 6 2 2 2 3" xfId="6227" xr:uid="{F6EEE1C4-3BED-41B1-AAB2-0550C9744DE3}"/>
    <cellStyle name="Comma 3 6 2 2 2 3 2" xfId="13739" xr:uid="{3A11BFBB-AABB-48A1-82BC-46122F29C425}"/>
    <cellStyle name="Comma 3 6 2 2 2 3 2 2" xfId="29943" xr:uid="{A8B80C44-6266-4446-B1C0-180338085E4F}"/>
    <cellStyle name="Comma 3 6 2 2 2 3 3" xfId="22431" xr:uid="{BBE3C278-2CC1-4BF3-B249-D1DF14CA0E3C}"/>
    <cellStyle name="Comma 3 6 2 2 2 4" xfId="5489" xr:uid="{E9E02F91-5A63-42E1-B96B-3D71ADA650DD}"/>
    <cellStyle name="Comma 3 6 2 2 2 4 2" xfId="13026" xr:uid="{9149A326-0A4C-4845-9483-2123BC19B859}"/>
    <cellStyle name="Comma 3 6 2 2 2 4 2 2" xfId="29230" xr:uid="{9414786A-3DAE-4FB2-ADA9-713DCF23CBE1}"/>
    <cellStyle name="Comma 3 6 2 2 2 4 3" xfId="21693" xr:uid="{02047797-4A23-459B-B770-6137FF0A0444}"/>
    <cellStyle name="Comma 3 6 2 2 2 5" xfId="10139" xr:uid="{1EE50729-212B-463E-8892-0845063E3AFD}"/>
    <cellStyle name="Comma 3 6 2 2 2 5 2" xfId="26343" xr:uid="{C5D7DA64-A760-4421-8BC8-1BC9EEC08AA1}"/>
    <cellStyle name="Comma 3 6 2 2 2 6" xfId="17549" xr:uid="{39E062D1-963F-4A07-A5FE-1C61875256B4}"/>
    <cellStyle name="Comma 3 6 2 2 2 6 2" xfId="33681" xr:uid="{00185F50-D408-4C11-9AC8-7DB5F542CFCC}"/>
    <cellStyle name="Comma 3 6 2 2 2 7" xfId="18665" xr:uid="{48081C80-BB95-43E7-8FDE-262EB4A8A7C7}"/>
    <cellStyle name="Comma 3 6 2 2 3" xfId="2865" xr:uid="{5D9DAF22-74FD-42C7-A80E-EE44D0BFA19B}"/>
    <cellStyle name="Comma 3 6 2 2 3 2" xfId="6649" xr:uid="{41521FDD-7241-4A8E-9672-45327501137F}"/>
    <cellStyle name="Comma 3 6 2 2 3 2 2" xfId="14161" xr:uid="{4DBCF898-A68D-4F79-BF74-46B32643036C}"/>
    <cellStyle name="Comma 3 6 2 2 3 2 2 2" xfId="30365" xr:uid="{8D811501-FDE5-4B26-9F52-0B0395C77EAB}"/>
    <cellStyle name="Comma 3 6 2 2 3 2 3" xfId="22853" xr:uid="{F6F4A13E-7A53-4CE6-8C8F-40A704050A67}"/>
    <cellStyle name="Comma 3 6 2 2 3 3" xfId="9186" xr:uid="{158539DD-88D2-4EE6-8BB5-7A18F0FFD469}"/>
    <cellStyle name="Comma 3 6 2 2 3 3 2" xfId="16657" xr:uid="{615DE2F6-8522-4C36-9D95-C470458C6805}"/>
    <cellStyle name="Comma 3 6 2 2 3 3 2 2" xfId="32861" xr:uid="{E80F2FBF-7933-492F-91AC-92333A306CC3}"/>
    <cellStyle name="Comma 3 6 2 2 3 3 3" xfId="25390" xr:uid="{5CB3EF27-B25D-4A1F-8681-7D387DA63061}"/>
    <cellStyle name="Comma 3 6 2 2 3 4" xfId="10561" xr:uid="{F3DE71E8-F79E-41A2-AB7F-C8E4B8806AD6}"/>
    <cellStyle name="Comma 3 6 2 2 3 4 2" xfId="26765" xr:uid="{642F813D-A16C-4B9F-B204-247BA4AFDECD}"/>
    <cellStyle name="Comma 3 6 2 2 3 5" xfId="17551" xr:uid="{E29CA9FA-842D-4F34-825C-CA2BD60DC2AA}"/>
    <cellStyle name="Comma 3 6 2 2 3 5 2" xfId="33683" xr:uid="{318BF48F-CF0B-4B60-AAF4-A4B409CB69C3}"/>
    <cellStyle name="Comma 3 6 2 2 3 6" xfId="19087" xr:uid="{2E4F3CE4-39D2-4D4E-8404-F66EB97E8624}"/>
    <cellStyle name="Comma 3 6 2 2 4" xfId="3796" xr:uid="{2632DBC4-544E-47D9-9E2B-C2BEB70413EE}"/>
    <cellStyle name="Comma 3 6 2 2 4 2" xfId="7506" xr:uid="{322974EF-BEF3-4A5D-AF12-945AEE9CBE4D}"/>
    <cellStyle name="Comma 3 6 2 2 4 2 2" xfId="15015" xr:uid="{0C71AF28-D060-4ED1-8DBD-B52C04B831BD}"/>
    <cellStyle name="Comma 3 6 2 2 4 2 2 2" xfId="31219" xr:uid="{7D23A27A-1FB8-4F3B-8130-84D8DE44B05E}"/>
    <cellStyle name="Comma 3 6 2 2 4 2 3" xfId="23710" xr:uid="{52B6B6D7-6FE9-487C-9188-4A8B26C5E951}"/>
    <cellStyle name="Comma 3 6 2 2 4 3" xfId="9137" xr:uid="{E77F04D5-FCCC-4560-B4E5-4860D4B0A5E7}"/>
    <cellStyle name="Comma 3 6 2 2 4 3 2" xfId="16614" xr:uid="{8EF63B2A-7974-46B6-AEDC-E05DADE352B8}"/>
    <cellStyle name="Comma 3 6 2 2 4 3 2 2" xfId="32818" xr:uid="{A45E2ACE-EA74-4645-9042-902BE9EE27D9}"/>
    <cellStyle name="Comma 3 6 2 2 4 3 3" xfId="25341" xr:uid="{27D74C82-1664-42DD-928C-9270B9BD09DB}"/>
    <cellStyle name="Comma 3 6 2 2 4 4" xfId="11406" xr:uid="{84C25F66-5AF8-48ED-91D6-9F07F07BC556}"/>
    <cellStyle name="Comma 3 6 2 2 4 4 2" xfId="27610" xr:uid="{80A5263C-C1D8-4AE4-9A2D-9125D2BC31B8}"/>
    <cellStyle name="Comma 3 6 2 2 4 5" xfId="17552" xr:uid="{6F3B51D9-A4EA-42E5-87DA-2DA794AD169F}"/>
    <cellStyle name="Comma 3 6 2 2 4 5 2" xfId="33684" xr:uid="{BFF45517-9482-46A5-8E70-313AEE35D412}"/>
    <cellStyle name="Comma 3 6 2 2 4 6" xfId="20005" xr:uid="{857BB8B2-AFD6-4EAC-94E2-3790FFB4BB68}"/>
    <cellStyle name="Comma 3 6 2 2 5" xfId="3900" xr:uid="{EBFB0D50-90A7-46CF-8995-BEE81058BD99}"/>
    <cellStyle name="Comma 3 6 2 2 5 2" xfId="9180" xr:uid="{8704A72B-CCDE-40A1-9CD8-C833DB735709}"/>
    <cellStyle name="Comma 3 6 2 2 5 2 2" xfId="25384" xr:uid="{7CFD4DAA-41CF-49BE-8683-AC6C6D0AB86F}"/>
    <cellStyle name="Comma 3 6 2 2 5 3" xfId="17553" xr:uid="{3A66D905-CF1E-4423-976C-A85EEAA31273}"/>
    <cellStyle name="Comma 3 6 2 2 5 3 2" xfId="33685" xr:uid="{D76F0F65-7B7C-447F-B0A1-89EE56395E3D}"/>
    <cellStyle name="Comma 3 6 2 2 5 4" xfId="20109" xr:uid="{A2C43627-2684-4BDC-AA45-AD4B21B4A3FB}"/>
    <cellStyle name="Comma 3 6 2 2 6" xfId="4265" xr:uid="{8B2D8D3B-319C-498F-AAA8-31DE5C4DF0DB}"/>
    <cellStyle name="Comma 3 6 2 2 6 2" xfId="7935" xr:uid="{5BC88A8B-80F4-4FCA-98CB-82995BABC25D}"/>
    <cellStyle name="Comma 3 6 2 2 6 2 2" xfId="15442" xr:uid="{C0BFAD12-F6BD-4ACD-B261-81675A1A5C20}"/>
    <cellStyle name="Comma 3 6 2 2 6 2 2 2" xfId="31646" xr:uid="{D8283C43-1222-4DFC-8B48-545D8E7250DA}"/>
    <cellStyle name="Comma 3 6 2 2 6 2 3" xfId="24139" xr:uid="{E005FE41-2D72-4234-9771-2449FDB01956}"/>
    <cellStyle name="Comma 3 6 2 2 6 3" xfId="5506" xr:uid="{E7462E22-660E-4EA3-829E-79045786FA66}"/>
    <cellStyle name="Comma 3 6 2 2 6 3 2" xfId="13039" xr:uid="{CC410ED3-9E6C-4EFE-8419-63F24F0C446E}"/>
    <cellStyle name="Comma 3 6 2 2 6 3 2 2" xfId="29243" xr:uid="{5E8B92E8-A05F-4DF2-AA7E-931AF3E077EE}"/>
    <cellStyle name="Comma 3 6 2 2 6 3 3" xfId="21710" xr:uid="{61DAC569-2431-4AF0-AEBF-31E4AC3490BC}"/>
    <cellStyle name="Comma 3 6 2 2 6 4" xfId="11828" xr:uid="{DBD98F37-AA19-460C-AEE4-49947E42E3DD}"/>
    <cellStyle name="Comma 3 6 2 2 6 4 2" xfId="28032" xr:uid="{715E9C4E-2AF7-4E85-96EF-5DFAA0E65BAA}"/>
    <cellStyle name="Comma 3 6 2 2 6 5" xfId="17554" xr:uid="{5E325150-EBB5-4525-84F2-EF6A2B86BA06}"/>
    <cellStyle name="Comma 3 6 2 2 6 5 2" xfId="33686" xr:uid="{42334947-8EF3-4C74-B244-1046A8F0A1E4}"/>
    <cellStyle name="Comma 3 6 2 2 6 6" xfId="20469" xr:uid="{60B52160-2193-451A-AF2A-A49C025289E7}"/>
    <cellStyle name="Comma 3 6 2 2 7" xfId="4690" xr:uid="{AD60B873-493F-4A22-8765-64C6C02907F0}"/>
    <cellStyle name="Comma 3 6 2 2 7 2" xfId="8360" xr:uid="{DB9E5294-B3AB-4923-B15B-4AF09B1C543A}"/>
    <cellStyle name="Comma 3 6 2 2 7 2 2" xfId="15867" xr:uid="{30BEC4C7-3AC6-45B8-9433-2A3BF04FA9BF}"/>
    <cellStyle name="Comma 3 6 2 2 7 2 2 2" xfId="32071" xr:uid="{E04BF53B-2148-4827-936C-A098A3BA3E08}"/>
    <cellStyle name="Comma 3 6 2 2 7 2 3" xfId="24564" xr:uid="{26BEECB8-C6AE-412C-A980-B09E500B2E4A}"/>
    <cellStyle name="Comma 3 6 2 2 7 3" xfId="9317" xr:uid="{C6C41EA9-2CAF-40FA-B5F3-A2D63530E903}"/>
    <cellStyle name="Comma 3 6 2 2 7 3 2" xfId="16764" xr:uid="{CF1C42FE-0585-4CB3-A67A-D42D1DA8E09E}"/>
    <cellStyle name="Comma 3 6 2 2 7 3 2 2" xfId="32968" xr:uid="{08ED4110-61FE-4A46-8C5B-6224F1E23CCB}"/>
    <cellStyle name="Comma 3 6 2 2 7 3 3" xfId="25521" xr:uid="{45F8828A-B169-4165-9BF0-4AF3998FFE93}"/>
    <cellStyle name="Comma 3 6 2 2 7 4" xfId="12253" xr:uid="{45799895-6FA8-487D-97A9-1934CC89C18C}"/>
    <cellStyle name="Comma 3 6 2 2 7 4 2" xfId="28457" xr:uid="{8958DF88-C8D4-4026-8112-106A288CA9C0}"/>
    <cellStyle name="Comma 3 6 2 2 7 5" xfId="17555" xr:uid="{12C25387-6708-45A3-B8F8-6A25628B4263}"/>
    <cellStyle name="Comma 3 6 2 2 7 5 2" xfId="33687" xr:uid="{44DAEC09-BE0D-4566-AB51-998DD2750362}"/>
    <cellStyle name="Comma 3 6 2 2 7 6" xfId="20894" xr:uid="{D5CA9110-335D-4D66-A161-F963D1883583}"/>
    <cellStyle name="Comma 3 6 2 2 8" xfId="5118" xr:uid="{658FC8F5-3912-4635-A106-168A5646B90D}"/>
    <cellStyle name="Comma 3 6 2 2 8 2" xfId="8783" xr:uid="{D1B1C0DB-1480-4222-BA53-4D028A0739F7}"/>
    <cellStyle name="Comma 3 6 2 2 8 2 2" xfId="16290" xr:uid="{BF1D6466-849D-47C1-B414-47D6D034BBBB}"/>
    <cellStyle name="Comma 3 6 2 2 8 2 2 2" xfId="32494" xr:uid="{3FBA9318-5653-4CD6-92CF-31EAAB02FDF5}"/>
    <cellStyle name="Comma 3 6 2 2 8 2 3" xfId="24987" xr:uid="{C820D03A-69F3-420D-BAF7-AD476CD88741}"/>
    <cellStyle name="Comma 3 6 2 2 8 3" xfId="12675" xr:uid="{64E88363-54A0-4758-996F-A681BA6F7B03}"/>
    <cellStyle name="Comma 3 6 2 2 8 3 2" xfId="28879" xr:uid="{465EB274-A0EB-46D3-8DB8-3B733CC4ED9E}"/>
    <cellStyle name="Comma 3 6 2 2 8 4" xfId="21322" xr:uid="{A5C6ACCD-69B9-48E2-8F35-F593AE640287}"/>
    <cellStyle name="Comma 3 6 2 2 9" xfId="5789" xr:uid="{BAD42E61-328A-403D-A88A-91119DE9E1DA}"/>
    <cellStyle name="Comma 3 6 2 2 9 2" xfId="13304" xr:uid="{ACB478EF-71E2-481D-A9D1-F9F13CEB785A}"/>
    <cellStyle name="Comma 3 6 2 2 9 2 2" xfId="29508" xr:uid="{728F1D6B-E6DE-442D-938E-8DAF6406AFD3}"/>
    <cellStyle name="Comma 3 6 2 2 9 3" xfId="21993" xr:uid="{A4FA5AA0-A57E-42EF-9C5F-156E5CF833CC}"/>
    <cellStyle name="Comma 3 6 2 3" xfId="2269" xr:uid="{0484E408-AEB6-4234-91BD-BDD3FC68E8D6}"/>
    <cellStyle name="Comma 3 6 2 3 2" xfId="3120" xr:uid="{88CDEACF-DB4C-4024-883D-4BA77E9697D9}"/>
    <cellStyle name="Comma 3 6 2 3 2 2" xfId="6902" xr:uid="{5693C025-FD82-4095-BCEF-14A55319D6B0}"/>
    <cellStyle name="Comma 3 6 2 3 2 2 2" xfId="14413" xr:uid="{FF3CCD58-7776-4DDA-B797-DCD94D89B233}"/>
    <cellStyle name="Comma 3 6 2 3 2 2 2 2" xfId="30617" xr:uid="{82099435-3A68-4BFC-A453-05F70DC1A2C8}"/>
    <cellStyle name="Comma 3 6 2 3 2 2 3" xfId="23106" xr:uid="{4FFCAC79-6364-493C-9FC1-1E9D382D6B7B}"/>
    <cellStyle name="Comma 3 6 2 3 2 3" xfId="9341" xr:uid="{D4190AEB-2BBD-4AFE-9B37-4FBC40334312}"/>
    <cellStyle name="Comma 3 6 2 3 2 3 2" xfId="16784" xr:uid="{269A45D1-8330-42B3-B602-EC3A1B6E1F57}"/>
    <cellStyle name="Comma 3 6 2 3 2 3 2 2" xfId="32988" xr:uid="{A7E69025-74FD-4B86-A19E-E176146CD804}"/>
    <cellStyle name="Comma 3 6 2 3 2 3 3" xfId="25545" xr:uid="{EABE924E-B6EC-4E4F-B457-B512116C933E}"/>
    <cellStyle name="Comma 3 6 2 3 2 4" xfId="10813" xr:uid="{D633E63B-1CC6-4BCF-B19D-D792FDA0FF31}"/>
    <cellStyle name="Comma 3 6 2 3 2 4 2" xfId="27017" xr:uid="{3F3F2247-790A-4934-BBF9-E1D9D96AF54B}"/>
    <cellStyle name="Comma 3 6 2 3 2 5" xfId="17557" xr:uid="{8E2B8614-2D4C-47C5-8482-5B846C59260F}"/>
    <cellStyle name="Comma 3 6 2 3 2 5 2" xfId="33689" xr:uid="{9FADCAB6-4836-44DB-9D09-53AF7531FD14}"/>
    <cellStyle name="Comma 3 6 2 3 2 6" xfId="19340" xr:uid="{E0863EBF-50D6-42E8-B85D-D9B9A761349F}"/>
    <cellStyle name="Comma 3 6 2 3 3" xfId="6057" xr:uid="{FC1E6EE9-D310-45BB-B567-2BA9D8268F98}"/>
    <cellStyle name="Comma 3 6 2 3 3 2" xfId="13569" xr:uid="{EEBE45A5-4552-404C-9A72-D125A60989FD}"/>
    <cellStyle name="Comma 3 6 2 3 3 2 2" xfId="29773" xr:uid="{D0732694-FDF9-4903-B885-698CAB7851FD}"/>
    <cellStyle name="Comma 3 6 2 3 3 3" xfId="22261" xr:uid="{4043D54B-5949-4752-AB4D-084F60B7DBF3}"/>
    <cellStyle name="Comma 3 6 2 3 4" xfId="8975" xr:uid="{8AAE544E-C8D1-460D-BE46-55B80B4B7F4E}"/>
    <cellStyle name="Comma 3 6 2 3 4 2" xfId="16469" xr:uid="{85EC7CE1-A53F-44B7-B1C0-CB54A2FC6ACB}"/>
    <cellStyle name="Comma 3 6 2 3 4 2 2" xfId="32673" xr:uid="{E828C99E-1AD1-4859-99FC-65A52F2BB016}"/>
    <cellStyle name="Comma 3 6 2 3 4 3" xfId="25179" xr:uid="{0A155D3F-C749-4B7C-97E8-AC6D83B6F5D1}"/>
    <cellStyle name="Comma 3 6 2 3 5" xfId="9969" xr:uid="{0E9ADEBC-55ED-464A-B78D-1B54052E9BE4}"/>
    <cellStyle name="Comma 3 6 2 3 5 2" xfId="26173" xr:uid="{02BA31DE-3137-42D8-9FBF-745EA66B2409}"/>
    <cellStyle name="Comma 3 6 2 3 6" xfId="17556" xr:uid="{87F5F721-0AA2-4DBA-A108-D36FB6B7A6A3}"/>
    <cellStyle name="Comma 3 6 2 3 6 2" xfId="33688" xr:uid="{50F1D650-FF29-4C57-B9AC-4D5D7D67FBD0}"/>
    <cellStyle name="Comma 3 6 2 3 7" xfId="18495" xr:uid="{D68131A7-A704-4A23-A39A-9E27E9724553}"/>
    <cellStyle name="Comma 3 6 2 4" xfId="2695" xr:uid="{49BED1B6-3935-49CB-88DF-5FE6CE77C7A6}"/>
    <cellStyle name="Comma 3 6 2 4 2" xfId="6479" xr:uid="{084A51E7-6277-4B28-ACAA-67CF67AA2798}"/>
    <cellStyle name="Comma 3 6 2 4 2 2" xfId="13991" xr:uid="{1FEFD1FF-66CC-4565-A1A3-7B15D20B790A}"/>
    <cellStyle name="Comma 3 6 2 4 2 2 2" xfId="30195" xr:uid="{4B0A308A-FB47-495A-9ED4-6ED6B089BC11}"/>
    <cellStyle name="Comma 3 6 2 4 2 3" xfId="22683" xr:uid="{69FE749E-DA63-4222-9C2A-5A752530F6A9}"/>
    <cellStyle name="Comma 3 6 2 4 3" xfId="9379" xr:uid="{213C393F-3F4E-49DB-A08D-986FD676B6CD}"/>
    <cellStyle name="Comma 3 6 2 4 3 2" xfId="16820" xr:uid="{101DBD28-7F50-4E0C-9A36-13637B6FB410}"/>
    <cellStyle name="Comma 3 6 2 4 3 2 2" xfId="33024" xr:uid="{0BD0FE60-20BC-4739-AF59-5C7A10B1F600}"/>
    <cellStyle name="Comma 3 6 2 4 3 3" xfId="25583" xr:uid="{D5460747-A250-4331-9945-339FC85B183B}"/>
    <cellStyle name="Comma 3 6 2 4 4" xfId="10391" xr:uid="{5680C5B2-D771-4D22-9F9D-87A3293BEE0D}"/>
    <cellStyle name="Comma 3 6 2 4 4 2" xfId="26595" xr:uid="{396962A0-142C-4022-AA34-972D99A2D5A4}"/>
    <cellStyle name="Comma 3 6 2 4 5" xfId="17558" xr:uid="{D1415EA3-7FBB-4AD6-AC85-63FD925CF435}"/>
    <cellStyle name="Comma 3 6 2 4 5 2" xfId="33690" xr:uid="{EF2D2844-4C37-4F5D-A147-E6A700E49544}"/>
    <cellStyle name="Comma 3 6 2 4 6" xfId="18917" xr:uid="{103D7B2F-A011-4504-9197-E9E1AEA7F12B}"/>
    <cellStyle name="Comma 3 6 2 5" xfId="3625" xr:uid="{C9DD0E9C-A700-474F-B741-591340EDE9F3}"/>
    <cellStyle name="Comma 3 6 2 5 2" xfId="7335" xr:uid="{1FF5C998-55B1-4AFC-91DE-6E5F49C0D1BF}"/>
    <cellStyle name="Comma 3 6 2 5 2 2" xfId="14844" xr:uid="{F21A91DA-BB10-4952-920E-965E5199C357}"/>
    <cellStyle name="Comma 3 6 2 5 2 2 2" xfId="31048" xr:uid="{EED6FB78-8551-4E84-A826-6EDE1E0A856E}"/>
    <cellStyle name="Comma 3 6 2 5 2 3" xfId="23539" xr:uid="{83782EAB-2755-4812-A69E-1D53C3C6FDE4}"/>
    <cellStyle name="Comma 3 6 2 5 3" xfId="9246" xr:uid="{D1EAA699-A3D3-413E-BEA5-71AE6A4D60DC}"/>
    <cellStyle name="Comma 3 6 2 5 3 2" xfId="16708" xr:uid="{B953F467-E984-4C0C-9B06-66C3A62B2B8C}"/>
    <cellStyle name="Comma 3 6 2 5 3 2 2" xfId="32912" xr:uid="{824DAC3C-72EE-40FD-957E-01586AB2764F}"/>
    <cellStyle name="Comma 3 6 2 5 3 3" xfId="25450" xr:uid="{79D6EFD5-1C2B-4C9E-B417-91C484F978EB}"/>
    <cellStyle name="Comma 3 6 2 5 4" xfId="11236" xr:uid="{A88A4EF8-3A43-405E-844A-EEBA728DA693}"/>
    <cellStyle name="Comma 3 6 2 5 4 2" xfId="27440" xr:uid="{CC82C012-F1AD-4207-A84A-622BBE48D24B}"/>
    <cellStyle name="Comma 3 6 2 5 5" xfId="17559" xr:uid="{7274C46D-B8CF-4CED-AB0A-6A758A014577}"/>
    <cellStyle name="Comma 3 6 2 5 5 2" xfId="33691" xr:uid="{75F596CF-2266-40B7-B93E-AFA10CAC4E04}"/>
    <cellStyle name="Comma 3 6 2 5 6" xfId="19834" xr:uid="{2F2F7E32-7BF6-4970-BBE1-ADFFA812D6A5}"/>
    <cellStyle name="Comma 3 6 2 6" xfId="3392" xr:uid="{C6974837-BF1B-4CDB-8C0C-E0E21E181665}"/>
    <cellStyle name="Comma 3 6 2 6 2" xfId="8883" xr:uid="{2B29945D-F54F-4164-B408-91B0FF3ACC41}"/>
    <cellStyle name="Comma 3 6 2 6 2 2" xfId="25087" xr:uid="{133CA7AD-3811-405D-871E-32D74F31C915}"/>
    <cellStyle name="Comma 3 6 2 6 3" xfId="17560" xr:uid="{35AE7D37-FE6B-4F79-8AB8-C108379D2A09}"/>
    <cellStyle name="Comma 3 6 2 6 3 2" xfId="33692" xr:uid="{7DA5A070-B18B-4F1D-98F7-93B5C42FBDC8}"/>
    <cellStyle name="Comma 3 6 2 6 4" xfId="19609" xr:uid="{ACA435F9-650C-41CE-843F-899676345AAD}"/>
    <cellStyle name="Comma 3 6 2 7" xfId="4095" xr:uid="{9985720B-1B4C-4E06-A980-7D872BB3EE57}"/>
    <cellStyle name="Comma 3 6 2 7 2" xfId="7765" xr:uid="{F37D988B-D63F-44D5-945A-BFD4B57CF1C7}"/>
    <cellStyle name="Comma 3 6 2 7 2 2" xfId="15272" xr:uid="{64AB4BF3-CEB4-4EC0-819F-14D5D83D7E6F}"/>
    <cellStyle name="Comma 3 6 2 7 2 2 2" xfId="31476" xr:uid="{15EDB235-54C1-45BD-8895-4073BD6C4044}"/>
    <cellStyle name="Comma 3 6 2 7 2 3" xfId="23969" xr:uid="{9E49D786-A209-4E13-9027-07D28FF3F8BA}"/>
    <cellStyle name="Comma 3 6 2 7 3" xfId="6042" xr:uid="{63F8A49F-4F9B-4138-9BCB-7137ED5B0810}"/>
    <cellStyle name="Comma 3 6 2 7 3 2" xfId="13556" xr:uid="{C2A432AB-A631-4798-B4FE-2D95EAD92472}"/>
    <cellStyle name="Comma 3 6 2 7 3 2 2" xfId="29760" xr:uid="{1A7A4864-D2F9-4949-B804-1B63192B5649}"/>
    <cellStyle name="Comma 3 6 2 7 3 3" xfId="22246" xr:uid="{7F54661A-7207-43A4-93A7-2E93F6A13D5C}"/>
    <cellStyle name="Comma 3 6 2 7 4" xfId="11658" xr:uid="{2E121BDE-278D-4220-B5D5-D6C4F5F8EF4F}"/>
    <cellStyle name="Comma 3 6 2 7 4 2" xfId="27862" xr:uid="{C1C8D3E7-FD5F-4C22-B1A5-D67702DD17C1}"/>
    <cellStyle name="Comma 3 6 2 7 5" xfId="17561" xr:uid="{EA74C950-C6D5-4422-AD51-21B0BA17C130}"/>
    <cellStyle name="Comma 3 6 2 7 5 2" xfId="33693" xr:uid="{E1541C2D-16BC-4FF2-A16B-24EB20BABD35}"/>
    <cellStyle name="Comma 3 6 2 7 6" xfId="20299" xr:uid="{B427016F-5020-4B31-9E9A-81027331FCFA}"/>
    <cellStyle name="Comma 3 6 2 8" xfId="4520" xr:uid="{99506041-E2D6-4843-8D9D-24A7F6F3D01E}"/>
    <cellStyle name="Comma 3 6 2 8 2" xfId="8190" xr:uid="{58084FCE-6AFB-4CFC-95F2-1B5CA99B5496}"/>
    <cellStyle name="Comma 3 6 2 8 2 2" xfId="15697" xr:uid="{4EC9770C-21BD-410B-BDF5-E3631EC5D3B3}"/>
    <cellStyle name="Comma 3 6 2 8 2 2 2" xfId="31901" xr:uid="{BB8B2A44-978D-4971-BBE7-661EF932BE85}"/>
    <cellStyle name="Comma 3 6 2 8 2 3" xfId="24394" xr:uid="{CBD54B5D-9EB0-4A57-A62F-718B72CFECD0}"/>
    <cellStyle name="Comma 3 6 2 8 3" xfId="9193" xr:uid="{BC49965B-11A3-4441-8BE8-E5FB399CE0C9}"/>
    <cellStyle name="Comma 3 6 2 8 3 2" xfId="16664" xr:uid="{6EB759E2-2403-474D-A05A-91B7529B9740}"/>
    <cellStyle name="Comma 3 6 2 8 3 2 2" xfId="32868" xr:uid="{81FC0F0E-22A4-4EA9-8663-A418C570CCAF}"/>
    <cellStyle name="Comma 3 6 2 8 3 3" xfId="25397" xr:uid="{7FD5161B-CCF3-4645-8E05-00052494421E}"/>
    <cellStyle name="Comma 3 6 2 8 4" xfId="12083" xr:uid="{9ED34640-408F-45DB-AC89-326A357EC06F}"/>
    <cellStyle name="Comma 3 6 2 8 4 2" xfId="28287" xr:uid="{C74304F7-05E5-4636-ADEE-4065EDDE9A94}"/>
    <cellStyle name="Comma 3 6 2 8 5" xfId="17562" xr:uid="{B2141601-5A42-47C4-8536-F45E158DA4C5}"/>
    <cellStyle name="Comma 3 6 2 8 5 2" xfId="33694" xr:uid="{4B53A963-F189-42FF-ADC2-2768A70433BB}"/>
    <cellStyle name="Comma 3 6 2 8 6" xfId="20724" xr:uid="{646FC8B1-E0B4-4916-949E-2AC6513DD95D}"/>
    <cellStyle name="Comma 3 6 2 9" xfId="4947" xr:uid="{02CC8BBA-9BBF-4EFB-B075-889C117FA5FA}"/>
    <cellStyle name="Comma 3 6 2 9 2" xfId="8613" xr:uid="{C9127F27-ECD0-4506-9184-9D56D0F2550A}"/>
    <cellStyle name="Comma 3 6 2 9 2 2" xfId="16120" xr:uid="{8A475457-4144-47B7-85C5-93BD5A574F63}"/>
    <cellStyle name="Comma 3 6 2 9 2 2 2" xfId="32324" xr:uid="{BBF7FCCD-71BA-4E27-AB3C-8F1CA66975AA}"/>
    <cellStyle name="Comma 3 6 2 9 2 3" xfId="24817" xr:uid="{26AEC531-7266-48E0-9C06-AB2FF3AD9ADE}"/>
    <cellStyle name="Comma 3 6 2 9 3" xfId="12505" xr:uid="{96CD6DF4-FE3E-434D-8777-68FAE496A42B}"/>
    <cellStyle name="Comma 3 6 2 9 3 2" xfId="28709" xr:uid="{780A2B1B-424D-4949-81A6-BB37E9F98D30}"/>
    <cellStyle name="Comma 3 6 2 9 4" xfId="21151" xr:uid="{4FBB647E-A6F4-4AA8-9600-3788A7D85E72}"/>
    <cellStyle name="Comma 3 6 3" xfId="1767" xr:uid="{E32261DD-CC8A-42F0-935D-13090AD18E1B}"/>
    <cellStyle name="Comma 3 6 3 10" xfId="5632" xr:uid="{F75C7C4D-2399-4A7B-88A5-17243CF3A5F5}"/>
    <cellStyle name="Comma 3 6 3 10 2" xfId="13147" xr:uid="{94F205B4-D104-4628-95C3-5F1D198068E9}"/>
    <cellStyle name="Comma 3 6 3 10 2 2" xfId="29351" xr:uid="{DCF1D290-252F-4180-B26D-59D9744D7D0D}"/>
    <cellStyle name="Comma 3 6 3 10 3" xfId="21836" xr:uid="{6D1422D0-1CBC-4D3C-BB14-4B8C8F75CDB0}"/>
    <cellStyle name="Comma 3 6 3 11" xfId="9560" xr:uid="{4F7823EC-3FD2-4923-9569-1EA57537E688}"/>
    <cellStyle name="Comma 3 6 3 11 2" xfId="25764" xr:uid="{3A02DADD-1938-4520-A663-D98D30996BCB}"/>
    <cellStyle name="Comma 3 6 3 12" xfId="17563" xr:uid="{EC446AF7-29DF-4280-9D3E-7801F8D23FB3}"/>
    <cellStyle name="Comma 3 6 3 12 2" xfId="33695" xr:uid="{2F035FDD-830E-4A66-AC22-773692963898}"/>
    <cellStyle name="Comma 3 6 3 13" xfId="18083" xr:uid="{F2B1187E-2A17-4F4D-A0CE-DFA9747D0072}"/>
    <cellStyle name="Comma 3 6 3 2" xfId="1937" xr:uid="{C477405E-2D6B-4998-8853-F5545F58B619}"/>
    <cellStyle name="Comma 3 6 3 2 10" xfId="9717" xr:uid="{EBDC690D-D78B-4052-9E51-072B32A38C63}"/>
    <cellStyle name="Comma 3 6 3 2 10 2" xfId="25921" xr:uid="{BD9EB5E3-632F-450D-8D40-3467E3AC9E97}"/>
    <cellStyle name="Comma 3 6 3 2 11" xfId="17564" xr:uid="{9BE6C75B-D08E-4F19-AB56-2259DEEB6F7C}"/>
    <cellStyle name="Comma 3 6 3 2 11 2" xfId="33696" xr:uid="{D0EEF10F-F700-482C-A0B1-8AC41ACA2B39}"/>
    <cellStyle name="Comma 3 6 3 2 12" xfId="18241" xr:uid="{79356864-DFD3-486E-B53A-A0CBE44ABF18}"/>
    <cellStyle name="Comma 3 6 3 2 2" xfId="2444" xr:uid="{CEEC8220-CBCC-48E1-BD81-EDF89A3757D1}"/>
    <cellStyle name="Comma 3 6 3 2 2 2" xfId="3291" xr:uid="{0347CC8D-19C5-4718-A85E-830164134B0F}"/>
    <cellStyle name="Comma 3 6 3 2 2 2 2" xfId="7073" xr:uid="{D6164A32-6487-4B82-98C9-056D6A842490}"/>
    <cellStyle name="Comma 3 6 3 2 2 2 2 2" xfId="14584" xr:uid="{D5F999D4-2EE6-4838-A709-637E9BC55E36}"/>
    <cellStyle name="Comma 3 6 3 2 2 2 2 2 2" xfId="30788" xr:uid="{BC3A2E3F-5F47-427A-BB4C-8D5B0B75BB51}"/>
    <cellStyle name="Comma 3 6 3 2 2 2 2 3" xfId="23277" xr:uid="{9485FFB0-E8B8-4CA3-9A2B-D50F6316BF1A}"/>
    <cellStyle name="Comma 3 6 3 2 2 2 3" xfId="9321" xr:uid="{F6B6BF60-238F-406A-A9F9-763F44065747}"/>
    <cellStyle name="Comma 3 6 3 2 2 2 3 2" xfId="16767" xr:uid="{4EBFF6CC-B0BB-4872-B70A-92606FDF265F}"/>
    <cellStyle name="Comma 3 6 3 2 2 2 3 2 2" xfId="32971" xr:uid="{E73979CF-EACA-490B-B13E-DB7B9C9E72CA}"/>
    <cellStyle name="Comma 3 6 3 2 2 2 3 3" xfId="25525" xr:uid="{D6474F00-8F44-4279-A69E-2ED152A56EB9}"/>
    <cellStyle name="Comma 3 6 3 2 2 2 4" xfId="10984" xr:uid="{6E08247A-8721-46F8-9072-3A64855C0E8B}"/>
    <cellStyle name="Comma 3 6 3 2 2 2 4 2" xfId="27188" xr:uid="{502A84BC-21D3-493C-9BD2-B80B9922B924}"/>
    <cellStyle name="Comma 3 6 3 2 2 2 5" xfId="17566" xr:uid="{0611FBE4-6797-4966-88A6-3A004962C582}"/>
    <cellStyle name="Comma 3 6 3 2 2 2 5 2" xfId="33698" xr:uid="{1C09C2A9-7D3E-42A3-9B55-A2A35992390C}"/>
    <cellStyle name="Comma 3 6 3 2 2 2 6" xfId="19511" xr:uid="{720917FD-BCA5-444C-8A59-3024FB10CF09}"/>
    <cellStyle name="Comma 3 6 3 2 2 3" xfId="6228" xr:uid="{C518232D-ED0D-47E3-8CB8-FCD53491522E}"/>
    <cellStyle name="Comma 3 6 3 2 2 3 2" xfId="13740" xr:uid="{D3D77CA5-9D1E-4F30-AF09-163284006306}"/>
    <cellStyle name="Comma 3 6 3 2 2 3 2 2" xfId="29944" xr:uid="{9851B42E-0FD5-40F2-92BB-F4C37518BDBE}"/>
    <cellStyle name="Comma 3 6 3 2 2 3 3" xfId="22432" xr:uid="{34FF98FE-B5AC-4AB1-B9CA-A7611B6693E7}"/>
    <cellStyle name="Comma 3 6 3 2 2 4" xfId="9120" xr:uid="{D052DF67-E2C1-4689-B415-77503580EE60}"/>
    <cellStyle name="Comma 3 6 3 2 2 4 2" xfId="16598" xr:uid="{40E36AAA-F613-45A8-B2C6-02520D26762D}"/>
    <cellStyle name="Comma 3 6 3 2 2 4 2 2" xfId="32802" xr:uid="{AC2C6B71-81B4-4F60-911B-10ACFC7FD953}"/>
    <cellStyle name="Comma 3 6 3 2 2 4 3" xfId="25324" xr:uid="{82EF8953-C5A3-4C0E-BB6A-8A3693344E16}"/>
    <cellStyle name="Comma 3 6 3 2 2 5" xfId="10140" xr:uid="{719A8638-39B9-4E30-A61B-9CC5FA6FA868}"/>
    <cellStyle name="Comma 3 6 3 2 2 5 2" xfId="26344" xr:uid="{685289DB-CECD-4EF5-A115-5A524F9BBFCF}"/>
    <cellStyle name="Comma 3 6 3 2 2 6" xfId="17565" xr:uid="{584BBC78-7747-451B-9357-6678E4F916D2}"/>
    <cellStyle name="Comma 3 6 3 2 2 6 2" xfId="33697" xr:uid="{333F548F-B13B-4F84-96D1-7D533AFB6597}"/>
    <cellStyle name="Comma 3 6 3 2 2 7" xfId="18666" xr:uid="{669DBEB0-75DD-421D-BDB0-8A4A7132FA4E}"/>
    <cellStyle name="Comma 3 6 3 2 3" xfId="2866" xr:uid="{CC21082F-88A5-4590-BA75-358BFB891E0F}"/>
    <cellStyle name="Comma 3 6 3 2 3 2" xfId="6650" xr:uid="{3BA2052A-9FF5-4FA8-8496-EFA234A3DDFD}"/>
    <cellStyle name="Comma 3 6 3 2 3 2 2" xfId="14162" xr:uid="{5DB02CAC-52B6-4816-90D7-5B8AB25DD5DD}"/>
    <cellStyle name="Comma 3 6 3 2 3 2 2 2" xfId="30366" xr:uid="{1D9C3003-8C6E-4AAD-A58E-267172A6CE50}"/>
    <cellStyle name="Comma 3 6 3 2 3 2 3" xfId="22854" xr:uid="{A7C8EB8E-77AF-41D1-B037-FBB9550C30C1}"/>
    <cellStyle name="Comma 3 6 3 2 3 3" xfId="5422" xr:uid="{A1B84A8B-3F3E-4B96-8AB9-705115B2AA4A}"/>
    <cellStyle name="Comma 3 6 3 2 3 3 2" xfId="12968" xr:uid="{A55780AB-BB1E-4DD0-AFE0-5DBB9C928DAE}"/>
    <cellStyle name="Comma 3 6 3 2 3 3 2 2" xfId="29172" xr:uid="{A41D66E6-36B6-41BB-BFA0-FFEB8E5B2F0D}"/>
    <cellStyle name="Comma 3 6 3 2 3 3 3" xfId="21626" xr:uid="{8F92BEB3-458C-4958-8B79-CC2132644405}"/>
    <cellStyle name="Comma 3 6 3 2 3 4" xfId="10562" xr:uid="{5580C061-4AEE-4D08-9F1C-E687FF8CAFB1}"/>
    <cellStyle name="Comma 3 6 3 2 3 4 2" xfId="26766" xr:uid="{9248888B-14AA-4F67-90BE-4F6FB0CF05C0}"/>
    <cellStyle name="Comma 3 6 3 2 3 5" xfId="17567" xr:uid="{048F493F-41F0-4584-BD78-2C769697C38B}"/>
    <cellStyle name="Comma 3 6 3 2 3 5 2" xfId="33699" xr:uid="{BC3AC851-BD41-4FFF-A745-5218DD7FDF62}"/>
    <cellStyle name="Comma 3 6 3 2 3 6" xfId="19088" xr:uid="{95F4E1BD-2E0A-4886-B9C0-1B1CF834D5F1}"/>
    <cellStyle name="Comma 3 6 3 2 4" xfId="3797" xr:uid="{F7D5C24E-5B06-48A4-992C-E3AA9934B708}"/>
    <cellStyle name="Comma 3 6 3 2 4 2" xfId="7507" xr:uid="{E7B4FD09-03AD-4906-870B-03DF7C952EEA}"/>
    <cellStyle name="Comma 3 6 3 2 4 2 2" xfId="15016" xr:uid="{715E4A16-8E48-41CA-AF3C-2AC844B5C01C}"/>
    <cellStyle name="Comma 3 6 3 2 4 2 2 2" xfId="31220" xr:uid="{55DFEFA5-4536-4B88-BAA0-A6271A9E2A7B}"/>
    <cellStyle name="Comma 3 6 3 2 4 2 3" xfId="23711" xr:uid="{1B17D79A-E463-4AF5-BDC8-05FFA1B4A716}"/>
    <cellStyle name="Comma 3 6 3 2 4 3" xfId="8958" xr:uid="{30A8A76F-16D4-48E8-A777-F93D47C18A0B}"/>
    <cellStyle name="Comma 3 6 3 2 4 3 2" xfId="16453" xr:uid="{30E664DF-7BF6-4A43-BAD4-99CFB7EE1835}"/>
    <cellStyle name="Comma 3 6 3 2 4 3 2 2" xfId="32657" xr:uid="{9439732D-DCAD-4B7B-BDFB-5DAA3B4AAFF5}"/>
    <cellStyle name="Comma 3 6 3 2 4 3 3" xfId="25162" xr:uid="{C7A68178-A964-4278-98C0-0D9499987473}"/>
    <cellStyle name="Comma 3 6 3 2 4 4" xfId="11407" xr:uid="{FDF91D45-6BD2-4B78-B93D-01AE5C7D0D1C}"/>
    <cellStyle name="Comma 3 6 3 2 4 4 2" xfId="27611" xr:uid="{A90AAA98-7FDB-44FC-955A-3A59E0BEBC85}"/>
    <cellStyle name="Comma 3 6 3 2 4 5" xfId="17568" xr:uid="{FC37AA1B-3483-44A8-88A7-BF13C0EFE93E}"/>
    <cellStyle name="Comma 3 6 3 2 4 5 2" xfId="33700" xr:uid="{A2E40CF7-DBBE-4C7C-A50D-214380F889E5}"/>
    <cellStyle name="Comma 3 6 3 2 4 6" xfId="20006" xr:uid="{877D91E9-09EF-4D0D-AF4E-ABDEEA0809EC}"/>
    <cellStyle name="Comma 3 6 3 2 5" xfId="3563" xr:uid="{BBEC9FBD-28B1-49FE-A563-A6285BF21201}"/>
    <cellStyle name="Comma 3 6 3 2 5 2" xfId="8938" xr:uid="{E0E07388-DB69-4E0E-A151-914B0B001C78}"/>
    <cellStyle name="Comma 3 6 3 2 5 2 2" xfId="25142" xr:uid="{BE7EBBAB-4827-4990-9D34-7132ABACB425}"/>
    <cellStyle name="Comma 3 6 3 2 5 3" xfId="17569" xr:uid="{671A58B0-3277-4FDA-9353-676477BC34DE}"/>
    <cellStyle name="Comma 3 6 3 2 5 3 2" xfId="33701" xr:uid="{6F548D1F-9478-4C3A-8F78-9BD2B44D3643}"/>
    <cellStyle name="Comma 3 6 3 2 5 4" xfId="19776" xr:uid="{A06E4726-1644-4B0D-9D39-C7C601699451}"/>
    <cellStyle name="Comma 3 6 3 2 6" xfId="4266" xr:uid="{129B1CCC-CBDD-48B9-9D47-3C571214A11F}"/>
    <cellStyle name="Comma 3 6 3 2 6 2" xfId="7936" xr:uid="{0D268E94-B735-4F06-80EC-9A3550A7227C}"/>
    <cellStyle name="Comma 3 6 3 2 6 2 2" xfId="15443" xr:uid="{E54FAD99-DB43-4F38-8420-0146D92A6F1B}"/>
    <cellStyle name="Comma 3 6 3 2 6 2 2 2" xfId="31647" xr:uid="{F166FA74-27AB-4BE6-AFA9-A3093DC346C9}"/>
    <cellStyle name="Comma 3 6 3 2 6 2 3" xfId="24140" xr:uid="{CB154B45-2A24-4192-BF39-979B7190569F}"/>
    <cellStyle name="Comma 3 6 3 2 6 3" xfId="5462" xr:uid="{2407E11C-1C57-481B-AA66-1393743076F1}"/>
    <cellStyle name="Comma 3 6 3 2 6 3 2" xfId="13003" xr:uid="{6F3ABCF4-B4AF-4EF9-8B4F-019AAEDBF187}"/>
    <cellStyle name="Comma 3 6 3 2 6 3 2 2" xfId="29207" xr:uid="{48418216-F98C-4E0B-AB27-0AD9C93DF207}"/>
    <cellStyle name="Comma 3 6 3 2 6 3 3" xfId="21666" xr:uid="{F248B92C-4C06-48EA-9C55-F534F325996F}"/>
    <cellStyle name="Comma 3 6 3 2 6 4" xfId="11829" xr:uid="{0EDEEAC3-BFAF-4732-957B-70A5DCAE2791}"/>
    <cellStyle name="Comma 3 6 3 2 6 4 2" xfId="28033" xr:uid="{136405E3-694D-4EC0-AB6C-C4ABD43E5278}"/>
    <cellStyle name="Comma 3 6 3 2 6 5" xfId="17570" xr:uid="{A4F39380-0125-4ECA-B051-44BE82499EFE}"/>
    <cellStyle name="Comma 3 6 3 2 6 5 2" xfId="33702" xr:uid="{AD39C992-F2D3-4603-BF1D-91A0F2E5EE9C}"/>
    <cellStyle name="Comma 3 6 3 2 6 6" xfId="20470" xr:uid="{0061E690-E5A9-4AC8-954E-C022CB9F0336}"/>
    <cellStyle name="Comma 3 6 3 2 7" xfId="4691" xr:uid="{A543DA87-C329-4FC3-9C12-ED290627CDC3}"/>
    <cellStyle name="Comma 3 6 3 2 7 2" xfId="8361" xr:uid="{282FD43D-184A-4105-88B8-F806EB2C2E4D}"/>
    <cellStyle name="Comma 3 6 3 2 7 2 2" xfId="15868" xr:uid="{F89A44D5-1AA6-4A2B-A525-8727BE527B0E}"/>
    <cellStyle name="Comma 3 6 3 2 7 2 2 2" xfId="32072" xr:uid="{AE46B7E4-A008-47B4-8499-78B1A1AD8ED6}"/>
    <cellStyle name="Comma 3 6 3 2 7 2 3" xfId="24565" xr:uid="{BCCB051D-6E73-4061-928C-1DC9DA59A5B3}"/>
    <cellStyle name="Comma 3 6 3 2 7 3" xfId="9337" xr:uid="{3B148F5C-D8A3-49F1-B143-90A0555117E4}"/>
    <cellStyle name="Comma 3 6 3 2 7 3 2" xfId="16781" xr:uid="{D87AF801-5CDD-4CE9-AB9F-4E274134B46E}"/>
    <cellStyle name="Comma 3 6 3 2 7 3 2 2" xfId="32985" xr:uid="{B4A98B49-841D-4F3D-8AFD-FC1C4CEDF4FA}"/>
    <cellStyle name="Comma 3 6 3 2 7 3 3" xfId="25541" xr:uid="{F9AE4A56-106B-44FA-B68F-C5A12034DF7F}"/>
    <cellStyle name="Comma 3 6 3 2 7 4" xfId="12254" xr:uid="{E3A1409C-8D22-4B7A-A67E-554A1CD0B50E}"/>
    <cellStyle name="Comma 3 6 3 2 7 4 2" xfId="28458" xr:uid="{2232FF85-49D4-48CD-B331-135E5350E87F}"/>
    <cellStyle name="Comma 3 6 3 2 7 5" xfId="17571" xr:uid="{552BCE37-F905-4CDE-B3F5-2EE691570AE5}"/>
    <cellStyle name="Comma 3 6 3 2 7 5 2" xfId="33703" xr:uid="{FC0BBF5F-D657-4D22-A3AB-61BC20AE0AF6}"/>
    <cellStyle name="Comma 3 6 3 2 7 6" xfId="20895" xr:uid="{A1E8FDDD-530D-41BC-BD55-93F1C0FB2C92}"/>
    <cellStyle name="Comma 3 6 3 2 8" xfId="5119" xr:uid="{23B3A9E0-5FFA-46CC-AC00-30D8DB5E156A}"/>
    <cellStyle name="Comma 3 6 3 2 8 2" xfId="8784" xr:uid="{32857855-41C6-41E6-AB52-AEA0FAB31EB8}"/>
    <cellStyle name="Comma 3 6 3 2 8 2 2" xfId="16291" xr:uid="{8ED40F03-C1A7-4AA5-9776-4FB1EDE60EE5}"/>
    <cellStyle name="Comma 3 6 3 2 8 2 2 2" xfId="32495" xr:uid="{D0946B7B-00A7-4433-9FD7-1AB5960C51C8}"/>
    <cellStyle name="Comma 3 6 3 2 8 2 3" xfId="24988" xr:uid="{1BC598CA-052C-4B46-AE1F-86DB8D6EB7B0}"/>
    <cellStyle name="Comma 3 6 3 2 8 3" xfId="12676" xr:uid="{25A789C6-A520-45A8-8CA2-6C421A6A80AA}"/>
    <cellStyle name="Comma 3 6 3 2 8 3 2" xfId="28880" xr:uid="{44DCC4F4-BCE0-474C-B6BD-30532E7968DB}"/>
    <cellStyle name="Comma 3 6 3 2 8 4" xfId="21323" xr:uid="{985D20EC-AACA-4391-8268-5057619B7532}"/>
    <cellStyle name="Comma 3 6 3 2 9" xfId="5790" xr:uid="{178E46B2-F7DF-4FC2-A3F7-CA5D9D4B6322}"/>
    <cellStyle name="Comma 3 6 3 2 9 2" xfId="13305" xr:uid="{AD2487B6-D885-4423-9C80-AE410926C8DF}"/>
    <cellStyle name="Comma 3 6 3 2 9 2 2" xfId="29509" xr:uid="{A27444AE-8680-456F-AF08-AA69407AFAC1}"/>
    <cellStyle name="Comma 3 6 3 2 9 3" xfId="21994" xr:uid="{A2F003C0-A14B-4402-BF0E-6CA8103B8DFB}"/>
    <cellStyle name="Comma 3 6 3 3" xfId="2285" xr:uid="{4DB17E52-8E17-4502-A3DD-16E2E83C8C21}"/>
    <cellStyle name="Comma 3 6 3 3 2" xfId="3134" xr:uid="{C4D5C8F9-8C5A-4BF2-8B63-2B372192EE90}"/>
    <cellStyle name="Comma 3 6 3 3 2 2" xfId="6916" xr:uid="{6166F1AB-53BE-40C6-A3E9-970334641FEB}"/>
    <cellStyle name="Comma 3 6 3 3 2 2 2" xfId="14427" xr:uid="{C1E4A163-657F-4F60-A9F6-6C2FDC1F32B6}"/>
    <cellStyle name="Comma 3 6 3 3 2 2 2 2" xfId="30631" xr:uid="{A2B9C43C-46AF-4ABF-BD92-A69A018CF99A}"/>
    <cellStyle name="Comma 3 6 3 3 2 2 3" xfId="23120" xr:uid="{6A0D5647-5C75-4501-A014-ACA89A2AF6A8}"/>
    <cellStyle name="Comma 3 6 3 3 2 3" xfId="6052" xr:uid="{CDBDD371-C4BB-45A8-BEC2-280915763710}"/>
    <cellStyle name="Comma 3 6 3 3 2 3 2" xfId="13564" xr:uid="{7F112E8C-2566-4EA4-A50C-DE29E6DD51C2}"/>
    <cellStyle name="Comma 3 6 3 3 2 3 2 2" xfId="29768" xr:uid="{F8C1F5A4-41A1-4D0E-B574-C73A2EEBFE1E}"/>
    <cellStyle name="Comma 3 6 3 3 2 3 3" xfId="22256" xr:uid="{3CE7FF18-2554-458C-B740-CF759A2CD963}"/>
    <cellStyle name="Comma 3 6 3 3 2 4" xfId="10827" xr:uid="{1C9AF192-9A5B-4D7B-9A55-90948CEA2512}"/>
    <cellStyle name="Comma 3 6 3 3 2 4 2" xfId="27031" xr:uid="{03D01188-EFE1-49C3-9D8E-8CA73B6FE3B0}"/>
    <cellStyle name="Comma 3 6 3 3 2 5" xfId="17573" xr:uid="{5A509BF4-606E-44B9-B505-E4070E87C186}"/>
    <cellStyle name="Comma 3 6 3 3 2 5 2" xfId="33705" xr:uid="{E87C0821-9F89-4DAB-B11A-E202CB4066F4}"/>
    <cellStyle name="Comma 3 6 3 3 2 6" xfId="19354" xr:uid="{AD171B84-8A58-4E6F-878E-E41F6F3BDF2E}"/>
    <cellStyle name="Comma 3 6 3 3 3" xfId="6071" xr:uid="{EB02F8C4-90AA-4E36-86BA-94F114FB7832}"/>
    <cellStyle name="Comma 3 6 3 3 3 2" xfId="13583" xr:uid="{D5C700BE-44F9-4A4B-B058-A5EE5B1654CC}"/>
    <cellStyle name="Comma 3 6 3 3 3 2 2" xfId="29787" xr:uid="{8DBE5CC5-0955-4C10-B607-698AC9E33083}"/>
    <cellStyle name="Comma 3 6 3 3 3 3" xfId="22275" xr:uid="{57A62E07-8DFB-47DB-BC80-8A33E7D04FE7}"/>
    <cellStyle name="Comma 3 6 3 3 4" xfId="9231" xr:uid="{5D59F1A0-57F5-4983-92D7-F47E5C95B217}"/>
    <cellStyle name="Comma 3 6 3 3 4 2" xfId="16695" xr:uid="{7C61EE1C-8F21-40AD-8E6F-436E821F3F90}"/>
    <cellStyle name="Comma 3 6 3 3 4 2 2" xfId="32899" xr:uid="{7353CD3B-32F9-48A1-B511-03AAC67E49D0}"/>
    <cellStyle name="Comma 3 6 3 3 4 3" xfId="25435" xr:uid="{EA8EB879-B667-4989-A154-CF3E7DA7F2C7}"/>
    <cellStyle name="Comma 3 6 3 3 5" xfId="9983" xr:uid="{35EDF036-C3DB-4A5F-98F2-326068CC183B}"/>
    <cellStyle name="Comma 3 6 3 3 5 2" xfId="26187" xr:uid="{89DF6E52-F3D3-4988-9395-460208952C48}"/>
    <cellStyle name="Comma 3 6 3 3 6" xfId="17572" xr:uid="{BB956392-785B-4413-B890-AF84127D6B4D}"/>
    <cellStyle name="Comma 3 6 3 3 6 2" xfId="33704" xr:uid="{D0EF23D5-269D-4E9B-803B-4624270A4868}"/>
    <cellStyle name="Comma 3 6 3 3 7" xfId="18509" xr:uid="{9BF86850-74B6-409D-AD97-BB2A16B41A0C}"/>
    <cellStyle name="Comma 3 6 3 4" xfId="2709" xr:uid="{8948CC26-2909-41E1-8E07-40F902815D70}"/>
    <cellStyle name="Comma 3 6 3 4 2" xfId="6493" xr:uid="{3FAA6D91-D872-413C-80C8-3D3012C4F4AF}"/>
    <cellStyle name="Comma 3 6 3 4 2 2" xfId="14005" xr:uid="{C7CF9286-9544-4496-A634-1EB551893B74}"/>
    <cellStyle name="Comma 3 6 3 4 2 2 2" xfId="30209" xr:uid="{F81DDDCD-6466-4F95-A014-3A653F5E300F}"/>
    <cellStyle name="Comma 3 6 3 4 2 3" xfId="22697" xr:uid="{2312B92E-9CAD-4D33-8264-75FC805CD71B}"/>
    <cellStyle name="Comma 3 6 3 4 3" xfId="9118" xr:uid="{7C1E7548-4BB2-4DB7-975E-D3E1743EBB68}"/>
    <cellStyle name="Comma 3 6 3 4 3 2" xfId="16596" xr:uid="{26D16794-35E0-45FF-8110-062C3306BA15}"/>
    <cellStyle name="Comma 3 6 3 4 3 2 2" xfId="32800" xr:uid="{699E973B-8894-4CC9-A2E3-9E38874D21D7}"/>
    <cellStyle name="Comma 3 6 3 4 3 3" xfId="25322" xr:uid="{22EDB6A6-E53F-4BCA-8AE3-1535F9C051AA}"/>
    <cellStyle name="Comma 3 6 3 4 4" xfId="10405" xr:uid="{8AA38C40-3461-4713-B886-53734850A9E1}"/>
    <cellStyle name="Comma 3 6 3 4 4 2" xfId="26609" xr:uid="{42EAA6AC-635C-4A20-A43B-7EEBFFA62D12}"/>
    <cellStyle name="Comma 3 6 3 4 5" xfId="17574" xr:uid="{AB1EE7B4-D100-4087-B888-77187CD0F6B0}"/>
    <cellStyle name="Comma 3 6 3 4 5 2" xfId="33706" xr:uid="{6A0F22B3-E714-4F88-A022-5CB3858D7FCA}"/>
    <cellStyle name="Comma 3 6 3 4 6" xfId="18931" xr:uid="{ACCCAA8D-69E5-42C4-8B6B-DAF0E8D4ADFF}"/>
    <cellStyle name="Comma 3 6 3 5" xfId="3639" xr:uid="{F3477634-4775-402B-8C3D-41AB2BBBAD01}"/>
    <cellStyle name="Comma 3 6 3 5 2" xfId="7349" xr:uid="{A59CF474-653C-49ED-A838-1449E2515504}"/>
    <cellStyle name="Comma 3 6 3 5 2 2" xfId="14858" xr:uid="{6B8BBD6B-3C01-4295-803F-521429E08EFD}"/>
    <cellStyle name="Comma 3 6 3 5 2 2 2" xfId="31062" xr:uid="{32A28A2F-A01D-4EC1-994B-7F70D6B08CAE}"/>
    <cellStyle name="Comma 3 6 3 5 2 3" xfId="23553" xr:uid="{9E97D954-145A-4050-AB79-33605DAE0D91}"/>
    <cellStyle name="Comma 3 6 3 5 3" xfId="9035" xr:uid="{D5249B95-463B-4629-B4BE-DB585438DFF6}"/>
    <cellStyle name="Comma 3 6 3 5 3 2" xfId="16524" xr:uid="{D2BB7147-C73D-4098-AA69-06176A7EDA4A}"/>
    <cellStyle name="Comma 3 6 3 5 3 2 2" xfId="32728" xr:uid="{64C81AD5-932D-43E8-BF9A-00660D5984D7}"/>
    <cellStyle name="Comma 3 6 3 5 3 3" xfId="25239" xr:uid="{DFD84976-114B-4709-ABFC-BFD21F8523B7}"/>
    <cellStyle name="Comma 3 6 3 5 4" xfId="11250" xr:uid="{42485A56-D609-4F12-9F36-7A8306E194D6}"/>
    <cellStyle name="Comma 3 6 3 5 4 2" xfId="27454" xr:uid="{2FCB2DC2-D8C2-4F20-91F0-DC55F1A8D3BE}"/>
    <cellStyle name="Comma 3 6 3 5 5" xfId="17575" xr:uid="{6C8114CC-EE2A-4231-B1C9-702C281E25F4}"/>
    <cellStyle name="Comma 3 6 3 5 5 2" xfId="33707" xr:uid="{0103535A-473B-4527-B116-D16E8D5F4919}"/>
    <cellStyle name="Comma 3 6 3 5 6" xfId="19848" xr:uid="{C949150F-3702-4A28-9F69-75803FEBF872}"/>
    <cellStyle name="Comma 3 6 3 6" xfId="3397" xr:uid="{12ABEF53-1E40-45A2-A3F7-1EF64FA69710}"/>
    <cellStyle name="Comma 3 6 3 6 2" xfId="9298" xr:uid="{81220E53-9CA6-42AA-94FD-0BB92A44471F}"/>
    <cellStyle name="Comma 3 6 3 6 2 2" xfId="25502" xr:uid="{12449028-76E1-4ADF-A31A-966BF0BD1C2C}"/>
    <cellStyle name="Comma 3 6 3 6 3" xfId="17576" xr:uid="{B521F090-69F8-4511-A62D-D3C356C68DAF}"/>
    <cellStyle name="Comma 3 6 3 6 3 2" xfId="33708" xr:uid="{73B82E81-04C5-4885-9D86-4EEEE307E1B9}"/>
    <cellStyle name="Comma 3 6 3 6 4" xfId="19613" xr:uid="{D935A987-88D8-49A7-8FBA-F5E90861B95C}"/>
    <cellStyle name="Comma 3 6 3 7" xfId="4109" xr:uid="{8C0352DC-64AB-4E35-9203-0BB3D71F64E1}"/>
    <cellStyle name="Comma 3 6 3 7 2" xfId="7779" xr:uid="{07D16368-20EC-4B33-A557-7C5497C28FF2}"/>
    <cellStyle name="Comma 3 6 3 7 2 2" xfId="15286" xr:uid="{A04ECC57-967C-4766-9D99-C7CAFB849C9B}"/>
    <cellStyle name="Comma 3 6 3 7 2 2 2" xfId="31490" xr:uid="{943A7CE2-83BB-42DA-8503-8A0EBCA0EB43}"/>
    <cellStyle name="Comma 3 6 3 7 2 3" xfId="23983" xr:uid="{41475A43-4D07-47B3-B732-49C430B44C61}"/>
    <cellStyle name="Comma 3 6 3 7 3" xfId="9370" xr:uid="{31B921C4-7E5D-4BD2-A3EB-C525D2E9ED10}"/>
    <cellStyle name="Comma 3 6 3 7 3 2" xfId="16811" xr:uid="{5640ACA3-D2A4-4EFD-AB80-506ABE12A3DC}"/>
    <cellStyle name="Comma 3 6 3 7 3 2 2" xfId="33015" xr:uid="{7316FC0A-A9FC-4E70-8FC6-C5E0109C610F}"/>
    <cellStyle name="Comma 3 6 3 7 3 3" xfId="25574" xr:uid="{96336B96-8459-4141-A438-742634D4CC0D}"/>
    <cellStyle name="Comma 3 6 3 7 4" xfId="11672" xr:uid="{991C7B40-728B-47BF-A6B5-8B0E90E9AE17}"/>
    <cellStyle name="Comma 3 6 3 7 4 2" xfId="27876" xr:uid="{E43AC708-6737-4B52-BB5B-39427C184E88}"/>
    <cellStyle name="Comma 3 6 3 7 5" xfId="17577" xr:uid="{6E031824-D8AA-417F-BB12-BC9C595E0297}"/>
    <cellStyle name="Comma 3 6 3 7 5 2" xfId="33709" xr:uid="{01CE4607-7EB8-4FEE-9D90-899A0F877D5D}"/>
    <cellStyle name="Comma 3 6 3 7 6" xfId="20313" xr:uid="{B110498B-9A61-4BBD-9A7A-839241B26998}"/>
    <cellStyle name="Comma 3 6 3 8" xfId="4534" xr:uid="{E5CC05FA-7444-4E67-AED3-F0E8DBD90D86}"/>
    <cellStyle name="Comma 3 6 3 8 2" xfId="8204" xr:uid="{BE779115-5761-4D65-83A7-7AB2CDE19662}"/>
    <cellStyle name="Comma 3 6 3 8 2 2" xfId="15711" xr:uid="{11140A3C-B8E8-49AE-8274-5E85F4AAC8CB}"/>
    <cellStyle name="Comma 3 6 3 8 2 2 2" xfId="31915" xr:uid="{6F1C6BAA-83BC-408E-ADBF-9FC850D4C3C5}"/>
    <cellStyle name="Comma 3 6 3 8 2 3" xfId="24408" xr:uid="{4FF289F6-19FC-430A-824A-355572A03EBE}"/>
    <cellStyle name="Comma 3 6 3 8 3" xfId="8924" xr:uid="{2EBAD7DA-DFF7-4047-BD65-8C677CD0DF3B}"/>
    <cellStyle name="Comma 3 6 3 8 3 2" xfId="16425" xr:uid="{FD423209-A73B-441A-A7A5-A7C17564A84F}"/>
    <cellStyle name="Comma 3 6 3 8 3 2 2" xfId="32629" xr:uid="{D22ECC23-5569-4A7F-BFC1-163547A4C518}"/>
    <cellStyle name="Comma 3 6 3 8 3 3" xfId="25128" xr:uid="{901D8DE2-84C4-49CE-868D-E362AD703AE3}"/>
    <cellStyle name="Comma 3 6 3 8 4" xfId="12097" xr:uid="{457095A8-6E20-4C8B-9F43-A5EC682377AD}"/>
    <cellStyle name="Comma 3 6 3 8 4 2" xfId="28301" xr:uid="{82F83348-5D4E-4199-9BD2-3DD83DE3FC26}"/>
    <cellStyle name="Comma 3 6 3 8 5" xfId="17578" xr:uid="{209B712B-D564-4C25-8CDF-CA01B40F8FC1}"/>
    <cellStyle name="Comma 3 6 3 8 5 2" xfId="33710" xr:uid="{66E9869E-F812-48AB-BF00-F7676B56C494}"/>
    <cellStyle name="Comma 3 6 3 8 6" xfId="20738" xr:uid="{AE6E03B5-8395-4534-B557-2771B884496D}"/>
    <cellStyle name="Comma 3 6 3 9" xfId="4961" xr:uid="{878CC2D6-A43C-4A7E-8559-5BFD419566A4}"/>
    <cellStyle name="Comma 3 6 3 9 2" xfId="8627" xr:uid="{265E0F5A-09DB-4D3A-A2D2-307AA96D4E14}"/>
    <cellStyle name="Comma 3 6 3 9 2 2" xfId="16134" xr:uid="{A197A239-7088-46C1-A9E0-4ABFF4DD48FD}"/>
    <cellStyle name="Comma 3 6 3 9 2 2 2" xfId="32338" xr:uid="{B05914CA-9312-47F3-8E94-CE66966AACEC}"/>
    <cellStyle name="Comma 3 6 3 9 2 3" xfId="24831" xr:uid="{004A5C8B-9821-41E0-8D79-3CA50F7AA1DE}"/>
    <cellStyle name="Comma 3 6 3 9 3" xfId="12519" xr:uid="{26A3BCFB-80A0-4364-991D-B39F79BA9708}"/>
    <cellStyle name="Comma 3 6 3 9 3 2" xfId="28723" xr:uid="{643A41FF-00E6-46F3-8B55-AC5ED7FDB893}"/>
    <cellStyle name="Comma 3 6 3 9 4" xfId="21165" xr:uid="{D4E65206-C7FC-4500-B388-E29B242E7A98}"/>
    <cellStyle name="Comma 3 6 4" xfId="1785" xr:uid="{0D1959AF-D3FE-46DA-ABD7-0783B9570A87}"/>
    <cellStyle name="Comma 3 6 4 10" xfId="5646" xr:uid="{9B0821B0-DBE9-4B4D-8463-1980B6B81DD6}"/>
    <cellStyle name="Comma 3 6 4 10 2" xfId="13161" xr:uid="{7ABD08FD-94E2-48D1-92E1-196C9F75FDB3}"/>
    <cellStyle name="Comma 3 6 4 10 2 2" xfId="29365" xr:uid="{B094F18E-A818-440F-AAD5-550461555327}"/>
    <cellStyle name="Comma 3 6 4 10 3" xfId="21850" xr:uid="{26F263F6-C9F3-4935-AC7C-53264E3C9EA6}"/>
    <cellStyle name="Comma 3 6 4 11" xfId="9574" xr:uid="{4ED29B77-FA26-46F3-B8BD-9AD70A87FEDB}"/>
    <cellStyle name="Comma 3 6 4 11 2" xfId="25778" xr:uid="{AB60BEFD-0E62-4AEE-B4D5-A1D1A2ACBC96}"/>
    <cellStyle name="Comma 3 6 4 12" xfId="17579" xr:uid="{5B34CFED-8938-459C-8088-A0DE7EC9E034}"/>
    <cellStyle name="Comma 3 6 4 12 2" xfId="33711" xr:uid="{1511A000-8216-4E4C-B94B-8624D7E8E412}"/>
    <cellStyle name="Comma 3 6 4 13" xfId="18097" xr:uid="{24435D9F-BE75-41DE-AB81-7621ECBF819B}"/>
    <cellStyle name="Comma 3 6 4 2" xfId="1938" xr:uid="{785A79D1-8A99-4030-B9E0-2D83456DFD7A}"/>
    <cellStyle name="Comma 3 6 4 2 10" xfId="9718" xr:uid="{B7FC9265-525A-4B02-8B68-58C0C541C95A}"/>
    <cellStyle name="Comma 3 6 4 2 10 2" xfId="25922" xr:uid="{7D6E21A7-A663-486B-9C13-D81BD718A4FC}"/>
    <cellStyle name="Comma 3 6 4 2 11" xfId="17580" xr:uid="{31830658-CC17-4B4C-A39B-CAA0A4F7B40F}"/>
    <cellStyle name="Comma 3 6 4 2 11 2" xfId="33712" xr:uid="{BACED5C4-731E-446F-A053-E8271E4597AB}"/>
    <cellStyle name="Comma 3 6 4 2 12" xfId="18242" xr:uid="{44C88064-EF4A-4A8C-9923-F1F77D7D9F6A}"/>
    <cellStyle name="Comma 3 6 4 2 2" xfId="2445" xr:uid="{673FB96F-A19B-4BE6-890E-E1BED6A13F35}"/>
    <cellStyle name="Comma 3 6 4 2 2 2" xfId="3292" xr:uid="{3A343167-12FC-4804-9398-149B893BB38A}"/>
    <cellStyle name="Comma 3 6 4 2 2 2 2" xfId="7074" xr:uid="{B52B683C-6255-475E-AFB0-B3B6A4CFDFD0}"/>
    <cellStyle name="Comma 3 6 4 2 2 2 2 2" xfId="14585" xr:uid="{D5AF0D76-4FCE-4B69-9C52-64BFDFAD48EE}"/>
    <cellStyle name="Comma 3 6 4 2 2 2 2 2 2" xfId="30789" xr:uid="{8F1EE4E8-2E72-4C67-8D70-61043B0D92C9}"/>
    <cellStyle name="Comma 3 6 4 2 2 2 2 3" xfId="23278" xr:uid="{C1382C4C-D4C5-4CAA-B6D3-785B313ED55C}"/>
    <cellStyle name="Comma 3 6 4 2 2 2 3" xfId="8933" xr:uid="{C7908FDF-0ACA-4CE9-936B-7922F1779244}"/>
    <cellStyle name="Comma 3 6 4 2 2 2 3 2" xfId="16432" xr:uid="{269D6F07-E3E2-4A6E-A60F-BAD0B42EB21E}"/>
    <cellStyle name="Comma 3 6 4 2 2 2 3 2 2" xfId="32636" xr:uid="{F6EAF9F4-BE72-4BE4-90C9-60C231493886}"/>
    <cellStyle name="Comma 3 6 4 2 2 2 3 3" xfId="25137" xr:uid="{4280B24B-D5B4-4F1E-8641-0F96158F84F5}"/>
    <cellStyle name="Comma 3 6 4 2 2 2 4" xfId="10985" xr:uid="{536F5360-20A1-4EF7-A2A8-95D88A43D26F}"/>
    <cellStyle name="Comma 3 6 4 2 2 2 4 2" xfId="27189" xr:uid="{978F4C34-2818-4174-B0D5-90BFBD3FD5E5}"/>
    <cellStyle name="Comma 3 6 4 2 2 2 5" xfId="17582" xr:uid="{92235B4C-200C-44C8-84EA-93DD3336A7A0}"/>
    <cellStyle name="Comma 3 6 4 2 2 2 5 2" xfId="33714" xr:uid="{34B1924E-5F7A-4907-BFA5-32DD3EB9A3A3}"/>
    <cellStyle name="Comma 3 6 4 2 2 2 6" xfId="19512" xr:uid="{8EBB38F3-493C-4B96-9AF8-C9ED9617478F}"/>
    <cellStyle name="Comma 3 6 4 2 2 3" xfId="6229" xr:uid="{2F013DC3-AEFB-41CE-8227-7153DBB8C024}"/>
    <cellStyle name="Comma 3 6 4 2 2 3 2" xfId="13741" xr:uid="{0C72A101-00F4-43C2-8DF1-CDC9EF9246EA}"/>
    <cellStyle name="Comma 3 6 4 2 2 3 2 2" xfId="29945" xr:uid="{239249C4-E29A-4084-A293-1F1CF16F46A9}"/>
    <cellStyle name="Comma 3 6 4 2 2 3 3" xfId="22433" xr:uid="{0E32164F-3D67-4AF0-BCAB-25162DB4C68C}"/>
    <cellStyle name="Comma 3 6 4 2 2 4" xfId="9357" xr:uid="{E6B1174B-0B83-4CE1-818F-4876949669ED}"/>
    <cellStyle name="Comma 3 6 4 2 2 4 2" xfId="16799" xr:uid="{B81F7531-919A-45F3-AA3B-4A08538BBB4D}"/>
    <cellStyle name="Comma 3 6 4 2 2 4 2 2" xfId="33003" xr:uid="{43E95A0E-A32B-4481-8E20-6305AEC25F05}"/>
    <cellStyle name="Comma 3 6 4 2 2 4 3" xfId="25561" xr:uid="{70BBC8A2-B7D3-40C8-93FF-1381AAEFA205}"/>
    <cellStyle name="Comma 3 6 4 2 2 5" xfId="10141" xr:uid="{B2695625-0FF6-49B9-B3B6-2736DD55F61E}"/>
    <cellStyle name="Comma 3 6 4 2 2 5 2" xfId="26345" xr:uid="{CC21EE2F-24F0-4DFC-95E9-7FA51BF6863C}"/>
    <cellStyle name="Comma 3 6 4 2 2 6" xfId="17581" xr:uid="{9C438E2A-C8E1-4D82-B500-07A62A585AB2}"/>
    <cellStyle name="Comma 3 6 4 2 2 6 2" xfId="33713" xr:uid="{AC374200-624B-428F-8ED9-A6708525427B}"/>
    <cellStyle name="Comma 3 6 4 2 2 7" xfId="18667" xr:uid="{CF3E0F52-618F-41A4-BF55-7E001E0861CA}"/>
    <cellStyle name="Comma 3 6 4 2 3" xfId="2867" xr:uid="{00FEE9C5-2C7B-4D64-8887-829AB84A4758}"/>
    <cellStyle name="Comma 3 6 4 2 3 2" xfId="6651" xr:uid="{BEDBA391-78A6-4CF0-9A49-A6616606E99F}"/>
    <cellStyle name="Comma 3 6 4 2 3 2 2" xfId="14163" xr:uid="{2B94783F-0ED9-4B77-BB97-2E4B7BCC33E4}"/>
    <cellStyle name="Comma 3 6 4 2 3 2 2 2" xfId="30367" xr:uid="{F301279E-CAB1-4F8E-84AA-803232963F2E}"/>
    <cellStyle name="Comma 3 6 4 2 3 2 3" xfId="22855" xr:uid="{6AE60B21-1318-48D7-A13B-77F811650ED5}"/>
    <cellStyle name="Comma 3 6 4 2 3 3" xfId="9277" xr:uid="{85946077-8D96-431B-B307-79AB43587062}"/>
    <cellStyle name="Comma 3 6 4 2 3 3 2" xfId="16736" xr:uid="{A5E8BB6C-7BBA-42DD-9A09-06249B918C62}"/>
    <cellStyle name="Comma 3 6 4 2 3 3 2 2" xfId="32940" xr:uid="{7945864D-B299-4C49-90B0-9AA344DF2BDC}"/>
    <cellStyle name="Comma 3 6 4 2 3 3 3" xfId="25481" xr:uid="{550AC4C0-BA52-48C0-8283-FACCFC629028}"/>
    <cellStyle name="Comma 3 6 4 2 3 4" xfId="10563" xr:uid="{C558B198-D9C5-4BCE-8E96-5CAAD24703D6}"/>
    <cellStyle name="Comma 3 6 4 2 3 4 2" xfId="26767" xr:uid="{D400E4CE-0870-4FA5-9366-671E8A2AFCD8}"/>
    <cellStyle name="Comma 3 6 4 2 3 5" xfId="17583" xr:uid="{09402E45-BEFD-462F-9F81-6A5B9814F185}"/>
    <cellStyle name="Comma 3 6 4 2 3 5 2" xfId="33715" xr:uid="{9CB7BBAC-7D5E-4AD0-A7B7-8BA647452680}"/>
    <cellStyle name="Comma 3 6 4 2 3 6" xfId="19089" xr:uid="{656484BD-D98C-4132-9137-8EC7FD92C410}"/>
    <cellStyle name="Comma 3 6 4 2 4" xfId="3798" xr:uid="{E748DF76-3A62-4496-81A5-BBCD202D03B0}"/>
    <cellStyle name="Comma 3 6 4 2 4 2" xfId="7508" xr:uid="{35F80F8C-4064-4768-8675-AC0207D9BEFB}"/>
    <cellStyle name="Comma 3 6 4 2 4 2 2" xfId="15017" xr:uid="{63E8E888-4EAF-4A9C-825E-4E74AB26FBBE}"/>
    <cellStyle name="Comma 3 6 4 2 4 2 2 2" xfId="31221" xr:uid="{A1198311-8DD7-47FE-AC46-2183EC36E3BF}"/>
    <cellStyle name="Comma 3 6 4 2 4 2 3" xfId="23712" xr:uid="{3E7952E8-A2A6-4DFA-9950-AFB6B19A489D}"/>
    <cellStyle name="Comma 3 6 4 2 4 3" xfId="5500" xr:uid="{FE1B4CC2-FA75-4E6F-9E88-BDF08CD7E005}"/>
    <cellStyle name="Comma 3 6 4 2 4 3 2" xfId="13035" xr:uid="{389B7A84-3D3B-4DA0-AB6A-7E9E1E4D2C0E}"/>
    <cellStyle name="Comma 3 6 4 2 4 3 2 2" xfId="29239" xr:uid="{5DA390B6-7E64-497A-8526-2EA99EBB1D97}"/>
    <cellStyle name="Comma 3 6 4 2 4 3 3" xfId="21704" xr:uid="{AF9B8E15-9A35-4E37-A4AE-AA7FC8EB0E1C}"/>
    <cellStyle name="Comma 3 6 4 2 4 4" xfId="11408" xr:uid="{8E6F7B59-C12C-4567-86FF-1F09B8436EE6}"/>
    <cellStyle name="Comma 3 6 4 2 4 4 2" xfId="27612" xr:uid="{972C111E-9554-4D3E-AF02-B8E393753A5A}"/>
    <cellStyle name="Comma 3 6 4 2 4 5" xfId="17584" xr:uid="{5DEE4BB2-C228-45A9-84BD-4AA5F2B508E7}"/>
    <cellStyle name="Comma 3 6 4 2 4 5 2" xfId="33716" xr:uid="{BE2619CF-37E2-4DA8-8203-4A922BEF9D76}"/>
    <cellStyle name="Comma 3 6 4 2 4 6" xfId="20007" xr:uid="{EB6C14E9-60D3-4BE0-88DB-DFDFA0B573C5}"/>
    <cellStyle name="Comma 3 6 4 2 5" xfId="3894" xr:uid="{B4D17150-3CE6-433F-9017-D2A21FF63854}"/>
    <cellStyle name="Comma 3 6 4 2 5 2" xfId="5550" xr:uid="{8E2FA77E-FF5F-4898-877C-E38534584254}"/>
    <cellStyle name="Comma 3 6 4 2 5 2 2" xfId="21754" xr:uid="{51713866-CEF8-4E0B-85FC-58C746280E41}"/>
    <cellStyle name="Comma 3 6 4 2 5 3" xfId="17585" xr:uid="{4FD52B8A-E19E-496C-92A1-3C2ACB1E7F4D}"/>
    <cellStyle name="Comma 3 6 4 2 5 3 2" xfId="33717" xr:uid="{4E44AFB0-9E3E-419D-A3BB-73AE4C368C7B}"/>
    <cellStyle name="Comma 3 6 4 2 5 4" xfId="20103" xr:uid="{EE4FB993-1FEF-4BFB-BA88-1F9A66D613C9}"/>
    <cellStyle name="Comma 3 6 4 2 6" xfId="4267" xr:uid="{5107E81F-DE7B-4031-A6B3-245E741E96E7}"/>
    <cellStyle name="Comma 3 6 4 2 6 2" xfId="7937" xr:uid="{7CA2F69D-05E1-4242-B914-E82A1BA0BB34}"/>
    <cellStyle name="Comma 3 6 4 2 6 2 2" xfId="15444" xr:uid="{F2822A15-78A7-48BD-BE75-26CC3D0FAD4C}"/>
    <cellStyle name="Comma 3 6 4 2 6 2 2 2" xfId="31648" xr:uid="{A69B4133-9C82-43C1-B2E6-ABD4ABC79F92}"/>
    <cellStyle name="Comma 3 6 4 2 6 2 3" xfId="24141" xr:uid="{A453681F-2B65-4019-8F25-643AE2824FEE}"/>
    <cellStyle name="Comma 3 6 4 2 6 3" xfId="9055" xr:uid="{E1C777C7-FE6A-4A8C-89CD-725F3E0A3270}"/>
    <cellStyle name="Comma 3 6 4 2 6 3 2" xfId="16541" xr:uid="{AB668C57-0340-4B9F-8250-BA6F293F7BA6}"/>
    <cellStyle name="Comma 3 6 4 2 6 3 2 2" xfId="32745" xr:uid="{B28E0B09-C9A3-475D-9AA7-F3E81CEB12E6}"/>
    <cellStyle name="Comma 3 6 4 2 6 3 3" xfId="25259" xr:uid="{412254A3-BA9C-448D-B916-45DBAB4C2155}"/>
    <cellStyle name="Comma 3 6 4 2 6 4" xfId="11830" xr:uid="{89C0A4BA-5ED7-4C27-9F57-0C240C91078A}"/>
    <cellStyle name="Comma 3 6 4 2 6 4 2" xfId="28034" xr:uid="{0E150A42-C008-4316-AA0B-54DD8DC3D640}"/>
    <cellStyle name="Comma 3 6 4 2 6 5" xfId="17586" xr:uid="{43A7392F-4BE3-4407-AA17-D48F356F66F1}"/>
    <cellStyle name="Comma 3 6 4 2 6 5 2" xfId="33718" xr:uid="{2D98A220-5425-4B26-A921-0D887DCD52A4}"/>
    <cellStyle name="Comma 3 6 4 2 6 6" xfId="20471" xr:uid="{65A89F19-3D21-4C8E-BCD5-DEBA339A26FF}"/>
    <cellStyle name="Comma 3 6 4 2 7" xfId="4692" xr:uid="{21C498D0-CAAD-424B-8951-5F0691082C09}"/>
    <cellStyle name="Comma 3 6 4 2 7 2" xfId="8362" xr:uid="{D040CED1-9EB3-4F7F-8A2B-03EACCC90D04}"/>
    <cellStyle name="Comma 3 6 4 2 7 2 2" xfId="15869" xr:uid="{1DD5AC60-B0A5-4198-A15B-DCCAAF14BECB}"/>
    <cellStyle name="Comma 3 6 4 2 7 2 2 2" xfId="32073" xr:uid="{738D9335-6228-4E80-A021-F98A9E265CEE}"/>
    <cellStyle name="Comma 3 6 4 2 7 2 3" xfId="24566" xr:uid="{23ADC98A-627F-4B44-9C8D-7A1FF413236E}"/>
    <cellStyle name="Comma 3 6 4 2 7 3" xfId="5233" xr:uid="{D427BC08-F6CE-4404-BAF5-5E5C222C9319}"/>
    <cellStyle name="Comma 3 6 4 2 7 3 2" xfId="12787" xr:uid="{0C785B79-B619-409C-9C69-0C91D12B9ADC}"/>
    <cellStyle name="Comma 3 6 4 2 7 3 2 2" xfId="28991" xr:uid="{29B79C44-E29B-4BB8-BA1D-CFFC5AC8351C}"/>
    <cellStyle name="Comma 3 6 4 2 7 3 3" xfId="21437" xr:uid="{7E047854-142B-474A-ACCD-A97FFEDB86EC}"/>
    <cellStyle name="Comma 3 6 4 2 7 4" xfId="12255" xr:uid="{20D80436-7198-4326-95C9-1E30F8E94130}"/>
    <cellStyle name="Comma 3 6 4 2 7 4 2" xfId="28459" xr:uid="{9D2BAC46-024E-4FFC-B3BC-A730534838C7}"/>
    <cellStyle name="Comma 3 6 4 2 7 5" xfId="17587" xr:uid="{4399B8C6-62C1-47AB-91D2-F3E341468014}"/>
    <cellStyle name="Comma 3 6 4 2 7 5 2" xfId="33719" xr:uid="{048804F9-3FB1-4D7E-B8BF-D732CC3564F9}"/>
    <cellStyle name="Comma 3 6 4 2 7 6" xfId="20896" xr:uid="{9A1DC47B-6EE9-42CF-B213-4EC85728D857}"/>
    <cellStyle name="Comma 3 6 4 2 8" xfId="5120" xr:uid="{8C6F0C21-CB19-4DD8-8BC7-1A629C846E1C}"/>
    <cellStyle name="Comma 3 6 4 2 8 2" xfId="8785" xr:uid="{16749B5B-5DF8-41F4-8C45-41A411DA5C02}"/>
    <cellStyle name="Comma 3 6 4 2 8 2 2" xfId="16292" xr:uid="{54D2859E-791C-4708-AA97-68DD131D5B26}"/>
    <cellStyle name="Comma 3 6 4 2 8 2 2 2" xfId="32496" xr:uid="{447747D5-AF16-453B-9787-9B962E91E1D6}"/>
    <cellStyle name="Comma 3 6 4 2 8 2 3" xfId="24989" xr:uid="{031ABE28-BD15-4012-BDC1-7621722CD975}"/>
    <cellStyle name="Comma 3 6 4 2 8 3" xfId="12677" xr:uid="{C928DF63-3271-4AB5-80BA-B7AD4C1AE0EB}"/>
    <cellStyle name="Comma 3 6 4 2 8 3 2" xfId="28881" xr:uid="{B2B3CCB6-0E25-4D2C-B1EB-D5D44EE2834F}"/>
    <cellStyle name="Comma 3 6 4 2 8 4" xfId="21324" xr:uid="{7F1B2469-79E0-496C-989A-7F10F30668CC}"/>
    <cellStyle name="Comma 3 6 4 2 9" xfId="5791" xr:uid="{F80A80F4-9D35-4BFA-920B-7B297D9ECDC8}"/>
    <cellStyle name="Comma 3 6 4 2 9 2" xfId="13306" xr:uid="{24FD11F2-FE4D-42CC-A427-2E80FD6ABCD9}"/>
    <cellStyle name="Comma 3 6 4 2 9 2 2" xfId="29510" xr:uid="{B9F69BAD-58B0-42A2-AD5F-104089FCD4D2}"/>
    <cellStyle name="Comma 3 6 4 2 9 3" xfId="21995" xr:uid="{983BDF1C-B0A7-4AB7-AD82-C5ABF1DBE3F6}"/>
    <cellStyle name="Comma 3 6 4 3" xfId="2301" xr:uid="{14C68C95-8AC8-4D0A-9620-26CDE4FCB8DF}"/>
    <cellStyle name="Comma 3 6 4 3 2" xfId="3148" xr:uid="{3D28D8B8-FBB5-4591-A584-A53E33C96E57}"/>
    <cellStyle name="Comma 3 6 4 3 2 2" xfId="6930" xr:uid="{58C31FA3-0930-487C-87E9-1291677D4CE9}"/>
    <cellStyle name="Comma 3 6 4 3 2 2 2" xfId="14441" xr:uid="{3879885F-3F38-4090-AE68-6503216B177A}"/>
    <cellStyle name="Comma 3 6 4 3 2 2 2 2" xfId="30645" xr:uid="{1AA9D337-2F18-4BE1-B54A-A0642249BD6E}"/>
    <cellStyle name="Comma 3 6 4 3 2 2 3" xfId="23134" xr:uid="{CCE46061-4A4A-481F-9A09-4B787E76C4A3}"/>
    <cellStyle name="Comma 3 6 4 3 2 3" xfId="9170" xr:uid="{1B8B3E2A-28B2-487D-8A65-055B6B3C211B}"/>
    <cellStyle name="Comma 3 6 4 3 2 3 2" xfId="16644" xr:uid="{58B1D15F-159B-44FF-820F-9BF4DACECA00}"/>
    <cellStyle name="Comma 3 6 4 3 2 3 2 2" xfId="32848" xr:uid="{EE8347B2-AD3D-4BCB-A8DC-B68D4DBB0EFE}"/>
    <cellStyle name="Comma 3 6 4 3 2 3 3" xfId="25374" xr:uid="{1A6DC61E-ED65-44DC-9771-D6A51D3878A3}"/>
    <cellStyle name="Comma 3 6 4 3 2 4" xfId="10841" xr:uid="{F96111C8-236D-446B-AC6C-BF2CAE62E329}"/>
    <cellStyle name="Comma 3 6 4 3 2 4 2" xfId="27045" xr:uid="{C99E8654-4DFD-46FD-987A-BC55C50A694F}"/>
    <cellStyle name="Comma 3 6 4 3 2 5" xfId="17589" xr:uid="{ECCA40D3-0E6C-47B7-B5F1-16D570BDFA49}"/>
    <cellStyle name="Comma 3 6 4 3 2 5 2" xfId="33721" xr:uid="{7827A5CB-C537-421A-B185-C51DC2F96ADA}"/>
    <cellStyle name="Comma 3 6 4 3 2 6" xfId="19368" xr:uid="{4991248D-F7D5-4379-AA41-E6DC70688CF1}"/>
    <cellStyle name="Comma 3 6 4 3 3" xfId="6085" xr:uid="{835AF573-B3DB-45E2-9C65-983E0266EB27}"/>
    <cellStyle name="Comma 3 6 4 3 3 2" xfId="13597" xr:uid="{C06B3D90-DC56-4FA0-B687-C1B22E295921}"/>
    <cellStyle name="Comma 3 6 4 3 3 2 2" xfId="29801" xr:uid="{43832BC7-2F83-4512-8450-86AD3A96F88B}"/>
    <cellStyle name="Comma 3 6 4 3 3 3" xfId="22289" xr:uid="{49750AAC-4552-4A9C-8CFC-4E59B1B320E0}"/>
    <cellStyle name="Comma 3 6 4 3 4" xfId="5572" xr:uid="{79C4B3DB-AFDD-47A8-ACAF-623DD0A00333}"/>
    <cellStyle name="Comma 3 6 4 3 4 2" xfId="13090" xr:uid="{7847AD99-48B5-4A62-A730-1C2236E04304}"/>
    <cellStyle name="Comma 3 6 4 3 4 2 2" xfId="29294" xr:uid="{E779D630-E1FC-4591-A338-4F8373CD96F8}"/>
    <cellStyle name="Comma 3 6 4 3 4 3" xfId="21776" xr:uid="{F3909728-B761-4DB1-A32A-C268E942A898}"/>
    <cellStyle name="Comma 3 6 4 3 5" xfId="9997" xr:uid="{1A55B968-39C3-4D62-9C99-1A5910E5E5DA}"/>
    <cellStyle name="Comma 3 6 4 3 5 2" xfId="26201" xr:uid="{76C0D68F-A3A9-4CB5-818F-BD21D9481DE6}"/>
    <cellStyle name="Comma 3 6 4 3 6" xfId="17588" xr:uid="{5AC8EEF2-68DB-49EB-BFA8-C4AE0D85850A}"/>
    <cellStyle name="Comma 3 6 4 3 6 2" xfId="33720" xr:uid="{F8EF2F88-C285-4C51-91AA-ACD5154D7FBB}"/>
    <cellStyle name="Comma 3 6 4 3 7" xfId="18523" xr:uid="{D536F004-4E71-4DC3-9DD8-7761F8A0DDE2}"/>
    <cellStyle name="Comma 3 6 4 4" xfId="2723" xr:uid="{79B7F297-45E4-4D89-992C-2B40506AF0F2}"/>
    <cellStyle name="Comma 3 6 4 4 2" xfId="6507" xr:uid="{0E206145-929A-43C5-A709-BE82AF74338C}"/>
    <cellStyle name="Comma 3 6 4 4 2 2" xfId="14019" xr:uid="{CD5211B8-4258-42B5-A8FA-877C95B9C379}"/>
    <cellStyle name="Comma 3 6 4 4 2 2 2" xfId="30223" xr:uid="{2707ABC8-8009-4687-A817-2F3FC9B3E1CD}"/>
    <cellStyle name="Comma 3 6 4 4 2 3" xfId="22711" xr:uid="{2E0EAE5C-EB45-46B0-97AB-27C38A57BBCF}"/>
    <cellStyle name="Comma 3 6 4 4 3" xfId="5593" xr:uid="{222AAB77-6688-4895-8782-E219C23D5109}"/>
    <cellStyle name="Comma 3 6 4 4 3 2" xfId="13109" xr:uid="{03714029-9AF8-463E-B89F-A5382CEF28BB}"/>
    <cellStyle name="Comma 3 6 4 4 3 2 2" xfId="29313" xr:uid="{BFB6F79B-8486-4D58-A322-75847E50C67B}"/>
    <cellStyle name="Comma 3 6 4 4 3 3" xfId="21797" xr:uid="{66C7D16C-ABA4-43B6-B502-14959069FF05}"/>
    <cellStyle name="Comma 3 6 4 4 4" xfId="10419" xr:uid="{CD15A90A-475D-4831-A63B-B709680E4733}"/>
    <cellStyle name="Comma 3 6 4 4 4 2" xfId="26623" xr:uid="{211FD99F-F351-46B2-A1BD-A0CF8E97911B}"/>
    <cellStyle name="Comma 3 6 4 4 5" xfId="17590" xr:uid="{4595FA22-0369-4EF0-A841-8E3E112591DF}"/>
    <cellStyle name="Comma 3 6 4 4 5 2" xfId="33722" xr:uid="{4441F7CC-0BBB-4131-B323-94D0B5F86AE1}"/>
    <cellStyle name="Comma 3 6 4 4 6" xfId="18945" xr:uid="{E200A584-0E54-4B32-97AE-D1BFFAAFEF56}"/>
    <cellStyle name="Comma 3 6 4 5" xfId="3653" xr:uid="{64AACE51-CFE1-4F25-9D3A-8997B137399F}"/>
    <cellStyle name="Comma 3 6 4 5 2" xfId="7363" xr:uid="{780350B4-10E5-471F-881C-C723D52B843D}"/>
    <cellStyle name="Comma 3 6 4 5 2 2" xfId="14872" xr:uid="{EECD3FBB-7807-4513-90FD-6844ABAD4402}"/>
    <cellStyle name="Comma 3 6 4 5 2 2 2" xfId="31076" xr:uid="{C4A03167-E71E-4E69-8499-95CBDA4F1A8C}"/>
    <cellStyle name="Comma 3 6 4 5 2 3" xfId="23567" xr:uid="{20B6EEA4-4C94-4CD2-B260-52A766E30C39}"/>
    <cellStyle name="Comma 3 6 4 5 3" xfId="6040" xr:uid="{7B6D920B-9E73-4FB0-BAD9-86F8611EDE0D}"/>
    <cellStyle name="Comma 3 6 4 5 3 2" xfId="13554" xr:uid="{CFE37FA5-E542-4888-9DDB-6B6049C83CAD}"/>
    <cellStyle name="Comma 3 6 4 5 3 2 2" xfId="29758" xr:uid="{C8F3F78C-B81C-47DB-9E7E-DE4FB2C72517}"/>
    <cellStyle name="Comma 3 6 4 5 3 3" xfId="22244" xr:uid="{B19EF531-620E-4BA3-9A70-F58F36223AE3}"/>
    <cellStyle name="Comma 3 6 4 5 4" xfId="11264" xr:uid="{8EB9CFB1-9D24-4F5E-AA3A-6B99F8313702}"/>
    <cellStyle name="Comma 3 6 4 5 4 2" xfId="27468" xr:uid="{EEB4AE17-D368-49B1-9E3E-5363675A1A05}"/>
    <cellStyle name="Comma 3 6 4 5 5" xfId="17591" xr:uid="{9E728498-6151-4EB0-A63A-E0C1F0496651}"/>
    <cellStyle name="Comma 3 6 4 5 5 2" xfId="33723" xr:uid="{F69C942C-2154-4A99-8AD2-FFF53378B5C5}"/>
    <cellStyle name="Comma 3 6 4 5 6" xfId="19862" xr:uid="{90FA497B-4DE9-4E04-85DD-A77514834800}"/>
    <cellStyle name="Comma 3 6 4 6" xfId="3926" xr:uid="{E123AE69-575B-4F99-9E7A-393B2B617802}"/>
    <cellStyle name="Comma 3 6 4 6 2" xfId="5501" xr:uid="{D664DEA5-7961-4337-A93D-31C67258B265}"/>
    <cellStyle name="Comma 3 6 4 6 2 2" xfId="21705" xr:uid="{1AEA9050-7B7F-4FAE-9212-B9BD50A4D120}"/>
    <cellStyle name="Comma 3 6 4 6 3" xfId="17592" xr:uid="{6928D7BA-B2FD-45DB-8322-55EEA5D135B2}"/>
    <cellStyle name="Comma 3 6 4 6 3 2" xfId="33724" xr:uid="{BBA0623E-CB45-4BCE-9D14-5CBA3B2CA513}"/>
    <cellStyle name="Comma 3 6 4 6 4" xfId="20132" xr:uid="{974E96AB-67B7-4D53-A5D2-654ACFA43E43}"/>
    <cellStyle name="Comma 3 6 4 7" xfId="4123" xr:uid="{9E820316-F664-421E-919F-B9842C5A9671}"/>
    <cellStyle name="Comma 3 6 4 7 2" xfId="7793" xr:uid="{960DA214-B8F0-4F7E-AD5A-2B86B37DDD8E}"/>
    <cellStyle name="Comma 3 6 4 7 2 2" xfId="15300" xr:uid="{939F4E4B-E579-4682-BD49-024C053A19EB}"/>
    <cellStyle name="Comma 3 6 4 7 2 2 2" xfId="31504" xr:uid="{882E32FE-A730-4E64-BA28-7879B1BE3ED1}"/>
    <cellStyle name="Comma 3 6 4 7 2 3" xfId="23997" xr:uid="{C241F8E4-7A42-4C7D-BED0-D3292FCA387D}"/>
    <cellStyle name="Comma 3 6 4 7 3" xfId="9249" xr:uid="{CB3F547B-4675-4DB1-9864-79C1C51A9CF7}"/>
    <cellStyle name="Comma 3 6 4 7 3 2" xfId="16711" xr:uid="{FF403360-0B89-4ED2-B0C1-847F5EB8B738}"/>
    <cellStyle name="Comma 3 6 4 7 3 2 2" xfId="32915" xr:uid="{D5DE3E49-A9E7-4E90-9E3F-D9924BA982D5}"/>
    <cellStyle name="Comma 3 6 4 7 3 3" xfId="25453" xr:uid="{FC0FA346-7BCF-42E6-B53B-11EEAEF28E9A}"/>
    <cellStyle name="Comma 3 6 4 7 4" xfId="11686" xr:uid="{FDA0B622-3B58-457D-825A-437EE18D6723}"/>
    <cellStyle name="Comma 3 6 4 7 4 2" xfId="27890" xr:uid="{1F37F6D9-A851-4753-84F7-4E1F2BB1029B}"/>
    <cellStyle name="Comma 3 6 4 7 5" xfId="17593" xr:uid="{2BFD6ADA-711A-4B17-923D-C2F87E48B2F0}"/>
    <cellStyle name="Comma 3 6 4 7 5 2" xfId="33725" xr:uid="{2376C7EE-B617-49D1-9556-CE8A1F7D5FCE}"/>
    <cellStyle name="Comma 3 6 4 7 6" xfId="20327" xr:uid="{B8545C9C-99B3-4482-84A4-6BDAF6263C38}"/>
    <cellStyle name="Comma 3 6 4 8" xfId="4548" xr:uid="{F2745657-7B80-495A-8C5D-AAA558F6692A}"/>
    <cellStyle name="Comma 3 6 4 8 2" xfId="8218" xr:uid="{8EA47447-15BD-4E80-AC4E-D5A05AFF3BC6}"/>
    <cellStyle name="Comma 3 6 4 8 2 2" xfId="15725" xr:uid="{606D038F-1714-4003-8410-E6250573E5BE}"/>
    <cellStyle name="Comma 3 6 4 8 2 2 2" xfId="31929" xr:uid="{858C7A51-9150-432C-8476-A995CFAD8044}"/>
    <cellStyle name="Comma 3 6 4 8 2 3" xfId="24422" xr:uid="{B7422004-AFCF-4C1A-8193-5F9D92138578}"/>
    <cellStyle name="Comma 3 6 4 8 3" xfId="9322" xr:uid="{8BC96271-ACD4-4E61-A2DB-57B137976A9E}"/>
    <cellStyle name="Comma 3 6 4 8 3 2" xfId="16768" xr:uid="{129ED2FF-5451-49D1-9283-8E849FB17CD3}"/>
    <cellStyle name="Comma 3 6 4 8 3 2 2" xfId="32972" xr:uid="{54FE9B8D-DB74-42EF-B042-CF101219CE4A}"/>
    <cellStyle name="Comma 3 6 4 8 3 3" xfId="25526" xr:uid="{383D29BC-EA6C-45C5-B9C0-5DBD104AF9A4}"/>
    <cellStyle name="Comma 3 6 4 8 4" xfId="12111" xr:uid="{7742D8FB-DDF8-4154-AE6E-31BDD96DB33C}"/>
    <cellStyle name="Comma 3 6 4 8 4 2" xfId="28315" xr:uid="{626C57B7-A684-4A71-890E-13B062CBA0D2}"/>
    <cellStyle name="Comma 3 6 4 8 5" xfId="17594" xr:uid="{994725FE-DCB7-4CB8-B2C2-60A16A149CCC}"/>
    <cellStyle name="Comma 3 6 4 8 5 2" xfId="33726" xr:uid="{6BA86A9A-B9B8-4CDA-A02F-66CF845078C2}"/>
    <cellStyle name="Comma 3 6 4 8 6" xfId="20752" xr:uid="{318B7981-13CC-431C-92C0-533ACB8B8E14}"/>
    <cellStyle name="Comma 3 6 4 9" xfId="4975" xr:uid="{A205E7DF-A919-4079-8E98-A818379A46A8}"/>
    <cellStyle name="Comma 3 6 4 9 2" xfId="8641" xr:uid="{AE5F978B-C201-4A1B-9794-1DBA39AFBF34}"/>
    <cellStyle name="Comma 3 6 4 9 2 2" xfId="16148" xr:uid="{811D8CF4-443E-4528-9051-2279DFE9A65C}"/>
    <cellStyle name="Comma 3 6 4 9 2 2 2" xfId="32352" xr:uid="{099122F4-D926-4365-AD1F-A6A0583D4CEB}"/>
    <cellStyle name="Comma 3 6 4 9 2 3" xfId="24845" xr:uid="{3CE3721A-2F39-4BA9-BFF2-707A862AEDCB}"/>
    <cellStyle name="Comma 3 6 4 9 3" xfId="12533" xr:uid="{C5D3785D-7F4B-40D3-9840-501591C33AED}"/>
    <cellStyle name="Comma 3 6 4 9 3 2" xfId="28737" xr:uid="{6AC922DF-C846-4BFA-988B-6E5613A3A4F6}"/>
    <cellStyle name="Comma 3 6 4 9 4" xfId="21179" xr:uid="{21E59E4A-A481-436C-8484-E16017B135CE}"/>
    <cellStyle name="Comma 3 6 5" xfId="1939" xr:uid="{2511F706-0B80-416A-94C3-4110BADEA5FF}"/>
    <cellStyle name="Comma 3 6 5 10" xfId="9719" xr:uid="{1271AD73-178D-460F-98DD-86BDD852057A}"/>
    <cellStyle name="Comma 3 6 5 10 2" xfId="25923" xr:uid="{CBE6AB2E-D046-4007-9A68-F07954702AD7}"/>
    <cellStyle name="Comma 3 6 5 11" xfId="17595" xr:uid="{A8E6C00B-E6B1-419D-9C6F-ABAE48193BFF}"/>
    <cellStyle name="Comma 3 6 5 11 2" xfId="33727" xr:uid="{07A6E2FB-5297-4351-A4BE-F78B4C988956}"/>
    <cellStyle name="Comma 3 6 5 12" xfId="18243" xr:uid="{BCABCBB9-4F27-4491-9DC6-A4CEA01A8AD5}"/>
    <cellStyle name="Comma 3 6 5 2" xfId="2446" xr:uid="{CE246D08-C4E3-4AB3-8AED-9E876AB1DDD1}"/>
    <cellStyle name="Comma 3 6 5 2 2" xfId="3293" xr:uid="{1F4A57DA-F227-490C-A0F7-24254EB32B3F}"/>
    <cellStyle name="Comma 3 6 5 2 2 2" xfId="7075" xr:uid="{CDFD8705-859A-4391-B002-0377E4AE0E87}"/>
    <cellStyle name="Comma 3 6 5 2 2 2 2" xfId="14586" xr:uid="{005A4D4E-B100-4AD8-80AB-13BA0F9A608D}"/>
    <cellStyle name="Comma 3 6 5 2 2 2 2 2" xfId="30790" xr:uid="{E79655AC-154A-4798-9E85-96CF30CC369E}"/>
    <cellStyle name="Comma 3 6 5 2 2 2 3" xfId="23279" xr:uid="{2B310FC8-2172-4EE4-9EDB-95373D4EC151}"/>
    <cellStyle name="Comma 3 6 5 2 2 3" xfId="9252" xr:uid="{B4E1470D-A3D4-4BFE-851A-8358D92C0BD7}"/>
    <cellStyle name="Comma 3 6 5 2 2 3 2" xfId="16714" xr:uid="{90EB92E4-C1A8-460A-860E-16EF03D10008}"/>
    <cellStyle name="Comma 3 6 5 2 2 3 2 2" xfId="32918" xr:uid="{86E18B6A-47CB-4101-AE14-5D584945B816}"/>
    <cellStyle name="Comma 3 6 5 2 2 3 3" xfId="25456" xr:uid="{5276BCF2-1551-4A86-AEB6-A420D20E2718}"/>
    <cellStyle name="Comma 3 6 5 2 2 4" xfId="10986" xr:uid="{E45113D1-CB54-49BA-B48C-EF7366C8A2B9}"/>
    <cellStyle name="Comma 3 6 5 2 2 4 2" xfId="27190" xr:uid="{26BEC80E-7B5D-461C-B672-6182158F4B35}"/>
    <cellStyle name="Comma 3 6 5 2 2 5" xfId="17597" xr:uid="{C00DEDFB-CC77-407B-8C74-BDACB08B0C34}"/>
    <cellStyle name="Comma 3 6 5 2 2 5 2" xfId="33729" xr:uid="{D9C4C7FB-30E5-479B-AB14-D3B366AFF510}"/>
    <cellStyle name="Comma 3 6 5 2 2 6" xfId="19513" xr:uid="{7C449699-D4F0-4B84-A5D1-42F73C8D75C4}"/>
    <cellStyle name="Comma 3 6 5 2 3" xfId="6230" xr:uid="{217AE5C4-DD67-4B93-94A9-8933711527FC}"/>
    <cellStyle name="Comma 3 6 5 2 3 2" xfId="13742" xr:uid="{8E013A84-63ED-4CC6-AF2F-E6A8A7799071}"/>
    <cellStyle name="Comma 3 6 5 2 3 2 2" xfId="29946" xr:uid="{2A91D92B-0E93-4488-8045-9D29B7A3F654}"/>
    <cellStyle name="Comma 3 6 5 2 3 3" xfId="22434" xr:uid="{22C7C85B-EFF2-4BDE-8348-E1BA2D70191B}"/>
    <cellStyle name="Comma 3 6 5 2 4" xfId="9281" xr:uid="{25DDCAD4-0290-4160-A78D-1F877B63A5C1}"/>
    <cellStyle name="Comma 3 6 5 2 4 2" xfId="16740" xr:uid="{56509FA7-8F06-4B4D-83CE-CACD5D27782E}"/>
    <cellStyle name="Comma 3 6 5 2 4 2 2" xfId="32944" xr:uid="{5A7957BE-DF2E-48E4-814C-8FE439635DF9}"/>
    <cellStyle name="Comma 3 6 5 2 4 3" xfId="25485" xr:uid="{0F1957F5-99C7-4D0F-9D43-2041175D00C3}"/>
    <cellStyle name="Comma 3 6 5 2 5" xfId="10142" xr:uid="{C4000DFC-D213-4A33-9AFD-B13452D8A10D}"/>
    <cellStyle name="Comma 3 6 5 2 5 2" xfId="26346" xr:uid="{CAD509C0-4560-4A1F-8F6C-C402943280E7}"/>
    <cellStyle name="Comma 3 6 5 2 6" xfId="17596" xr:uid="{F3993B95-E3D1-4C6E-881A-0F7CDB43FD29}"/>
    <cellStyle name="Comma 3 6 5 2 6 2" xfId="33728" xr:uid="{14872E02-D121-4072-93AA-1466A331CC30}"/>
    <cellStyle name="Comma 3 6 5 2 7" xfId="18668" xr:uid="{9878811E-70BB-464F-88EC-127BBD22AE92}"/>
    <cellStyle name="Comma 3 6 5 3" xfId="2868" xr:uid="{225F563A-614B-4F9D-8DE9-011D4410E449}"/>
    <cellStyle name="Comma 3 6 5 3 2" xfId="6652" xr:uid="{809D302D-7189-451B-AECE-2670ECAF10B0}"/>
    <cellStyle name="Comma 3 6 5 3 2 2" xfId="14164" xr:uid="{771D239E-4E9F-4F7E-8453-1B0C8E644434}"/>
    <cellStyle name="Comma 3 6 5 3 2 2 2" xfId="30368" xr:uid="{025772BC-302E-4250-AD7D-C9BE2D0BF27A}"/>
    <cellStyle name="Comma 3 6 5 3 2 3" xfId="22856" xr:uid="{1C6451DC-231B-4566-8888-33FCE794A883}"/>
    <cellStyle name="Comma 3 6 5 3 3" xfId="7597" xr:uid="{2D492156-D229-4358-B958-00D26E486A59}"/>
    <cellStyle name="Comma 3 6 5 3 3 2" xfId="15105" xr:uid="{C7E88551-235D-4956-B13A-4981F95CD780}"/>
    <cellStyle name="Comma 3 6 5 3 3 2 2" xfId="31309" xr:uid="{FA722CD1-3C33-4055-B258-87F0EB81C7CE}"/>
    <cellStyle name="Comma 3 6 5 3 3 3" xfId="23801" xr:uid="{8849F51D-1DAE-44D6-BF98-C52A78FCECB9}"/>
    <cellStyle name="Comma 3 6 5 3 4" xfId="10564" xr:uid="{3F2F03E9-A0A4-4CDA-BD87-5BA1B3991AA4}"/>
    <cellStyle name="Comma 3 6 5 3 4 2" xfId="26768" xr:uid="{B8D7C347-51DB-4673-A0FC-CE718E1A37B6}"/>
    <cellStyle name="Comma 3 6 5 3 5" xfId="17598" xr:uid="{C961EBC1-92FB-4DCB-AE6A-85BF9B8D48F0}"/>
    <cellStyle name="Comma 3 6 5 3 5 2" xfId="33730" xr:uid="{FDA476C4-0DFD-43DE-9985-57A73D9D4B4E}"/>
    <cellStyle name="Comma 3 6 5 3 6" xfId="19090" xr:uid="{18EC2B38-745E-4D6F-B76B-B887BD11FD37}"/>
    <cellStyle name="Comma 3 6 5 4" xfId="3799" xr:uid="{60CCC413-63B7-482C-98A0-7D5EEEFF7E90}"/>
    <cellStyle name="Comma 3 6 5 4 2" xfId="7509" xr:uid="{B3ECF0A1-A9C3-45D4-B862-DA71073A6735}"/>
    <cellStyle name="Comma 3 6 5 4 2 2" xfId="15018" xr:uid="{B9AB64B8-506C-48B8-ADD9-6FB625BAD3AA}"/>
    <cellStyle name="Comma 3 6 5 4 2 2 2" xfId="31222" xr:uid="{F82EFD41-5768-49FB-A0F2-1D6311E91608}"/>
    <cellStyle name="Comma 3 6 5 4 2 3" xfId="23713" xr:uid="{14A917AF-367D-4E92-8646-CB9CED8AB6A8}"/>
    <cellStyle name="Comma 3 6 5 4 3" xfId="5491" xr:uid="{69E13B97-F578-4CE2-A33A-EC63FE969736}"/>
    <cellStyle name="Comma 3 6 5 4 3 2" xfId="13027" xr:uid="{0F5A1B7F-7991-4CA4-A316-A1A4090BA70A}"/>
    <cellStyle name="Comma 3 6 5 4 3 2 2" xfId="29231" xr:uid="{25DBA45D-5DD1-4B9C-9815-8E6FCD26DDB8}"/>
    <cellStyle name="Comma 3 6 5 4 3 3" xfId="21695" xr:uid="{6EE5274F-6B2C-4E59-B55D-AC492F072138}"/>
    <cellStyle name="Comma 3 6 5 4 4" xfId="11409" xr:uid="{0531749A-47D7-4836-9495-DF47A9C81EC1}"/>
    <cellStyle name="Comma 3 6 5 4 4 2" xfId="27613" xr:uid="{A648E385-9B41-4282-B2D7-E2B76778561A}"/>
    <cellStyle name="Comma 3 6 5 4 5" xfId="17599" xr:uid="{FDE19095-8589-4FA9-AB6A-23349926AAF1}"/>
    <cellStyle name="Comma 3 6 5 4 5 2" xfId="33731" xr:uid="{989780D2-6E58-45FB-8038-841047A0CE0C}"/>
    <cellStyle name="Comma 3 6 5 4 6" xfId="20008" xr:uid="{D42D9F0C-CC27-49B3-876F-5833626B3572}"/>
    <cellStyle name="Comma 3 6 5 5" xfId="3929" xr:uid="{16B4EB38-D0B3-4015-B926-1477430EFBFF}"/>
    <cellStyle name="Comma 3 6 5 5 2" xfId="9282" xr:uid="{C8F27BF0-5CFB-4CD6-B6E2-760E9A3E9195}"/>
    <cellStyle name="Comma 3 6 5 5 2 2" xfId="25486" xr:uid="{E0B72A1B-12C7-4D8E-A3F4-C0C7E4D5A9D1}"/>
    <cellStyle name="Comma 3 6 5 5 3" xfId="17600" xr:uid="{9930D1F3-C409-4918-B09C-41BC680FA797}"/>
    <cellStyle name="Comma 3 6 5 5 3 2" xfId="33732" xr:uid="{62F56A1C-864E-4903-95C9-8685FBAC0C91}"/>
    <cellStyle name="Comma 3 6 5 5 4" xfId="20133" xr:uid="{BFBDE733-0724-440B-AB45-0C9890F8A1F8}"/>
    <cellStyle name="Comma 3 6 5 6" xfId="4268" xr:uid="{677513D9-3F98-4B36-9541-0C86929DD529}"/>
    <cellStyle name="Comma 3 6 5 6 2" xfId="7938" xr:uid="{1C547D52-21B0-42F8-A11E-5D9CDB641938}"/>
    <cellStyle name="Comma 3 6 5 6 2 2" xfId="15445" xr:uid="{7F007A6E-5AB1-4969-855F-4541144B734B}"/>
    <cellStyle name="Comma 3 6 5 6 2 2 2" xfId="31649" xr:uid="{1AD3CCE7-AB20-4A78-B6A4-FF8D6C8E2AA0}"/>
    <cellStyle name="Comma 3 6 5 6 2 3" xfId="24142" xr:uid="{AAD2FC1C-9DE1-4E3B-AFDF-A263417DBEAD}"/>
    <cellStyle name="Comma 3 6 5 6 3" xfId="9380" xr:uid="{3E1B90AE-5870-4E85-AE50-C206368702AC}"/>
    <cellStyle name="Comma 3 6 5 6 3 2" xfId="16821" xr:uid="{8A5CD44F-2DE5-444B-ABF7-77E0BE74A84D}"/>
    <cellStyle name="Comma 3 6 5 6 3 2 2" xfId="33025" xr:uid="{CC2D4817-86F1-4EBE-AC37-3B3F2E7F64C4}"/>
    <cellStyle name="Comma 3 6 5 6 3 3" xfId="25584" xr:uid="{C4AA91A4-5112-4554-8A94-354463BFC874}"/>
    <cellStyle name="Comma 3 6 5 6 4" xfId="11831" xr:uid="{B89E4B93-DB77-43BA-8529-06B9697486CC}"/>
    <cellStyle name="Comma 3 6 5 6 4 2" xfId="28035" xr:uid="{EFF83FE0-3775-41B9-BB59-6BE5FFDCF9C5}"/>
    <cellStyle name="Comma 3 6 5 6 5" xfId="17601" xr:uid="{19A12E50-0160-457F-983C-5041F076555F}"/>
    <cellStyle name="Comma 3 6 5 6 5 2" xfId="33733" xr:uid="{B221E7E4-81E5-45B2-9E8E-E5224E2AD3CA}"/>
    <cellStyle name="Comma 3 6 5 6 6" xfId="20472" xr:uid="{6E9D12E3-907A-4568-981F-7A62BE60E3D5}"/>
    <cellStyle name="Comma 3 6 5 7" xfId="4693" xr:uid="{7757233E-AF0C-4060-AFCC-FE3619A22740}"/>
    <cellStyle name="Comma 3 6 5 7 2" xfId="8363" xr:uid="{E06CD0F7-4B35-4EE3-B0C4-43A775C519D8}"/>
    <cellStyle name="Comma 3 6 5 7 2 2" xfId="15870" xr:uid="{6A09D3B8-1F7C-4147-9F76-0A622F8D26C1}"/>
    <cellStyle name="Comma 3 6 5 7 2 2 2" xfId="32074" xr:uid="{4874F407-781B-4173-A85F-717FDC009221}"/>
    <cellStyle name="Comma 3 6 5 7 2 3" xfId="24567" xr:uid="{E049C586-5CC6-4CC2-9A26-99E82F075738}"/>
    <cellStyle name="Comma 3 6 5 7 3" xfId="8900" xr:uid="{BB74F58E-05D4-4350-AFD8-56447DCB2B2D}"/>
    <cellStyle name="Comma 3 6 5 7 3 2" xfId="16403" xr:uid="{254E6C48-7D53-4166-9025-DCA4B4AD9C98}"/>
    <cellStyle name="Comma 3 6 5 7 3 2 2" xfId="32607" xr:uid="{2F50337E-95F9-4829-B462-D4A74DB3520D}"/>
    <cellStyle name="Comma 3 6 5 7 3 3" xfId="25104" xr:uid="{0FE73490-913C-4467-B782-4134705B2118}"/>
    <cellStyle name="Comma 3 6 5 7 4" xfId="12256" xr:uid="{9F17BC97-3BF1-4344-B5B2-CDAB3D66862F}"/>
    <cellStyle name="Comma 3 6 5 7 4 2" xfId="28460" xr:uid="{D393B225-B1A7-4377-89A8-0D7B2C8772E5}"/>
    <cellStyle name="Comma 3 6 5 7 5" xfId="17602" xr:uid="{4EC0AF6D-1E25-49F7-8E6F-52E1B25AD50F}"/>
    <cellStyle name="Comma 3 6 5 7 5 2" xfId="33734" xr:uid="{845B79E2-C9E1-4F18-AB99-EADD40E6C889}"/>
    <cellStyle name="Comma 3 6 5 7 6" xfId="20897" xr:uid="{07517CE6-B1C9-428C-8537-316979204D77}"/>
    <cellStyle name="Comma 3 6 5 8" xfId="5121" xr:uid="{D2603EB1-8012-46A8-B751-EADB0403DAE1}"/>
    <cellStyle name="Comma 3 6 5 8 2" xfId="8786" xr:uid="{D8A4C1E4-9DC5-42C2-8ED8-9BE1E294F4C2}"/>
    <cellStyle name="Comma 3 6 5 8 2 2" xfId="16293" xr:uid="{7A76F2F8-F2B6-4389-8EEC-42CE3CDAD009}"/>
    <cellStyle name="Comma 3 6 5 8 2 2 2" xfId="32497" xr:uid="{3A47452A-0A99-44E0-A9BD-7AB5D2E67842}"/>
    <cellStyle name="Comma 3 6 5 8 2 3" xfId="24990" xr:uid="{B972DB9A-E10B-45F8-9403-0EA40C8C3D43}"/>
    <cellStyle name="Comma 3 6 5 8 3" xfId="12678" xr:uid="{DE7D73FF-B190-4D7A-8359-B434F3F867F9}"/>
    <cellStyle name="Comma 3 6 5 8 3 2" xfId="28882" xr:uid="{9387A9DC-127A-46AE-B1A0-B776DDCE854D}"/>
    <cellStyle name="Comma 3 6 5 8 4" xfId="21325" xr:uid="{F93578B6-C59C-4618-8B14-65B33AC4FD0B}"/>
    <cellStyle name="Comma 3 6 5 9" xfId="5792" xr:uid="{3E58AAAF-E827-4A45-8345-8930CCCC9936}"/>
    <cellStyle name="Comma 3 6 5 9 2" xfId="13307" xr:uid="{5E6B3535-A0DF-467D-98C5-243DCF569F84}"/>
    <cellStyle name="Comma 3 6 5 9 2 2" xfId="29511" xr:uid="{F7869325-1E1A-4D2D-9B40-3AB92B2ACC4F}"/>
    <cellStyle name="Comma 3 6 5 9 3" xfId="21996" xr:uid="{21E208C9-3A28-4061-B8CE-C8B91962AE92}"/>
    <cellStyle name="Comma 3 6 6" xfId="2198" xr:uid="{33173820-D829-4A76-A5C8-8C30CAFEEE9A}"/>
    <cellStyle name="Comma 3 6 6 2" xfId="3106" xr:uid="{1FCD9D33-0F8F-4AC3-A629-9B633A5401BE}"/>
    <cellStyle name="Comma 3 6 6 2 2" xfId="6888" xr:uid="{0878E048-1FAF-4CEA-9188-83DE85B05BC5}"/>
    <cellStyle name="Comma 3 6 6 2 2 2" xfId="14399" xr:uid="{EC56330D-CC32-43AB-9ADC-D0ADDFE39036}"/>
    <cellStyle name="Comma 3 6 6 2 2 2 2" xfId="30603" xr:uid="{2F2F2971-FAF3-4819-A6CF-8068EA7603F0}"/>
    <cellStyle name="Comma 3 6 6 2 2 3" xfId="23092" xr:uid="{84690AAB-4CA9-43E5-88FC-79A98D02D5A9}"/>
    <cellStyle name="Comma 3 6 6 2 3" xfId="9030" xr:uid="{15DF610F-D8D7-40A9-985E-025146655FE8}"/>
    <cellStyle name="Comma 3 6 6 2 3 2" xfId="16521" xr:uid="{90295941-F766-446A-99BB-433CE31E262D}"/>
    <cellStyle name="Comma 3 6 6 2 3 2 2" xfId="32725" xr:uid="{7C7A7EE4-F6F6-46EF-A88E-071F86E303A1}"/>
    <cellStyle name="Comma 3 6 6 2 3 3" xfId="25234" xr:uid="{D9057546-38AD-4D2D-8550-56DF920468D9}"/>
    <cellStyle name="Comma 3 6 6 2 4" xfId="10799" xr:uid="{F7D49259-E6AC-4335-BB67-9CF954FF9454}"/>
    <cellStyle name="Comma 3 6 6 2 4 2" xfId="27003" xr:uid="{8983F40B-47CC-4A93-96A8-CF6FC5F81DF2}"/>
    <cellStyle name="Comma 3 6 6 2 5" xfId="17604" xr:uid="{10DA86FE-95AF-48A5-8624-93C36CEE98A4}"/>
    <cellStyle name="Comma 3 6 6 2 5 2" xfId="33736" xr:uid="{CB7DFC89-5560-443E-882C-521974C12776}"/>
    <cellStyle name="Comma 3 6 6 2 6" xfId="19326" xr:uid="{3B7A51E1-44CA-4FCC-A4ED-D71AD6098712}"/>
    <cellStyle name="Comma 3 6 6 3" xfId="6032" xr:uid="{CCA7F4F7-4F0B-44F8-AD29-FF4AACFBA125}"/>
    <cellStyle name="Comma 3 6 6 3 2" xfId="13546" xr:uid="{29FC13CC-7084-470F-9AD7-CA8B16FA5EB0}"/>
    <cellStyle name="Comma 3 6 6 3 2 2" xfId="29750" xr:uid="{20BCAC95-3B41-476F-BBA6-8C4BCB9357F0}"/>
    <cellStyle name="Comma 3 6 6 3 3" xfId="22236" xr:uid="{74B4CC2B-7DFF-4A14-A1BF-CF599674A107}"/>
    <cellStyle name="Comma 3 6 6 4" xfId="5410" xr:uid="{DD8854DE-92B0-4C80-B7A4-8373CC27B71C}"/>
    <cellStyle name="Comma 3 6 6 4 2" xfId="12957" xr:uid="{625034F7-F030-4F5E-A60B-F8A573EEE362}"/>
    <cellStyle name="Comma 3 6 6 4 2 2" xfId="29161" xr:uid="{55754794-F9FA-4198-98C7-D29C11F6418F}"/>
    <cellStyle name="Comma 3 6 6 4 3" xfId="21614" xr:uid="{397B501C-D8AD-4320-87A3-84D0DE57F2EE}"/>
    <cellStyle name="Comma 3 6 6 5" xfId="9955" xr:uid="{E13C4517-AB64-4B69-87EA-9CA7A4A6DCDC}"/>
    <cellStyle name="Comma 3 6 6 5 2" xfId="26159" xr:uid="{C2670E6F-124C-4C80-BB28-B33135D6F64F}"/>
    <cellStyle name="Comma 3 6 6 6" xfId="17603" xr:uid="{7399D64C-FC29-40CC-8D13-4ABB42A8A498}"/>
    <cellStyle name="Comma 3 6 6 6 2" xfId="33735" xr:uid="{D0F7A7E3-9CD0-481C-B2F4-6839D92EBC0E}"/>
    <cellStyle name="Comma 3 6 6 7" xfId="18481" xr:uid="{A70AC9CE-5124-414E-B14D-3BE5CF96AFD9}"/>
    <cellStyle name="Comma 3 6 7" xfId="2681" xr:uid="{04732849-2D9D-4BEF-B621-99CC8B33980D}"/>
    <cellStyle name="Comma 3 6 7 2" xfId="6465" xr:uid="{86527BA3-F365-4237-B786-4D4532BC25CF}"/>
    <cellStyle name="Comma 3 6 7 2 2" xfId="13977" xr:uid="{530D7F14-BAEE-4E52-8A45-A4ED4C95E951}"/>
    <cellStyle name="Comma 3 6 7 2 2 2" xfId="30181" xr:uid="{9D71671E-6714-40BB-908E-C94F846E0F0A}"/>
    <cellStyle name="Comma 3 6 7 2 3" xfId="22669" xr:uid="{1967CC6D-816B-48B1-8D45-9660D291DC66}"/>
    <cellStyle name="Comma 3 6 7 3" xfId="5224" xr:uid="{DFA09517-3279-4A15-BCC7-B0A7A23C5B45}"/>
    <cellStyle name="Comma 3 6 7 3 2" xfId="12780" xr:uid="{0E026FD2-2A86-4335-B8BF-3631112B9D7E}"/>
    <cellStyle name="Comma 3 6 7 3 2 2" xfId="28984" xr:uid="{56B56264-BF03-408C-B511-DD033DD1BD49}"/>
    <cellStyle name="Comma 3 6 7 3 3" xfId="21428" xr:uid="{915D7CD1-A537-4A51-BECA-3AF753CDF6A0}"/>
    <cellStyle name="Comma 3 6 7 4" xfId="10377" xr:uid="{D3855F6E-89B2-45D1-857A-CE2D99689D32}"/>
    <cellStyle name="Comma 3 6 7 4 2" xfId="26581" xr:uid="{295CC037-8A18-4DD7-8D45-0A90124F7472}"/>
    <cellStyle name="Comma 3 6 7 5" xfId="17605" xr:uid="{A1E6A354-AA8D-4230-8CBD-20CFB9F059B7}"/>
    <cellStyle name="Comma 3 6 7 5 2" xfId="33737" xr:uid="{616DB652-2837-4699-A59C-82E100A635E3}"/>
    <cellStyle name="Comma 3 6 7 6" xfId="18903" xr:uid="{BC80E193-8BE2-41CA-8695-DEA379B6E2A0}"/>
    <cellStyle name="Comma 3 6 8" xfId="3608" xr:uid="{128BAFFE-3350-4684-A632-7F049754EC16}"/>
    <cellStyle name="Comma 3 6 8 2" xfId="7321" xr:uid="{23CD3B63-9A90-4EA6-9DC1-AECF0D23CE44}"/>
    <cellStyle name="Comma 3 6 8 2 2" xfId="14830" xr:uid="{44A2D1AD-5910-4F19-837F-36F07285A59B}"/>
    <cellStyle name="Comma 3 6 8 2 2 2" xfId="31034" xr:uid="{DFED89E7-06E6-4741-B78D-7E48DF557AB8}"/>
    <cellStyle name="Comma 3 6 8 2 3" xfId="23525" xr:uid="{31C8A98F-8879-45E9-A254-2B4F55E503AA}"/>
    <cellStyle name="Comma 3 6 8 3" xfId="9101" xr:uid="{4099B0C7-6A74-45EA-8442-4E5B77A83150}"/>
    <cellStyle name="Comma 3 6 8 3 2" xfId="16580" xr:uid="{D497ED06-FF98-4930-A9F6-E2A96981D918}"/>
    <cellStyle name="Comma 3 6 8 3 2 2" xfId="32784" xr:uid="{E822FEEA-12CA-485C-B986-554A2DF51757}"/>
    <cellStyle name="Comma 3 6 8 3 3" xfId="25305" xr:uid="{F73D5814-4E05-4918-90F2-F0A3A80430F2}"/>
    <cellStyle name="Comma 3 6 8 4" xfId="11222" xr:uid="{CEBE51E6-6781-4273-A2D9-3D2C43781F68}"/>
    <cellStyle name="Comma 3 6 8 4 2" xfId="27426" xr:uid="{81EC4A0E-14A7-4027-BF0B-4A4F6BA8857B}"/>
    <cellStyle name="Comma 3 6 8 5" xfId="17606" xr:uid="{74A228E8-60C2-4012-81E4-6FF47E81000D}"/>
    <cellStyle name="Comma 3 6 8 5 2" xfId="33738" xr:uid="{4F758F08-8289-4440-921B-AA3EF6C80B9F}"/>
    <cellStyle name="Comma 3 6 8 6" xfId="19817" xr:uid="{BF78F137-EC6E-4F5E-ADD9-D1501431B83D}"/>
    <cellStyle name="Comma 3 6 9" xfId="3388" xr:uid="{CA021E2D-F5E0-428F-AC17-54557E1877CB}"/>
    <cellStyle name="Comma 3 6 9 2" xfId="5461" xr:uid="{363094F7-901C-440A-9232-B1C085F0E61F}"/>
    <cellStyle name="Comma 3 6 9 2 2" xfId="21665" xr:uid="{4C612133-018C-467A-8E62-1917AB24148A}"/>
    <cellStyle name="Comma 3 6 9 3" xfId="17607" xr:uid="{D8D42F47-94C4-4D74-82B5-F568662F6DE9}"/>
    <cellStyle name="Comma 3 6 9 3 2" xfId="33739" xr:uid="{61A58830-5C65-4097-A426-5B18F3411B56}"/>
    <cellStyle name="Comma 3 6 9 4" xfId="19605" xr:uid="{33A07E96-CCD1-4A5D-9AC1-A5033FD06DC6}"/>
    <cellStyle name="Comma 3 7" xfId="1620" xr:uid="{FB35A9B0-1B0D-4589-8752-E930E35286AB}"/>
    <cellStyle name="Comma 3 7 10" xfId="4083" xr:uid="{4B94E2EC-48A3-45AE-8FA4-243CA12190A9}"/>
    <cellStyle name="Comma 3 7 10 2" xfId="7753" xr:uid="{1BEE92D8-1B3A-47AC-9D25-1BAF29F63AA1}"/>
    <cellStyle name="Comma 3 7 10 2 2" xfId="15260" xr:uid="{A16C1F3A-D02E-48F2-A1CB-2D9728ABC083}"/>
    <cellStyle name="Comma 3 7 10 2 2 2" xfId="31464" xr:uid="{C676E6F5-FDB2-4B44-B70E-99B4B199F83D}"/>
    <cellStyle name="Comma 3 7 10 2 3" xfId="23957" xr:uid="{C6FF35EF-D833-4ADC-B32B-8E70AE4C95C5}"/>
    <cellStyle name="Comma 3 7 10 3" xfId="9206" xr:uid="{083C3E51-A36A-4554-A582-139D288BC0F4}"/>
    <cellStyle name="Comma 3 7 10 3 2" xfId="16676" xr:uid="{63683A9B-F0F2-4284-9D25-CAC98545FF7A}"/>
    <cellStyle name="Comma 3 7 10 3 2 2" xfId="32880" xr:uid="{A6F23A0D-3766-4C73-9A6F-F75A504A6983}"/>
    <cellStyle name="Comma 3 7 10 3 3" xfId="25410" xr:uid="{4EE47FDA-774E-4DD7-8404-45CBCC415263}"/>
    <cellStyle name="Comma 3 7 10 4" xfId="11646" xr:uid="{A0ABB272-57FF-4711-9EE6-43F6A74D3372}"/>
    <cellStyle name="Comma 3 7 10 4 2" xfId="27850" xr:uid="{59A84AAA-7A7C-434C-B393-1D194CD484B9}"/>
    <cellStyle name="Comma 3 7 10 5" xfId="17609" xr:uid="{0354EEF9-91EC-4120-B092-A9E52D7C1C51}"/>
    <cellStyle name="Comma 3 7 10 5 2" xfId="33741" xr:uid="{53E15D79-00BE-42B2-918C-60BA82188762}"/>
    <cellStyle name="Comma 3 7 10 6" xfId="20287" xr:uid="{5ECF9827-9FEB-415F-B500-89449D3488FD}"/>
    <cellStyle name="Comma 3 7 11" xfId="4508" xr:uid="{30BCE4D2-B07E-472A-B9DF-856ED2C0446E}"/>
    <cellStyle name="Comma 3 7 11 2" xfId="8178" xr:uid="{8D197208-5AE1-44CD-A32A-13A754B15AF4}"/>
    <cellStyle name="Comma 3 7 11 2 2" xfId="15685" xr:uid="{A0947F9D-16E7-420F-93FC-84F8080A0251}"/>
    <cellStyle name="Comma 3 7 11 2 2 2" xfId="31889" xr:uid="{8F14B7BE-168E-470E-B928-252BF24E9D0F}"/>
    <cellStyle name="Comma 3 7 11 2 3" xfId="24382" xr:uid="{B1F42586-705F-42C1-8B36-C21BFD694395}"/>
    <cellStyle name="Comma 3 7 11 3" xfId="9056" xr:uid="{D9CFBBE6-9C0D-4398-AC03-303F2D428706}"/>
    <cellStyle name="Comma 3 7 11 3 2" xfId="16542" xr:uid="{CDD8A6E1-83C7-4825-8379-95820C2BD688}"/>
    <cellStyle name="Comma 3 7 11 3 2 2" xfId="32746" xr:uid="{6F4F91B3-2E08-4FEC-8C4F-D9D8FB78B4F6}"/>
    <cellStyle name="Comma 3 7 11 3 3" xfId="25260" xr:uid="{271C8474-D781-494A-B013-1D81FF776666}"/>
    <cellStyle name="Comma 3 7 11 4" xfId="12071" xr:uid="{18AC7D73-F05C-4BA5-ADF7-B41810AEACCA}"/>
    <cellStyle name="Comma 3 7 11 4 2" xfId="28275" xr:uid="{98A584A4-EB02-4A98-9A07-EE82D9A429E1}"/>
    <cellStyle name="Comma 3 7 11 5" xfId="17610" xr:uid="{0F0951A2-35D2-4150-B5EF-4707088224B9}"/>
    <cellStyle name="Comma 3 7 11 5 2" xfId="33742" xr:uid="{35FF3059-6B09-4CDE-BBCC-686A193A21F9}"/>
    <cellStyle name="Comma 3 7 11 6" xfId="20712" xr:uid="{D0B26D53-9BBB-4027-A000-C63286AF43F9}"/>
    <cellStyle name="Comma 3 7 12" xfId="4935" xr:uid="{1AB63221-53F1-4C6E-9EAB-C6A7834C1E82}"/>
    <cellStyle name="Comma 3 7 12 2" xfId="8601" xr:uid="{96E68E3A-AA3A-4804-B082-851D90B915AE}"/>
    <cellStyle name="Comma 3 7 12 2 2" xfId="16108" xr:uid="{3B7FCC64-64BB-4DEC-87FE-FDC935F5E0CD}"/>
    <cellStyle name="Comma 3 7 12 2 2 2" xfId="32312" xr:uid="{ABD43527-4648-4271-896A-73BFBF6D9754}"/>
    <cellStyle name="Comma 3 7 12 2 3" xfId="24805" xr:uid="{939C5634-D9A3-4D97-BF79-E201B5AD9E45}"/>
    <cellStyle name="Comma 3 7 12 3" xfId="12493" xr:uid="{DE04FEBC-A5A9-44E7-9A1D-493910CFD08B}"/>
    <cellStyle name="Comma 3 7 12 3 2" xfId="28697" xr:uid="{AEAF9D75-A24A-4FB3-93E2-374F07AE966E}"/>
    <cellStyle name="Comma 3 7 12 4" xfId="21139" xr:uid="{E3D9BC84-C8C4-4C36-B797-1D1CDBD26A99}"/>
    <cellStyle name="Comma 3 7 13" xfId="5581" xr:uid="{8DCDA549-4BEC-4F03-8BF6-45BAA819C655}"/>
    <cellStyle name="Comma 3 7 13 2" xfId="13098" xr:uid="{02E3E7DA-A1D7-4258-83C1-E76D366AD67D}"/>
    <cellStyle name="Comma 3 7 13 2 2" xfId="29302" xr:uid="{C44EDB06-AAB2-40A2-A661-9132F32DA040}"/>
    <cellStyle name="Comma 3 7 13 3" xfId="21785" xr:uid="{A5198915-9CD5-483B-B7F1-F36CFD74C3FB}"/>
    <cellStyle name="Comma 3 7 14" xfId="9534" xr:uid="{A4F47174-6237-4B87-8675-1CD3AE187EC0}"/>
    <cellStyle name="Comma 3 7 14 2" xfId="25738" xr:uid="{FA51AEBD-FAF2-4404-88A3-07282C9D0798}"/>
    <cellStyle name="Comma 3 7 15" xfId="17608" xr:uid="{40CAB850-2689-40A9-BEBB-F9DABDC4E2D8}"/>
    <cellStyle name="Comma 3 7 15 2" xfId="33740" xr:uid="{4556579C-A92E-470D-BAAA-FCB6078B041F}"/>
    <cellStyle name="Comma 3 7 16" xfId="18057" xr:uid="{E8F3D1DE-262C-445D-BFC2-9511E8BFD45E}"/>
    <cellStyle name="Comma 3 7 2" xfId="1751" xr:uid="{FA5FBD3B-A826-4A93-A44E-3D48A74B1A14}"/>
    <cellStyle name="Comma 3 7 2 10" xfId="5620" xr:uid="{EF888A2C-C51A-4DB5-83AA-0AAC96370DED}"/>
    <cellStyle name="Comma 3 7 2 10 2" xfId="13135" xr:uid="{C00EA80C-DBEA-4238-8C71-95CC3CAA180C}"/>
    <cellStyle name="Comma 3 7 2 10 2 2" xfId="29339" xr:uid="{18ECA210-E7A9-4AF1-8BC3-876434633007}"/>
    <cellStyle name="Comma 3 7 2 10 3" xfId="21824" xr:uid="{1BB292F5-7B20-45B2-93ED-3676927F0BF7}"/>
    <cellStyle name="Comma 3 7 2 11" xfId="9548" xr:uid="{F4B629D5-49FD-4454-82D3-942A000CD4D0}"/>
    <cellStyle name="Comma 3 7 2 11 2" xfId="25752" xr:uid="{4F8DEC15-2C3B-453D-B2DA-391F20DB12D9}"/>
    <cellStyle name="Comma 3 7 2 12" xfId="17611" xr:uid="{8214B0A5-978C-498C-A521-095FEE44360C}"/>
    <cellStyle name="Comma 3 7 2 12 2" xfId="33743" xr:uid="{146C65BD-385C-4535-AF7F-07F5C86B20E9}"/>
    <cellStyle name="Comma 3 7 2 13" xfId="18071" xr:uid="{6A94C43F-1204-455E-B5A8-B2ED41186FB8}"/>
    <cellStyle name="Comma 3 7 2 2" xfId="1940" xr:uid="{F2E0E8A4-8BA8-4D05-8372-90A71E787F12}"/>
    <cellStyle name="Comma 3 7 2 2 10" xfId="9720" xr:uid="{C1979711-C18C-471C-9F0E-B489AB3C54A9}"/>
    <cellStyle name="Comma 3 7 2 2 10 2" xfId="25924" xr:uid="{3CF35983-AB81-472E-BE2F-B9171AE39109}"/>
    <cellStyle name="Comma 3 7 2 2 11" xfId="17612" xr:uid="{0CE53871-6FDC-47D8-8C11-FEFFE58B8F8D}"/>
    <cellStyle name="Comma 3 7 2 2 11 2" xfId="33744" xr:uid="{F4C85E3A-A48A-4225-A6C5-3DD88CC12328}"/>
    <cellStyle name="Comma 3 7 2 2 12" xfId="18244" xr:uid="{639208DA-0E08-4744-B2A1-8A2DDFC91818}"/>
    <cellStyle name="Comma 3 7 2 2 2" xfId="2447" xr:uid="{6FD2D939-C1E1-4C19-A6FC-D3DDBFF149EF}"/>
    <cellStyle name="Comma 3 7 2 2 2 2" xfId="3294" xr:uid="{334F106F-A88D-4231-AC1F-293B897A7E3B}"/>
    <cellStyle name="Comma 3 7 2 2 2 2 2" xfId="7076" xr:uid="{4290DE58-6A2C-4CA9-8A90-D73933CD3EF3}"/>
    <cellStyle name="Comma 3 7 2 2 2 2 2 2" xfId="14587" xr:uid="{784C5B91-2CEE-4A4B-A06A-CCD010ABBF5D}"/>
    <cellStyle name="Comma 3 7 2 2 2 2 2 2 2" xfId="30791" xr:uid="{387E2D64-3B16-46E7-96BA-7D5C1CF9A729}"/>
    <cellStyle name="Comma 3 7 2 2 2 2 2 3" xfId="23280" xr:uid="{837B169A-92B0-40A2-8350-03F6531B18A6}"/>
    <cellStyle name="Comma 3 7 2 2 2 2 3" xfId="9157" xr:uid="{E5A94AD7-2A6A-48FB-BC22-AC26C09D4FA0}"/>
    <cellStyle name="Comma 3 7 2 2 2 2 3 2" xfId="16632" xr:uid="{1C5FDDD4-C7FD-45DA-821C-729F360B34E3}"/>
    <cellStyle name="Comma 3 7 2 2 2 2 3 2 2" xfId="32836" xr:uid="{8FB4AAC9-3F0E-4086-8205-8FF364E63C6D}"/>
    <cellStyle name="Comma 3 7 2 2 2 2 3 3" xfId="25361" xr:uid="{D1862AB5-3FBA-429F-A157-CBFD1BC3AC34}"/>
    <cellStyle name="Comma 3 7 2 2 2 2 4" xfId="10987" xr:uid="{11DB6F90-710D-4D09-B937-9CF66FE9BE5E}"/>
    <cellStyle name="Comma 3 7 2 2 2 2 4 2" xfId="27191" xr:uid="{2A7EF100-83B4-42C4-895E-3F817D81743F}"/>
    <cellStyle name="Comma 3 7 2 2 2 2 5" xfId="17614" xr:uid="{8117FDC4-6D2D-4D86-A172-32AB58D04ECB}"/>
    <cellStyle name="Comma 3 7 2 2 2 2 5 2" xfId="33746" xr:uid="{7EF21DC7-133B-4E11-BF4A-1B18E9331538}"/>
    <cellStyle name="Comma 3 7 2 2 2 2 6" xfId="19514" xr:uid="{B7CDE4FF-B6A8-4841-B6F3-A8A8789D94E7}"/>
    <cellStyle name="Comma 3 7 2 2 2 3" xfId="6231" xr:uid="{CAA2FB10-5346-4B68-8821-9FAFD36EAB3E}"/>
    <cellStyle name="Comma 3 7 2 2 2 3 2" xfId="13743" xr:uid="{17F68C2C-CDA5-410E-9214-52AD35A10E83}"/>
    <cellStyle name="Comma 3 7 2 2 2 3 2 2" xfId="29947" xr:uid="{5DB97795-59D5-48F4-811F-1DA75F80B8CC}"/>
    <cellStyle name="Comma 3 7 2 2 2 3 3" xfId="22435" xr:uid="{2A960D45-3B70-49F8-9CA9-50CCAFDE9768}"/>
    <cellStyle name="Comma 3 7 2 2 2 4" xfId="5443" xr:uid="{3E7AF9CE-C25B-4D42-ADAA-9A49306A5E7C}"/>
    <cellStyle name="Comma 3 7 2 2 2 4 2" xfId="12986" xr:uid="{A4FD1F35-75B5-472B-BFDA-7849DE3D720C}"/>
    <cellStyle name="Comma 3 7 2 2 2 4 2 2" xfId="29190" xr:uid="{B1CEEC07-DF01-408C-B945-38BFE40EB8BC}"/>
    <cellStyle name="Comma 3 7 2 2 2 4 3" xfId="21647" xr:uid="{6E557939-166F-4CA4-8ED7-3FD6FDFC83AC}"/>
    <cellStyle name="Comma 3 7 2 2 2 5" xfId="10143" xr:uid="{540AD9AE-239C-4C48-8150-75BB6C20DC2B}"/>
    <cellStyle name="Comma 3 7 2 2 2 5 2" xfId="26347" xr:uid="{110634B6-8CF1-45EF-AB2C-41BD74DD3AA3}"/>
    <cellStyle name="Comma 3 7 2 2 2 6" xfId="17613" xr:uid="{B5B2D3C8-630D-433F-A1D1-794307D9DE8E}"/>
    <cellStyle name="Comma 3 7 2 2 2 6 2" xfId="33745" xr:uid="{B692601E-F5ED-4F08-83A5-D9D184E9A3D3}"/>
    <cellStyle name="Comma 3 7 2 2 2 7" xfId="18669" xr:uid="{8E6A1ADC-A197-4164-AEFE-FCD17F9024A4}"/>
    <cellStyle name="Comma 3 7 2 2 3" xfId="2869" xr:uid="{CA6C4758-602D-4BBA-A5F6-3C9827CE39AA}"/>
    <cellStyle name="Comma 3 7 2 2 3 2" xfId="6653" xr:uid="{0A416341-7908-4E07-8628-2BCC564151BB}"/>
    <cellStyle name="Comma 3 7 2 2 3 2 2" xfId="14165" xr:uid="{353FDFE3-21FE-4626-B81C-237BDAEED28A}"/>
    <cellStyle name="Comma 3 7 2 2 3 2 2 2" xfId="30369" xr:uid="{ECB892D9-AC25-466A-8CAB-5734BF6B82D8}"/>
    <cellStyle name="Comma 3 7 2 2 3 2 3" xfId="22857" xr:uid="{A9D50AAE-AC3D-45AF-8F1E-C345C67431F8}"/>
    <cellStyle name="Comma 3 7 2 2 3 3" xfId="9016" xr:uid="{46430922-B0CF-4214-8D99-C0D2E7EFC188}"/>
    <cellStyle name="Comma 3 7 2 2 3 3 2" xfId="16507" xr:uid="{0F72730C-0ADD-45BE-92F9-7CDD0FB624AD}"/>
    <cellStyle name="Comma 3 7 2 2 3 3 2 2" xfId="32711" xr:uid="{7D61184E-741E-47A4-BE7D-60AF2C2D1074}"/>
    <cellStyle name="Comma 3 7 2 2 3 3 3" xfId="25220" xr:uid="{0AC5A962-F18A-4089-95BD-A00256EE95A1}"/>
    <cellStyle name="Comma 3 7 2 2 3 4" xfId="10565" xr:uid="{EA86E453-0247-49C5-9DF5-9F238CAB535E}"/>
    <cellStyle name="Comma 3 7 2 2 3 4 2" xfId="26769" xr:uid="{F6221ECF-BBD9-4CAA-ADE9-9631DB394347}"/>
    <cellStyle name="Comma 3 7 2 2 3 5" xfId="17615" xr:uid="{7781B1ED-1D6E-45E6-B5AB-02DDD70CA7FA}"/>
    <cellStyle name="Comma 3 7 2 2 3 5 2" xfId="33747" xr:uid="{2A841688-E490-42D3-904D-DDEBBF01B447}"/>
    <cellStyle name="Comma 3 7 2 2 3 6" xfId="19091" xr:uid="{042E2AF9-F9A4-4BEC-A08A-488F24BE0A1A}"/>
    <cellStyle name="Comma 3 7 2 2 4" xfId="3800" xr:uid="{25F985FE-9448-4EEB-AEE5-4F6DEAB51983}"/>
    <cellStyle name="Comma 3 7 2 2 4 2" xfId="7510" xr:uid="{C1927129-DC5F-444D-ADC8-EEC3BBBDAF27}"/>
    <cellStyle name="Comma 3 7 2 2 4 2 2" xfId="15019" xr:uid="{64A24F85-E0D5-4C19-A8C2-107949FADCE9}"/>
    <cellStyle name="Comma 3 7 2 2 4 2 2 2" xfId="31223" xr:uid="{BD983F9B-C41D-437D-866C-61D9F3390AC1}"/>
    <cellStyle name="Comma 3 7 2 2 4 2 3" xfId="23714" xr:uid="{6285F8E6-1EAC-4A76-A42F-C2F5714E1B24}"/>
    <cellStyle name="Comma 3 7 2 2 4 3" xfId="9243" xr:uid="{DDDAED7B-75EB-4FB4-97E4-C9E5D183B909}"/>
    <cellStyle name="Comma 3 7 2 2 4 3 2" xfId="16705" xr:uid="{3AF0EF33-8B02-4127-A09F-C1FE99E5D198}"/>
    <cellStyle name="Comma 3 7 2 2 4 3 2 2" xfId="32909" xr:uid="{87486BBE-8FAD-4246-882D-01539FF28B3F}"/>
    <cellStyle name="Comma 3 7 2 2 4 3 3" xfId="25447" xr:uid="{FE7346B9-80B2-4109-9FF1-5966B6E607C5}"/>
    <cellStyle name="Comma 3 7 2 2 4 4" xfId="11410" xr:uid="{C1502D76-2986-4D64-AAC0-7D0D07853E55}"/>
    <cellStyle name="Comma 3 7 2 2 4 4 2" xfId="27614" xr:uid="{FE413D2F-1CDB-457B-B068-DF894B77EF78}"/>
    <cellStyle name="Comma 3 7 2 2 4 5" xfId="17616" xr:uid="{EE00BF9B-F3CC-4DB4-823F-2F7C96DC3B97}"/>
    <cellStyle name="Comma 3 7 2 2 4 5 2" xfId="33748" xr:uid="{FE29D9E5-C90F-437D-9D95-9FAC5C8AC560}"/>
    <cellStyle name="Comma 3 7 2 2 4 6" xfId="20009" xr:uid="{C90885B1-771B-471F-AD94-197A7628508D}"/>
    <cellStyle name="Comma 3 7 2 2 5" xfId="3888" xr:uid="{4CAF5C7D-4605-404B-8068-6B17AEC5C871}"/>
    <cellStyle name="Comma 3 7 2 2 5 2" xfId="5528" xr:uid="{97F159AC-7CE5-4545-90FB-C20F762C667A}"/>
    <cellStyle name="Comma 3 7 2 2 5 2 2" xfId="21732" xr:uid="{63D6D010-AB10-4C77-9FE5-BD141AB3018E}"/>
    <cellStyle name="Comma 3 7 2 2 5 3" xfId="17617" xr:uid="{FB6B292A-CEDF-413F-862D-FF8FDEE7AD1D}"/>
    <cellStyle name="Comma 3 7 2 2 5 3 2" xfId="33749" xr:uid="{879536A7-6940-401E-8FC6-EC5FEA51BE7C}"/>
    <cellStyle name="Comma 3 7 2 2 5 4" xfId="20097" xr:uid="{149887B2-DE8A-41E3-B407-4C2158761B41}"/>
    <cellStyle name="Comma 3 7 2 2 6" xfId="4269" xr:uid="{88E3DB66-33B0-4991-B6B9-7FE87B6ED38C}"/>
    <cellStyle name="Comma 3 7 2 2 6 2" xfId="7939" xr:uid="{FB3FC7CC-C130-467F-822B-0A65F9B5A286}"/>
    <cellStyle name="Comma 3 7 2 2 6 2 2" xfId="15446" xr:uid="{0C93A2F6-260B-4037-B8C6-7CB0C1E5663B}"/>
    <cellStyle name="Comma 3 7 2 2 6 2 2 2" xfId="31650" xr:uid="{B11FA7D8-F2E7-428D-A4F4-F2E081862425}"/>
    <cellStyle name="Comma 3 7 2 2 6 2 3" xfId="24143" xr:uid="{E687AF53-97F5-4A20-BBBA-537393D38B28}"/>
    <cellStyle name="Comma 3 7 2 2 6 3" xfId="9345" xr:uid="{F43C86E6-9324-40C2-9542-C1FAD99E219A}"/>
    <cellStyle name="Comma 3 7 2 2 6 3 2" xfId="16788" xr:uid="{DB21D1DC-D1C6-44B6-8C99-32C767C04192}"/>
    <cellStyle name="Comma 3 7 2 2 6 3 2 2" xfId="32992" xr:uid="{5C2F86CE-C499-4955-B064-C9C1F28C0767}"/>
    <cellStyle name="Comma 3 7 2 2 6 3 3" xfId="25549" xr:uid="{651AC58A-7F73-431F-B4EF-96C10F52E3C4}"/>
    <cellStyle name="Comma 3 7 2 2 6 4" xfId="11832" xr:uid="{0DE54AB8-17B5-4D9C-A8FF-449660FD52AC}"/>
    <cellStyle name="Comma 3 7 2 2 6 4 2" xfId="28036" xr:uid="{47C10B2B-3910-4EA6-A7A6-176B931B5B17}"/>
    <cellStyle name="Comma 3 7 2 2 6 5" xfId="17618" xr:uid="{5239582E-3D96-4D50-A4D7-E38E77B6EF8E}"/>
    <cellStyle name="Comma 3 7 2 2 6 5 2" xfId="33750" xr:uid="{BB8A90FD-0FAC-4ADC-804E-E63F494D42CE}"/>
    <cellStyle name="Comma 3 7 2 2 6 6" xfId="20473" xr:uid="{B2265DAC-0C4F-4EEA-8368-D5AD56AE23DE}"/>
    <cellStyle name="Comma 3 7 2 2 7" xfId="4694" xr:uid="{78FCDFA1-E3E5-49D5-BFB9-6CA8361CC23C}"/>
    <cellStyle name="Comma 3 7 2 2 7 2" xfId="8364" xr:uid="{8BAF5030-3B80-4C0D-A257-C0299711B7DD}"/>
    <cellStyle name="Comma 3 7 2 2 7 2 2" xfId="15871" xr:uid="{55F4402B-81BC-4593-9B44-C6488D643CA6}"/>
    <cellStyle name="Comma 3 7 2 2 7 2 2 2" xfId="32075" xr:uid="{BE419958-BBC2-4F25-829B-60709B9FA375}"/>
    <cellStyle name="Comma 3 7 2 2 7 2 3" xfId="24568" xr:uid="{C51DB336-4B3F-42B9-9CDE-24A10CFFE4CD}"/>
    <cellStyle name="Comma 3 7 2 2 7 3" xfId="5520" xr:uid="{D52A885E-50F0-4F41-8660-11321242EBA3}"/>
    <cellStyle name="Comma 3 7 2 2 7 3 2" xfId="13049" xr:uid="{96914E5E-FD0B-40CB-BFCB-BDACB69CE0CD}"/>
    <cellStyle name="Comma 3 7 2 2 7 3 2 2" xfId="29253" xr:uid="{42DCD72A-5EE5-4006-B91C-B3C14D4C06E1}"/>
    <cellStyle name="Comma 3 7 2 2 7 3 3" xfId="21724" xr:uid="{DE2F7975-9805-4F59-8149-DA9261C04342}"/>
    <cellStyle name="Comma 3 7 2 2 7 4" xfId="12257" xr:uid="{B4E8FBF9-1DC9-4EB4-AE7F-A04ED3342093}"/>
    <cellStyle name="Comma 3 7 2 2 7 4 2" xfId="28461" xr:uid="{A220D663-BE44-4AC0-8565-C0517C25B1A7}"/>
    <cellStyle name="Comma 3 7 2 2 7 5" xfId="17619" xr:uid="{14B1F7FD-D24A-47EB-A951-40C507259051}"/>
    <cellStyle name="Comma 3 7 2 2 7 5 2" xfId="33751" xr:uid="{84B51ECB-F57B-49F8-BF41-2EE8F4A91359}"/>
    <cellStyle name="Comma 3 7 2 2 7 6" xfId="20898" xr:uid="{D22AA90E-7A14-420A-A3A2-43A38B042821}"/>
    <cellStyle name="Comma 3 7 2 2 8" xfId="5122" xr:uid="{F182C70E-D9A0-4199-87F3-914D83A5AED7}"/>
    <cellStyle name="Comma 3 7 2 2 8 2" xfId="8787" xr:uid="{58588E45-2EEF-47E9-8233-BE45B9045CC4}"/>
    <cellStyle name="Comma 3 7 2 2 8 2 2" xfId="16294" xr:uid="{C89986AE-CAA6-42FD-A407-4885A1704C7E}"/>
    <cellStyle name="Comma 3 7 2 2 8 2 2 2" xfId="32498" xr:uid="{DE234966-75A0-4172-A88E-7430314E9CB4}"/>
    <cellStyle name="Comma 3 7 2 2 8 2 3" xfId="24991" xr:uid="{8FEE3A60-6EFB-4B09-AB91-293609415C50}"/>
    <cellStyle name="Comma 3 7 2 2 8 3" xfId="12679" xr:uid="{FE173441-0A46-4509-8AD6-5BA60D654F55}"/>
    <cellStyle name="Comma 3 7 2 2 8 3 2" xfId="28883" xr:uid="{C71ED641-4E03-451A-A4C2-8CC8091E0619}"/>
    <cellStyle name="Comma 3 7 2 2 8 4" xfId="21326" xr:uid="{7E526DA1-A44B-4EEC-90F8-47BC92E59E86}"/>
    <cellStyle name="Comma 3 7 2 2 9" xfId="5793" xr:uid="{6CB2ECE3-DD1D-4622-8CE7-201CB0227417}"/>
    <cellStyle name="Comma 3 7 2 2 9 2" xfId="13308" xr:uid="{DC7C7302-8514-4F8C-9CA2-59CF21646C1C}"/>
    <cellStyle name="Comma 3 7 2 2 9 2 2" xfId="29512" xr:uid="{880D29C8-6DD5-43AF-B619-B7E5E3136BBE}"/>
    <cellStyle name="Comma 3 7 2 2 9 3" xfId="21997" xr:uid="{3FF56EDA-2CF2-44B4-9AB0-C133415DAFA0}"/>
    <cellStyle name="Comma 3 7 2 3" xfId="2271" xr:uid="{6D3EA58D-4A6F-4A78-8B52-4FA66C27247B}"/>
    <cellStyle name="Comma 3 7 2 3 2" xfId="3122" xr:uid="{12D255C5-0581-4ED3-BFCE-C42E7995158D}"/>
    <cellStyle name="Comma 3 7 2 3 2 2" xfId="6904" xr:uid="{6217BB6B-B27B-4945-B5BA-CEF9FF4F5AAA}"/>
    <cellStyle name="Comma 3 7 2 3 2 2 2" xfId="14415" xr:uid="{9CD11A31-C949-40F8-914D-1CAACAD0DAA9}"/>
    <cellStyle name="Comma 3 7 2 3 2 2 2 2" xfId="30619" xr:uid="{5A7625BF-8620-4746-A53D-340B7B26439D}"/>
    <cellStyle name="Comma 3 7 2 3 2 2 3" xfId="23108" xr:uid="{C79F355D-DAE6-43CC-A578-6A2E9773CCC6}"/>
    <cellStyle name="Comma 3 7 2 3 2 3" xfId="5595" xr:uid="{FDD6B7B9-DE35-42CC-826C-5431ECB04CD2}"/>
    <cellStyle name="Comma 3 7 2 3 2 3 2" xfId="13111" xr:uid="{E73557B3-9D5D-43A9-AA0B-ED07947CBDCC}"/>
    <cellStyle name="Comma 3 7 2 3 2 3 2 2" xfId="29315" xr:uid="{E3F4C95C-A4D5-4BD4-B9E2-568E1DA79251}"/>
    <cellStyle name="Comma 3 7 2 3 2 3 3" xfId="21799" xr:uid="{481D1218-A120-4F42-B054-24663A9F58AC}"/>
    <cellStyle name="Comma 3 7 2 3 2 4" xfId="10815" xr:uid="{DC9861D5-7578-40CA-B1EF-05377006A6ED}"/>
    <cellStyle name="Comma 3 7 2 3 2 4 2" xfId="27019" xr:uid="{5C3F03FF-FD40-4544-A3FB-D530705F984D}"/>
    <cellStyle name="Comma 3 7 2 3 2 5" xfId="17621" xr:uid="{1551A9AB-B201-4419-B24E-489B2A573781}"/>
    <cellStyle name="Comma 3 7 2 3 2 5 2" xfId="33753" xr:uid="{B3A7BA7B-5B39-4B33-9CD0-B2650CD3A536}"/>
    <cellStyle name="Comma 3 7 2 3 2 6" xfId="19342" xr:uid="{8E8F2993-E344-4ECC-8380-851AE072FC1F}"/>
    <cellStyle name="Comma 3 7 2 3 3" xfId="6059" xr:uid="{3A4C933B-4EAA-481E-BA51-138B23F2569C}"/>
    <cellStyle name="Comma 3 7 2 3 3 2" xfId="13571" xr:uid="{D83F2B4C-6093-4A18-B76A-F40F0994DABD}"/>
    <cellStyle name="Comma 3 7 2 3 3 2 2" xfId="29775" xr:uid="{F7600256-A5F8-467C-9099-2098B044024C}"/>
    <cellStyle name="Comma 3 7 2 3 3 3" xfId="22263" xr:uid="{B8A9000D-CBF8-4155-977C-5C2D9AA50D9C}"/>
    <cellStyle name="Comma 3 7 2 3 4" xfId="5431" xr:uid="{F40255A9-651E-46C2-B640-CAC7278C17A1}"/>
    <cellStyle name="Comma 3 7 2 3 4 2" xfId="12975" xr:uid="{E7BFEA7B-52E3-4B2E-968B-737C756DBE7C}"/>
    <cellStyle name="Comma 3 7 2 3 4 2 2" xfId="29179" xr:uid="{B12FE76E-4904-4564-AD2F-EF412D6FE82D}"/>
    <cellStyle name="Comma 3 7 2 3 4 3" xfId="21635" xr:uid="{94CCC6CC-F58D-4860-AD97-388363C469B2}"/>
    <cellStyle name="Comma 3 7 2 3 5" xfId="9971" xr:uid="{691EB054-B586-48D6-9773-9978037D22AC}"/>
    <cellStyle name="Comma 3 7 2 3 5 2" xfId="26175" xr:uid="{992688B4-89F2-4340-BF88-1D41A735F269}"/>
    <cellStyle name="Comma 3 7 2 3 6" xfId="17620" xr:uid="{0B09A4D0-3F42-4995-84B3-E1304885542A}"/>
    <cellStyle name="Comma 3 7 2 3 6 2" xfId="33752" xr:uid="{4A3EBC9F-2054-4FD7-80EC-69040EDA0C6E}"/>
    <cellStyle name="Comma 3 7 2 3 7" xfId="18497" xr:uid="{F2E8ADBA-DD68-42F0-83DB-B27C56E7AE6B}"/>
    <cellStyle name="Comma 3 7 2 4" xfId="2697" xr:uid="{0DF5CB7B-67B2-49E3-A009-B6CCF463505F}"/>
    <cellStyle name="Comma 3 7 2 4 2" xfId="6481" xr:uid="{4F667365-0BE5-4010-9D21-9AB98FEEE8A8}"/>
    <cellStyle name="Comma 3 7 2 4 2 2" xfId="13993" xr:uid="{2947C5B2-68B8-40B0-BDEC-9B756ECC440A}"/>
    <cellStyle name="Comma 3 7 2 4 2 2 2" xfId="30197" xr:uid="{9EE5DB51-0F46-49B4-9BDE-1E1B0F82D225}"/>
    <cellStyle name="Comma 3 7 2 4 2 3" xfId="22685" xr:uid="{3E815A4E-BBA4-4658-81D7-3C3800E0D39A}"/>
    <cellStyle name="Comma 3 7 2 4 3" xfId="5524" xr:uid="{011443B7-ECE6-4F0A-B8BE-1790ED924F74}"/>
    <cellStyle name="Comma 3 7 2 4 3 2" xfId="13052" xr:uid="{FBA1624F-7242-40F0-B43A-482B7EBAAC39}"/>
    <cellStyle name="Comma 3 7 2 4 3 2 2" xfId="29256" xr:uid="{D080BD25-CE1E-4E74-9132-7013A21A2912}"/>
    <cellStyle name="Comma 3 7 2 4 3 3" xfId="21728" xr:uid="{6D3CB3C3-931C-478D-9F08-AFADE746A63C}"/>
    <cellStyle name="Comma 3 7 2 4 4" xfId="10393" xr:uid="{B0D67F84-BFC6-4330-9E7B-C93DA6950C2B}"/>
    <cellStyle name="Comma 3 7 2 4 4 2" xfId="26597" xr:uid="{A3407A9E-40EC-4F1D-8753-3FB28B8032DA}"/>
    <cellStyle name="Comma 3 7 2 4 5" xfId="17622" xr:uid="{F6918C43-2816-4B67-8156-2062C08091B5}"/>
    <cellStyle name="Comma 3 7 2 4 5 2" xfId="33754" xr:uid="{72D6BD3B-0742-4033-811F-07EE3A5C18B3}"/>
    <cellStyle name="Comma 3 7 2 4 6" xfId="18919" xr:uid="{7FCE69EC-FF87-40CE-AF99-D1519DC9799F}"/>
    <cellStyle name="Comma 3 7 2 5" xfId="3627" xr:uid="{3E321FF6-C079-4C5D-B60C-DF25AC414410}"/>
    <cellStyle name="Comma 3 7 2 5 2" xfId="7337" xr:uid="{B30A54CA-0E6F-47FF-9444-41976D061628}"/>
    <cellStyle name="Comma 3 7 2 5 2 2" xfId="14846" xr:uid="{36A87495-25BA-4724-A71D-9B3FBF828E79}"/>
    <cellStyle name="Comma 3 7 2 5 2 2 2" xfId="31050" xr:uid="{10149400-9FB9-4F98-B559-D88C599C5DD1}"/>
    <cellStyle name="Comma 3 7 2 5 2 3" xfId="23541" xr:uid="{1F5AF95E-3F7C-4984-9423-069C05DBB293}"/>
    <cellStyle name="Comma 3 7 2 5 3" xfId="9131" xr:uid="{FFF52E08-5EFF-4B26-A0D6-9D79160C940E}"/>
    <cellStyle name="Comma 3 7 2 5 3 2" xfId="16609" xr:uid="{5FD7A5C4-4725-40FB-9EFE-EEC852823648}"/>
    <cellStyle name="Comma 3 7 2 5 3 2 2" xfId="32813" xr:uid="{64979BA4-072C-4097-9BAD-E229107FE074}"/>
    <cellStyle name="Comma 3 7 2 5 3 3" xfId="25335" xr:uid="{7DB5E34F-E2D5-4AAB-A797-CAFCE4A84EC1}"/>
    <cellStyle name="Comma 3 7 2 5 4" xfId="11238" xr:uid="{9E5F8D33-A828-404E-B14E-E40FBA61CB06}"/>
    <cellStyle name="Comma 3 7 2 5 4 2" xfId="27442" xr:uid="{50242759-FF1D-4D25-A429-FA4BF4BB4FCE}"/>
    <cellStyle name="Comma 3 7 2 5 5" xfId="17623" xr:uid="{827DC9AC-FFEF-4804-A90D-08EAD03CFB1B}"/>
    <cellStyle name="Comma 3 7 2 5 5 2" xfId="33755" xr:uid="{AA98DBB8-DDDF-4522-8254-5F59A7D44C2E}"/>
    <cellStyle name="Comma 3 7 2 5 6" xfId="19836" xr:uid="{CEDB2416-0EFA-4837-866A-29DE3C3717E3}"/>
    <cellStyle name="Comma 3 7 2 6" xfId="3402" xr:uid="{AB23AF69-C32C-4583-8A39-F937562E3557}"/>
    <cellStyle name="Comma 3 7 2 6 2" xfId="9185" xr:uid="{0C4649C7-4ED0-4153-B503-9DA18550EA8B}"/>
    <cellStyle name="Comma 3 7 2 6 2 2" xfId="25389" xr:uid="{D12D3EBB-B6AB-49DB-A10E-534D40F67317}"/>
    <cellStyle name="Comma 3 7 2 6 3" xfId="17624" xr:uid="{0D4E61EE-0C59-4C50-B58C-1A967BB7ED23}"/>
    <cellStyle name="Comma 3 7 2 6 3 2" xfId="33756" xr:uid="{F4E30C7C-23B7-434C-B499-BB04AAB48496}"/>
    <cellStyle name="Comma 3 7 2 6 4" xfId="19618" xr:uid="{BA418753-E29C-49A5-8989-E89C854F85A6}"/>
    <cellStyle name="Comma 3 7 2 7" xfId="4097" xr:uid="{3C05D8B0-F7AF-4FF3-9831-C0F8CAED96A6}"/>
    <cellStyle name="Comma 3 7 2 7 2" xfId="7767" xr:uid="{99340E4C-AD35-421E-BCC6-B70C792385EE}"/>
    <cellStyle name="Comma 3 7 2 7 2 2" xfId="15274" xr:uid="{0B034215-BCFE-4DA9-8D55-D8F1059C14D7}"/>
    <cellStyle name="Comma 3 7 2 7 2 2 2" xfId="31478" xr:uid="{FD72B8E1-10E3-43ED-8161-2D0B59B2C510}"/>
    <cellStyle name="Comma 3 7 2 7 2 3" xfId="23971" xr:uid="{B575CAC3-CDAC-496A-8CE6-C9EAC581AB2A}"/>
    <cellStyle name="Comma 3 7 2 7 3" xfId="9222" xr:uid="{AE3887BE-02B3-4098-BB85-E52D42E2D3D0}"/>
    <cellStyle name="Comma 3 7 2 7 3 2" xfId="16688" xr:uid="{6DCC34A1-F696-40AD-BA39-4B0E36336257}"/>
    <cellStyle name="Comma 3 7 2 7 3 2 2" xfId="32892" xr:uid="{E44DFE4A-D915-434F-A678-A4896C8FF5E8}"/>
    <cellStyle name="Comma 3 7 2 7 3 3" xfId="25426" xr:uid="{6FFDE934-4425-4F32-A6E8-0287008C0CF3}"/>
    <cellStyle name="Comma 3 7 2 7 4" xfId="11660" xr:uid="{D832AE86-F5A3-4841-8A67-0009474EB578}"/>
    <cellStyle name="Comma 3 7 2 7 4 2" xfId="27864" xr:uid="{31077D65-CE4A-4710-AFEC-FC8EFA6FDDBC}"/>
    <cellStyle name="Comma 3 7 2 7 5" xfId="17625" xr:uid="{1E403DB2-EEAB-48CA-B0D9-7D31138D58C8}"/>
    <cellStyle name="Comma 3 7 2 7 5 2" xfId="33757" xr:uid="{BC72568A-2A29-405D-8866-A73315B5259A}"/>
    <cellStyle name="Comma 3 7 2 7 6" xfId="20301" xr:uid="{218C3658-0E7D-4080-AF1A-6C1C1541AA67}"/>
    <cellStyle name="Comma 3 7 2 8" xfId="4522" xr:uid="{0256E788-D009-4A8F-B140-877862008E0C}"/>
    <cellStyle name="Comma 3 7 2 8 2" xfId="8192" xr:uid="{E33CD16A-7DDB-4A2E-A83B-B6CAB982AD06}"/>
    <cellStyle name="Comma 3 7 2 8 2 2" xfId="15699" xr:uid="{80B0E7B7-C3DA-4194-B633-1583A66252BA}"/>
    <cellStyle name="Comma 3 7 2 8 2 2 2" xfId="31903" xr:uid="{4E1B8DC8-CAE0-48FD-8702-64EC4F7CDF75}"/>
    <cellStyle name="Comma 3 7 2 8 2 3" xfId="24396" xr:uid="{0753D96C-FDAC-4938-897D-EB0C68E76BA1}"/>
    <cellStyle name="Comma 3 7 2 8 3" xfId="7596" xr:uid="{3EEE435C-EBA7-4487-A750-ADF2F49CB8F7}"/>
    <cellStyle name="Comma 3 7 2 8 3 2" xfId="15104" xr:uid="{A0470652-F8D2-45D7-B92E-CF718B98AD4C}"/>
    <cellStyle name="Comma 3 7 2 8 3 2 2" xfId="31308" xr:uid="{6DD2ABBE-7B40-4C3D-A77C-6AC7D932F619}"/>
    <cellStyle name="Comma 3 7 2 8 3 3" xfId="23800" xr:uid="{5B9C4807-D479-4125-B662-3B0BC37B8CD9}"/>
    <cellStyle name="Comma 3 7 2 8 4" xfId="12085" xr:uid="{4B729439-49DF-4FE2-9711-1EA8C5C65647}"/>
    <cellStyle name="Comma 3 7 2 8 4 2" xfId="28289" xr:uid="{703FD5FA-57BF-4740-859C-A84C1F0D12D0}"/>
    <cellStyle name="Comma 3 7 2 8 5" xfId="17626" xr:uid="{06FE78F9-C63C-479C-8A22-30CA488E8DB5}"/>
    <cellStyle name="Comma 3 7 2 8 5 2" xfId="33758" xr:uid="{35D48A14-C860-4BC9-8FD5-B0C924FBDADD}"/>
    <cellStyle name="Comma 3 7 2 8 6" xfId="20726" xr:uid="{F25F70D9-6C79-47DF-838B-CBA1C5055DCD}"/>
    <cellStyle name="Comma 3 7 2 9" xfId="4949" xr:uid="{6FBFD55F-825A-48BB-8F24-C7B8D802E149}"/>
    <cellStyle name="Comma 3 7 2 9 2" xfId="8615" xr:uid="{DE8EFCC7-9052-4BC7-8306-086977FC0B10}"/>
    <cellStyle name="Comma 3 7 2 9 2 2" xfId="16122" xr:uid="{1C71CE3A-453F-498A-93DA-39F3D08316CD}"/>
    <cellStyle name="Comma 3 7 2 9 2 2 2" xfId="32326" xr:uid="{234200EC-EA59-4939-8074-0D3E518BB596}"/>
    <cellStyle name="Comma 3 7 2 9 2 3" xfId="24819" xr:uid="{3F355016-A1A5-4ABC-8197-4731C582DEDB}"/>
    <cellStyle name="Comma 3 7 2 9 3" xfId="12507" xr:uid="{7D714E04-D078-4ACA-B580-00ACD3037B82}"/>
    <cellStyle name="Comma 3 7 2 9 3 2" xfId="28711" xr:uid="{06232DAE-E4D2-4C42-9B7C-DF62A4D1AFDB}"/>
    <cellStyle name="Comma 3 7 2 9 4" xfId="21153" xr:uid="{08C7B9C7-2DEE-488F-92C5-BEF8E74A59C9}"/>
    <cellStyle name="Comma 3 7 3" xfId="1769" xr:uid="{1540C65A-EF40-4BA8-8E78-EE0FB7B3F77F}"/>
    <cellStyle name="Comma 3 7 3 10" xfId="5634" xr:uid="{6BD53F2A-30B5-46C1-8A13-580BAF249956}"/>
    <cellStyle name="Comma 3 7 3 10 2" xfId="13149" xr:uid="{195B75D9-7866-451D-AC04-8F0BAEF67CCD}"/>
    <cellStyle name="Comma 3 7 3 10 2 2" xfId="29353" xr:uid="{723A7F06-B3B4-4006-8E4C-3209CBB262D7}"/>
    <cellStyle name="Comma 3 7 3 10 3" xfId="21838" xr:uid="{5FCC136C-115A-446A-83ED-8EBA3E054A9C}"/>
    <cellStyle name="Comma 3 7 3 11" xfId="9562" xr:uid="{1913E36C-29AF-440C-930C-11E728AE6C2E}"/>
    <cellStyle name="Comma 3 7 3 11 2" xfId="25766" xr:uid="{87CF7EB2-FAD6-4C78-A821-6508F43B5F74}"/>
    <cellStyle name="Comma 3 7 3 12" xfId="17627" xr:uid="{C9A5E699-5552-44A0-B402-7AA70F4B9EDB}"/>
    <cellStyle name="Comma 3 7 3 12 2" xfId="33759" xr:uid="{C5E64149-E24F-4A84-BC47-076A268D78CB}"/>
    <cellStyle name="Comma 3 7 3 13" xfId="18085" xr:uid="{843C1BD2-72C0-4764-B11D-7A5967A528C0}"/>
    <cellStyle name="Comma 3 7 3 2" xfId="1941" xr:uid="{B07A79D4-DF83-463D-9916-D1C389836A06}"/>
    <cellStyle name="Comma 3 7 3 2 10" xfId="9721" xr:uid="{CF48196A-D575-4DED-A635-13066CEDAD29}"/>
    <cellStyle name="Comma 3 7 3 2 10 2" xfId="25925" xr:uid="{AB8BFE63-B5FD-4F4D-AC1C-2EF65D1189BA}"/>
    <cellStyle name="Comma 3 7 3 2 11" xfId="17628" xr:uid="{441F6319-D243-407B-B549-591B6854E41D}"/>
    <cellStyle name="Comma 3 7 3 2 11 2" xfId="33760" xr:uid="{DEC00754-8C65-4E14-813C-2DF88791D323}"/>
    <cellStyle name="Comma 3 7 3 2 12" xfId="18245" xr:uid="{748D8D88-F7B4-4911-8538-E5CC01965F20}"/>
    <cellStyle name="Comma 3 7 3 2 2" xfId="2448" xr:uid="{7D3DB3B2-B637-4BB8-87A3-67C0EACCDF6C}"/>
    <cellStyle name="Comma 3 7 3 2 2 2" xfId="3295" xr:uid="{4FDD716B-6F9D-45FD-8087-839A63DB85B2}"/>
    <cellStyle name="Comma 3 7 3 2 2 2 2" xfId="7077" xr:uid="{21451216-8845-44D3-98C6-C5068A67CC88}"/>
    <cellStyle name="Comma 3 7 3 2 2 2 2 2" xfId="14588" xr:uid="{3879A3BE-5FA2-489B-A7C6-DE451790EEA6}"/>
    <cellStyle name="Comma 3 7 3 2 2 2 2 2 2" xfId="30792" xr:uid="{F1B05928-8301-4005-977E-E8E6FA116B8F}"/>
    <cellStyle name="Comma 3 7 3 2 2 2 2 3" xfId="23281" xr:uid="{C34FB370-DB71-419F-88D7-6CB0012174C7}"/>
    <cellStyle name="Comma 3 7 3 2 2 2 3" xfId="9022" xr:uid="{6BF39AD2-5100-4AF8-B4BB-58B1029660C4}"/>
    <cellStyle name="Comma 3 7 3 2 2 2 3 2" xfId="16513" xr:uid="{4FC291DE-323C-4726-939E-1FD11927FC93}"/>
    <cellStyle name="Comma 3 7 3 2 2 2 3 2 2" xfId="32717" xr:uid="{C797B62F-173C-4829-9979-79DFC56CACBE}"/>
    <cellStyle name="Comma 3 7 3 2 2 2 3 3" xfId="25226" xr:uid="{32D1964C-32D2-41CB-B86A-A1621DC9B8DE}"/>
    <cellStyle name="Comma 3 7 3 2 2 2 4" xfId="10988" xr:uid="{A034B2B4-1DC1-4396-8301-4E1858B0B8DC}"/>
    <cellStyle name="Comma 3 7 3 2 2 2 4 2" xfId="27192" xr:uid="{CA695EDC-2F30-4E18-B438-2525E32DCBE0}"/>
    <cellStyle name="Comma 3 7 3 2 2 2 5" xfId="17630" xr:uid="{A1BD757D-FDB8-425E-9209-65DCE034BB44}"/>
    <cellStyle name="Comma 3 7 3 2 2 2 5 2" xfId="33762" xr:uid="{2879123A-861E-42F3-8306-ADE009656DF0}"/>
    <cellStyle name="Comma 3 7 3 2 2 2 6" xfId="19515" xr:uid="{61EB276A-735C-47D5-B683-FD87ABF045D2}"/>
    <cellStyle name="Comma 3 7 3 2 2 3" xfId="6232" xr:uid="{B3664394-FDB0-42E9-B4BA-2E7703935A84}"/>
    <cellStyle name="Comma 3 7 3 2 2 3 2" xfId="13744" xr:uid="{5FA5994F-35F3-41C2-97B4-17E6117BF677}"/>
    <cellStyle name="Comma 3 7 3 2 2 3 2 2" xfId="29948" xr:uid="{4B0096A9-413E-4B4F-9740-FA2099E9B0ED}"/>
    <cellStyle name="Comma 3 7 3 2 2 3 3" xfId="22436" xr:uid="{78560B22-5E89-43E2-8352-0A6EF2874585}"/>
    <cellStyle name="Comma 3 7 3 2 2 4" xfId="5223" xr:uid="{E1465043-1A83-4181-A6B0-1BFD2A12B1DC}"/>
    <cellStyle name="Comma 3 7 3 2 2 4 2" xfId="12779" xr:uid="{0C3284A3-4410-47FC-96F9-D5870957EDDB}"/>
    <cellStyle name="Comma 3 7 3 2 2 4 2 2" xfId="28983" xr:uid="{7EB96A0E-F9A7-4D88-8565-4C52C1E6D475}"/>
    <cellStyle name="Comma 3 7 3 2 2 4 3" xfId="21427" xr:uid="{72BAB777-DB64-47CB-9D58-A99D01D87970}"/>
    <cellStyle name="Comma 3 7 3 2 2 5" xfId="10144" xr:uid="{F28A2EE4-E729-4964-9FC1-0D2037F5A97A}"/>
    <cellStyle name="Comma 3 7 3 2 2 5 2" xfId="26348" xr:uid="{7624B14B-403C-4E8B-B3D8-0DF8145676BA}"/>
    <cellStyle name="Comma 3 7 3 2 2 6" xfId="17629" xr:uid="{6F6996C3-DF5D-41F7-8977-DF0E773DE8B3}"/>
    <cellStyle name="Comma 3 7 3 2 2 6 2" xfId="33761" xr:uid="{D29879EB-C0FA-4773-8640-F769A3AF5150}"/>
    <cellStyle name="Comma 3 7 3 2 2 7" xfId="18670" xr:uid="{6F444DFD-D0BC-4F2D-A5F6-30E9112B43CB}"/>
    <cellStyle name="Comma 3 7 3 2 3" xfId="2870" xr:uid="{387C54C8-744D-4BB4-9799-3C6B7E8064AA}"/>
    <cellStyle name="Comma 3 7 3 2 3 2" xfId="6654" xr:uid="{DFA71566-89A7-4BE9-8996-639D6F144934}"/>
    <cellStyle name="Comma 3 7 3 2 3 2 2" xfId="14166" xr:uid="{44F3E969-36C5-4508-92EC-7E7413D53462}"/>
    <cellStyle name="Comma 3 7 3 2 3 2 2 2" xfId="30370" xr:uid="{31589F56-EDA5-4746-B091-D5C40F6D29B0}"/>
    <cellStyle name="Comma 3 7 3 2 3 2 3" xfId="22858" xr:uid="{D2F12871-132E-4DF4-A4B9-5296925EDC7A}"/>
    <cellStyle name="Comma 3 7 3 2 3 3" xfId="5430" xr:uid="{22EDA7F7-23F3-4880-8393-A30310BB9FA2}"/>
    <cellStyle name="Comma 3 7 3 2 3 3 2" xfId="12974" xr:uid="{18A77534-0D48-427F-8D7B-91300530F01C}"/>
    <cellStyle name="Comma 3 7 3 2 3 3 2 2" xfId="29178" xr:uid="{86128E5E-0B78-4D0F-BE84-5DB61C3EAD0C}"/>
    <cellStyle name="Comma 3 7 3 2 3 3 3" xfId="21634" xr:uid="{737343B8-2396-4E6E-8BEA-36AB2AD8DFC1}"/>
    <cellStyle name="Comma 3 7 3 2 3 4" xfId="10566" xr:uid="{E96B3AC0-B05D-4D4B-921E-B1D4D83335EE}"/>
    <cellStyle name="Comma 3 7 3 2 3 4 2" xfId="26770" xr:uid="{BA957B50-27C6-4214-97F1-34E35BE68819}"/>
    <cellStyle name="Comma 3 7 3 2 3 5" xfId="17631" xr:uid="{17A92177-BE1B-4057-B389-074592D193A2}"/>
    <cellStyle name="Comma 3 7 3 2 3 5 2" xfId="33763" xr:uid="{FC872103-B563-429E-931F-5992AAAC4A36}"/>
    <cellStyle name="Comma 3 7 3 2 3 6" xfId="19092" xr:uid="{56073F83-7811-400A-AEC7-B4CA3ECB8CEE}"/>
    <cellStyle name="Comma 3 7 3 2 4" xfId="3801" xr:uid="{099FA90C-AC4E-4F71-9EA9-2ADCFD224115}"/>
    <cellStyle name="Comma 3 7 3 2 4 2" xfId="7511" xr:uid="{ADB861A1-EE95-4A88-BBB4-426265C7FD0D}"/>
    <cellStyle name="Comma 3 7 3 2 4 2 2" xfId="15020" xr:uid="{213CD389-7773-4C1C-9618-652CA8C49E27}"/>
    <cellStyle name="Comma 3 7 3 2 4 2 2 2" xfId="31224" xr:uid="{BFB64E40-A3AA-4C12-84D9-7051DBC1F3E5}"/>
    <cellStyle name="Comma 3 7 3 2 4 2 3" xfId="23715" xr:uid="{84309849-821C-4F2C-8472-5C087F8FDB78}"/>
    <cellStyle name="Comma 3 7 3 2 4 3" xfId="5218" xr:uid="{D0FB34E4-9E4C-4E68-B08F-6EFF4597F473}"/>
    <cellStyle name="Comma 3 7 3 2 4 3 2" xfId="12774" xr:uid="{74249D36-8B57-423E-A8D9-2A7C3A6B9FDA}"/>
    <cellStyle name="Comma 3 7 3 2 4 3 2 2" xfId="28978" xr:uid="{15012A47-6EEC-493F-934B-1D2746F06391}"/>
    <cellStyle name="Comma 3 7 3 2 4 3 3" xfId="21422" xr:uid="{F77FFCC1-ABB2-4FD7-AA46-B99FEA52E04F}"/>
    <cellStyle name="Comma 3 7 3 2 4 4" xfId="11411" xr:uid="{BB1AA0E1-829B-490C-A396-99045EA240F9}"/>
    <cellStyle name="Comma 3 7 3 2 4 4 2" xfId="27615" xr:uid="{242354C7-01DD-4CB9-839E-AE2A5E025067}"/>
    <cellStyle name="Comma 3 7 3 2 4 5" xfId="17632" xr:uid="{D96CF809-E738-45FD-B171-FB1CF890FDFE}"/>
    <cellStyle name="Comma 3 7 3 2 4 5 2" xfId="33764" xr:uid="{7DCCE230-EB4E-446A-B21A-7D20962B724B}"/>
    <cellStyle name="Comma 3 7 3 2 4 6" xfId="20010" xr:uid="{732FA409-60CF-471D-AC39-F878145F4509}"/>
    <cellStyle name="Comma 3 7 3 2 5" xfId="3892" xr:uid="{BBC98937-6988-4C35-B0EE-C665F0BF1DAD}"/>
    <cellStyle name="Comma 3 7 3 2 5 2" xfId="8922" xr:uid="{5ACEFFF1-347C-4D3A-8A35-C88A8555A8FD}"/>
    <cellStyle name="Comma 3 7 3 2 5 2 2" xfId="25126" xr:uid="{D53707AE-DAC4-4419-AA42-A14457659375}"/>
    <cellStyle name="Comma 3 7 3 2 5 3" xfId="17633" xr:uid="{44A0D4D0-0F3C-446D-BCCF-0E6BD8EAF5D0}"/>
    <cellStyle name="Comma 3 7 3 2 5 3 2" xfId="33765" xr:uid="{774AAB10-85FF-4EE9-9EAA-DA593E59D29E}"/>
    <cellStyle name="Comma 3 7 3 2 5 4" xfId="20101" xr:uid="{2C6ED113-0AD0-4D37-BD67-F632E16B52EF}"/>
    <cellStyle name="Comma 3 7 3 2 6" xfId="4270" xr:uid="{80D774D0-38ED-483B-AC8D-910A9DCD5EA6}"/>
    <cellStyle name="Comma 3 7 3 2 6 2" xfId="7940" xr:uid="{1AF85F14-2506-4F01-869D-83D3B4764A53}"/>
    <cellStyle name="Comma 3 7 3 2 6 2 2" xfId="15447" xr:uid="{9FCE96D6-2EBE-4570-918C-99CD7984376B}"/>
    <cellStyle name="Comma 3 7 3 2 6 2 2 2" xfId="31651" xr:uid="{35A1CA2C-88D4-4B45-A3B7-BC526048AB9D}"/>
    <cellStyle name="Comma 3 7 3 2 6 2 3" xfId="24144" xr:uid="{0EE38082-4048-4EA2-A169-A748E77395BE}"/>
    <cellStyle name="Comma 3 7 3 2 6 3" xfId="5283" xr:uid="{CB857DA8-32B6-43B6-9CD7-E0D2EDDE524D}"/>
    <cellStyle name="Comma 3 7 3 2 6 3 2" xfId="12832" xr:uid="{96D94231-8C0C-49E9-B88C-1563A15E7105}"/>
    <cellStyle name="Comma 3 7 3 2 6 3 2 2" xfId="29036" xr:uid="{165B8A38-AB6E-42D1-92F3-F9399DB46D4B}"/>
    <cellStyle name="Comma 3 7 3 2 6 3 3" xfId="21487" xr:uid="{C93DDAE7-0868-45EA-9648-0B5BA1BFA03A}"/>
    <cellStyle name="Comma 3 7 3 2 6 4" xfId="11833" xr:uid="{C0D429CB-A303-4A32-AB45-8A2869C366C6}"/>
    <cellStyle name="Comma 3 7 3 2 6 4 2" xfId="28037" xr:uid="{C6A8A65B-1661-41AE-8439-8385F466D470}"/>
    <cellStyle name="Comma 3 7 3 2 6 5" xfId="17634" xr:uid="{7CAB3479-B2EC-4748-890C-E0D32A8A1A4E}"/>
    <cellStyle name="Comma 3 7 3 2 6 5 2" xfId="33766" xr:uid="{03358D83-D891-4418-807F-6EBF20D88720}"/>
    <cellStyle name="Comma 3 7 3 2 6 6" xfId="20474" xr:uid="{D6ABF51C-C2CF-4564-B1C8-9C1B9C154CEE}"/>
    <cellStyle name="Comma 3 7 3 2 7" xfId="4695" xr:uid="{A7ADC899-8495-415F-B865-4F3BDCCB0D85}"/>
    <cellStyle name="Comma 3 7 3 2 7 2" xfId="8365" xr:uid="{E0A0039B-B1AE-4B5C-9FC1-E91D6908FF34}"/>
    <cellStyle name="Comma 3 7 3 2 7 2 2" xfId="15872" xr:uid="{4A27FA7D-999A-4705-80B2-95AD16E46225}"/>
    <cellStyle name="Comma 3 7 3 2 7 2 2 2" xfId="32076" xr:uid="{262237EB-9A32-4E71-8487-54CFA0C59CC7}"/>
    <cellStyle name="Comma 3 7 3 2 7 2 3" xfId="24569" xr:uid="{CD3B94FE-37C4-41F8-ABBF-63836AF8BABA}"/>
    <cellStyle name="Comma 3 7 3 2 7 3" xfId="8904" xr:uid="{9F17C9D1-8528-475F-9575-1AA636FCC496}"/>
    <cellStyle name="Comma 3 7 3 2 7 3 2" xfId="16407" xr:uid="{E146EA1E-4956-44FF-A9C9-905F606E6080}"/>
    <cellStyle name="Comma 3 7 3 2 7 3 2 2" xfId="32611" xr:uid="{AC1A167F-AB7E-4AF0-BB0A-A3BB224DE641}"/>
    <cellStyle name="Comma 3 7 3 2 7 3 3" xfId="25108" xr:uid="{2A8148E0-B0E0-48EF-8DCB-1673ED4D15EC}"/>
    <cellStyle name="Comma 3 7 3 2 7 4" xfId="12258" xr:uid="{A8A92569-7A44-435D-A628-385B284130C3}"/>
    <cellStyle name="Comma 3 7 3 2 7 4 2" xfId="28462" xr:uid="{21B48B76-8091-4927-B8F3-DB9E4B78FEAD}"/>
    <cellStyle name="Comma 3 7 3 2 7 5" xfId="17635" xr:uid="{46022547-79AC-4F7D-BC80-62D7C9FB9417}"/>
    <cellStyle name="Comma 3 7 3 2 7 5 2" xfId="33767" xr:uid="{0CF48DC9-1959-4DAC-9B52-CA9ECE9EE362}"/>
    <cellStyle name="Comma 3 7 3 2 7 6" xfId="20899" xr:uid="{1CAD10A7-3E99-4AD6-839B-0D877E7D024F}"/>
    <cellStyle name="Comma 3 7 3 2 8" xfId="5123" xr:uid="{1C974B91-784D-4524-A3C5-AE63D063AEF3}"/>
    <cellStyle name="Comma 3 7 3 2 8 2" xfId="8788" xr:uid="{7DDE679D-40D3-48D9-829E-B31E89839069}"/>
    <cellStyle name="Comma 3 7 3 2 8 2 2" xfId="16295" xr:uid="{57E583FD-19C8-48EE-A6F3-42BBCE1921CB}"/>
    <cellStyle name="Comma 3 7 3 2 8 2 2 2" xfId="32499" xr:uid="{B9A150CF-9537-437C-9BB5-65B7C9E9B90E}"/>
    <cellStyle name="Comma 3 7 3 2 8 2 3" xfId="24992" xr:uid="{DF96B28A-FE50-4A0D-8638-CCF0021833F1}"/>
    <cellStyle name="Comma 3 7 3 2 8 3" xfId="12680" xr:uid="{565792A9-A526-4FBF-9CF7-4233FB6AA2EF}"/>
    <cellStyle name="Comma 3 7 3 2 8 3 2" xfId="28884" xr:uid="{D399C133-F940-4801-88B9-863621F1E2F5}"/>
    <cellStyle name="Comma 3 7 3 2 8 4" xfId="21327" xr:uid="{C00789F5-5368-4747-B369-2664F52820C1}"/>
    <cellStyle name="Comma 3 7 3 2 9" xfId="5794" xr:uid="{20182356-C42F-471F-A6A8-47CD8E16EC78}"/>
    <cellStyle name="Comma 3 7 3 2 9 2" xfId="13309" xr:uid="{BCD7DE06-F9E5-471D-AB5C-4E95CB18410B}"/>
    <cellStyle name="Comma 3 7 3 2 9 2 2" xfId="29513" xr:uid="{FCCE6CB0-1A8D-441B-B4CE-52A685324080}"/>
    <cellStyle name="Comma 3 7 3 2 9 3" xfId="21998" xr:uid="{82D35E9D-4D99-4407-89BF-712CC777FB10}"/>
    <cellStyle name="Comma 3 7 3 3" xfId="2287" xr:uid="{5A79D5DE-75FA-4741-BB2D-F426A4D97472}"/>
    <cellStyle name="Comma 3 7 3 3 2" xfId="3136" xr:uid="{6E767203-B623-4CA8-8A13-6910C64B5A56}"/>
    <cellStyle name="Comma 3 7 3 3 2 2" xfId="6918" xr:uid="{DD67DF25-8056-42BB-94B3-19F08E1CA6C2}"/>
    <cellStyle name="Comma 3 7 3 3 2 2 2" xfId="14429" xr:uid="{B48BE1CB-E524-4DE7-A3D6-48AB2FF73EA4}"/>
    <cellStyle name="Comma 3 7 3 3 2 2 2 2" xfId="30633" xr:uid="{1AAE3F4B-A56E-4873-B68C-F5C3D3161543}"/>
    <cellStyle name="Comma 3 7 3 3 2 2 3" xfId="23122" xr:uid="{43719E90-4CD8-48A3-B8C7-89A1D904A9FF}"/>
    <cellStyle name="Comma 3 7 3 3 2 3" xfId="8902" xr:uid="{07323240-33B4-40A9-A5FA-81BDC0803F8E}"/>
    <cellStyle name="Comma 3 7 3 3 2 3 2" xfId="16405" xr:uid="{9DA64743-997F-434E-B952-5989B56FD4D9}"/>
    <cellStyle name="Comma 3 7 3 3 2 3 2 2" xfId="32609" xr:uid="{C50E0ACA-CD90-4FB2-91F8-ADCA05816E8F}"/>
    <cellStyle name="Comma 3 7 3 3 2 3 3" xfId="25106" xr:uid="{01600BFA-70C0-4914-B10E-D2EF00408F65}"/>
    <cellStyle name="Comma 3 7 3 3 2 4" xfId="10829" xr:uid="{7D5780EC-CE9C-4350-977E-2059D4B77917}"/>
    <cellStyle name="Comma 3 7 3 3 2 4 2" xfId="27033" xr:uid="{6B0BFC43-1AD2-4CB3-B01A-00C2E1C24EE2}"/>
    <cellStyle name="Comma 3 7 3 3 2 5" xfId="17637" xr:uid="{C453CE02-7937-44DD-BAC0-8F0A11D4B286}"/>
    <cellStyle name="Comma 3 7 3 3 2 5 2" xfId="33769" xr:uid="{F42221D4-E198-48D8-A726-C2A27674D8D0}"/>
    <cellStyle name="Comma 3 7 3 3 2 6" xfId="19356" xr:uid="{7EE319EA-C384-47C4-882D-7E4F7A49BD1E}"/>
    <cellStyle name="Comma 3 7 3 3 3" xfId="6073" xr:uid="{A8C77436-6A34-467F-A04D-DE2A68817008}"/>
    <cellStyle name="Comma 3 7 3 3 3 2" xfId="13585" xr:uid="{32391420-AC89-428F-9F96-436AC146BD6F}"/>
    <cellStyle name="Comma 3 7 3 3 3 2 2" xfId="29789" xr:uid="{50D4AA66-2F2C-4845-92B5-86DAEFDF1075}"/>
    <cellStyle name="Comma 3 7 3 3 3 3" xfId="22277" xr:uid="{76E823C7-9DE6-442B-A8E5-48B9D63EC0F4}"/>
    <cellStyle name="Comma 3 7 3 3 4" xfId="9061" xr:uid="{0879D62A-7C93-44A4-9B03-45F9D972D20C}"/>
    <cellStyle name="Comma 3 7 3 3 4 2" xfId="16546" xr:uid="{FB8D5705-7C5D-4BAD-9451-34E7731864E1}"/>
    <cellStyle name="Comma 3 7 3 3 4 2 2" xfId="32750" xr:uid="{BD21996A-066C-4FA0-8BC6-D7A100FE4B1B}"/>
    <cellStyle name="Comma 3 7 3 3 4 3" xfId="25265" xr:uid="{125CE9D2-E63C-47C9-9CCD-8113A6011DF2}"/>
    <cellStyle name="Comma 3 7 3 3 5" xfId="9985" xr:uid="{23BEAE5A-5D53-4740-A584-B1BE0CB37BEE}"/>
    <cellStyle name="Comma 3 7 3 3 5 2" xfId="26189" xr:uid="{24A40BFB-B132-40B1-8573-9B8E873A9FBB}"/>
    <cellStyle name="Comma 3 7 3 3 6" xfId="17636" xr:uid="{716FA296-210C-474B-A073-B4796C35476F}"/>
    <cellStyle name="Comma 3 7 3 3 6 2" xfId="33768" xr:uid="{8F2DA1A0-6C15-4F14-BB7F-9DCAF0B8D874}"/>
    <cellStyle name="Comma 3 7 3 3 7" xfId="18511" xr:uid="{B62D2BF6-D29A-44EA-847A-A4C1F6DB346E}"/>
    <cellStyle name="Comma 3 7 3 4" xfId="2711" xr:uid="{7765FB35-ED72-4E58-A52E-8868C9310FB6}"/>
    <cellStyle name="Comma 3 7 3 4 2" xfId="6495" xr:uid="{9F1123AF-E34E-4FA6-82A1-60DD79E4F494}"/>
    <cellStyle name="Comma 3 7 3 4 2 2" xfId="14007" xr:uid="{4041F06B-213A-489F-B0DC-F492D319E4CD}"/>
    <cellStyle name="Comma 3 7 3 4 2 2 2" xfId="30211" xr:uid="{37BBAB05-C7B8-4402-883E-36C3C393AC0D}"/>
    <cellStyle name="Comma 3 7 3 4 2 3" xfId="22699" xr:uid="{24CF56AF-E52A-41F6-9ADC-354389E566BB}"/>
    <cellStyle name="Comma 3 7 3 4 3" xfId="8963" xr:uid="{042D6390-B114-4850-AB8B-491261CBABAD}"/>
    <cellStyle name="Comma 3 7 3 4 3 2" xfId="16458" xr:uid="{335669B8-7F10-4AA8-B104-EF07A0E9EA9C}"/>
    <cellStyle name="Comma 3 7 3 4 3 2 2" xfId="32662" xr:uid="{08E7B5F4-9115-4BE1-8AF0-21C1F51A9F5D}"/>
    <cellStyle name="Comma 3 7 3 4 3 3" xfId="25167" xr:uid="{5CED54A5-8960-4DAB-883F-50EECC49447B}"/>
    <cellStyle name="Comma 3 7 3 4 4" xfId="10407" xr:uid="{19E45A7C-DC09-4817-8DEB-9E3476CACADB}"/>
    <cellStyle name="Comma 3 7 3 4 4 2" xfId="26611" xr:uid="{B894C3F9-3480-42C1-8136-BA29CE396965}"/>
    <cellStyle name="Comma 3 7 3 4 5" xfId="17638" xr:uid="{E3469685-74D4-45C8-82C3-D299543B540E}"/>
    <cellStyle name="Comma 3 7 3 4 5 2" xfId="33770" xr:uid="{1763A828-7CC8-4EFA-9384-597572356416}"/>
    <cellStyle name="Comma 3 7 3 4 6" xfId="18933" xr:uid="{3C915759-0047-4332-A1A5-C117F18DBD8A}"/>
    <cellStyle name="Comma 3 7 3 5" xfId="3641" xr:uid="{3484EBA6-CAFF-471B-A043-998E5E96D26E}"/>
    <cellStyle name="Comma 3 7 3 5 2" xfId="7351" xr:uid="{4AB8AA6A-7A94-435A-9508-C7048CA740B0}"/>
    <cellStyle name="Comma 3 7 3 5 2 2" xfId="14860" xr:uid="{23BB545E-3420-4A9D-809A-96CE6E5BCD23}"/>
    <cellStyle name="Comma 3 7 3 5 2 2 2" xfId="31064" xr:uid="{E22325F2-8700-45FD-A005-36A9EF89FD35}"/>
    <cellStyle name="Comma 3 7 3 5 2 3" xfId="23555" xr:uid="{D4B49704-03F3-4F85-A751-1D3BD57DC0A3}"/>
    <cellStyle name="Comma 3 7 3 5 3" xfId="5485" xr:uid="{9391FA17-9732-4DA5-A36F-DC48E5E247B9}"/>
    <cellStyle name="Comma 3 7 3 5 3 2" xfId="13023" xr:uid="{B76C931B-44F4-4DFE-89C6-800EBFD2132A}"/>
    <cellStyle name="Comma 3 7 3 5 3 2 2" xfId="29227" xr:uid="{45B6698B-AD4F-4910-8F91-C6EA581354A0}"/>
    <cellStyle name="Comma 3 7 3 5 3 3" xfId="21689" xr:uid="{80CCCE18-B1CD-47AD-9D97-802E0A3B6A5D}"/>
    <cellStyle name="Comma 3 7 3 5 4" xfId="11252" xr:uid="{F25C3719-0A24-4DFD-A5B8-080F6E05C419}"/>
    <cellStyle name="Comma 3 7 3 5 4 2" xfId="27456" xr:uid="{123B3384-328C-49AE-8E81-02BDFDCE4A87}"/>
    <cellStyle name="Comma 3 7 3 5 5" xfId="17639" xr:uid="{BEEFC4C4-31C1-4910-B109-E393E4F4EFCC}"/>
    <cellStyle name="Comma 3 7 3 5 5 2" xfId="33771" xr:uid="{9A812718-1235-4649-87A7-F4D5577889EE}"/>
    <cellStyle name="Comma 3 7 3 5 6" xfId="19850" xr:uid="{B2E368AF-9B55-45A7-B59A-7790CE259913}"/>
    <cellStyle name="Comma 3 7 3 6" xfId="3918" xr:uid="{DD55C4EA-2E87-43D9-B1FF-3082584755C2}"/>
    <cellStyle name="Comma 3 7 3 6 2" xfId="5425" xr:uid="{3758B508-5FBF-4AB7-9CA9-2D66F8A4A2B9}"/>
    <cellStyle name="Comma 3 7 3 6 2 2" xfId="21629" xr:uid="{478165D3-1353-4132-BDDC-EF44D9A1AD93}"/>
    <cellStyle name="Comma 3 7 3 6 3" xfId="17640" xr:uid="{727569D3-35AC-44EE-9B41-87B939E7B0A8}"/>
    <cellStyle name="Comma 3 7 3 6 3 2" xfId="33772" xr:uid="{B59CED8E-841F-45A7-9E76-04C92BF1ECDA}"/>
    <cellStyle name="Comma 3 7 3 6 4" xfId="20125" xr:uid="{ED5A74C2-1156-4FB3-BA4E-75AABB67196F}"/>
    <cellStyle name="Comma 3 7 3 7" xfId="4111" xr:uid="{0C3A28EC-4EA3-4521-8E2B-F04AEBA55AA5}"/>
    <cellStyle name="Comma 3 7 3 7 2" xfId="7781" xr:uid="{1DAF93C4-7C1E-43D1-BDF8-914CE02031C0}"/>
    <cellStyle name="Comma 3 7 3 7 2 2" xfId="15288" xr:uid="{B4534ACA-AE95-4C44-94BA-95C3CA7C9111}"/>
    <cellStyle name="Comma 3 7 3 7 2 2 2" xfId="31492" xr:uid="{DB56204F-F70E-4517-8FDD-60B8CAE811C1}"/>
    <cellStyle name="Comma 3 7 3 7 2 3" xfId="23985" xr:uid="{CB5B36B8-EEBA-477C-AF90-BAFBF9F611AC}"/>
    <cellStyle name="Comma 3 7 3 7 3" xfId="5411" xr:uid="{B7652B4A-1616-4377-B444-64AE4B4DCE12}"/>
    <cellStyle name="Comma 3 7 3 7 3 2" xfId="12958" xr:uid="{34899146-BCBE-4CBD-9421-5D5AE6DB7859}"/>
    <cellStyle name="Comma 3 7 3 7 3 2 2" xfId="29162" xr:uid="{9E7E2655-5E90-410B-A831-6806B76E886C}"/>
    <cellStyle name="Comma 3 7 3 7 3 3" xfId="21615" xr:uid="{7E843F85-9187-4811-ABE9-00C1B9B48140}"/>
    <cellStyle name="Comma 3 7 3 7 4" xfId="11674" xr:uid="{E8C287E7-3C78-4780-BF0D-A014536DBF9D}"/>
    <cellStyle name="Comma 3 7 3 7 4 2" xfId="27878" xr:uid="{5A4E0BB7-A15E-4A24-8314-3CC7687DABCF}"/>
    <cellStyle name="Comma 3 7 3 7 5" xfId="17641" xr:uid="{C9C9BC29-0AF3-4E89-BBB5-ED5AEB0A3A1A}"/>
    <cellStyle name="Comma 3 7 3 7 5 2" xfId="33773" xr:uid="{CBB073AE-11DB-4E36-844D-AA0526ECD371}"/>
    <cellStyle name="Comma 3 7 3 7 6" xfId="20315" xr:uid="{15D0901C-E5A4-4B00-A785-1BAC1DE42538}"/>
    <cellStyle name="Comma 3 7 3 8" xfId="4536" xr:uid="{5494BA68-17AE-4AC7-BD95-25A6B78BF3EA}"/>
    <cellStyle name="Comma 3 7 3 8 2" xfId="8206" xr:uid="{F31013F7-82E8-4A79-8025-69AC88517AC0}"/>
    <cellStyle name="Comma 3 7 3 8 2 2" xfId="15713" xr:uid="{584AF47D-9821-4B1E-A05D-F9ACA01AFB9F}"/>
    <cellStyle name="Comma 3 7 3 8 2 2 2" xfId="31917" xr:uid="{441F7A4A-0AAD-41FE-BC25-D2BF8BE8E637}"/>
    <cellStyle name="Comma 3 7 3 8 2 3" xfId="24410" xr:uid="{6B8DE8B2-1B35-4FB1-9C27-EFC4E432DE00}"/>
    <cellStyle name="Comma 3 7 3 8 3" xfId="8987" xr:uid="{9C22E836-B7DC-4F7C-B64C-44C3EC1F8DD9}"/>
    <cellStyle name="Comma 3 7 3 8 3 2" xfId="16481" xr:uid="{2C6AB073-5747-46A0-B1FF-549EAD516B90}"/>
    <cellStyle name="Comma 3 7 3 8 3 2 2" xfId="32685" xr:uid="{0B43AB25-B8E4-4B09-9E95-B8D11AF06110}"/>
    <cellStyle name="Comma 3 7 3 8 3 3" xfId="25191" xr:uid="{E6E4C063-1AFA-48D1-8D96-C4EF0E41712E}"/>
    <cellStyle name="Comma 3 7 3 8 4" xfId="12099" xr:uid="{49861EE8-0EE2-4EF7-87AC-BDE75A756596}"/>
    <cellStyle name="Comma 3 7 3 8 4 2" xfId="28303" xr:uid="{7EB2AC39-6583-49A9-B387-437506BE1DBC}"/>
    <cellStyle name="Comma 3 7 3 8 5" xfId="17642" xr:uid="{24F00D8E-337A-4A92-8388-0F08287A7065}"/>
    <cellStyle name="Comma 3 7 3 8 5 2" xfId="33774" xr:uid="{8FE2472C-ABF9-4198-BB34-06F2ACBA973A}"/>
    <cellStyle name="Comma 3 7 3 8 6" xfId="20740" xr:uid="{5DD807E1-3FB3-4EF3-8545-57DA59756105}"/>
    <cellStyle name="Comma 3 7 3 9" xfId="4963" xr:uid="{493AF39F-DE5F-49FE-B2B2-85E944193C9E}"/>
    <cellStyle name="Comma 3 7 3 9 2" xfId="8629" xr:uid="{C06375A4-3141-444B-B3BC-65A5D3308355}"/>
    <cellStyle name="Comma 3 7 3 9 2 2" xfId="16136" xr:uid="{27C9D243-C0C4-44F0-9640-1E1A0C98591B}"/>
    <cellStyle name="Comma 3 7 3 9 2 2 2" xfId="32340" xr:uid="{CC6DE398-424B-4D0F-9BE4-133099A47078}"/>
    <cellStyle name="Comma 3 7 3 9 2 3" xfId="24833" xr:uid="{8AAC8AF9-997C-46B4-AECA-033D2098B2C6}"/>
    <cellStyle name="Comma 3 7 3 9 3" xfId="12521" xr:uid="{22AEDE0C-C5D8-47CB-BD6A-E82850F6A4C0}"/>
    <cellStyle name="Comma 3 7 3 9 3 2" xfId="28725" xr:uid="{BEED6518-9006-4719-8915-87269FCE566F}"/>
    <cellStyle name="Comma 3 7 3 9 4" xfId="21167" xr:uid="{C18D8495-AD4E-4069-A422-CADFA368524F}"/>
    <cellStyle name="Comma 3 7 4" xfId="1787" xr:uid="{9AECACB0-436E-41EA-9883-73BCD05F9BB2}"/>
    <cellStyle name="Comma 3 7 4 10" xfId="5648" xr:uid="{8A9316FD-BBEB-46D1-9E84-12909CB0D419}"/>
    <cellStyle name="Comma 3 7 4 10 2" xfId="13163" xr:uid="{C3472CEB-2DC5-4006-BA77-9BF09B273BF0}"/>
    <cellStyle name="Comma 3 7 4 10 2 2" xfId="29367" xr:uid="{8141406A-CF37-44BA-BE39-5AEFCA52A33A}"/>
    <cellStyle name="Comma 3 7 4 10 3" xfId="21852" xr:uid="{86549790-E362-48E5-AEAF-C047DEA335E8}"/>
    <cellStyle name="Comma 3 7 4 11" xfId="9576" xr:uid="{D2C1FB17-5649-47EC-A97C-90A8E7B67646}"/>
    <cellStyle name="Comma 3 7 4 11 2" xfId="25780" xr:uid="{FDBB762B-E2C7-4BF0-B7DE-51A9298A9709}"/>
    <cellStyle name="Comma 3 7 4 12" xfId="17643" xr:uid="{A8EB8428-175F-4BEA-B23E-0741C6B1FE30}"/>
    <cellStyle name="Comma 3 7 4 12 2" xfId="33775" xr:uid="{F98AC533-B210-40E2-9C40-1581EE35C2AD}"/>
    <cellStyle name="Comma 3 7 4 13" xfId="18099" xr:uid="{2BB4CF6A-9568-442B-8E44-E99D577261E5}"/>
    <cellStyle name="Comma 3 7 4 2" xfId="1942" xr:uid="{F002C196-5479-435A-BC38-0BC9EFE109A8}"/>
    <cellStyle name="Comma 3 7 4 2 10" xfId="9722" xr:uid="{E7E456C9-5F07-4349-A6B5-07FEB3FE7983}"/>
    <cellStyle name="Comma 3 7 4 2 10 2" xfId="25926" xr:uid="{6ECA8B68-ED61-426C-BC65-26BFAC94F5D2}"/>
    <cellStyle name="Comma 3 7 4 2 11" xfId="17644" xr:uid="{DEDAA565-2642-4BEA-BBB7-C524766F8368}"/>
    <cellStyle name="Comma 3 7 4 2 11 2" xfId="33776" xr:uid="{3A11A2E2-43A1-4780-A1FF-D3048C22D3E3}"/>
    <cellStyle name="Comma 3 7 4 2 12" xfId="18246" xr:uid="{B2511917-F0F1-412F-976A-6F404385B83F}"/>
    <cellStyle name="Comma 3 7 4 2 2" xfId="2449" xr:uid="{9534E948-BBC4-49C9-B8D1-1B797F301D7D}"/>
    <cellStyle name="Comma 3 7 4 2 2 2" xfId="3296" xr:uid="{F6E98A35-8582-4AEE-B02C-4EAD6B47B5F2}"/>
    <cellStyle name="Comma 3 7 4 2 2 2 2" xfId="7078" xr:uid="{D89A6731-C03D-4844-80A0-05C6BD669833}"/>
    <cellStyle name="Comma 3 7 4 2 2 2 2 2" xfId="14589" xr:uid="{00CB0575-7E05-45A1-9B61-FFBA0F6FA78B}"/>
    <cellStyle name="Comma 3 7 4 2 2 2 2 2 2" xfId="30793" xr:uid="{19E3E458-4341-44D1-933F-A902A29B0C1D}"/>
    <cellStyle name="Comma 3 7 4 2 2 2 2 3" xfId="23282" xr:uid="{CF4ABE68-2FA8-47F6-9E3C-459ABDD547A1}"/>
    <cellStyle name="Comma 3 7 4 2 2 2 3" xfId="5457" xr:uid="{D2C031E0-EF7D-4B29-9E3F-A6286A8494C0}"/>
    <cellStyle name="Comma 3 7 4 2 2 2 3 2" xfId="12999" xr:uid="{9C261EBD-7CE4-4993-AFFA-2A509302A040}"/>
    <cellStyle name="Comma 3 7 4 2 2 2 3 2 2" xfId="29203" xr:uid="{42FE808F-85A2-4B55-A2DE-01BEB5E17085}"/>
    <cellStyle name="Comma 3 7 4 2 2 2 3 3" xfId="21661" xr:uid="{DEF4039F-839D-4C7B-966F-409A2D8C47D1}"/>
    <cellStyle name="Comma 3 7 4 2 2 2 4" xfId="10989" xr:uid="{E361D811-49B9-4B27-B0DB-179B1A8B1A30}"/>
    <cellStyle name="Comma 3 7 4 2 2 2 4 2" xfId="27193" xr:uid="{BE694745-C874-48C6-B51A-8E05E2A410DB}"/>
    <cellStyle name="Comma 3 7 4 2 2 2 5" xfId="17646" xr:uid="{9634E5FB-539C-4F63-B5FE-31F1075DD122}"/>
    <cellStyle name="Comma 3 7 4 2 2 2 5 2" xfId="33778" xr:uid="{0FE82B20-1869-424B-B65C-F587E6053335}"/>
    <cellStyle name="Comma 3 7 4 2 2 2 6" xfId="19516" xr:uid="{682068D1-4772-4CF2-A826-5318BC34ADBE}"/>
    <cellStyle name="Comma 3 7 4 2 2 3" xfId="6233" xr:uid="{0433492A-5AE7-40BA-9260-5B878984B84F}"/>
    <cellStyle name="Comma 3 7 4 2 2 3 2" xfId="13745" xr:uid="{269CFEF3-B920-4B70-9AF1-74CB01816600}"/>
    <cellStyle name="Comma 3 7 4 2 2 3 2 2" xfId="29949" xr:uid="{F163B460-775E-455E-B8AA-93B3786D995B}"/>
    <cellStyle name="Comma 3 7 4 2 2 3 3" xfId="22437" xr:uid="{4A5C51B1-3F8F-4D4E-9BDC-473AF78B3680}"/>
    <cellStyle name="Comma 3 7 4 2 2 4" xfId="9346" xr:uid="{26562A7F-5674-462C-B4BE-8FC6D219E79A}"/>
    <cellStyle name="Comma 3 7 4 2 2 4 2" xfId="16789" xr:uid="{E6A8C3F1-76D4-4287-817D-108000622607}"/>
    <cellStyle name="Comma 3 7 4 2 2 4 2 2" xfId="32993" xr:uid="{5A3A52C6-7E46-462F-A864-C7B8ED1A1D05}"/>
    <cellStyle name="Comma 3 7 4 2 2 4 3" xfId="25550" xr:uid="{20840221-8DD7-4A68-8FA1-29DAC1C4BB77}"/>
    <cellStyle name="Comma 3 7 4 2 2 5" xfId="10145" xr:uid="{D5028561-BE58-4AA4-BED0-C4BAF21E16DE}"/>
    <cellStyle name="Comma 3 7 4 2 2 5 2" xfId="26349" xr:uid="{0505D079-B1E5-471F-8240-48BD43CA48E3}"/>
    <cellStyle name="Comma 3 7 4 2 2 6" xfId="17645" xr:uid="{0C2BC451-F0ED-4CD6-B794-9DB04A615A46}"/>
    <cellStyle name="Comma 3 7 4 2 2 6 2" xfId="33777" xr:uid="{39E4B30E-4063-422A-B73D-A7A137A2F9D7}"/>
    <cellStyle name="Comma 3 7 4 2 2 7" xfId="18671" xr:uid="{21EAB867-E80E-45EE-B420-61DAC9DF8F36}"/>
    <cellStyle name="Comma 3 7 4 2 3" xfId="2871" xr:uid="{9A7BDC34-7E52-4A5B-A134-69B78E20F602}"/>
    <cellStyle name="Comma 3 7 4 2 3 2" xfId="6655" xr:uid="{BE58C13A-EB33-4990-9B2F-46F9B0060ACB}"/>
    <cellStyle name="Comma 3 7 4 2 3 2 2" xfId="14167" xr:uid="{218F1891-7C74-42DD-90BA-6023797632A1}"/>
    <cellStyle name="Comma 3 7 4 2 3 2 2 2" xfId="30371" xr:uid="{EF783B22-230F-4F5C-BA01-B552E5E5B144}"/>
    <cellStyle name="Comma 3 7 4 2 3 2 3" xfId="22859" xr:uid="{F7CA9EA7-44D6-43BA-B543-E91928D7C97D}"/>
    <cellStyle name="Comma 3 7 4 2 3 3" xfId="8889" xr:uid="{1198F82E-BBF3-4DD3-8418-B475764350F0}"/>
    <cellStyle name="Comma 3 7 4 2 3 3 2" xfId="16393" xr:uid="{EDC7FFB2-CD09-44F0-BFD5-E41BEFBFDD25}"/>
    <cellStyle name="Comma 3 7 4 2 3 3 2 2" xfId="32597" xr:uid="{A05A073D-65EB-47B0-8727-A212E01FF80A}"/>
    <cellStyle name="Comma 3 7 4 2 3 3 3" xfId="25093" xr:uid="{F72A1629-40D2-426D-BA66-11BE6DACBBDD}"/>
    <cellStyle name="Comma 3 7 4 2 3 4" xfId="10567" xr:uid="{2EF09D32-4076-4BA9-873D-A886303C61BE}"/>
    <cellStyle name="Comma 3 7 4 2 3 4 2" xfId="26771" xr:uid="{7DFF11F4-A7DF-4B0A-B37D-79268FFA31C2}"/>
    <cellStyle name="Comma 3 7 4 2 3 5" xfId="17647" xr:uid="{6C86EC7A-A4D0-4966-A1E7-FAC4D99FB5D5}"/>
    <cellStyle name="Comma 3 7 4 2 3 5 2" xfId="33779" xr:uid="{731028BB-C78B-442F-A8AF-C99A5F987DF7}"/>
    <cellStyle name="Comma 3 7 4 2 3 6" xfId="19093" xr:uid="{7F259C03-89EA-4E21-9857-87A746123FD2}"/>
    <cellStyle name="Comma 3 7 4 2 4" xfId="3802" xr:uid="{63788BE7-FB2E-4794-9843-0664B4B719C4}"/>
    <cellStyle name="Comma 3 7 4 2 4 2" xfId="7512" xr:uid="{0207C4A9-11D6-4337-9BF5-2BC23C9CC52F}"/>
    <cellStyle name="Comma 3 7 4 2 4 2 2" xfId="15021" xr:uid="{30EF806C-25AF-40FE-A25B-5F678273C486}"/>
    <cellStyle name="Comma 3 7 4 2 4 2 2 2" xfId="31225" xr:uid="{328D4D92-397C-4D6D-8552-3F7D3962C276}"/>
    <cellStyle name="Comma 3 7 4 2 4 2 3" xfId="23716" xr:uid="{E5C62B21-C9F1-4A16-9021-35DD1E86994F}"/>
    <cellStyle name="Comma 3 7 4 2 4 3" xfId="9111" xr:uid="{5EC96B41-63B0-49FC-9DCF-EEC45F7C251F}"/>
    <cellStyle name="Comma 3 7 4 2 4 3 2" xfId="16589" xr:uid="{53AFAACE-1F6E-4BC4-B14E-7E02A523AB2A}"/>
    <cellStyle name="Comma 3 7 4 2 4 3 2 2" xfId="32793" xr:uid="{EBB75DFE-D352-4B63-A676-79C18F603C26}"/>
    <cellStyle name="Comma 3 7 4 2 4 3 3" xfId="25315" xr:uid="{2FB2B2D1-40A6-40C4-BF57-F1AC8B39E0F0}"/>
    <cellStyle name="Comma 3 7 4 2 4 4" xfId="11412" xr:uid="{CA6C736B-114B-49CF-A11A-506C9F33DAA9}"/>
    <cellStyle name="Comma 3 7 4 2 4 4 2" xfId="27616" xr:uid="{3BB61738-5673-4452-B391-817E522B1B3D}"/>
    <cellStyle name="Comma 3 7 4 2 4 5" xfId="17648" xr:uid="{465A2B5A-902D-4AF6-954F-5B23DBE0A942}"/>
    <cellStyle name="Comma 3 7 4 2 4 5 2" xfId="33780" xr:uid="{3C772C51-DDE8-430C-BE9D-E114A95E7E95}"/>
    <cellStyle name="Comma 3 7 4 2 4 6" xfId="20011" xr:uid="{886A84AE-ABCA-436F-837E-3DC3A90011C9}"/>
    <cellStyle name="Comma 3 7 4 2 5" xfId="3910" xr:uid="{572DB089-6D24-4235-A42E-FEB8366B4B33}"/>
    <cellStyle name="Comma 3 7 4 2 5 2" xfId="9240" xr:uid="{31CFFC9F-7109-4D5F-BE1D-BBFD2A433F95}"/>
    <cellStyle name="Comma 3 7 4 2 5 2 2" xfId="25444" xr:uid="{741129AB-C98C-49D6-83FB-1D8419ED7F84}"/>
    <cellStyle name="Comma 3 7 4 2 5 3" xfId="17649" xr:uid="{7311AEA9-B00B-4AB4-B72C-96A260A45F30}"/>
    <cellStyle name="Comma 3 7 4 2 5 3 2" xfId="33781" xr:uid="{FE9708F6-F596-4538-B8B6-4A7CA53DA8E1}"/>
    <cellStyle name="Comma 3 7 4 2 5 4" xfId="20119" xr:uid="{D355BFE6-3507-48F3-B26B-ADC0BED42C3D}"/>
    <cellStyle name="Comma 3 7 4 2 6" xfId="4271" xr:uid="{ADBFAB78-F778-4EF0-8070-A630E24AEB50}"/>
    <cellStyle name="Comma 3 7 4 2 6 2" xfId="7941" xr:uid="{38EAF323-9A71-410C-8D93-E102EA092483}"/>
    <cellStyle name="Comma 3 7 4 2 6 2 2" xfId="15448" xr:uid="{348F7842-C751-443E-93D2-29529146820C}"/>
    <cellStyle name="Comma 3 7 4 2 6 2 2 2" xfId="31652" xr:uid="{0461391E-599F-46C0-891D-1C7A72C70C61}"/>
    <cellStyle name="Comma 3 7 4 2 6 2 3" xfId="24145" xr:uid="{78330714-9AE7-4E59-A4F7-55E0CC0AF2CF}"/>
    <cellStyle name="Comma 3 7 4 2 6 3" xfId="9223" xr:uid="{B4CA4469-4C4C-4216-A331-398E6994F6C8}"/>
    <cellStyle name="Comma 3 7 4 2 6 3 2" xfId="16689" xr:uid="{18A5A75D-079A-4240-B0A5-FDDEF6C1AC48}"/>
    <cellStyle name="Comma 3 7 4 2 6 3 2 2" xfId="32893" xr:uid="{A19610D8-64BD-49AE-8ED8-0BE4AAF8CA46}"/>
    <cellStyle name="Comma 3 7 4 2 6 3 3" xfId="25427" xr:uid="{8F50CECF-7136-4953-83F9-08DBF8E076B1}"/>
    <cellStyle name="Comma 3 7 4 2 6 4" xfId="11834" xr:uid="{911BA93B-30C4-4F47-A8F7-7F6E521D9AAE}"/>
    <cellStyle name="Comma 3 7 4 2 6 4 2" xfId="28038" xr:uid="{6890CF78-C8D3-4CA6-A6D1-F1159C329F5E}"/>
    <cellStyle name="Comma 3 7 4 2 6 5" xfId="17650" xr:uid="{0DF69342-91A0-4220-8CCB-A1F4005B319B}"/>
    <cellStyle name="Comma 3 7 4 2 6 5 2" xfId="33782" xr:uid="{3E3A1BF7-216E-419D-9532-C2A31E98992A}"/>
    <cellStyle name="Comma 3 7 4 2 6 6" xfId="20475" xr:uid="{A9971A61-D1E6-4740-85D0-8BDB4D688685}"/>
    <cellStyle name="Comma 3 7 4 2 7" xfId="4696" xr:uid="{29B39A1D-3E87-43E2-8EAC-4E191E66F415}"/>
    <cellStyle name="Comma 3 7 4 2 7 2" xfId="8366" xr:uid="{7012BBF6-73F0-48FF-975E-2A5E7E0B138F}"/>
    <cellStyle name="Comma 3 7 4 2 7 2 2" xfId="15873" xr:uid="{D4D8B35C-1144-447E-9D60-1A696996E021}"/>
    <cellStyle name="Comma 3 7 4 2 7 2 2 2" xfId="32077" xr:uid="{FB70083B-2E52-41C8-A44D-984933C4B8C8}"/>
    <cellStyle name="Comma 3 7 4 2 7 2 3" xfId="24570" xr:uid="{402771CA-2659-45A0-B641-6B9EAEB3AB5F}"/>
    <cellStyle name="Comma 3 7 4 2 7 3" xfId="9020" xr:uid="{46F8260A-EEB8-47FB-9D5E-16331186E4E3}"/>
    <cellStyle name="Comma 3 7 4 2 7 3 2" xfId="16511" xr:uid="{FBBE4ED8-77C9-46C6-8A88-09D66680A95B}"/>
    <cellStyle name="Comma 3 7 4 2 7 3 2 2" xfId="32715" xr:uid="{9A82DF9B-D811-45FF-9D38-CC2793FE97A3}"/>
    <cellStyle name="Comma 3 7 4 2 7 3 3" xfId="25224" xr:uid="{78BA8F9D-821B-48FB-97A9-9F27E35A1308}"/>
    <cellStyle name="Comma 3 7 4 2 7 4" xfId="12259" xr:uid="{FD7FC0AC-43B8-4645-BFE1-CA163F97C3B3}"/>
    <cellStyle name="Comma 3 7 4 2 7 4 2" xfId="28463" xr:uid="{74EFA588-3409-4F2C-8282-3CBC7CA4E4F7}"/>
    <cellStyle name="Comma 3 7 4 2 7 5" xfId="17651" xr:uid="{33FC04A6-0E02-426D-B1E3-F65A696E0A9A}"/>
    <cellStyle name="Comma 3 7 4 2 7 5 2" xfId="33783" xr:uid="{CE925569-A0FB-40B6-9890-36C3FD6CFBF1}"/>
    <cellStyle name="Comma 3 7 4 2 7 6" xfId="20900" xr:uid="{8FDEED0D-056B-4466-9576-E9908F6B68D1}"/>
    <cellStyle name="Comma 3 7 4 2 8" xfId="5124" xr:uid="{4DC580AB-6079-4BD3-A086-B3E4E328FBAB}"/>
    <cellStyle name="Comma 3 7 4 2 8 2" xfId="8789" xr:uid="{F921D98C-AB73-4069-93ED-FD98EDB2E3A8}"/>
    <cellStyle name="Comma 3 7 4 2 8 2 2" xfId="16296" xr:uid="{73034547-96AF-4E6B-8B8C-DD2BBEF600EA}"/>
    <cellStyle name="Comma 3 7 4 2 8 2 2 2" xfId="32500" xr:uid="{07B6D557-27F2-4272-9BCE-DE177242E07A}"/>
    <cellStyle name="Comma 3 7 4 2 8 2 3" xfId="24993" xr:uid="{A4D42718-D016-4E09-AB15-72F44730BF73}"/>
    <cellStyle name="Comma 3 7 4 2 8 3" xfId="12681" xr:uid="{D7F8D508-B2D2-4F87-88E3-A74B195A2F46}"/>
    <cellStyle name="Comma 3 7 4 2 8 3 2" xfId="28885" xr:uid="{5D5C3006-6343-4F7B-B56F-56B66CBE3155}"/>
    <cellStyle name="Comma 3 7 4 2 8 4" xfId="21328" xr:uid="{A2452A4E-C5D2-4C9B-8B80-22F845F487C7}"/>
    <cellStyle name="Comma 3 7 4 2 9" xfId="5795" xr:uid="{CA0FB136-C67B-46ED-BBC0-460F509FF3CE}"/>
    <cellStyle name="Comma 3 7 4 2 9 2" xfId="13310" xr:uid="{924E5D04-5341-4380-ADFB-E28B90D5D789}"/>
    <cellStyle name="Comma 3 7 4 2 9 2 2" xfId="29514" xr:uid="{BF325699-F74C-42FD-A828-3C5B318657E9}"/>
    <cellStyle name="Comma 3 7 4 2 9 3" xfId="21999" xr:uid="{9792E5CD-B8E6-4639-A084-84B36B54A735}"/>
    <cellStyle name="Comma 3 7 4 3" xfId="2303" xr:uid="{AAB72E95-5AC7-4840-923E-B3FB86CD3C5B}"/>
    <cellStyle name="Comma 3 7 4 3 2" xfId="3150" xr:uid="{FFA294D0-5487-401A-B4A3-61E2F6FA1843}"/>
    <cellStyle name="Comma 3 7 4 3 2 2" xfId="6932" xr:uid="{AA28CCD1-475F-4092-BAE6-1AECF3953E4A}"/>
    <cellStyle name="Comma 3 7 4 3 2 2 2" xfId="14443" xr:uid="{C651E074-9AA1-4813-8CD7-4D9DFA923335}"/>
    <cellStyle name="Comma 3 7 4 3 2 2 2 2" xfId="30647" xr:uid="{B174E311-4328-492C-8444-89888D4550FA}"/>
    <cellStyle name="Comma 3 7 4 3 2 2 3" xfId="23136" xr:uid="{B70C6888-2D32-4A76-8EE9-9B37420F5B74}"/>
    <cellStyle name="Comma 3 7 4 3 2 3" xfId="5575" xr:uid="{833F06AB-8448-4C57-9B1F-691BA2BB58AE}"/>
    <cellStyle name="Comma 3 7 4 3 2 3 2" xfId="13092" xr:uid="{EF3A2191-8B7E-4D9C-801B-C71C2B23F6FF}"/>
    <cellStyle name="Comma 3 7 4 3 2 3 2 2" xfId="29296" xr:uid="{67E4CA45-5432-48A4-BB1A-CCDB51AF11CA}"/>
    <cellStyle name="Comma 3 7 4 3 2 3 3" xfId="21779" xr:uid="{88463CE3-C64D-41E6-A25E-A8EBBD6B60F7}"/>
    <cellStyle name="Comma 3 7 4 3 2 4" xfId="10843" xr:uid="{7E9AEB38-EDCA-4FE1-99BB-B07D7ECEC702}"/>
    <cellStyle name="Comma 3 7 4 3 2 4 2" xfId="27047" xr:uid="{AB94B9FC-2893-4055-9CF7-26A300EE5EB4}"/>
    <cellStyle name="Comma 3 7 4 3 2 5" xfId="17653" xr:uid="{FDDA439D-864C-4317-AC7A-2B0DDD9FDB7E}"/>
    <cellStyle name="Comma 3 7 4 3 2 5 2" xfId="33785" xr:uid="{ED6CD3D4-A34B-4732-AABA-A0C571219FFD}"/>
    <cellStyle name="Comma 3 7 4 3 2 6" xfId="19370" xr:uid="{5C0D6B38-6774-4A21-9BA1-A758DC76E6C2}"/>
    <cellStyle name="Comma 3 7 4 3 3" xfId="6087" xr:uid="{9F79D592-BFFA-48FF-A3AA-D675C2B4DF7A}"/>
    <cellStyle name="Comma 3 7 4 3 3 2" xfId="13599" xr:uid="{61680282-7D58-40F6-911C-1ABF1E55152F}"/>
    <cellStyle name="Comma 3 7 4 3 3 2 2" xfId="29803" xr:uid="{4167FA8D-5D7E-49D5-8901-3A505D428D52}"/>
    <cellStyle name="Comma 3 7 4 3 3 3" xfId="22291" xr:uid="{A8D4144D-F951-40C5-95AB-EA07E610AFDE}"/>
    <cellStyle name="Comma 3 7 4 3 4" xfId="9204" xr:uid="{BBB994B2-B97A-4C8F-ABAB-F0FB88E5C013}"/>
    <cellStyle name="Comma 3 7 4 3 4 2" xfId="16674" xr:uid="{318D5C9D-199E-438F-80CF-D7075F9FA321}"/>
    <cellStyle name="Comma 3 7 4 3 4 2 2" xfId="32878" xr:uid="{3C9988B1-307B-4CE2-B7FB-CB3F1888A039}"/>
    <cellStyle name="Comma 3 7 4 3 4 3" xfId="25408" xr:uid="{C4B44380-3006-4751-A8E3-34B3248D05E4}"/>
    <cellStyle name="Comma 3 7 4 3 5" xfId="9999" xr:uid="{783528D8-C3E6-4935-80C6-E862B59B51F3}"/>
    <cellStyle name="Comma 3 7 4 3 5 2" xfId="26203" xr:uid="{F2C2484B-B790-4D86-9E7E-EDB8CF729781}"/>
    <cellStyle name="Comma 3 7 4 3 6" xfId="17652" xr:uid="{B8CA21A8-FA7C-41F6-A3A3-1277289C6277}"/>
    <cellStyle name="Comma 3 7 4 3 6 2" xfId="33784" xr:uid="{0F42D25F-9D5D-4A85-B187-67CD68428A31}"/>
    <cellStyle name="Comma 3 7 4 3 7" xfId="18525" xr:uid="{92BEB77C-33F8-4806-9B2B-690922902E0A}"/>
    <cellStyle name="Comma 3 7 4 4" xfId="2725" xr:uid="{1B4BC9E6-897B-4760-A2A7-76DF328B9EAB}"/>
    <cellStyle name="Comma 3 7 4 4 2" xfId="6509" xr:uid="{B1408210-5C2B-4678-98C8-E588A769A3A6}"/>
    <cellStyle name="Comma 3 7 4 4 2 2" xfId="14021" xr:uid="{5EFF1926-DA1F-4E6E-B010-66B5B66E5211}"/>
    <cellStyle name="Comma 3 7 4 4 2 2 2" xfId="30225" xr:uid="{2940126B-A5AE-4E73-8B11-D7F10C0D8842}"/>
    <cellStyle name="Comma 3 7 4 4 2 3" xfId="22713" xr:uid="{DFF88B13-37F1-4AFE-8B0A-085ED360AE0A}"/>
    <cellStyle name="Comma 3 7 4 4 3" xfId="8972" xr:uid="{5F8B5880-E911-47EF-80DA-5DE160739C00}"/>
    <cellStyle name="Comma 3 7 4 4 3 2" xfId="16466" xr:uid="{A62863BD-2CF9-463B-8E49-C4BF21C0367C}"/>
    <cellStyle name="Comma 3 7 4 4 3 2 2" xfId="32670" xr:uid="{62D2BA66-7D85-4505-B8DE-418DD42F5677}"/>
    <cellStyle name="Comma 3 7 4 4 3 3" xfId="25176" xr:uid="{5234EBB5-1318-4D0D-962C-9FA76FC2F48B}"/>
    <cellStyle name="Comma 3 7 4 4 4" xfId="10421" xr:uid="{7A6FA02E-F126-4F82-8D24-A032B679547F}"/>
    <cellStyle name="Comma 3 7 4 4 4 2" xfId="26625" xr:uid="{2B51B332-0093-4D91-91E1-8EEEFE7199F4}"/>
    <cellStyle name="Comma 3 7 4 4 5" xfId="17654" xr:uid="{B638700C-1692-4980-BC23-86A1B1BD1D66}"/>
    <cellStyle name="Comma 3 7 4 4 5 2" xfId="33786" xr:uid="{FBEACEED-B7BF-4D77-965E-1AD0751FC49C}"/>
    <cellStyle name="Comma 3 7 4 4 6" xfId="18947" xr:uid="{B84F910D-57C3-4363-9FC3-EC7AC61002D7}"/>
    <cellStyle name="Comma 3 7 4 5" xfId="3655" xr:uid="{6E62C2F0-2F50-4C59-951B-207904B96026}"/>
    <cellStyle name="Comma 3 7 4 5 2" xfId="7365" xr:uid="{A19B390F-7AD6-4891-B5CD-35CAA5591B8D}"/>
    <cellStyle name="Comma 3 7 4 5 2 2" xfId="14874" xr:uid="{50A54B70-046A-409E-936A-A670801B1BFC}"/>
    <cellStyle name="Comma 3 7 4 5 2 2 2" xfId="31078" xr:uid="{EEFFF914-7F7E-431A-A705-D146A4E26D28}"/>
    <cellStyle name="Comma 3 7 4 5 2 3" xfId="23569" xr:uid="{633C0D03-EDBE-4D0E-8A10-C947DD3B3574}"/>
    <cellStyle name="Comma 3 7 4 5 3" xfId="9294" xr:uid="{EFFA6F88-539D-4995-8A03-FF09A7BC1A11}"/>
    <cellStyle name="Comma 3 7 4 5 3 2" xfId="16750" xr:uid="{F73E4E9F-5C9F-45F3-833E-5ED1C590CF53}"/>
    <cellStyle name="Comma 3 7 4 5 3 2 2" xfId="32954" xr:uid="{C79F6C6E-D75A-4AFB-88B0-6D32BACAE5ED}"/>
    <cellStyle name="Comma 3 7 4 5 3 3" xfId="25498" xr:uid="{333843A5-4E68-4B03-87C1-CDBF36E98C11}"/>
    <cellStyle name="Comma 3 7 4 5 4" xfId="11266" xr:uid="{E60E8B8C-6D5A-45D6-A0CC-BCA0CDD4DA8F}"/>
    <cellStyle name="Comma 3 7 4 5 4 2" xfId="27470" xr:uid="{A5125338-AAE5-4B19-A78A-C5B4F94D7EB6}"/>
    <cellStyle name="Comma 3 7 4 5 5" xfId="17655" xr:uid="{153159FF-DB8D-4E2E-95A9-AB25CFF1972F}"/>
    <cellStyle name="Comma 3 7 4 5 5 2" xfId="33787" xr:uid="{825C945E-0A32-4A91-AF46-5023ABB54CED}"/>
    <cellStyle name="Comma 3 7 4 5 6" xfId="19864" xr:uid="{3B9DBD3C-2EA6-45C7-8A8C-6D57381A78BC}"/>
    <cellStyle name="Comma 3 7 4 6" xfId="3601" xr:uid="{EFC24A66-EFC8-4696-AC55-6B012FBE42FF}"/>
    <cellStyle name="Comma 3 7 4 6 2" xfId="5540" xr:uid="{A5066E7D-25D3-4E00-8FD1-3CC0F1F60F4A}"/>
    <cellStyle name="Comma 3 7 4 6 2 2" xfId="21744" xr:uid="{2C054288-4548-4020-974C-CA8142B9809B}"/>
    <cellStyle name="Comma 3 7 4 6 3" xfId="17656" xr:uid="{340F570C-12B1-46A0-9248-4279B9063923}"/>
    <cellStyle name="Comma 3 7 4 6 3 2" xfId="33788" xr:uid="{508467E6-DBC3-410E-BB0B-54CA52890114}"/>
    <cellStyle name="Comma 3 7 4 6 4" xfId="19811" xr:uid="{FAAA48C1-6FED-4BEE-861B-1B3894C9E042}"/>
    <cellStyle name="Comma 3 7 4 7" xfId="4125" xr:uid="{34F5A65F-0A24-492C-B8B6-0C079D2ED75C}"/>
    <cellStyle name="Comma 3 7 4 7 2" xfId="7795" xr:uid="{603BDB78-C4A8-4525-8F80-54B11AF175A2}"/>
    <cellStyle name="Comma 3 7 4 7 2 2" xfId="15302" xr:uid="{58DEC554-F6A9-44F3-ABFA-E6CFE5527942}"/>
    <cellStyle name="Comma 3 7 4 7 2 2 2" xfId="31506" xr:uid="{9769B2F3-09B4-4029-95C8-1B9BCB92F9C7}"/>
    <cellStyle name="Comma 3 7 4 7 2 3" xfId="23999" xr:uid="{4F96B895-95D0-4A99-9367-E79F45604AAA}"/>
    <cellStyle name="Comma 3 7 4 7 3" xfId="8909" xr:uid="{CBC2C297-9D3E-4C17-B6E1-5EDDEE1910B5}"/>
    <cellStyle name="Comma 3 7 4 7 3 2" xfId="16412" xr:uid="{FF363414-88FE-4977-82C8-2B357B10AE74}"/>
    <cellStyle name="Comma 3 7 4 7 3 2 2" xfId="32616" xr:uid="{C491C47B-8617-4A3B-BD27-BA8869088EF5}"/>
    <cellStyle name="Comma 3 7 4 7 3 3" xfId="25113" xr:uid="{B8858632-095E-4E7F-A9CB-2A7E26FB9193}"/>
    <cellStyle name="Comma 3 7 4 7 4" xfId="11688" xr:uid="{FA53407C-05CE-4BE7-9D2B-86A253E0B2F5}"/>
    <cellStyle name="Comma 3 7 4 7 4 2" xfId="27892" xr:uid="{311D37FE-E58E-4736-B51A-4E32B147BC25}"/>
    <cellStyle name="Comma 3 7 4 7 5" xfId="17657" xr:uid="{7475B6F2-55E2-42F0-9CDC-7E97C2A208C4}"/>
    <cellStyle name="Comma 3 7 4 7 5 2" xfId="33789" xr:uid="{FFA0EE9E-1381-414F-868A-9184E2962911}"/>
    <cellStyle name="Comma 3 7 4 7 6" xfId="20329" xr:uid="{1A68284C-EAAE-4EEA-A0FB-CE062AF73A1D}"/>
    <cellStyle name="Comma 3 7 4 8" xfId="4550" xr:uid="{7B2CBAE1-302C-46EC-A5D8-23BB252AD0B5}"/>
    <cellStyle name="Comma 3 7 4 8 2" xfId="8220" xr:uid="{199A2775-B91D-46A5-8FC4-9C888995AEA3}"/>
    <cellStyle name="Comma 3 7 4 8 2 2" xfId="15727" xr:uid="{77A59B47-5B4D-4885-AE48-83CFC91B214F}"/>
    <cellStyle name="Comma 3 7 4 8 2 2 2" xfId="31931" xr:uid="{E7A463B5-1A32-4C2F-BDBF-7F9CE9960F76}"/>
    <cellStyle name="Comma 3 7 4 8 2 3" xfId="24424" xr:uid="{D6F9C94B-D5DB-4FDA-9BDF-767FABCF559E}"/>
    <cellStyle name="Comma 3 7 4 8 3" xfId="9032" xr:uid="{8A25534C-074D-4A5A-9D59-5369FDBD117F}"/>
    <cellStyle name="Comma 3 7 4 8 3 2" xfId="16522" xr:uid="{4869ED2D-7A86-47ED-9747-9E9D724F9E25}"/>
    <cellStyle name="Comma 3 7 4 8 3 2 2" xfId="32726" xr:uid="{9152CCE3-2EF3-4805-8700-43A220EB922C}"/>
    <cellStyle name="Comma 3 7 4 8 3 3" xfId="25236" xr:uid="{9940B83A-59AD-46E9-A420-CE387251BE12}"/>
    <cellStyle name="Comma 3 7 4 8 4" xfId="12113" xr:uid="{02B23DBF-AD4D-4E0B-89A4-570100CAF1A7}"/>
    <cellStyle name="Comma 3 7 4 8 4 2" xfId="28317" xr:uid="{BD2D87A1-EA14-4B37-8E38-5EEDC1560DBC}"/>
    <cellStyle name="Comma 3 7 4 8 5" xfId="17658" xr:uid="{2FE1305B-1A25-4F36-B525-79D6422D6CB0}"/>
    <cellStyle name="Comma 3 7 4 8 5 2" xfId="33790" xr:uid="{0F5E52E8-F382-49F8-B884-0D8E40435E3F}"/>
    <cellStyle name="Comma 3 7 4 8 6" xfId="20754" xr:uid="{9569213E-7409-4009-BEE2-D191DE38D7AA}"/>
    <cellStyle name="Comma 3 7 4 9" xfId="4977" xr:uid="{C1C484E0-F891-4F75-8200-E61E9F817195}"/>
    <cellStyle name="Comma 3 7 4 9 2" xfId="8643" xr:uid="{5A404F4D-9249-4117-B32F-B64BB2B09E19}"/>
    <cellStyle name="Comma 3 7 4 9 2 2" xfId="16150" xr:uid="{ED5E2F6B-D38C-4E73-9AF4-B139A05EFF0A}"/>
    <cellStyle name="Comma 3 7 4 9 2 2 2" xfId="32354" xr:uid="{4ED3E302-135F-4A88-8688-48C15E01DB85}"/>
    <cellStyle name="Comma 3 7 4 9 2 3" xfId="24847" xr:uid="{8A1A5E86-3EB8-4204-911F-40CFD95BDDAF}"/>
    <cellStyle name="Comma 3 7 4 9 3" xfId="12535" xr:uid="{C1991F79-745F-457F-B094-21815E37175D}"/>
    <cellStyle name="Comma 3 7 4 9 3 2" xfId="28739" xr:uid="{CCC1070D-6495-4E40-B4F4-6C684BB2CC8D}"/>
    <cellStyle name="Comma 3 7 4 9 4" xfId="21181" xr:uid="{A5A4BB32-575D-467A-A909-CFBB6E7CC2B0}"/>
    <cellStyle name="Comma 3 7 5" xfId="1943" xr:uid="{6AB7BE6F-DDCA-47D3-8D34-71C4847DA982}"/>
    <cellStyle name="Comma 3 7 5 10" xfId="9723" xr:uid="{07C961DD-4645-4B51-9DEE-4DBAB554B6D4}"/>
    <cellStyle name="Comma 3 7 5 10 2" xfId="25927" xr:uid="{F2566C7A-94E0-4A7F-B9E5-85748D6AB090}"/>
    <cellStyle name="Comma 3 7 5 11" xfId="17659" xr:uid="{C8DAE988-CBCC-4167-8314-45AE44CAE96B}"/>
    <cellStyle name="Comma 3 7 5 11 2" xfId="33791" xr:uid="{49626F3C-D458-4F16-A797-CEC0C47BF365}"/>
    <cellStyle name="Comma 3 7 5 12" xfId="18247" xr:uid="{183609AA-A645-45EA-B043-47D631C3EB9D}"/>
    <cellStyle name="Comma 3 7 5 2" xfId="2450" xr:uid="{94B01350-6594-4C34-BEBE-8CD3F14A208C}"/>
    <cellStyle name="Comma 3 7 5 2 2" xfId="3297" xr:uid="{2D67AB5D-02EE-44D0-ADFB-DC51486722B4}"/>
    <cellStyle name="Comma 3 7 5 2 2 2" xfId="7079" xr:uid="{553C73CA-8D60-4E84-A5D9-EFCF1705CBE6}"/>
    <cellStyle name="Comma 3 7 5 2 2 2 2" xfId="14590" xr:uid="{3EA73F15-6685-4E4A-9AC8-66E4B24E389D}"/>
    <cellStyle name="Comma 3 7 5 2 2 2 2 2" xfId="30794" xr:uid="{DE99E720-F31E-40EB-85A4-B84C13B28282}"/>
    <cellStyle name="Comma 3 7 5 2 2 2 3" xfId="23283" xr:uid="{DBC01422-2178-49ED-A9D9-CF71AC3CF70D}"/>
    <cellStyle name="Comma 3 7 5 2 2 3" xfId="8983" xr:uid="{15B0AFBA-DB96-4202-B435-5DFC1094E8BD}"/>
    <cellStyle name="Comma 3 7 5 2 2 3 2" xfId="16477" xr:uid="{69FC707E-D817-493F-B478-8F7D238FCE81}"/>
    <cellStyle name="Comma 3 7 5 2 2 3 2 2" xfId="32681" xr:uid="{47690FC1-B1EF-479F-BDB1-43F12D52846F}"/>
    <cellStyle name="Comma 3 7 5 2 2 3 3" xfId="25187" xr:uid="{15843323-A24F-4989-9B58-A381E17CF3AC}"/>
    <cellStyle name="Comma 3 7 5 2 2 4" xfId="10990" xr:uid="{C8701860-8660-4CC9-8A31-E32104C550D5}"/>
    <cellStyle name="Comma 3 7 5 2 2 4 2" xfId="27194" xr:uid="{46125F62-815C-4F5B-8A96-FCCA7172D388}"/>
    <cellStyle name="Comma 3 7 5 2 2 5" xfId="17661" xr:uid="{F840DA10-7834-459D-8D9B-E929F62C569E}"/>
    <cellStyle name="Comma 3 7 5 2 2 5 2" xfId="33793" xr:uid="{A56A6612-3E90-4CDF-B113-72C5C203716B}"/>
    <cellStyle name="Comma 3 7 5 2 2 6" xfId="19517" xr:uid="{3828D5F0-8D64-40C2-B2C5-9AAA8BAFF849}"/>
    <cellStyle name="Comma 3 7 5 2 3" xfId="6234" xr:uid="{B494756C-9EE4-490B-8722-ED4122A28FFD}"/>
    <cellStyle name="Comma 3 7 5 2 3 2" xfId="13746" xr:uid="{D5AE875F-70E8-44ED-B085-E35730BA2456}"/>
    <cellStyle name="Comma 3 7 5 2 3 2 2" xfId="29950" xr:uid="{04E29656-C5E2-4A78-BCDC-51B9717EA842}"/>
    <cellStyle name="Comma 3 7 5 2 3 3" xfId="22438" xr:uid="{6AF37F5C-8DD8-47AA-8D79-8574C7F915B7}"/>
    <cellStyle name="Comma 3 7 5 2 4" xfId="9184" xr:uid="{CD707D6C-FA56-42E8-AD33-4BF09317E725}"/>
    <cellStyle name="Comma 3 7 5 2 4 2" xfId="16656" xr:uid="{A5A9C852-0E99-4D65-9873-0313F69A267B}"/>
    <cellStyle name="Comma 3 7 5 2 4 2 2" xfId="32860" xr:uid="{4E546CC2-F901-4849-A49F-056311C3BA4C}"/>
    <cellStyle name="Comma 3 7 5 2 4 3" xfId="25388" xr:uid="{5B9E82A5-5F1E-4BAB-916F-72B10B8766E5}"/>
    <cellStyle name="Comma 3 7 5 2 5" xfId="10146" xr:uid="{9731840C-B247-492E-A86D-513977D3A803}"/>
    <cellStyle name="Comma 3 7 5 2 5 2" xfId="26350" xr:uid="{6A3EA520-D551-412A-9072-6DCD5341F668}"/>
    <cellStyle name="Comma 3 7 5 2 6" xfId="17660" xr:uid="{E6633BD0-1B91-496A-BFDB-C47B5FD2A856}"/>
    <cellStyle name="Comma 3 7 5 2 6 2" xfId="33792" xr:uid="{4C8B1C8B-6CF4-4243-A9EC-8BB075B75F9E}"/>
    <cellStyle name="Comma 3 7 5 2 7" xfId="18672" xr:uid="{6361BC09-5DAA-4FEA-ABA7-1CE7ED6A1BFB}"/>
    <cellStyle name="Comma 3 7 5 3" xfId="2872" xr:uid="{737BEA1A-3132-4A85-9508-56EB2D1040F8}"/>
    <cellStyle name="Comma 3 7 5 3 2" xfId="6656" xr:uid="{F358C986-729F-4EEA-BEB3-7674E8FAA6D3}"/>
    <cellStyle name="Comma 3 7 5 3 2 2" xfId="14168" xr:uid="{F6020DAD-CACE-4469-AF70-ECC78786F359}"/>
    <cellStyle name="Comma 3 7 5 3 2 2 2" xfId="30372" xr:uid="{AE79C6F4-49F7-4A74-B4CE-FF81B7CEBBB1}"/>
    <cellStyle name="Comma 3 7 5 3 2 3" xfId="22860" xr:uid="{4AF2D694-1164-41C0-B5C2-AC1EE9719EA9}"/>
    <cellStyle name="Comma 3 7 5 3 3" xfId="5511" xr:uid="{342F6F2A-0AA6-4F84-8C1E-DEBC8543BE38}"/>
    <cellStyle name="Comma 3 7 5 3 3 2" xfId="13041" xr:uid="{0C775594-63A2-4D0F-96D8-35E42A634DE5}"/>
    <cellStyle name="Comma 3 7 5 3 3 2 2" xfId="29245" xr:uid="{00E8808E-0427-45D9-B572-411B7C436DC6}"/>
    <cellStyle name="Comma 3 7 5 3 3 3" xfId="21715" xr:uid="{2E687F65-AF70-4D6B-8159-AF5A454E5E2F}"/>
    <cellStyle name="Comma 3 7 5 3 4" xfId="10568" xr:uid="{E37C8E48-8E76-430E-ACB2-7FDB3D97D5F8}"/>
    <cellStyle name="Comma 3 7 5 3 4 2" xfId="26772" xr:uid="{6DD84526-946D-41B4-86FB-2F4BE5B0F62B}"/>
    <cellStyle name="Comma 3 7 5 3 5" xfId="17662" xr:uid="{112DCB75-2971-487A-BC15-33DE304557AB}"/>
    <cellStyle name="Comma 3 7 5 3 5 2" xfId="33794" xr:uid="{03D716B6-F5CD-4A5C-9D9A-7FED067FF7BD}"/>
    <cellStyle name="Comma 3 7 5 3 6" xfId="19094" xr:uid="{11B07B61-345E-47FA-BF0C-03BC78FFD4C2}"/>
    <cellStyle name="Comma 3 7 5 4" xfId="3803" xr:uid="{6C5DD40C-8030-4402-AFE7-93EA6FE96F69}"/>
    <cellStyle name="Comma 3 7 5 4 2" xfId="7513" xr:uid="{2DD6A29D-E7FE-4B7D-AD11-649CC9EAD15D}"/>
    <cellStyle name="Comma 3 7 5 4 2 2" xfId="15022" xr:uid="{41E5E9B8-E55D-443A-A2EE-0DE87E648766}"/>
    <cellStyle name="Comma 3 7 5 4 2 2 2" xfId="31226" xr:uid="{8D301E9A-86A9-4F84-99E5-1CB4FB9BC878}"/>
    <cellStyle name="Comma 3 7 5 4 2 3" xfId="23717" xr:uid="{C536F2F4-05F4-47D9-AED9-852A2A8B88CF}"/>
    <cellStyle name="Comma 3 7 5 4 3" xfId="5229" xr:uid="{25005D0A-34D9-40B0-AE9A-39D3ED84022D}"/>
    <cellStyle name="Comma 3 7 5 4 3 2" xfId="12784" xr:uid="{0222C436-DF94-4985-A313-20FE2295B92E}"/>
    <cellStyle name="Comma 3 7 5 4 3 2 2" xfId="28988" xr:uid="{106C5699-B16D-4E16-AD7A-8237FC488A10}"/>
    <cellStyle name="Comma 3 7 5 4 3 3" xfId="21433" xr:uid="{47649631-C741-4F43-8499-5C03AC7F0252}"/>
    <cellStyle name="Comma 3 7 5 4 4" xfId="11413" xr:uid="{16E9D929-6DF7-4C11-B8C3-C3F10974476A}"/>
    <cellStyle name="Comma 3 7 5 4 4 2" xfId="27617" xr:uid="{6BBA6CC4-1A1B-4717-A123-FB188809D08E}"/>
    <cellStyle name="Comma 3 7 5 4 5" xfId="17663" xr:uid="{5A04B6D6-68BA-4219-A905-A3B03FFD29C0}"/>
    <cellStyle name="Comma 3 7 5 4 5 2" xfId="33795" xr:uid="{ED4C0517-6A7C-46DB-AD48-CC24EF58A071}"/>
    <cellStyle name="Comma 3 7 5 4 6" xfId="20012" xr:uid="{B9ED4F4F-7B42-4649-864D-13B03D532227}"/>
    <cellStyle name="Comma 3 7 5 5" xfId="3591" xr:uid="{FEBB7D24-9FB5-4FF2-8080-7475CE74413E}"/>
    <cellStyle name="Comma 3 7 5 5 2" xfId="7599" xr:uid="{D5335FEA-14DB-47EE-BA57-9188F016A71F}"/>
    <cellStyle name="Comma 3 7 5 5 2 2" xfId="23803" xr:uid="{A2DD315E-406E-453A-A9A3-DF9CDADB6312}"/>
    <cellStyle name="Comma 3 7 5 5 3" xfId="17664" xr:uid="{65008876-8077-4AAD-86A3-8A055F8763B5}"/>
    <cellStyle name="Comma 3 7 5 5 3 2" xfId="33796" xr:uid="{5BDF949A-1BA0-43AA-BE2D-BB33E5AD673C}"/>
    <cellStyle name="Comma 3 7 5 5 4" xfId="19801" xr:uid="{840A7812-2FAB-44F9-9E0F-5F8DEBF1C3A1}"/>
    <cellStyle name="Comma 3 7 5 6" xfId="4272" xr:uid="{3B083874-8344-4375-8D56-86E94C3401CB}"/>
    <cellStyle name="Comma 3 7 5 6 2" xfId="7942" xr:uid="{7ECA250C-883F-422B-8206-59AB416558EB}"/>
    <cellStyle name="Comma 3 7 5 6 2 2" xfId="15449" xr:uid="{BC4FB842-903F-4751-8A49-10188E19E110}"/>
    <cellStyle name="Comma 3 7 5 6 2 2 2" xfId="31653" xr:uid="{CA29C99F-2C64-411B-9EF9-336104AB3A6F}"/>
    <cellStyle name="Comma 3 7 5 6 2 3" xfId="24146" xr:uid="{811B0476-89F5-42E9-B5F3-C4BDF2327C74}"/>
    <cellStyle name="Comma 3 7 5 6 3" xfId="9349" xr:uid="{B3E6AB5C-D1C5-4B03-A435-796A69137614}"/>
    <cellStyle name="Comma 3 7 5 6 3 2" xfId="16792" xr:uid="{762574A6-E1E5-4B3F-8FFB-DBB8D0791B91}"/>
    <cellStyle name="Comma 3 7 5 6 3 2 2" xfId="32996" xr:uid="{6951B585-D4CC-4CD8-980F-AF6FE49320AC}"/>
    <cellStyle name="Comma 3 7 5 6 3 3" xfId="25553" xr:uid="{70E155B3-013D-4298-927D-B1E88B31C415}"/>
    <cellStyle name="Comma 3 7 5 6 4" xfId="11835" xr:uid="{711FD23B-B272-4404-971B-658DE6D1631A}"/>
    <cellStyle name="Comma 3 7 5 6 4 2" xfId="28039" xr:uid="{C118AD20-4559-46BC-85D4-E22705188074}"/>
    <cellStyle name="Comma 3 7 5 6 5" xfId="17665" xr:uid="{451E1530-FEB8-4042-8DC0-FB7AE92FB47A}"/>
    <cellStyle name="Comma 3 7 5 6 5 2" xfId="33797" xr:uid="{5CD53B17-EDDB-43BF-97C1-D3FFC1A50573}"/>
    <cellStyle name="Comma 3 7 5 6 6" xfId="20476" xr:uid="{90C6B89E-0AE6-4B5D-9412-582FFD59151D}"/>
    <cellStyle name="Comma 3 7 5 7" xfId="4697" xr:uid="{F7DBAEFF-B82B-4CDC-AD48-F4559F2DB080}"/>
    <cellStyle name="Comma 3 7 5 7 2" xfId="8367" xr:uid="{73698B65-CE32-4697-BB0A-FE5A6AE9C69C}"/>
    <cellStyle name="Comma 3 7 5 7 2 2" xfId="15874" xr:uid="{A56AC9CB-1F72-4307-9DCC-F0B877FA68F8}"/>
    <cellStyle name="Comma 3 7 5 7 2 2 2" xfId="32078" xr:uid="{270F7F77-6F94-46A2-BD39-806855EE2213}"/>
    <cellStyle name="Comma 3 7 5 7 2 3" xfId="24571" xr:uid="{12A08039-704B-41BC-A258-D873C0D5D492}"/>
    <cellStyle name="Comma 3 7 5 7 3" xfId="9200" xr:uid="{3F7372A1-4BDE-4E8A-9C3D-791A718A3C9B}"/>
    <cellStyle name="Comma 3 7 5 7 3 2" xfId="16670" xr:uid="{1D32F9DB-0CC4-466B-B098-3A34E754346E}"/>
    <cellStyle name="Comma 3 7 5 7 3 2 2" xfId="32874" xr:uid="{1B3990E5-94ED-492D-BC8F-A86506620285}"/>
    <cellStyle name="Comma 3 7 5 7 3 3" xfId="25404" xr:uid="{D0B60F44-F583-40FA-B6DF-9C88091E251F}"/>
    <cellStyle name="Comma 3 7 5 7 4" xfId="12260" xr:uid="{4C1F0931-BDDA-4D1D-AA5A-5A86E0CE8F5A}"/>
    <cellStyle name="Comma 3 7 5 7 4 2" xfId="28464" xr:uid="{03A93D12-A10C-4D3E-8A6E-6EA44C5D4164}"/>
    <cellStyle name="Comma 3 7 5 7 5" xfId="17666" xr:uid="{D702B7D7-B356-4C5B-913F-5F50B1E92755}"/>
    <cellStyle name="Comma 3 7 5 7 5 2" xfId="33798" xr:uid="{B14E2D4F-C65E-47A1-A121-9FC89D71C209}"/>
    <cellStyle name="Comma 3 7 5 7 6" xfId="20901" xr:uid="{C1D595BF-3AC4-4793-8F82-9B0085A4C4CB}"/>
    <cellStyle name="Comma 3 7 5 8" xfId="5125" xr:uid="{84B6AC1B-A21A-4336-B4B0-5CC011EA4018}"/>
    <cellStyle name="Comma 3 7 5 8 2" xfId="8790" xr:uid="{5F61E89B-B277-4175-9CD6-1763532B76F2}"/>
    <cellStyle name="Comma 3 7 5 8 2 2" xfId="16297" xr:uid="{D9AC656F-3930-4B37-AA73-8BC3E50F4DD8}"/>
    <cellStyle name="Comma 3 7 5 8 2 2 2" xfId="32501" xr:uid="{15771281-900F-4714-A986-DCB88022F1C5}"/>
    <cellStyle name="Comma 3 7 5 8 2 3" xfId="24994" xr:uid="{5AA3756D-52A6-4C64-B05A-4C5818B243E8}"/>
    <cellStyle name="Comma 3 7 5 8 3" xfId="12682" xr:uid="{FA9D5C82-5C8E-4157-81E9-0DA049E58E56}"/>
    <cellStyle name="Comma 3 7 5 8 3 2" xfId="28886" xr:uid="{063EA1D8-9607-4880-AD38-ECDF4940B7A5}"/>
    <cellStyle name="Comma 3 7 5 8 4" xfId="21329" xr:uid="{95A8A07C-06B2-45DE-9879-B7D54DE23325}"/>
    <cellStyle name="Comma 3 7 5 9" xfId="5796" xr:uid="{9B52E797-AF2E-4EBE-8268-0FD8445E5FB2}"/>
    <cellStyle name="Comma 3 7 5 9 2" xfId="13311" xr:uid="{E8371420-F009-4C41-BB0E-D1914CB8A4FB}"/>
    <cellStyle name="Comma 3 7 5 9 2 2" xfId="29515" xr:uid="{6D542617-8409-423B-8077-FBA014F2A928}"/>
    <cellStyle name="Comma 3 7 5 9 3" xfId="22000" xr:uid="{016C280B-9DD3-4133-8111-6A216EE2F527}"/>
    <cellStyle name="Comma 3 7 6" xfId="2200" xr:uid="{08EB92B4-3C12-46EF-A534-274D518A0BFD}"/>
    <cellStyle name="Comma 3 7 6 2" xfId="3108" xr:uid="{5B865D94-0DB0-427A-8946-F2465097DE44}"/>
    <cellStyle name="Comma 3 7 6 2 2" xfId="6890" xr:uid="{69F8C2A1-5554-461B-BA29-86EB81AA3F65}"/>
    <cellStyle name="Comma 3 7 6 2 2 2" xfId="14401" xr:uid="{75C47873-CB3F-4011-86FC-EBBFAB25CB26}"/>
    <cellStyle name="Comma 3 7 6 2 2 2 2" xfId="30605" xr:uid="{9BB5C477-0B0F-45D9-BD15-26C91C08616D}"/>
    <cellStyle name="Comma 3 7 6 2 2 3" xfId="23094" xr:uid="{183FB06D-C1E3-4BC2-9151-9EB4FB4E3761}"/>
    <cellStyle name="Comma 3 7 6 2 3" xfId="9297" xr:uid="{BCD215A3-77D0-4625-8ED5-9E81BC428B90}"/>
    <cellStyle name="Comma 3 7 6 2 3 2" xfId="16753" xr:uid="{9E0DD251-C02B-4CE7-8165-6C41195AB517}"/>
    <cellStyle name="Comma 3 7 6 2 3 2 2" xfId="32957" xr:uid="{D01BC9B1-A1CE-4A2F-8ADC-21E1D7D0153F}"/>
    <cellStyle name="Comma 3 7 6 2 3 3" xfId="25501" xr:uid="{30472EA8-CA04-44D4-BC95-E9FDB8CC0E94}"/>
    <cellStyle name="Comma 3 7 6 2 4" xfId="10801" xr:uid="{7644603D-1AD4-48B2-91B7-2F75A11F70B7}"/>
    <cellStyle name="Comma 3 7 6 2 4 2" xfId="27005" xr:uid="{89F29170-A764-49FA-BED6-3B3C8E66BB8C}"/>
    <cellStyle name="Comma 3 7 6 2 5" xfId="17668" xr:uid="{70AA6F88-F833-45DA-B969-CEEA2AC39D6B}"/>
    <cellStyle name="Comma 3 7 6 2 5 2" xfId="33800" xr:uid="{9EC13A86-0FEE-4C89-8954-2681366263FD}"/>
    <cellStyle name="Comma 3 7 6 2 6" xfId="19328" xr:uid="{85815D5C-940B-451D-8F76-519A21B4D286}"/>
    <cellStyle name="Comma 3 7 6 3" xfId="6034" xr:uid="{0A2183DB-A786-40FC-939E-1F0F15FD53AB}"/>
    <cellStyle name="Comma 3 7 6 3 2" xfId="13548" xr:uid="{719F85A9-D5D2-4E6F-9557-8A038846B94C}"/>
    <cellStyle name="Comma 3 7 6 3 2 2" xfId="29752" xr:uid="{BDBB6C00-8E42-4A98-A558-050851CC5104}"/>
    <cellStyle name="Comma 3 7 6 3 3" xfId="22238" xr:uid="{B53F92CF-6262-40EF-9F71-3F34DA539198}"/>
    <cellStyle name="Comma 3 7 6 4" xfId="9280" xr:uid="{FABD13FF-3634-4EC4-8CBA-C47E82B3FF7E}"/>
    <cellStyle name="Comma 3 7 6 4 2" xfId="16739" xr:uid="{B6139333-648F-4366-818D-37E08CB3C064}"/>
    <cellStyle name="Comma 3 7 6 4 2 2" xfId="32943" xr:uid="{07098D5C-6FC9-4E66-8920-B5A5D9FD3517}"/>
    <cellStyle name="Comma 3 7 6 4 3" xfId="25484" xr:uid="{C61C7608-61E9-4CB1-87B5-8DE4E27847BF}"/>
    <cellStyle name="Comma 3 7 6 5" xfId="9957" xr:uid="{39922D5E-381E-4B6D-B0D2-485D5C7F18F6}"/>
    <cellStyle name="Comma 3 7 6 5 2" xfId="26161" xr:uid="{332F5A0F-315E-4D56-9969-223119AD380F}"/>
    <cellStyle name="Comma 3 7 6 6" xfId="17667" xr:uid="{CB4E2C3D-7453-4095-A183-80D8A71043E4}"/>
    <cellStyle name="Comma 3 7 6 6 2" xfId="33799" xr:uid="{0BBD7B0A-3B6C-42E9-A084-FC4C49741A45}"/>
    <cellStyle name="Comma 3 7 6 7" xfId="18483" xr:uid="{D2A3ADB6-84C0-4E34-917C-ECCA516F2EB1}"/>
    <cellStyle name="Comma 3 7 7" xfId="2683" xr:uid="{C3C1A886-52FF-446F-8FAE-B1FB1D6BCE02}"/>
    <cellStyle name="Comma 3 7 7 2" xfId="6467" xr:uid="{724DC732-FAA1-4910-99A2-971FF748137E}"/>
    <cellStyle name="Comma 3 7 7 2 2" xfId="13979" xr:uid="{3FFD86A6-206C-4332-992B-005C57F9C59B}"/>
    <cellStyle name="Comma 3 7 7 2 2 2" xfId="30183" xr:uid="{340E57EA-AD3F-4BCF-B75E-38F7A4624D23}"/>
    <cellStyle name="Comma 3 7 7 2 3" xfId="22671" xr:uid="{5D48C1F4-F550-471C-B66D-36F76CBFCB5E}"/>
    <cellStyle name="Comma 3 7 7 3" xfId="9208" xr:uid="{D418CC13-4D7B-4713-886E-2BCFCDD1DEA4}"/>
    <cellStyle name="Comma 3 7 7 3 2" xfId="16678" xr:uid="{CBB514E9-C921-42AA-8BE8-0B130B9B8CF0}"/>
    <cellStyle name="Comma 3 7 7 3 2 2" xfId="32882" xr:uid="{7DC6164F-3A56-48DB-93B5-C71503AAA14D}"/>
    <cellStyle name="Comma 3 7 7 3 3" xfId="25412" xr:uid="{344FB2EB-F9D3-4FCE-8A2D-B7D95B660618}"/>
    <cellStyle name="Comma 3 7 7 4" xfId="10379" xr:uid="{0BF02AE6-BB50-46ED-9611-C2A3B8FCE831}"/>
    <cellStyle name="Comma 3 7 7 4 2" xfId="26583" xr:uid="{E34D052B-B003-49FD-B404-94956FF7D1A0}"/>
    <cellStyle name="Comma 3 7 7 5" xfId="17669" xr:uid="{1CD558EC-50D0-4DB6-BA1C-C7BF64BDE790}"/>
    <cellStyle name="Comma 3 7 7 5 2" xfId="33801" xr:uid="{9252F286-DF64-47E3-904C-ED7D8D822F6B}"/>
    <cellStyle name="Comma 3 7 7 6" xfId="18905" xr:uid="{33211B1B-C1D2-40A7-A2AF-B3FCDF8A6657}"/>
    <cellStyle name="Comma 3 7 8" xfId="3610" xr:uid="{B11A728A-4482-44C7-9CFC-78D4E3F5C123}"/>
    <cellStyle name="Comma 3 7 8 2" xfId="7323" xr:uid="{1D20DC9E-CC99-488D-B0B7-0E1CFD09A8D4}"/>
    <cellStyle name="Comma 3 7 8 2 2" xfId="14832" xr:uid="{3AEBB7AA-0B6A-4251-8FEF-FA87F97362C7}"/>
    <cellStyle name="Comma 3 7 8 2 2 2" xfId="31036" xr:uid="{37EABD18-3ABE-465C-ADE8-0B1D8490BF46}"/>
    <cellStyle name="Comma 3 7 8 2 3" xfId="23527" xr:uid="{73DC4E2C-12CA-4343-9925-12EE90B254DF}"/>
    <cellStyle name="Comma 3 7 8 3" xfId="9117" xr:uid="{785075D2-D83F-4C6E-BAA1-0666543D6D73}"/>
    <cellStyle name="Comma 3 7 8 3 2" xfId="16595" xr:uid="{1250E53C-8EC3-4E51-B226-0E7FAD4E637C}"/>
    <cellStyle name="Comma 3 7 8 3 2 2" xfId="32799" xr:uid="{17A688B2-188D-4927-96F7-1DA023248393}"/>
    <cellStyle name="Comma 3 7 8 3 3" xfId="25321" xr:uid="{EE242AB4-B25D-40E0-BEB7-007149D6F638}"/>
    <cellStyle name="Comma 3 7 8 4" xfId="11224" xr:uid="{08016F24-172B-4810-A6CC-75A30187DF80}"/>
    <cellStyle name="Comma 3 7 8 4 2" xfId="27428" xr:uid="{0E97603E-18B8-4D1A-A9E2-A4CC96BBDE44}"/>
    <cellStyle name="Comma 3 7 8 5" xfId="17670" xr:uid="{940A87F5-5F24-416D-8192-3FB3E3D3C015}"/>
    <cellStyle name="Comma 3 7 8 5 2" xfId="33802" xr:uid="{D1474EB3-26CA-4FB1-B607-D842112A959A}"/>
    <cellStyle name="Comma 3 7 8 6" xfId="19819" xr:uid="{9ED35A4A-42E4-4B82-898B-D8678919E40A}"/>
    <cellStyle name="Comma 3 7 9" xfId="3913" xr:uid="{C38FCFCB-E241-4B84-B779-8978DC24E3C8}"/>
    <cellStyle name="Comma 3 7 9 2" xfId="5227" xr:uid="{A2AAAD7C-803F-4B89-804B-6218FD691267}"/>
    <cellStyle name="Comma 3 7 9 2 2" xfId="21431" xr:uid="{A774BFAD-87EE-4EAB-813B-8F6D9B83788E}"/>
    <cellStyle name="Comma 3 7 9 3" xfId="17671" xr:uid="{ECEF064F-8ADA-44E2-A689-FF452A137A8F}"/>
    <cellStyle name="Comma 3 7 9 3 2" xfId="33803" xr:uid="{FE877044-5467-4F53-B899-0FC4CF78E17C}"/>
    <cellStyle name="Comma 3 7 9 4" xfId="20122" xr:uid="{EE31B1FE-4D52-4613-9715-4FF42E6FEAEC}"/>
    <cellStyle name="Comma 3 8" xfId="1622" xr:uid="{75CB2FB6-14AE-49DA-BE3D-ABAB76D53589}"/>
    <cellStyle name="Comma 3 8 10" xfId="4085" xr:uid="{A2389E77-6114-4F9D-B2EA-2AD1C7A4FCB1}"/>
    <cellStyle name="Comma 3 8 10 2" xfId="7755" xr:uid="{9CF6BF9D-1725-4AF9-A7DB-9DB9AE659BBA}"/>
    <cellStyle name="Comma 3 8 10 2 2" xfId="15262" xr:uid="{FC052B6A-0267-4D7B-B41A-FBF700A891F9}"/>
    <cellStyle name="Comma 3 8 10 2 2 2" xfId="31466" xr:uid="{E5844E97-FF0E-474E-8B7C-A4BC1638CCBA}"/>
    <cellStyle name="Comma 3 8 10 2 3" xfId="23959" xr:uid="{A7AD5B0C-FE01-49D5-B4B7-839745AFD08F}"/>
    <cellStyle name="Comma 3 8 10 3" xfId="7314" xr:uid="{5560111F-C203-40AB-A5C1-D1606761E69F}"/>
    <cellStyle name="Comma 3 8 10 3 2" xfId="14823" xr:uid="{032254CB-7C72-487B-BDF6-0D691692F8A8}"/>
    <cellStyle name="Comma 3 8 10 3 2 2" xfId="31027" xr:uid="{33102361-EC1E-4FF8-A523-9DE365DE46E3}"/>
    <cellStyle name="Comma 3 8 10 3 3" xfId="23518" xr:uid="{3C04E13A-00B1-47B3-99C4-B7205618ED6D}"/>
    <cellStyle name="Comma 3 8 10 4" xfId="11648" xr:uid="{5027E0D0-8260-41F3-BE6A-C7D3544A7AE1}"/>
    <cellStyle name="Comma 3 8 10 4 2" xfId="27852" xr:uid="{F9A7F0E8-1D4C-4E07-8A8E-7BD46D1304D9}"/>
    <cellStyle name="Comma 3 8 10 5" xfId="17673" xr:uid="{BBE6A559-C7F8-446C-9713-67C77A7CDB06}"/>
    <cellStyle name="Comma 3 8 10 5 2" xfId="33805" xr:uid="{3870B627-5D1D-41F3-A926-4957E0D81F3A}"/>
    <cellStyle name="Comma 3 8 10 6" xfId="20289" xr:uid="{FAB1ACE1-BB2F-4594-A790-70D97245EC83}"/>
    <cellStyle name="Comma 3 8 11" xfId="4510" xr:uid="{3D3188B1-5607-4FA3-B27C-7487B1557E13}"/>
    <cellStyle name="Comma 3 8 11 2" xfId="8180" xr:uid="{A3420DE5-B033-448C-B2E2-570E2E1A559A}"/>
    <cellStyle name="Comma 3 8 11 2 2" xfId="15687" xr:uid="{C050F844-0F3E-446B-A805-DF991CBBF88D}"/>
    <cellStyle name="Comma 3 8 11 2 2 2" xfId="31891" xr:uid="{9B3404EE-3656-42A3-B9F5-4CD6D955BB6C}"/>
    <cellStyle name="Comma 3 8 11 2 3" xfId="24384" xr:uid="{E650B530-A800-46D0-AF31-394C2202F0DD}"/>
    <cellStyle name="Comma 3 8 11 3" xfId="8880" xr:uid="{492B80B3-B723-448D-AF00-CB306246EDBE}"/>
    <cellStyle name="Comma 3 8 11 3 2" xfId="16385" xr:uid="{094C9A0E-65D2-425F-B8BD-8CA636EFA160}"/>
    <cellStyle name="Comma 3 8 11 3 2 2" xfId="32589" xr:uid="{2418BFCA-6C9A-4978-9AF8-9CCF06E0C874}"/>
    <cellStyle name="Comma 3 8 11 3 3" xfId="25084" xr:uid="{84718F96-59BB-46F0-A914-26CC678EF7AE}"/>
    <cellStyle name="Comma 3 8 11 4" xfId="12073" xr:uid="{C7CED8D1-E5F6-42E7-B327-440787CDFC10}"/>
    <cellStyle name="Comma 3 8 11 4 2" xfId="28277" xr:uid="{DEE81AB5-7EA2-4D7B-B821-68194179FCB1}"/>
    <cellStyle name="Comma 3 8 11 5" xfId="17674" xr:uid="{95410F80-A962-4929-90B8-DF9EC6432577}"/>
    <cellStyle name="Comma 3 8 11 5 2" xfId="33806" xr:uid="{E1342A8F-A7B6-4672-965A-ADCEABB35269}"/>
    <cellStyle name="Comma 3 8 11 6" xfId="20714" xr:uid="{CA79FA5D-7BD0-432C-8B17-896816BFE21A}"/>
    <cellStyle name="Comma 3 8 12" xfId="4937" xr:uid="{0EC62EB6-CFB5-451B-8463-6FF1C7CF9C0A}"/>
    <cellStyle name="Comma 3 8 12 2" xfId="8603" xr:uid="{768FFA06-B9C8-41BE-8B7B-46390FAA0D86}"/>
    <cellStyle name="Comma 3 8 12 2 2" xfId="16110" xr:uid="{8EFAEC33-1C52-4756-97D2-792534605F86}"/>
    <cellStyle name="Comma 3 8 12 2 2 2" xfId="32314" xr:uid="{15952A29-E109-409D-ACA2-A7DCD63FBEE3}"/>
    <cellStyle name="Comma 3 8 12 2 3" xfId="24807" xr:uid="{40D1BDD6-E1EB-4A7F-952D-B98F82235977}"/>
    <cellStyle name="Comma 3 8 12 3" xfId="12495" xr:uid="{AAF4D1CF-9568-4D09-8D48-23802FB543EA}"/>
    <cellStyle name="Comma 3 8 12 3 2" xfId="28699" xr:uid="{279DBFEA-CB60-41AC-8EC5-835EB3C7BC0A}"/>
    <cellStyle name="Comma 3 8 12 4" xfId="21141" xr:uid="{761ED2D5-0443-4DEE-BB12-A71C25E8B25A}"/>
    <cellStyle name="Comma 3 8 13" xfId="5583" xr:uid="{4A210840-915C-4C30-A939-CCF9044CF575}"/>
    <cellStyle name="Comma 3 8 13 2" xfId="13100" xr:uid="{97056AF7-E0BB-47B2-8BAB-87421A764768}"/>
    <cellStyle name="Comma 3 8 13 2 2" xfId="29304" xr:uid="{23F74D49-8CFF-4FEE-B362-5A8A25BE52D5}"/>
    <cellStyle name="Comma 3 8 13 3" xfId="21787" xr:uid="{791EA68E-91B5-4C46-98BA-67CD6C5B7193}"/>
    <cellStyle name="Comma 3 8 14" xfId="9536" xr:uid="{DC50E47E-23F5-468C-8812-D98044A3C507}"/>
    <cellStyle name="Comma 3 8 14 2" xfId="25740" xr:uid="{9896D937-EC75-4AAE-B86B-99D4DFCCA2E2}"/>
    <cellStyle name="Comma 3 8 15" xfId="17672" xr:uid="{FFAF2726-F96B-43E9-8492-77E2600AD846}"/>
    <cellStyle name="Comma 3 8 15 2" xfId="33804" xr:uid="{AFF3FFAE-461D-45A4-B04B-C9FDB4C220BC}"/>
    <cellStyle name="Comma 3 8 16" xfId="18059" xr:uid="{97A122C4-08C4-4A1A-B0FB-0F8686F6FAD8}"/>
    <cellStyle name="Comma 3 8 2" xfId="1753" xr:uid="{8F12C091-2BAE-4C6F-A51F-C1870D8FBBF7}"/>
    <cellStyle name="Comma 3 8 2 10" xfId="5622" xr:uid="{DD080380-2378-47F3-8806-926521F79DB9}"/>
    <cellStyle name="Comma 3 8 2 10 2" xfId="13137" xr:uid="{81232161-E531-411C-ABC2-D32BFEE3AFBA}"/>
    <cellStyle name="Comma 3 8 2 10 2 2" xfId="29341" xr:uid="{DEBB3146-4128-4D6A-9F85-92BD61C7947A}"/>
    <cellStyle name="Comma 3 8 2 10 3" xfId="21826" xr:uid="{416BCA6D-1A36-43EB-B844-69E76D47149C}"/>
    <cellStyle name="Comma 3 8 2 11" xfId="9550" xr:uid="{B423568F-53FE-4FCC-9BAD-E7CDAB9A8794}"/>
    <cellStyle name="Comma 3 8 2 11 2" xfId="25754" xr:uid="{5CD23776-C37F-46E7-B5BC-EF8AFEFA56FC}"/>
    <cellStyle name="Comma 3 8 2 12" xfId="17675" xr:uid="{FC2732DD-D6E3-4B09-8545-23EA721E360E}"/>
    <cellStyle name="Comma 3 8 2 12 2" xfId="33807" xr:uid="{F5C76D38-C162-408F-9E2E-2A61296B2B95}"/>
    <cellStyle name="Comma 3 8 2 13" xfId="18073" xr:uid="{81DF7167-3B6B-4A3E-82E6-1F2D19D88408}"/>
    <cellStyle name="Comma 3 8 2 2" xfId="1944" xr:uid="{0B99BB0E-FB1A-4F56-B4CF-28186B666AE3}"/>
    <cellStyle name="Comma 3 8 2 2 10" xfId="9724" xr:uid="{88BEA16D-C0D0-4355-89AD-682483EE9A91}"/>
    <cellStyle name="Comma 3 8 2 2 10 2" xfId="25928" xr:uid="{725EF533-20AC-4A38-8BCE-E47EA45AC9B5}"/>
    <cellStyle name="Comma 3 8 2 2 11" xfId="17676" xr:uid="{2793E639-DB8A-46E1-A58E-E8012B48C94D}"/>
    <cellStyle name="Comma 3 8 2 2 11 2" xfId="33808" xr:uid="{26B3C936-8EC8-48EB-BD70-B28222E44C33}"/>
    <cellStyle name="Comma 3 8 2 2 12" xfId="18248" xr:uid="{A93BAD36-8DBA-49E1-ABE9-858713F27E45}"/>
    <cellStyle name="Comma 3 8 2 2 2" xfId="2451" xr:uid="{2095CEF3-F366-4E72-969B-3735238F53BD}"/>
    <cellStyle name="Comma 3 8 2 2 2 2" xfId="3298" xr:uid="{C13D77C0-BF57-4E03-991D-372F87330C12}"/>
    <cellStyle name="Comma 3 8 2 2 2 2 2" xfId="7080" xr:uid="{8766C843-433C-4170-B37E-22429C9C3DF1}"/>
    <cellStyle name="Comma 3 8 2 2 2 2 2 2" xfId="14591" xr:uid="{2D3F8D1A-0864-436D-91ED-756A27683326}"/>
    <cellStyle name="Comma 3 8 2 2 2 2 2 2 2" xfId="30795" xr:uid="{82021837-DD7F-4AAE-BA13-3F05C1D21C51}"/>
    <cellStyle name="Comma 3 8 2 2 2 2 2 3" xfId="23284" xr:uid="{252F5142-550A-49A1-ABF2-CD0D0647A368}"/>
    <cellStyle name="Comma 3 8 2 2 2 2 3" xfId="5215" xr:uid="{D7F72B8C-2D59-4FE2-845D-AFA9F4B3AFEF}"/>
    <cellStyle name="Comma 3 8 2 2 2 2 3 2" xfId="12771" xr:uid="{5E7A6132-F8C3-4CF3-ACC7-01662D6C9A95}"/>
    <cellStyle name="Comma 3 8 2 2 2 2 3 2 2" xfId="28975" xr:uid="{52D12731-09F9-4D04-A6EE-98EB6536CD3B}"/>
    <cellStyle name="Comma 3 8 2 2 2 2 3 3" xfId="21419" xr:uid="{AA4835CE-4024-42C4-8008-062C3ECE062B}"/>
    <cellStyle name="Comma 3 8 2 2 2 2 4" xfId="10991" xr:uid="{8B813E32-D416-4CE4-A3D5-D582A7F6CE6C}"/>
    <cellStyle name="Comma 3 8 2 2 2 2 4 2" xfId="27195" xr:uid="{C0299F40-4688-4804-8513-6E12DF393ADF}"/>
    <cellStyle name="Comma 3 8 2 2 2 2 5" xfId="17678" xr:uid="{DC7DE6C0-8F7D-4536-B2A1-A5BDBCDDB3C1}"/>
    <cellStyle name="Comma 3 8 2 2 2 2 5 2" xfId="33810" xr:uid="{DC815A6C-9996-46BA-92BF-9F21C27A9E84}"/>
    <cellStyle name="Comma 3 8 2 2 2 2 6" xfId="19518" xr:uid="{E9C17BCB-9F95-48E0-A742-A0C26FA3B39C}"/>
    <cellStyle name="Comma 3 8 2 2 2 3" xfId="6235" xr:uid="{907A5A49-970D-45FF-8FB2-28742BF7A21F}"/>
    <cellStyle name="Comma 3 8 2 2 2 3 2" xfId="13747" xr:uid="{01356AED-1359-454E-BA86-DEEF1D6CCA6E}"/>
    <cellStyle name="Comma 3 8 2 2 2 3 2 2" xfId="29951" xr:uid="{2531D413-01B0-4A51-A8EC-F47B7DE4AC3D}"/>
    <cellStyle name="Comma 3 8 2 2 2 3 3" xfId="22439" xr:uid="{849C3582-FB71-4400-A97D-D946210FE75E}"/>
    <cellStyle name="Comma 3 8 2 2 2 4" xfId="9095" xr:uid="{7FF750F8-E3CD-41F4-8211-9B11F86430FE}"/>
    <cellStyle name="Comma 3 8 2 2 2 4 2" xfId="16575" xr:uid="{385DDC3F-6F08-4DE1-91C9-FE141EE67C76}"/>
    <cellStyle name="Comma 3 8 2 2 2 4 2 2" xfId="32779" xr:uid="{BFA48C61-FBD3-4F79-84C0-C62C3F35D6D3}"/>
    <cellStyle name="Comma 3 8 2 2 2 4 3" xfId="25299" xr:uid="{693E1AD2-44F4-4358-984F-43BD3FE37BAD}"/>
    <cellStyle name="Comma 3 8 2 2 2 5" xfId="10147" xr:uid="{7B867395-82D8-4550-907C-D0D99D48BE76}"/>
    <cellStyle name="Comma 3 8 2 2 2 5 2" xfId="26351" xr:uid="{79ECDBCD-142A-4C97-8A3C-08839A5C8254}"/>
    <cellStyle name="Comma 3 8 2 2 2 6" xfId="17677" xr:uid="{58E18268-3E7E-49E4-A252-C71A74CE4709}"/>
    <cellStyle name="Comma 3 8 2 2 2 6 2" xfId="33809" xr:uid="{7255CBC7-AA53-4757-9163-94C8911A1D05}"/>
    <cellStyle name="Comma 3 8 2 2 2 7" xfId="18673" xr:uid="{C1590894-9974-4B54-B7BD-DCD5D0013628}"/>
    <cellStyle name="Comma 3 8 2 2 3" xfId="2873" xr:uid="{18138ECC-FD8D-46AF-9E16-C6D50E6A8BC1}"/>
    <cellStyle name="Comma 3 8 2 2 3 2" xfId="6657" xr:uid="{8760879F-828C-490E-9A9A-0DF776F4085A}"/>
    <cellStyle name="Comma 3 8 2 2 3 2 2" xfId="14169" xr:uid="{87AF0FFD-FEC8-4BCC-9A4F-A61460C7C005}"/>
    <cellStyle name="Comma 3 8 2 2 3 2 2 2" xfId="30373" xr:uid="{B9EE594D-1C7F-4D6C-9E24-0606EC6A8A34}"/>
    <cellStyle name="Comma 3 8 2 2 3 2 3" xfId="22861" xr:uid="{EA37EF89-2863-402A-9F20-9C75F34FF724}"/>
    <cellStyle name="Comma 3 8 2 2 3 3" xfId="5610" xr:uid="{C45ECCE7-826B-48FD-83BE-69A1E9809247}"/>
    <cellStyle name="Comma 3 8 2 2 3 3 2" xfId="13125" xr:uid="{7BDFA46F-6480-4F97-AEC9-2E9193114682}"/>
    <cellStyle name="Comma 3 8 2 2 3 3 2 2" xfId="29329" xr:uid="{BD386E27-37BC-46AE-B238-D84B790644F8}"/>
    <cellStyle name="Comma 3 8 2 2 3 3 3" xfId="21814" xr:uid="{90DD22E4-460E-458D-84AC-1EFFC99F9216}"/>
    <cellStyle name="Comma 3 8 2 2 3 4" xfId="10569" xr:uid="{AEADD100-1B70-4C10-A125-35A1E99848B8}"/>
    <cellStyle name="Comma 3 8 2 2 3 4 2" xfId="26773" xr:uid="{1B09F45B-8161-4D44-A037-AC8B6D03889E}"/>
    <cellStyle name="Comma 3 8 2 2 3 5" xfId="17679" xr:uid="{3999B1C4-4EB0-40CA-9C4E-871F2CE9C053}"/>
    <cellStyle name="Comma 3 8 2 2 3 5 2" xfId="33811" xr:uid="{AE03DC2E-82AB-40AC-A67E-835D91376A22}"/>
    <cellStyle name="Comma 3 8 2 2 3 6" xfId="19095" xr:uid="{AF76A48F-58D1-41C0-A39F-1846B91C346D}"/>
    <cellStyle name="Comma 3 8 2 2 4" xfId="3804" xr:uid="{2EBC8C7F-8747-4DA4-AD48-25B65D80E2C0}"/>
    <cellStyle name="Comma 3 8 2 2 4 2" xfId="7514" xr:uid="{5BE1B8A7-ADCD-463D-AC5A-A8739ADE795F}"/>
    <cellStyle name="Comma 3 8 2 2 4 2 2" xfId="15023" xr:uid="{93680A43-6C74-4C37-843E-510F448F4A7A}"/>
    <cellStyle name="Comma 3 8 2 2 4 2 2 2" xfId="31227" xr:uid="{EB7D16FD-9621-4047-B889-6291692BD005}"/>
    <cellStyle name="Comma 3 8 2 2 4 2 3" xfId="23718" xr:uid="{EEC02253-0303-4028-91A6-08EA94497C5E}"/>
    <cellStyle name="Comma 3 8 2 2 4 3" xfId="9173" xr:uid="{A425090D-D57C-438A-BCE7-55163866A160}"/>
    <cellStyle name="Comma 3 8 2 2 4 3 2" xfId="16647" xr:uid="{C01041EB-E491-4374-87A3-3A3F170356AE}"/>
    <cellStyle name="Comma 3 8 2 2 4 3 2 2" xfId="32851" xr:uid="{BCE241A3-70C6-45DD-ABF4-E3E88646D694}"/>
    <cellStyle name="Comma 3 8 2 2 4 3 3" xfId="25377" xr:uid="{55FDE347-BC1E-435C-AFEA-934326E86BF3}"/>
    <cellStyle name="Comma 3 8 2 2 4 4" xfId="11414" xr:uid="{622539A7-5415-49B9-8AF9-3AD8FC477120}"/>
    <cellStyle name="Comma 3 8 2 2 4 4 2" xfId="27618" xr:uid="{DFB0A787-B480-4960-8E10-652F7966BAE1}"/>
    <cellStyle name="Comma 3 8 2 2 4 5" xfId="17680" xr:uid="{484C596A-B239-44D0-ABD9-08ABB8D835D9}"/>
    <cellStyle name="Comma 3 8 2 2 4 5 2" xfId="33812" xr:uid="{9C847DEE-251C-48A3-BD37-FB3218A20B95}"/>
    <cellStyle name="Comma 3 8 2 2 4 6" xfId="20013" xr:uid="{9D432C34-34A2-476D-AC72-5523576A6934}"/>
    <cellStyle name="Comma 3 8 2 2 5" xfId="3599" xr:uid="{706392BE-C944-473F-869A-C2E6288BA5A7}"/>
    <cellStyle name="Comma 3 8 2 2 5 2" xfId="9104" xr:uid="{1789C2BA-851E-4198-B73C-B6DA7E878161}"/>
    <cellStyle name="Comma 3 8 2 2 5 2 2" xfId="25308" xr:uid="{3D62D1C9-ECF8-448E-9057-0037941A5332}"/>
    <cellStyle name="Comma 3 8 2 2 5 3" xfId="17681" xr:uid="{ABB82400-4BC9-4019-AFA6-5DCB8718C26F}"/>
    <cellStyle name="Comma 3 8 2 2 5 3 2" xfId="33813" xr:uid="{13CA7139-8BA8-4C3F-B829-5CFBE67074EF}"/>
    <cellStyle name="Comma 3 8 2 2 5 4" xfId="19809" xr:uid="{3F130649-57B4-4F82-B457-7C1511769EAF}"/>
    <cellStyle name="Comma 3 8 2 2 6" xfId="4273" xr:uid="{D3FFBE05-F12D-4D47-B7FD-D8A6A698A271}"/>
    <cellStyle name="Comma 3 8 2 2 6 2" xfId="7943" xr:uid="{67284C9C-5756-4D00-BBCD-C3B2923636B0}"/>
    <cellStyle name="Comma 3 8 2 2 6 2 2" xfId="15450" xr:uid="{5C493BA6-7DA3-409F-A413-640E0E9836E8}"/>
    <cellStyle name="Comma 3 8 2 2 6 2 2 2" xfId="31654" xr:uid="{78BCF754-6CFE-43D9-A76F-3311A75C1676}"/>
    <cellStyle name="Comma 3 8 2 2 6 2 3" xfId="24147" xr:uid="{6B322806-A75D-45B6-B1C8-31695E44DC6D}"/>
    <cellStyle name="Comma 3 8 2 2 6 3" xfId="5567" xr:uid="{D5860DD1-669C-4D3E-8E63-E4EAED69D179}"/>
    <cellStyle name="Comma 3 8 2 2 6 3 2" xfId="13086" xr:uid="{1096E6CC-5EC1-4987-88C7-8B5CFC7EF1CF}"/>
    <cellStyle name="Comma 3 8 2 2 6 3 2 2" xfId="29290" xr:uid="{581B6C72-FD83-481D-8AE6-385866D3F3F6}"/>
    <cellStyle name="Comma 3 8 2 2 6 3 3" xfId="21771" xr:uid="{586DEE38-C893-420F-86BE-0309D68F1239}"/>
    <cellStyle name="Comma 3 8 2 2 6 4" xfId="11836" xr:uid="{DEDC7808-D75C-444B-B22E-F760A9BA91D5}"/>
    <cellStyle name="Comma 3 8 2 2 6 4 2" xfId="28040" xr:uid="{80DF2CD8-B553-4724-BBFC-3660F9F0B451}"/>
    <cellStyle name="Comma 3 8 2 2 6 5" xfId="17682" xr:uid="{A631581C-F335-4C42-A8AD-C8614FD69D08}"/>
    <cellStyle name="Comma 3 8 2 2 6 5 2" xfId="33814" xr:uid="{38BC5BBE-EC54-40A7-9237-6C14555A4DBE}"/>
    <cellStyle name="Comma 3 8 2 2 6 6" xfId="20477" xr:uid="{52F0E19F-8126-4B95-9BC6-13316C45A989}"/>
    <cellStyle name="Comma 3 8 2 2 7" xfId="4698" xr:uid="{3823C7C1-1EB9-4773-802B-E82675F75D50}"/>
    <cellStyle name="Comma 3 8 2 2 7 2" xfId="8368" xr:uid="{659A29AA-36D8-4356-A3DD-77B30AC3AA8F}"/>
    <cellStyle name="Comma 3 8 2 2 7 2 2" xfId="15875" xr:uid="{B90D4618-C967-4246-9829-FA24FED9BBC8}"/>
    <cellStyle name="Comma 3 8 2 2 7 2 2 2" xfId="32079" xr:uid="{83407958-9422-4E40-A778-077213CF261D}"/>
    <cellStyle name="Comma 3 8 2 2 7 2 3" xfId="24572" xr:uid="{643BE7FA-682C-423A-B919-0799EEAD1F86}"/>
    <cellStyle name="Comma 3 8 2 2 7 3" xfId="9320" xr:uid="{2FE138B5-AC61-416A-969F-0C629C167E1A}"/>
    <cellStyle name="Comma 3 8 2 2 7 3 2" xfId="16766" xr:uid="{61C4B417-F368-406E-959A-17EFEA7DFB1F}"/>
    <cellStyle name="Comma 3 8 2 2 7 3 2 2" xfId="32970" xr:uid="{870A5A26-C904-44D5-8A00-4C4952A16BC5}"/>
    <cellStyle name="Comma 3 8 2 2 7 3 3" xfId="25524" xr:uid="{286372E9-CFF3-4456-A2A6-95DD64D51670}"/>
    <cellStyle name="Comma 3 8 2 2 7 4" xfId="12261" xr:uid="{F4D75466-F3F3-4BB4-B1CE-262C414184A4}"/>
    <cellStyle name="Comma 3 8 2 2 7 4 2" xfId="28465" xr:uid="{D01DB851-621F-40E0-9C10-BC8C12AA38F3}"/>
    <cellStyle name="Comma 3 8 2 2 7 5" xfId="17683" xr:uid="{C8600E9D-CE69-4156-8B22-6903A93726D1}"/>
    <cellStyle name="Comma 3 8 2 2 7 5 2" xfId="33815" xr:uid="{C495F44E-98C4-4802-9AF3-AF2D67C7F423}"/>
    <cellStyle name="Comma 3 8 2 2 7 6" xfId="20902" xr:uid="{A818D66A-D8A9-4069-A159-DDA73BE3EB4D}"/>
    <cellStyle name="Comma 3 8 2 2 8" xfId="5126" xr:uid="{94AA2D49-143E-4E44-9C30-0CDC6EC9A857}"/>
    <cellStyle name="Comma 3 8 2 2 8 2" xfId="8791" xr:uid="{A4257D11-D97C-454D-BE20-EDF844A80F33}"/>
    <cellStyle name="Comma 3 8 2 2 8 2 2" xfId="16298" xr:uid="{98E7CBBA-60AF-4982-A058-E349B3D86C33}"/>
    <cellStyle name="Comma 3 8 2 2 8 2 2 2" xfId="32502" xr:uid="{435CC1A8-1CF2-4320-9DA6-F650DD119D96}"/>
    <cellStyle name="Comma 3 8 2 2 8 2 3" xfId="24995" xr:uid="{940FDF41-88E1-4C1D-97F3-CC918890B0B0}"/>
    <cellStyle name="Comma 3 8 2 2 8 3" xfId="12683" xr:uid="{EF376B10-D7ED-4797-8D9A-C950A184CB85}"/>
    <cellStyle name="Comma 3 8 2 2 8 3 2" xfId="28887" xr:uid="{7AABABBD-96D2-4F37-AA83-83EEABE512DF}"/>
    <cellStyle name="Comma 3 8 2 2 8 4" xfId="21330" xr:uid="{FF0175E2-02B9-40F4-8595-BBA73266B964}"/>
    <cellStyle name="Comma 3 8 2 2 9" xfId="5797" xr:uid="{999DE179-1303-4464-BDA6-8CFF453EA08C}"/>
    <cellStyle name="Comma 3 8 2 2 9 2" xfId="13312" xr:uid="{14342912-9C52-42E8-A885-6EB8CC71694A}"/>
    <cellStyle name="Comma 3 8 2 2 9 2 2" xfId="29516" xr:uid="{82CD9F72-FAED-4635-88EC-9DF43049F481}"/>
    <cellStyle name="Comma 3 8 2 2 9 3" xfId="22001" xr:uid="{86361B2A-D623-4031-B70F-C76715ACC965}"/>
    <cellStyle name="Comma 3 8 2 3" xfId="2273" xr:uid="{5B34E414-9612-4E18-8FA5-9DBA5F19C73E}"/>
    <cellStyle name="Comma 3 8 2 3 2" xfId="3124" xr:uid="{E53BDC01-A4A4-4634-8594-178EA979D86A}"/>
    <cellStyle name="Comma 3 8 2 3 2 2" xfId="6906" xr:uid="{7896E56D-4777-45DF-AF1B-835A8EEDEFC1}"/>
    <cellStyle name="Comma 3 8 2 3 2 2 2" xfId="14417" xr:uid="{91FD006B-92CD-4BF8-805D-05D6355460E1}"/>
    <cellStyle name="Comma 3 8 2 3 2 2 2 2" xfId="30621" xr:uid="{B5BB25C4-88E0-48F9-B74F-1B7BE68DD628}"/>
    <cellStyle name="Comma 3 8 2 3 2 2 3" xfId="23110" xr:uid="{19E3853F-5A43-4961-A313-68F10A46DF59}"/>
    <cellStyle name="Comma 3 8 2 3 2 3" xfId="9150" xr:uid="{6629ADA4-59E8-4139-A6FD-47B414A91511}"/>
    <cellStyle name="Comma 3 8 2 3 2 3 2" xfId="16626" xr:uid="{5BD12C78-0164-4646-8082-D88CE6DF8AC5}"/>
    <cellStyle name="Comma 3 8 2 3 2 3 2 2" xfId="32830" xr:uid="{F357D389-6258-4027-A6BA-D1331A11D1DB}"/>
    <cellStyle name="Comma 3 8 2 3 2 3 3" xfId="25354" xr:uid="{43C22F73-0852-43D4-9E0A-F5D368A35BEA}"/>
    <cellStyle name="Comma 3 8 2 3 2 4" xfId="10817" xr:uid="{B347693E-5168-4C6E-B64A-73FF3E644108}"/>
    <cellStyle name="Comma 3 8 2 3 2 4 2" xfId="27021" xr:uid="{C794547C-9235-4F57-9A6C-2B7A527A76D3}"/>
    <cellStyle name="Comma 3 8 2 3 2 5" xfId="17685" xr:uid="{0590380D-0BA6-418F-8B7E-B4C9D8AAF8EE}"/>
    <cellStyle name="Comma 3 8 2 3 2 5 2" xfId="33817" xr:uid="{4E8C2083-D51C-4E7E-8F2F-FA591E597038}"/>
    <cellStyle name="Comma 3 8 2 3 2 6" xfId="19344" xr:uid="{18F268FD-4B0C-4A89-92DE-3702AFC894C8}"/>
    <cellStyle name="Comma 3 8 2 3 3" xfId="6061" xr:uid="{AD0EFD21-B533-4878-8C55-337A33085882}"/>
    <cellStyle name="Comma 3 8 2 3 3 2" xfId="13573" xr:uid="{359A4120-040B-4956-9B91-56B095A1DC6D}"/>
    <cellStyle name="Comma 3 8 2 3 3 2 2" xfId="29777" xr:uid="{10941EE4-2400-4991-99AE-F85EBA0DD582}"/>
    <cellStyle name="Comma 3 8 2 3 3 3" xfId="22265" xr:uid="{2CB7A63D-8A1E-465F-BED7-9962451FD7FC}"/>
    <cellStyle name="Comma 3 8 2 3 4" xfId="5440" xr:uid="{350F8E5F-8525-4752-A669-18BDFE5D2786}"/>
    <cellStyle name="Comma 3 8 2 3 4 2" xfId="12983" xr:uid="{8DFE9D61-4F0E-4B71-A374-B1A9E216BE48}"/>
    <cellStyle name="Comma 3 8 2 3 4 2 2" xfId="29187" xr:uid="{1FF25461-ED55-4C84-851F-81E3284FEE24}"/>
    <cellStyle name="Comma 3 8 2 3 4 3" xfId="21644" xr:uid="{8E729C57-0CC2-42E5-9D45-C5A016A70767}"/>
    <cellStyle name="Comma 3 8 2 3 5" xfId="9973" xr:uid="{4D6D7205-19E6-4CE3-82DC-B9F81FF93F7E}"/>
    <cellStyle name="Comma 3 8 2 3 5 2" xfId="26177" xr:uid="{FE0EB793-AE23-46A4-A67B-0CA5876F86E7}"/>
    <cellStyle name="Comma 3 8 2 3 6" xfId="17684" xr:uid="{AF4E7992-FE5C-4B96-A96A-8404FAD1A5E9}"/>
    <cellStyle name="Comma 3 8 2 3 6 2" xfId="33816" xr:uid="{9E72A925-6B77-40B1-B9F9-98D5A7D2F099}"/>
    <cellStyle name="Comma 3 8 2 3 7" xfId="18499" xr:uid="{A7315DD2-DC95-4339-8246-2DBB8A859200}"/>
    <cellStyle name="Comma 3 8 2 4" xfId="2699" xr:uid="{4BE10FC1-A035-4152-8A16-EA8F3BC9E80E}"/>
    <cellStyle name="Comma 3 8 2 4 2" xfId="6483" xr:uid="{AB795A70-BD3E-4C20-80DC-87BB68B5C24B}"/>
    <cellStyle name="Comma 3 8 2 4 2 2" xfId="13995" xr:uid="{8E30611B-924A-43F2-A856-FD4C739D1598}"/>
    <cellStyle name="Comma 3 8 2 4 2 2 2" xfId="30199" xr:uid="{50163758-2BCD-4F3D-8A8B-58E15779CDD8}"/>
    <cellStyle name="Comma 3 8 2 4 2 3" xfId="22687" xr:uid="{9DB03126-B4E6-4613-8C92-ABC712E2D575}"/>
    <cellStyle name="Comma 3 8 2 4 3" xfId="9075" xr:uid="{32190FFB-3177-48CE-AFB5-71C6AF2B868D}"/>
    <cellStyle name="Comma 3 8 2 4 3 2" xfId="16557" xr:uid="{9B7B4A7E-86F8-40A0-AE80-072F6CAE2C24}"/>
    <cellStyle name="Comma 3 8 2 4 3 2 2" xfId="32761" xr:uid="{9D1B586C-E97B-4C14-9BF0-097D5E732D98}"/>
    <cellStyle name="Comma 3 8 2 4 3 3" xfId="25279" xr:uid="{D383CE4A-5544-4B48-B0B7-9F42C2C01C9B}"/>
    <cellStyle name="Comma 3 8 2 4 4" xfId="10395" xr:uid="{A76363D4-132E-45E0-BDA3-14C7BABDDAD1}"/>
    <cellStyle name="Comma 3 8 2 4 4 2" xfId="26599" xr:uid="{616BD130-E287-4661-BF41-229812E1EEBB}"/>
    <cellStyle name="Comma 3 8 2 4 5" xfId="17686" xr:uid="{4F8738F0-54D3-460D-A838-24712D873917}"/>
    <cellStyle name="Comma 3 8 2 4 5 2" xfId="33818" xr:uid="{1EC71E7C-3F01-4CF6-9BC3-421613ADE278}"/>
    <cellStyle name="Comma 3 8 2 4 6" xfId="18921" xr:uid="{9952F565-88A5-4CE8-9FEE-07F1BB6AA520}"/>
    <cellStyle name="Comma 3 8 2 5" xfId="3629" xr:uid="{EBBFF6A2-26B3-4663-BE7E-B2847181A2A2}"/>
    <cellStyle name="Comma 3 8 2 5 2" xfId="7339" xr:uid="{E75F4531-262C-4476-96DB-B6687C046655}"/>
    <cellStyle name="Comma 3 8 2 5 2 2" xfId="14848" xr:uid="{C83F668E-FCB1-448A-8241-7F957E0D1361}"/>
    <cellStyle name="Comma 3 8 2 5 2 2 2" xfId="31052" xr:uid="{EF62175E-55CC-4812-A478-A151F8EDCBF0}"/>
    <cellStyle name="Comma 3 8 2 5 2 3" xfId="23543" xr:uid="{9EE15D62-2EE8-49D4-A9B3-9D0F8E06B3A6}"/>
    <cellStyle name="Comma 3 8 2 5 3" xfId="9378" xr:uid="{3BD53C15-9C85-4CF0-A64F-0F68754F3130}"/>
    <cellStyle name="Comma 3 8 2 5 3 2" xfId="16819" xr:uid="{0CCAD40B-E3AC-4FAD-9EBE-F1D9DBA188D6}"/>
    <cellStyle name="Comma 3 8 2 5 3 2 2" xfId="33023" xr:uid="{D08F6C8C-7DC0-418B-BC09-DEC1EDA46F07}"/>
    <cellStyle name="Comma 3 8 2 5 3 3" xfId="25582" xr:uid="{C641A0B2-DE46-4C83-B2DB-F4EBE6349B6E}"/>
    <cellStyle name="Comma 3 8 2 5 4" xfId="11240" xr:uid="{6136895A-135B-43C2-8004-0D4446A3E1A9}"/>
    <cellStyle name="Comma 3 8 2 5 4 2" xfId="27444" xr:uid="{DD31589D-8861-4AF3-A71E-1D0978B7665F}"/>
    <cellStyle name="Comma 3 8 2 5 5" xfId="17687" xr:uid="{0132A8F1-AF4A-458D-BD9C-32E117101B9B}"/>
    <cellStyle name="Comma 3 8 2 5 5 2" xfId="33819" xr:uid="{274E7FF9-8118-4C2C-BDBC-55D5293EA9CA}"/>
    <cellStyle name="Comma 3 8 2 5 6" xfId="19838" xr:uid="{26B240E6-3E92-4DEF-B7FF-8CF7236637C8}"/>
    <cellStyle name="Comma 3 8 2 6" xfId="3897" xr:uid="{9EBDDDAB-19C9-43F1-BA29-BB40B07E0F03}"/>
    <cellStyle name="Comma 3 8 2 6 2" xfId="7309" xr:uid="{64A3F334-C489-4BC9-9A08-8AE247347244}"/>
    <cellStyle name="Comma 3 8 2 6 2 2" xfId="23513" xr:uid="{AA6F3EBE-65D4-4666-941A-C06BFB12B2DE}"/>
    <cellStyle name="Comma 3 8 2 6 3" xfId="17688" xr:uid="{07C7E23E-D5C3-43A7-A002-826E905AA5D9}"/>
    <cellStyle name="Comma 3 8 2 6 3 2" xfId="33820" xr:uid="{353B0B93-3B51-400B-92AB-134C4A85C0A8}"/>
    <cellStyle name="Comma 3 8 2 6 4" xfId="20106" xr:uid="{8FE3AFDB-D469-4D49-944F-04AD7C0C3788}"/>
    <cellStyle name="Comma 3 8 2 7" xfId="4099" xr:uid="{07F78CA5-DC21-4C9C-9963-31D05573C217}"/>
    <cellStyle name="Comma 3 8 2 7 2" xfId="7769" xr:uid="{96616BDE-3073-4390-9217-8AC609E85F4B}"/>
    <cellStyle name="Comma 3 8 2 7 2 2" xfId="15276" xr:uid="{1592977C-689F-490A-A57F-0596ECC9C59E}"/>
    <cellStyle name="Comma 3 8 2 7 2 2 2" xfId="31480" xr:uid="{87A1E7DB-672B-4A24-B142-AB12F55D46BD}"/>
    <cellStyle name="Comma 3 8 2 7 2 3" xfId="23973" xr:uid="{0ADF9818-F313-4ACA-8F69-62EB3549D36F}"/>
    <cellStyle name="Comma 3 8 2 7 3" xfId="9182" xr:uid="{8199CBE5-5A80-4DC5-85A3-BA3F163DF2CC}"/>
    <cellStyle name="Comma 3 8 2 7 3 2" xfId="16655" xr:uid="{DB09E1A6-9D7F-407E-AF88-885D5ADF20A6}"/>
    <cellStyle name="Comma 3 8 2 7 3 2 2" xfId="32859" xr:uid="{F336DC28-BA3C-4946-8427-3AE40877B7B6}"/>
    <cellStyle name="Comma 3 8 2 7 3 3" xfId="25386" xr:uid="{C640FBE8-70DB-4024-8595-7F1BD0B816CC}"/>
    <cellStyle name="Comma 3 8 2 7 4" xfId="11662" xr:uid="{A1CE75AD-9DCF-4909-8018-9B970F7B9DD2}"/>
    <cellStyle name="Comma 3 8 2 7 4 2" xfId="27866" xr:uid="{457E4995-60B9-41D3-8088-26D4755FCA08}"/>
    <cellStyle name="Comma 3 8 2 7 5" xfId="17689" xr:uid="{AFEC834C-2FB4-4954-9B18-B169E8CFF120}"/>
    <cellStyle name="Comma 3 8 2 7 5 2" xfId="33821" xr:uid="{169D6014-D064-4788-BADE-CACED28A2033}"/>
    <cellStyle name="Comma 3 8 2 7 6" xfId="20303" xr:uid="{9BB795B2-00B0-4BC7-A4CE-314FE94DB257}"/>
    <cellStyle name="Comma 3 8 2 8" xfId="4524" xr:uid="{20531D0D-6E26-417A-BD01-57F74E34CBF5}"/>
    <cellStyle name="Comma 3 8 2 8 2" xfId="8194" xr:uid="{D1A8DAD9-447F-4B03-8C98-67BA1BD5F820}"/>
    <cellStyle name="Comma 3 8 2 8 2 2" xfId="15701" xr:uid="{EBDF2301-7F8C-4910-974B-7FE2DFB1AD78}"/>
    <cellStyle name="Comma 3 8 2 8 2 2 2" xfId="31905" xr:uid="{B0B8CE71-FD9C-4E31-A6F0-69BB037CD3F9}"/>
    <cellStyle name="Comma 3 8 2 8 2 3" xfId="24398" xr:uid="{11DEA993-C37B-41C0-8E39-205308BC6866}"/>
    <cellStyle name="Comma 3 8 2 8 3" xfId="9069" xr:uid="{A4D1B01D-B15E-4B78-8B7F-CAF3855D1107}"/>
    <cellStyle name="Comma 3 8 2 8 3 2" xfId="16553" xr:uid="{19F18D5D-DFD6-40BB-8D71-62A416DF317D}"/>
    <cellStyle name="Comma 3 8 2 8 3 2 2" xfId="32757" xr:uid="{5F704191-3FF5-47CF-BFFE-214792E80D18}"/>
    <cellStyle name="Comma 3 8 2 8 3 3" xfId="25273" xr:uid="{3BF8EC54-D3FD-4855-A924-323ECB48D8AF}"/>
    <cellStyle name="Comma 3 8 2 8 4" xfId="12087" xr:uid="{FC2B9AC2-EDD3-47E1-8AD7-12FC0C33E50F}"/>
    <cellStyle name="Comma 3 8 2 8 4 2" xfId="28291" xr:uid="{6D527AB9-3268-460C-A166-4832C3225D2A}"/>
    <cellStyle name="Comma 3 8 2 8 5" xfId="17690" xr:uid="{196345DD-A82A-46CB-A8C2-1920AE6A9DE7}"/>
    <cellStyle name="Comma 3 8 2 8 5 2" xfId="33822" xr:uid="{0C19A220-65C6-44FE-8CF9-058903104C6B}"/>
    <cellStyle name="Comma 3 8 2 8 6" xfId="20728" xr:uid="{6085BAAE-AEE3-4118-AA04-C8ECA7F59A17}"/>
    <cellStyle name="Comma 3 8 2 9" xfId="4951" xr:uid="{21858950-90AC-4490-874E-9DA7DBDEB017}"/>
    <cellStyle name="Comma 3 8 2 9 2" xfId="8617" xr:uid="{A2F61F03-99EF-496B-AE62-00D21C2BF6F9}"/>
    <cellStyle name="Comma 3 8 2 9 2 2" xfId="16124" xr:uid="{8F133DA2-C290-4216-84A4-AAF39D5B5DD8}"/>
    <cellStyle name="Comma 3 8 2 9 2 2 2" xfId="32328" xr:uid="{633012DE-CAE5-4B56-809B-1D2ECFA749FB}"/>
    <cellStyle name="Comma 3 8 2 9 2 3" xfId="24821" xr:uid="{2551C112-4CB0-4955-97CE-6D7C2A92B3C5}"/>
    <cellStyle name="Comma 3 8 2 9 3" xfId="12509" xr:uid="{FC973713-697C-49D7-B119-23C7D913A1E0}"/>
    <cellStyle name="Comma 3 8 2 9 3 2" xfId="28713" xr:uid="{1A593F07-2299-4E44-AD31-3715C882648B}"/>
    <cellStyle name="Comma 3 8 2 9 4" xfId="21155" xr:uid="{72EC68F2-3586-404B-A65A-F8669107664F}"/>
    <cellStyle name="Comma 3 8 3" xfId="1771" xr:uid="{E54EDA87-48D2-40FA-BEE3-790F3ED04C2E}"/>
    <cellStyle name="Comma 3 8 3 10" xfId="5636" xr:uid="{404898AB-526C-4AA3-AEA8-670ED073C789}"/>
    <cellStyle name="Comma 3 8 3 10 2" xfId="13151" xr:uid="{DEDB0BF3-A4BF-478C-8242-960C91FF02DB}"/>
    <cellStyle name="Comma 3 8 3 10 2 2" xfId="29355" xr:uid="{81A9A2EA-F865-4E81-908D-7F941E0422DB}"/>
    <cellStyle name="Comma 3 8 3 10 3" xfId="21840" xr:uid="{0E5AFDA0-537B-4AE1-A392-834DFCCE0524}"/>
    <cellStyle name="Comma 3 8 3 11" xfId="9564" xr:uid="{F5223F29-E778-451F-B5B5-830DF3505D32}"/>
    <cellStyle name="Comma 3 8 3 11 2" xfId="25768" xr:uid="{D6C6435E-D8BB-487E-871C-C31C23859601}"/>
    <cellStyle name="Comma 3 8 3 12" xfId="17691" xr:uid="{EC2AD460-8FA4-4CCD-9C23-669353ECE852}"/>
    <cellStyle name="Comma 3 8 3 12 2" xfId="33823" xr:uid="{0F422910-718B-4511-A1CF-188F5549D07A}"/>
    <cellStyle name="Comma 3 8 3 13" xfId="18087" xr:uid="{F2BD9307-ED57-453F-91A0-55CAD455F4BF}"/>
    <cellStyle name="Comma 3 8 3 2" xfId="1945" xr:uid="{CC8E7627-D4F8-43A7-9CF1-2B677D898AEA}"/>
    <cellStyle name="Comma 3 8 3 2 10" xfId="9725" xr:uid="{10265FF8-6A4A-4AB5-8B74-59DCFE5394B4}"/>
    <cellStyle name="Comma 3 8 3 2 10 2" xfId="25929" xr:uid="{43257A2D-F39A-49B7-B643-403DFD4FCE64}"/>
    <cellStyle name="Comma 3 8 3 2 11" xfId="17692" xr:uid="{8AD8CDB3-6733-4E36-B5CE-A12D98A50762}"/>
    <cellStyle name="Comma 3 8 3 2 11 2" xfId="33824" xr:uid="{0CBBB2EE-8C9F-4678-AFB6-8D10466166A3}"/>
    <cellStyle name="Comma 3 8 3 2 12" xfId="18249" xr:uid="{64AD078A-93DF-4961-AF62-56A42A80898B}"/>
    <cellStyle name="Comma 3 8 3 2 2" xfId="2452" xr:uid="{161FC0CA-9F80-443E-B476-24D317186728}"/>
    <cellStyle name="Comma 3 8 3 2 2 2" xfId="3299" xr:uid="{9A3E9CCB-FB2E-4273-9F72-C026DB6C2555}"/>
    <cellStyle name="Comma 3 8 3 2 2 2 2" xfId="7081" xr:uid="{624D652F-9DF4-45D8-9711-AB600698EDB2}"/>
    <cellStyle name="Comma 3 8 3 2 2 2 2 2" xfId="14592" xr:uid="{253961D0-3B17-42AF-A0AE-967316F8208B}"/>
    <cellStyle name="Comma 3 8 3 2 2 2 2 2 2" xfId="30796" xr:uid="{EB14F89A-B113-46E0-90CA-118A0C98E4D8}"/>
    <cellStyle name="Comma 3 8 3 2 2 2 2 3" xfId="23285" xr:uid="{38FDFCF1-8EDC-4B27-805E-C5E7BA3DFBA7}"/>
    <cellStyle name="Comma 3 8 3 2 2 2 3" xfId="9255" xr:uid="{9552AB10-5537-4CE9-8D11-21FFCE4C900E}"/>
    <cellStyle name="Comma 3 8 3 2 2 2 3 2" xfId="16716" xr:uid="{2A341566-19E8-4297-BD1E-6116408D3D64}"/>
    <cellStyle name="Comma 3 8 3 2 2 2 3 2 2" xfId="32920" xr:uid="{F5980A2D-58A9-4A9D-AA89-05E58362B940}"/>
    <cellStyle name="Comma 3 8 3 2 2 2 3 3" xfId="25459" xr:uid="{389C8D1A-4F01-421F-8354-B981E1474DD1}"/>
    <cellStyle name="Comma 3 8 3 2 2 2 4" xfId="10992" xr:uid="{7396D44E-BC1B-4FA7-A1CB-A1351909D8BB}"/>
    <cellStyle name="Comma 3 8 3 2 2 2 4 2" xfId="27196" xr:uid="{FE2F4E20-04DD-4B8F-BF96-08B652E1D41C}"/>
    <cellStyle name="Comma 3 8 3 2 2 2 5" xfId="17694" xr:uid="{CEE11A50-37C9-4B45-A462-0B944C2C82C5}"/>
    <cellStyle name="Comma 3 8 3 2 2 2 5 2" xfId="33826" xr:uid="{D025AB48-3D09-4204-A3F8-340ABBFA360A}"/>
    <cellStyle name="Comma 3 8 3 2 2 2 6" xfId="19519" xr:uid="{73570F50-6F29-4255-9B2B-E0A6C991565C}"/>
    <cellStyle name="Comma 3 8 3 2 2 3" xfId="6236" xr:uid="{788E74DE-17D5-43E3-8F78-FF752F91B3C2}"/>
    <cellStyle name="Comma 3 8 3 2 2 3 2" xfId="13748" xr:uid="{D6D21AF2-1AFD-4B8A-8AFF-2E9AB1ECD5FE}"/>
    <cellStyle name="Comma 3 8 3 2 2 3 2 2" xfId="29952" xr:uid="{D0F9A6F4-D96B-4F6A-BE11-D2D436CE20DC}"/>
    <cellStyle name="Comma 3 8 3 2 2 3 3" xfId="22440" xr:uid="{17FE2A95-72A1-4AB6-92DA-03F389B15640}"/>
    <cellStyle name="Comma 3 8 3 2 2 4" xfId="5435" xr:uid="{EC6E6482-7E7D-493D-B510-1523BD8DC0F3}"/>
    <cellStyle name="Comma 3 8 3 2 2 4 2" xfId="12978" xr:uid="{F08F4D07-7275-47C5-86CA-2B1377175383}"/>
    <cellStyle name="Comma 3 8 3 2 2 4 2 2" xfId="29182" xr:uid="{A72B82DA-DF2F-4A76-BA77-0B4DFD8163EE}"/>
    <cellStyle name="Comma 3 8 3 2 2 4 3" xfId="21639" xr:uid="{21061E82-3A8D-42E1-9178-348A149BDC8D}"/>
    <cellStyle name="Comma 3 8 3 2 2 5" xfId="10148" xr:uid="{4EEBC971-E303-49D6-9089-2EF2A2A9A9C2}"/>
    <cellStyle name="Comma 3 8 3 2 2 5 2" xfId="26352" xr:uid="{D3C1604E-CC53-449B-9F5C-81940D811C09}"/>
    <cellStyle name="Comma 3 8 3 2 2 6" xfId="17693" xr:uid="{C0F2ADC1-5AEC-451F-9C53-8A6DF27151E8}"/>
    <cellStyle name="Comma 3 8 3 2 2 6 2" xfId="33825" xr:uid="{6036A97C-D77A-4E33-8AE5-52AB17201DC8}"/>
    <cellStyle name="Comma 3 8 3 2 2 7" xfId="18674" xr:uid="{92B02C5C-1759-4EB2-8E36-924514C6A66C}"/>
    <cellStyle name="Comma 3 8 3 2 3" xfId="2874" xr:uid="{1531D7B2-8760-4DFE-982C-A95C5C00507E}"/>
    <cellStyle name="Comma 3 8 3 2 3 2" xfId="6658" xr:uid="{20D6B611-06BB-4644-98A4-94D936A5EF81}"/>
    <cellStyle name="Comma 3 8 3 2 3 2 2" xfId="14170" xr:uid="{82877AC5-A573-4709-A500-C8582C492A26}"/>
    <cellStyle name="Comma 3 8 3 2 3 2 2 2" xfId="30374" xr:uid="{285104A7-18FD-420B-B5F6-4B5F7D5AB205}"/>
    <cellStyle name="Comma 3 8 3 2 3 2 3" xfId="22862" xr:uid="{8C754DBD-FCC5-44D5-9D84-F5F9040797D0}"/>
    <cellStyle name="Comma 3 8 3 2 3 3" xfId="5482" xr:uid="{3275A8EF-4687-4D10-996F-DD61C7A7554D}"/>
    <cellStyle name="Comma 3 8 3 2 3 3 2" xfId="13020" xr:uid="{5067BD54-67BA-430F-8BC7-320E51FC1760}"/>
    <cellStyle name="Comma 3 8 3 2 3 3 2 2" xfId="29224" xr:uid="{DB71E2AC-2E04-4F00-85D8-7B3B255B0750}"/>
    <cellStyle name="Comma 3 8 3 2 3 3 3" xfId="21686" xr:uid="{A2FEF2E4-0AA3-4E38-B656-0314F0548E8D}"/>
    <cellStyle name="Comma 3 8 3 2 3 4" xfId="10570" xr:uid="{485D96E3-6CBC-48DD-9AE7-5A11B31C99FC}"/>
    <cellStyle name="Comma 3 8 3 2 3 4 2" xfId="26774" xr:uid="{90D8819E-B1A1-4203-A611-45F0C7285308}"/>
    <cellStyle name="Comma 3 8 3 2 3 5" xfId="17695" xr:uid="{289F69EF-E891-4F24-A72C-D212D2DB29EA}"/>
    <cellStyle name="Comma 3 8 3 2 3 5 2" xfId="33827" xr:uid="{D5E3AFE9-96EA-454F-81DB-FA0A761B8744}"/>
    <cellStyle name="Comma 3 8 3 2 3 6" xfId="19096" xr:uid="{7F73CBF2-D3BF-4DCD-A127-CBEAABB02EFC}"/>
    <cellStyle name="Comma 3 8 3 2 4" xfId="3805" xr:uid="{FCAE863D-7E35-4518-B75D-1CEE5F696AB4}"/>
    <cellStyle name="Comma 3 8 3 2 4 2" xfId="7515" xr:uid="{7046E3A6-199A-4C91-9297-95B3A0A0495F}"/>
    <cellStyle name="Comma 3 8 3 2 4 2 2" xfId="15024" xr:uid="{794A7478-3126-4F28-B781-95A234A4C370}"/>
    <cellStyle name="Comma 3 8 3 2 4 2 2 2" xfId="31228" xr:uid="{C8785B31-CCE4-48FD-BE77-58BFB5A200E1}"/>
    <cellStyle name="Comma 3 8 3 2 4 2 3" xfId="23719" xr:uid="{80BDF9F5-9901-497C-9A6B-EE8C1958CF65}"/>
    <cellStyle name="Comma 3 8 3 2 4 3" xfId="5539" xr:uid="{858959A1-E25D-4BA9-9852-975942084C6B}"/>
    <cellStyle name="Comma 3 8 3 2 4 3 2" xfId="13065" xr:uid="{7F711172-2EC7-40E5-AF35-C1D4C1786206}"/>
    <cellStyle name="Comma 3 8 3 2 4 3 2 2" xfId="29269" xr:uid="{B1C4CACD-1BD4-411D-8E9D-2DD52A7BC75D}"/>
    <cellStyle name="Comma 3 8 3 2 4 3 3" xfId="21743" xr:uid="{238A8184-BD6E-4ED4-B461-189141D0B343}"/>
    <cellStyle name="Comma 3 8 3 2 4 4" xfId="11415" xr:uid="{A3FC03D0-98A6-42B0-A15E-765028672175}"/>
    <cellStyle name="Comma 3 8 3 2 4 4 2" xfId="27619" xr:uid="{B3F22A9E-EDC6-448F-A74E-BFA91EF184A7}"/>
    <cellStyle name="Comma 3 8 3 2 4 5" xfId="17696" xr:uid="{3970FF10-2917-4B79-A046-746CD74D610A}"/>
    <cellStyle name="Comma 3 8 3 2 4 5 2" xfId="33828" xr:uid="{F07F712E-2A1E-4B83-97D8-25E2D75AADAD}"/>
    <cellStyle name="Comma 3 8 3 2 4 6" xfId="20014" xr:uid="{CE1E7FC5-064C-4E8C-8724-0C071857FDF8}"/>
    <cellStyle name="Comma 3 8 3 2 5" xfId="3895" xr:uid="{34DF3608-1771-4C68-A0F3-9C17550B008D}"/>
    <cellStyle name="Comma 3 8 3 2 5 2" xfId="5488" xr:uid="{9AF83F40-D59A-4451-BA96-E593EA0E422B}"/>
    <cellStyle name="Comma 3 8 3 2 5 2 2" xfId="21692" xr:uid="{AC1FCFC4-D94A-4CFA-B1F4-E30BE29B1D2E}"/>
    <cellStyle name="Comma 3 8 3 2 5 3" xfId="17697" xr:uid="{F2A9DAD5-0134-48B3-A77E-56F9B6CA9072}"/>
    <cellStyle name="Comma 3 8 3 2 5 3 2" xfId="33829" xr:uid="{5BF0CB2A-B191-4045-AAEC-BB2D7D8466A6}"/>
    <cellStyle name="Comma 3 8 3 2 5 4" xfId="20104" xr:uid="{1A192D4E-F657-450F-B2E1-0C23591F7739}"/>
    <cellStyle name="Comma 3 8 3 2 6" xfId="4274" xr:uid="{53DB882A-2A44-4F9E-BC67-C04E7937BC29}"/>
    <cellStyle name="Comma 3 8 3 2 6 2" xfId="7944" xr:uid="{4CBB14A1-275D-472A-91FA-7D30D7BDEC61}"/>
    <cellStyle name="Comma 3 8 3 2 6 2 2" xfId="15451" xr:uid="{E1EABC6B-E12C-4596-B9D1-1F6FCE9DBD5F}"/>
    <cellStyle name="Comma 3 8 3 2 6 2 2 2" xfId="31655" xr:uid="{45CD1B0F-59DE-422C-8698-652073DF6F9C}"/>
    <cellStyle name="Comma 3 8 3 2 6 2 3" xfId="24148" xr:uid="{C1CED819-A33D-4BF2-8379-DD1302FA9274}"/>
    <cellStyle name="Comma 3 8 3 2 6 3" xfId="9358" xr:uid="{4962F679-4579-497D-BB20-87AD55BBDE6B}"/>
    <cellStyle name="Comma 3 8 3 2 6 3 2" xfId="16800" xr:uid="{0AA400EA-7C03-44D5-862D-8178D3267F85}"/>
    <cellStyle name="Comma 3 8 3 2 6 3 2 2" xfId="33004" xr:uid="{3789ABF5-7B1B-4A0D-9D6C-11D615702ED5}"/>
    <cellStyle name="Comma 3 8 3 2 6 3 3" xfId="25562" xr:uid="{551B56E5-253C-4538-BE05-BF039DC75059}"/>
    <cellStyle name="Comma 3 8 3 2 6 4" xfId="11837" xr:uid="{F2ED86A2-59B9-4033-86F8-AEE2FDC58B2A}"/>
    <cellStyle name="Comma 3 8 3 2 6 4 2" xfId="28041" xr:uid="{CB5F1E2E-D939-41B8-BDC2-979FF28E3243}"/>
    <cellStyle name="Comma 3 8 3 2 6 5" xfId="17698" xr:uid="{F876454E-60E3-44B7-83BE-C4E19360A10F}"/>
    <cellStyle name="Comma 3 8 3 2 6 5 2" xfId="33830" xr:uid="{5D9F549F-7427-4475-9938-02F3D2DA879C}"/>
    <cellStyle name="Comma 3 8 3 2 6 6" xfId="20478" xr:uid="{9C175DD4-A892-48AE-A941-9D406A929342}"/>
    <cellStyle name="Comma 3 8 3 2 7" xfId="4699" xr:uid="{1E7EA640-B935-4AC9-80D5-84562A03BC3D}"/>
    <cellStyle name="Comma 3 8 3 2 7 2" xfId="8369" xr:uid="{3DF61E60-8E38-4AA6-92FB-00FC8AE65A12}"/>
    <cellStyle name="Comma 3 8 3 2 7 2 2" xfId="15876" xr:uid="{F6F5C040-EFDE-4029-98D7-6D05708FF736}"/>
    <cellStyle name="Comma 3 8 3 2 7 2 2 2" xfId="32080" xr:uid="{9C9974DB-0EE9-45D7-BC5E-BB2BC50355ED}"/>
    <cellStyle name="Comma 3 8 3 2 7 2 3" xfId="24573" xr:uid="{CE0C0E93-0A49-4DC8-B802-228A7B9AB569}"/>
    <cellStyle name="Comma 3 8 3 2 7 3" xfId="9334" xr:uid="{D3D8A476-8D76-4D4E-8B4D-3611768E51B6}"/>
    <cellStyle name="Comma 3 8 3 2 7 3 2" xfId="16778" xr:uid="{90EC8BE2-6BBC-47A7-BBAA-3184EB298DE0}"/>
    <cellStyle name="Comma 3 8 3 2 7 3 2 2" xfId="32982" xr:uid="{2FAA03E2-5B42-47DE-BF34-C5B876C9032B}"/>
    <cellStyle name="Comma 3 8 3 2 7 3 3" xfId="25538" xr:uid="{A4D61160-71EA-4CC7-875F-EEC42D627C10}"/>
    <cellStyle name="Comma 3 8 3 2 7 4" xfId="12262" xr:uid="{82FAB017-E10B-4F44-8200-D4E4B1E16840}"/>
    <cellStyle name="Comma 3 8 3 2 7 4 2" xfId="28466" xr:uid="{B16FB5B4-A377-4DC2-BFF8-785F2117741F}"/>
    <cellStyle name="Comma 3 8 3 2 7 5" xfId="17699" xr:uid="{0CF4417C-9D1F-49ED-8DA7-AD339D4FB8B4}"/>
    <cellStyle name="Comma 3 8 3 2 7 5 2" xfId="33831" xr:uid="{EF2F7847-C712-4B0A-A0A2-D49BABC0F598}"/>
    <cellStyle name="Comma 3 8 3 2 7 6" xfId="20903" xr:uid="{9A677442-303A-4DFA-B972-5CECD565215D}"/>
    <cellStyle name="Comma 3 8 3 2 8" xfId="5127" xr:uid="{51146985-D8E4-4C8E-B991-E766CFFD0DC7}"/>
    <cellStyle name="Comma 3 8 3 2 8 2" xfId="8792" xr:uid="{B5AD2D6D-9626-4FB8-BC32-58BA52B68BB9}"/>
    <cellStyle name="Comma 3 8 3 2 8 2 2" xfId="16299" xr:uid="{9E63B4E1-10FB-4757-954F-8071D73A7716}"/>
    <cellStyle name="Comma 3 8 3 2 8 2 2 2" xfId="32503" xr:uid="{42AB6D70-3C7B-43B0-805C-3B83655FB9D7}"/>
    <cellStyle name="Comma 3 8 3 2 8 2 3" xfId="24996" xr:uid="{6EE9517D-593B-4FDE-BF19-E62B6E20E312}"/>
    <cellStyle name="Comma 3 8 3 2 8 3" xfId="12684" xr:uid="{21725D55-50DB-4C9F-86B4-441F1D72FFF6}"/>
    <cellStyle name="Comma 3 8 3 2 8 3 2" xfId="28888" xr:uid="{1BB9A47C-A8EF-4AAF-B1BA-07CD562DE2B1}"/>
    <cellStyle name="Comma 3 8 3 2 8 4" xfId="21331" xr:uid="{6939C816-45DC-4723-8C8D-972F037FA8BF}"/>
    <cellStyle name="Comma 3 8 3 2 9" xfId="5798" xr:uid="{8BDF9FFA-CBA6-4FFB-80E4-5B74C83E96F7}"/>
    <cellStyle name="Comma 3 8 3 2 9 2" xfId="13313" xr:uid="{2FE0D45D-D0AF-46A7-85D5-655CC34863C2}"/>
    <cellStyle name="Comma 3 8 3 2 9 2 2" xfId="29517" xr:uid="{35CABFB9-AAEF-4E10-A0E2-D3FC969688A2}"/>
    <cellStyle name="Comma 3 8 3 2 9 3" xfId="22002" xr:uid="{66FCC77E-DABA-44C4-B024-72EFCC84F6D0}"/>
    <cellStyle name="Comma 3 8 3 3" xfId="2289" xr:uid="{11EFBCB6-34FC-4322-A134-E1C224C81819}"/>
    <cellStyle name="Comma 3 8 3 3 2" xfId="3138" xr:uid="{FB5E84BD-B1D4-421A-B1E1-FB53789B9A71}"/>
    <cellStyle name="Comma 3 8 3 3 2 2" xfId="6920" xr:uid="{07DF719A-C28A-4F42-A0DA-0F998CB26660}"/>
    <cellStyle name="Comma 3 8 3 3 2 2 2" xfId="14431" xr:uid="{9ECDFACC-ED42-49EB-A8EA-4072D0D39972}"/>
    <cellStyle name="Comma 3 8 3 3 2 2 2 2" xfId="30635" xr:uid="{6BC0DC5C-133D-4DF8-988E-269077EE0187}"/>
    <cellStyle name="Comma 3 8 3 3 2 2 3" xfId="23124" xr:uid="{32E9F7C2-9C54-44E7-A925-E4CD53ED16F9}"/>
    <cellStyle name="Comma 3 8 3 3 2 3" xfId="8913" xr:uid="{E9B82218-F6C7-4E20-9A65-86B0D2B2A295}"/>
    <cellStyle name="Comma 3 8 3 3 2 3 2" xfId="16416" xr:uid="{DA51F8B9-63A3-424D-A402-1A1B767B0B9D}"/>
    <cellStyle name="Comma 3 8 3 3 2 3 2 2" xfId="32620" xr:uid="{82A1759A-6F97-48B8-B676-43DD551E4EFE}"/>
    <cellStyle name="Comma 3 8 3 3 2 3 3" xfId="25117" xr:uid="{8ACAA86D-EA4A-461A-8524-DA271545D9B4}"/>
    <cellStyle name="Comma 3 8 3 3 2 4" xfId="10831" xr:uid="{E31D6C36-D2AB-4F19-AB74-E72F65F3452B}"/>
    <cellStyle name="Comma 3 8 3 3 2 4 2" xfId="27035" xr:uid="{C6DA7666-9CC4-4E0A-8136-BE31BEE3F16F}"/>
    <cellStyle name="Comma 3 8 3 3 2 5" xfId="17701" xr:uid="{0CD38002-360E-4029-8DDC-3905E5977867}"/>
    <cellStyle name="Comma 3 8 3 3 2 5 2" xfId="33833" xr:uid="{6AE65493-9A85-46B4-B688-B0401C4674FC}"/>
    <cellStyle name="Comma 3 8 3 3 2 6" xfId="19358" xr:uid="{88AF2FFB-03B0-477C-8B63-F449ED2C84E4}"/>
    <cellStyle name="Comma 3 8 3 3 3" xfId="6075" xr:uid="{11A29A2D-9652-4565-83B8-CDFCFA374A21}"/>
    <cellStyle name="Comma 3 8 3 3 3 2" xfId="13587" xr:uid="{FD164DC7-1166-49A8-93CA-F3DE3157D15D}"/>
    <cellStyle name="Comma 3 8 3 3 3 2 2" xfId="29791" xr:uid="{3CCE37A8-768B-4958-AF19-547BE6055F0C}"/>
    <cellStyle name="Comma 3 8 3 3 3 3" xfId="22279" xr:uid="{B8ECE30B-BF08-4D4C-B66D-917289ED4DAF}"/>
    <cellStyle name="Comma 3 8 3 3 4" xfId="8981" xr:uid="{BE7B6B4E-C330-4611-97A3-944D6B00B733}"/>
    <cellStyle name="Comma 3 8 3 3 4 2" xfId="16475" xr:uid="{D9B66E7F-1EA3-4D3C-ABB4-5965F8596949}"/>
    <cellStyle name="Comma 3 8 3 3 4 2 2" xfId="32679" xr:uid="{1A88FEA4-B100-4AD9-BF1B-2163C1B7F5FA}"/>
    <cellStyle name="Comma 3 8 3 3 4 3" xfId="25185" xr:uid="{38AC15DB-4254-4A12-985A-72A99E3EC150}"/>
    <cellStyle name="Comma 3 8 3 3 5" xfId="9987" xr:uid="{72AE33BD-F98A-488A-BD2D-A587A3A709F1}"/>
    <cellStyle name="Comma 3 8 3 3 5 2" xfId="26191" xr:uid="{A8A420D2-F98C-49ED-867B-9D71000830C7}"/>
    <cellStyle name="Comma 3 8 3 3 6" xfId="17700" xr:uid="{5B2DC3AB-4523-4585-9A02-5028D52E2842}"/>
    <cellStyle name="Comma 3 8 3 3 6 2" xfId="33832" xr:uid="{857282A2-6E77-4042-9863-040E15D0C4F8}"/>
    <cellStyle name="Comma 3 8 3 3 7" xfId="18513" xr:uid="{F0CC66F0-A699-4BEC-A311-82E07AF65DD3}"/>
    <cellStyle name="Comma 3 8 3 4" xfId="2713" xr:uid="{E52E8A14-54E0-4F14-80A4-05F10BE2D9F8}"/>
    <cellStyle name="Comma 3 8 3 4 2" xfId="6497" xr:uid="{A616D94C-D33A-4B21-B99B-35CAB0802462}"/>
    <cellStyle name="Comma 3 8 3 4 2 2" xfId="14009" xr:uid="{E05C9E44-6A49-4985-9C5A-866F93703AF8}"/>
    <cellStyle name="Comma 3 8 3 4 2 2 2" xfId="30213" xr:uid="{D15850C1-6D55-4C18-9EBE-5B37138D53A3}"/>
    <cellStyle name="Comma 3 8 3 4 2 3" xfId="22701" xr:uid="{351C62B8-5936-4D2C-9689-6F35547B44C1}"/>
    <cellStyle name="Comma 3 8 3 4 3" xfId="9071" xr:uid="{1C30AE9E-8B7F-4A2F-9C26-82A9D87410B8}"/>
    <cellStyle name="Comma 3 8 3 4 3 2" xfId="16554" xr:uid="{F53EB38D-C075-4E3B-8198-4B92F0769B93}"/>
    <cellStyle name="Comma 3 8 3 4 3 2 2" xfId="32758" xr:uid="{74BAD714-D5E2-4232-BBEE-29A9FB2B8FAF}"/>
    <cellStyle name="Comma 3 8 3 4 3 3" xfId="25275" xr:uid="{9BCF7CEB-8591-4C47-BF36-204928348CF5}"/>
    <cellStyle name="Comma 3 8 3 4 4" xfId="10409" xr:uid="{43ADAA0B-5EA4-4662-92AD-A107D512C7E2}"/>
    <cellStyle name="Comma 3 8 3 4 4 2" xfId="26613" xr:uid="{AE52AF22-2CED-4395-9BBB-07CBE435E441}"/>
    <cellStyle name="Comma 3 8 3 4 5" xfId="17702" xr:uid="{94AC26CF-F9C8-4179-92C9-F868182E7560}"/>
    <cellStyle name="Comma 3 8 3 4 5 2" xfId="33834" xr:uid="{EC40D63C-C530-4917-BD3D-A76F62C7939E}"/>
    <cellStyle name="Comma 3 8 3 4 6" xfId="18935" xr:uid="{0E729E15-937B-4644-9CA0-D33F24865124}"/>
    <cellStyle name="Comma 3 8 3 5" xfId="3643" xr:uid="{BA49A499-63C7-4919-A80E-73ADC09FEA2E}"/>
    <cellStyle name="Comma 3 8 3 5 2" xfId="7353" xr:uid="{9C3FE5BD-1D7C-4973-A8F5-7F324CB07D59}"/>
    <cellStyle name="Comma 3 8 3 5 2 2" xfId="14862" xr:uid="{D2BB6536-CCB4-4203-B666-73CC834CF83F}"/>
    <cellStyle name="Comma 3 8 3 5 2 2 2" xfId="31066" xr:uid="{2835A70C-CCA9-4EA5-97D7-6D57197AE4D3}"/>
    <cellStyle name="Comma 3 8 3 5 2 3" xfId="23557" xr:uid="{7FB4B4E2-04DC-4A42-88F5-F554B03BF7AD}"/>
    <cellStyle name="Comma 3 8 3 5 3" xfId="9097" xr:uid="{5F337F76-E8C9-41C2-B787-9CE0A5C49865}"/>
    <cellStyle name="Comma 3 8 3 5 3 2" xfId="16577" xr:uid="{BDDF7C45-E22E-415C-985E-A0C7820B192B}"/>
    <cellStyle name="Comma 3 8 3 5 3 2 2" xfId="32781" xr:uid="{4E6601EB-6BF5-418C-B72B-EB7A76F0B992}"/>
    <cellStyle name="Comma 3 8 3 5 3 3" xfId="25301" xr:uid="{3D025CE0-A94C-4A78-8908-D59E2E0EF867}"/>
    <cellStyle name="Comma 3 8 3 5 4" xfId="11254" xr:uid="{76A3CA73-5FF0-4EEB-BD3B-4F8D04CA6DCA}"/>
    <cellStyle name="Comma 3 8 3 5 4 2" xfId="27458" xr:uid="{98756A20-579C-42AA-9748-F64C9603906B}"/>
    <cellStyle name="Comma 3 8 3 5 5" xfId="17703" xr:uid="{7B4BFCB8-EC55-4C4A-9588-E5B4306E3F11}"/>
    <cellStyle name="Comma 3 8 3 5 5 2" xfId="33835" xr:uid="{FC5B0EDD-3C4D-4390-9B9B-B84AE4BCFE7A}"/>
    <cellStyle name="Comma 3 8 3 5 6" xfId="19852" xr:uid="{73DB7072-6BCE-44AF-BCB6-C99878D07DE3}"/>
    <cellStyle name="Comma 3 8 3 6" xfId="3390" xr:uid="{EBE9F5C1-D8BE-42D7-BA7A-67596E2B4ADA}"/>
    <cellStyle name="Comma 3 8 3 6 2" xfId="5555" xr:uid="{77A9D2C8-C272-49DE-8BAD-B0FF4235ACDA}"/>
    <cellStyle name="Comma 3 8 3 6 2 2" xfId="21759" xr:uid="{820AB762-963C-4B95-A23E-47F9FC9DA0A8}"/>
    <cellStyle name="Comma 3 8 3 6 3" xfId="17704" xr:uid="{1F171E3A-B334-49F5-B261-E74171FE8C21}"/>
    <cellStyle name="Comma 3 8 3 6 3 2" xfId="33836" xr:uid="{C5B616A6-0866-47B6-AF83-AD41C18AF1C1}"/>
    <cellStyle name="Comma 3 8 3 6 4" xfId="19607" xr:uid="{1DB53C1A-E182-483C-9EFC-4185AE9E4F2B}"/>
    <cellStyle name="Comma 3 8 3 7" xfId="4113" xr:uid="{9A260D2C-F5A4-4672-A26E-64543E982DD4}"/>
    <cellStyle name="Comma 3 8 3 7 2" xfId="7783" xr:uid="{03C17F99-9DC0-444C-997C-B12F583E0665}"/>
    <cellStyle name="Comma 3 8 3 7 2 2" xfId="15290" xr:uid="{FBBEB341-E214-43FD-9E1F-D78597026524}"/>
    <cellStyle name="Comma 3 8 3 7 2 2 2" xfId="31494" xr:uid="{95C6AF26-C10E-42D3-894D-88E122767C1A}"/>
    <cellStyle name="Comma 3 8 3 7 2 3" xfId="23987" xr:uid="{815ACE53-8D63-43CC-804A-6AEDA9B2B15B}"/>
    <cellStyle name="Comma 3 8 3 7 3" xfId="5527" xr:uid="{74C96EEF-8A05-4396-80BE-04F03679CDEC}"/>
    <cellStyle name="Comma 3 8 3 7 3 2" xfId="13055" xr:uid="{DE725836-1CF0-41E4-83E5-1B7EA9859B68}"/>
    <cellStyle name="Comma 3 8 3 7 3 2 2" xfId="29259" xr:uid="{43E2199B-8094-4CA7-9AE9-05A9562E3C12}"/>
    <cellStyle name="Comma 3 8 3 7 3 3" xfId="21731" xr:uid="{65763D88-FBC9-44C8-9263-A9B01599C998}"/>
    <cellStyle name="Comma 3 8 3 7 4" xfId="11676" xr:uid="{850B9E76-E981-4B18-B8D9-9BAAA10BBA07}"/>
    <cellStyle name="Comma 3 8 3 7 4 2" xfId="27880" xr:uid="{5BBA0480-CD6C-4ED3-ADFA-B56A51AF91FE}"/>
    <cellStyle name="Comma 3 8 3 7 5" xfId="17705" xr:uid="{6A04F7E5-4461-493A-931C-82043897276C}"/>
    <cellStyle name="Comma 3 8 3 7 5 2" xfId="33837" xr:uid="{EC1B507E-369F-4C38-AC29-5015F028180D}"/>
    <cellStyle name="Comma 3 8 3 7 6" xfId="20317" xr:uid="{73C4BAA9-A14C-412C-9038-CAE80C002F00}"/>
    <cellStyle name="Comma 3 8 3 8" xfId="4538" xr:uid="{5A4A7182-A1D1-47A0-91AE-35B272F3D484}"/>
    <cellStyle name="Comma 3 8 3 8 2" xfId="8208" xr:uid="{E744A21A-4F4E-475C-8218-44F2C5497FE5}"/>
    <cellStyle name="Comma 3 8 3 8 2 2" xfId="15715" xr:uid="{E39FB8C8-FA6D-446D-8182-5F9AD7D60D67}"/>
    <cellStyle name="Comma 3 8 3 8 2 2 2" xfId="31919" xr:uid="{8E728FDF-87F3-488C-B264-CF430C3AD454}"/>
    <cellStyle name="Comma 3 8 3 8 2 3" xfId="24412" xr:uid="{30194AE3-0CBE-4A78-82AA-E87438633F42}"/>
    <cellStyle name="Comma 3 8 3 8 3" xfId="9333" xr:uid="{05FADD06-A299-439E-883F-4C9EE48030E3}"/>
    <cellStyle name="Comma 3 8 3 8 3 2" xfId="16777" xr:uid="{666CA36F-420A-4808-AB26-CA65D703BF49}"/>
    <cellStyle name="Comma 3 8 3 8 3 2 2" xfId="32981" xr:uid="{899724EB-27FD-41A6-B831-ED89737AF618}"/>
    <cellStyle name="Comma 3 8 3 8 3 3" xfId="25537" xr:uid="{7652A5FB-4D31-4965-A09A-2BDFA631DF00}"/>
    <cellStyle name="Comma 3 8 3 8 4" xfId="12101" xr:uid="{AAEF4D1F-6DBD-4F6E-A887-FC609DF7915F}"/>
    <cellStyle name="Comma 3 8 3 8 4 2" xfId="28305" xr:uid="{A5245314-FD6C-4455-9DA6-31778FA06519}"/>
    <cellStyle name="Comma 3 8 3 8 5" xfId="17706" xr:uid="{08373EDE-596C-47A9-AD15-49AC01164938}"/>
    <cellStyle name="Comma 3 8 3 8 5 2" xfId="33838" xr:uid="{F5C2DD5D-6DF5-4139-ABA3-612E8C1CD041}"/>
    <cellStyle name="Comma 3 8 3 8 6" xfId="20742" xr:uid="{22DFB1EE-A766-4C35-AD54-CE981515E872}"/>
    <cellStyle name="Comma 3 8 3 9" xfId="4965" xr:uid="{A59B9D44-6A54-49A2-A057-EAD243307E54}"/>
    <cellStyle name="Comma 3 8 3 9 2" xfId="8631" xr:uid="{87FBD228-6A15-4506-9C1D-B9D98805C469}"/>
    <cellStyle name="Comma 3 8 3 9 2 2" xfId="16138" xr:uid="{445993FB-752F-48D6-9406-B77B10085594}"/>
    <cellStyle name="Comma 3 8 3 9 2 2 2" xfId="32342" xr:uid="{8553A6FB-2DFD-4543-8F30-9A7A227F4448}"/>
    <cellStyle name="Comma 3 8 3 9 2 3" xfId="24835" xr:uid="{A3DB214E-0304-4B2B-8EC1-078A02D7A463}"/>
    <cellStyle name="Comma 3 8 3 9 3" xfId="12523" xr:uid="{B0A93DB7-9968-44AA-86CE-40737770CE97}"/>
    <cellStyle name="Comma 3 8 3 9 3 2" xfId="28727" xr:uid="{BE62D47A-F362-42B6-B232-3F72C9CD2FBA}"/>
    <cellStyle name="Comma 3 8 3 9 4" xfId="21169" xr:uid="{2EC49F30-07B5-4BEE-BB2A-E440F5B1412B}"/>
    <cellStyle name="Comma 3 8 4" xfId="1789" xr:uid="{41AB458D-64AE-4C1E-A019-B102CA28C588}"/>
    <cellStyle name="Comma 3 8 4 10" xfId="5650" xr:uid="{DD8E2FED-2278-4F16-AED9-D612BB74F989}"/>
    <cellStyle name="Comma 3 8 4 10 2" xfId="13165" xr:uid="{4238A900-1F3D-4933-AD47-B01700E94461}"/>
    <cellStyle name="Comma 3 8 4 10 2 2" xfId="29369" xr:uid="{098C55F7-EA7F-4365-8533-7241FB523D18}"/>
    <cellStyle name="Comma 3 8 4 10 3" xfId="21854" xr:uid="{79FDB39B-FD64-48A1-9E7E-4D334FA00668}"/>
    <cellStyle name="Comma 3 8 4 11" xfId="9578" xr:uid="{908510CD-C557-44C1-BC0A-627A29679700}"/>
    <cellStyle name="Comma 3 8 4 11 2" xfId="25782" xr:uid="{56FEE0F5-455D-4BE3-BB67-6F13B3A3AA0A}"/>
    <cellStyle name="Comma 3 8 4 12" xfId="17707" xr:uid="{CABC6A49-36AA-4178-9D90-7C9029CA5609}"/>
    <cellStyle name="Comma 3 8 4 12 2" xfId="33839" xr:uid="{864689C7-FE38-4896-82B4-E6A44E9ABC88}"/>
    <cellStyle name="Comma 3 8 4 13" xfId="18101" xr:uid="{8A0C8397-B6B4-41BE-AD53-C8EA7E86E33D}"/>
    <cellStyle name="Comma 3 8 4 2" xfId="1946" xr:uid="{A0A228C3-4913-4B36-9727-D648FBA28BE2}"/>
    <cellStyle name="Comma 3 8 4 2 10" xfId="9726" xr:uid="{0A0FA2B3-3D28-4F95-84D1-903C92CE2A5F}"/>
    <cellStyle name="Comma 3 8 4 2 10 2" xfId="25930" xr:uid="{B676F077-BD26-486B-982B-62FBBD62CE5A}"/>
    <cellStyle name="Comma 3 8 4 2 11" xfId="17708" xr:uid="{E34FDC6F-CE87-49D6-9DD8-D796CAACF196}"/>
    <cellStyle name="Comma 3 8 4 2 11 2" xfId="33840" xr:uid="{E2DEF5E9-CC4B-4E51-90D9-E511E73CDB8E}"/>
    <cellStyle name="Comma 3 8 4 2 12" xfId="18250" xr:uid="{BA1314FF-F914-49E6-ABA7-80FBD7114F8B}"/>
    <cellStyle name="Comma 3 8 4 2 2" xfId="2453" xr:uid="{761084C4-814C-4385-AA3B-BF57705FB287}"/>
    <cellStyle name="Comma 3 8 4 2 2 2" xfId="3300" xr:uid="{C0F4433D-02AD-440D-B2C4-8765E9F24D7F}"/>
    <cellStyle name="Comma 3 8 4 2 2 2 2" xfId="7082" xr:uid="{08B2E472-4AF7-4902-95B9-08E57039770A}"/>
    <cellStyle name="Comma 3 8 4 2 2 2 2 2" xfId="14593" xr:uid="{60F3F520-1C3B-469B-973A-0BAA50721CEA}"/>
    <cellStyle name="Comma 3 8 4 2 2 2 2 2 2" xfId="30797" xr:uid="{7EEEFE83-E559-4752-8021-DFCDE498A397}"/>
    <cellStyle name="Comma 3 8 4 2 2 2 2 3" xfId="23286" xr:uid="{FFF989A6-85D2-4517-9AEE-F15C8BF699CC}"/>
    <cellStyle name="Comma 3 8 4 2 2 2 3" xfId="5208" xr:uid="{971A32F3-3A08-427F-A011-9E3E06F4F8A0}"/>
    <cellStyle name="Comma 3 8 4 2 2 2 3 2" xfId="12764" xr:uid="{B639D4DA-7EF7-4547-B07F-B7F9FADE3D98}"/>
    <cellStyle name="Comma 3 8 4 2 2 2 3 2 2" xfId="28968" xr:uid="{07784059-5871-44F1-A647-CDD98AC10F5A}"/>
    <cellStyle name="Comma 3 8 4 2 2 2 3 3" xfId="21412" xr:uid="{E748E561-2E45-4EBE-876C-1B1C47A64DF1}"/>
    <cellStyle name="Comma 3 8 4 2 2 2 4" xfId="10993" xr:uid="{6B1C041A-ABC1-4D5F-A69C-D859C3D22A5B}"/>
    <cellStyle name="Comma 3 8 4 2 2 2 4 2" xfId="27197" xr:uid="{B98305F5-5772-4EB6-8EA4-8EC0B9F66EBD}"/>
    <cellStyle name="Comma 3 8 4 2 2 2 5" xfId="17710" xr:uid="{BDF8F8D5-5AA7-4197-A147-AF2D9EB7585A}"/>
    <cellStyle name="Comma 3 8 4 2 2 2 5 2" xfId="33842" xr:uid="{9F435A48-C718-4CFB-8B64-5F6866F66E32}"/>
    <cellStyle name="Comma 3 8 4 2 2 2 6" xfId="19520" xr:uid="{123B9C54-0FAA-410F-9123-6F155D013C6B}"/>
    <cellStyle name="Comma 3 8 4 2 2 3" xfId="6237" xr:uid="{194E153B-B990-4E52-B9D2-A8FF84BFF29B}"/>
    <cellStyle name="Comma 3 8 4 2 2 3 2" xfId="13749" xr:uid="{5A261B6E-776F-45EA-A98E-65324C3F7E7F}"/>
    <cellStyle name="Comma 3 8 4 2 2 3 2 2" xfId="29953" xr:uid="{E61FE219-8DDD-4480-870B-488499E18EA5}"/>
    <cellStyle name="Comma 3 8 4 2 2 3 3" xfId="22441" xr:uid="{9AC20AFC-8860-496F-AD4D-F14A189BC624}"/>
    <cellStyle name="Comma 3 8 4 2 2 4" xfId="9202" xr:uid="{EC694191-21B3-4527-BFEB-924078AB983A}"/>
    <cellStyle name="Comma 3 8 4 2 2 4 2" xfId="16672" xr:uid="{00FA8DC7-51A6-4342-9FB4-9956DB1F5233}"/>
    <cellStyle name="Comma 3 8 4 2 2 4 2 2" xfId="32876" xr:uid="{B90BBB5A-ED34-400F-BADB-8F7E106C97EC}"/>
    <cellStyle name="Comma 3 8 4 2 2 4 3" xfId="25406" xr:uid="{37995F8E-4246-4194-BF73-E5380D1C634C}"/>
    <cellStyle name="Comma 3 8 4 2 2 5" xfId="10149" xr:uid="{77FC537F-B22A-4D15-8118-EA838B7E4665}"/>
    <cellStyle name="Comma 3 8 4 2 2 5 2" xfId="26353" xr:uid="{0AC410A9-CB3A-463E-B20B-E91A064BAE55}"/>
    <cellStyle name="Comma 3 8 4 2 2 6" xfId="17709" xr:uid="{BA724941-E5C2-4C61-856F-163C0309415C}"/>
    <cellStyle name="Comma 3 8 4 2 2 6 2" xfId="33841" xr:uid="{ED3975A6-B787-4583-94A4-ED10F7F0F019}"/>
    <cellStyle name="Comma 3 8 4 2 2 7" xfId="18675" xr:uid="{5F9FCCF6-1BBA-4204-A9F6-87A6C9E37FD1}"/>
    <cellStyle name="Comma 3 8 4 2 3" xfId="2875" xr:uid="{4C00B3B9-479E-47B7-8B3B-E9914D30692A}"/>
    <cellStyle name="Comma 3 8 4 2 3 2" xfId="6659" xr:uid="{45A1AF44-DE09-44AA-8BF9-30B616266439}"/>
    <cellStyle name="Comma 3 8 4 2 3 2 2" xfId="14171" xr:uid="{09B57390-5C44-45F5-85E9-2423226181FF}"/>
    <cellStyle name="Comma 3 8 4 2 3 2 2 2" xfId="30375" xr:uid="{70DA14BC-9E78-4CF3-B9D7-1CD434FD6AE0}"/>
    <cellStyle name="Comma 3 8 4 2 3 2 3" xfId="22863" xr:uid="{F441A78B-FE55-4A42-9068-C402F3C1B390}"/>
    <cellStyle name="Comma 3 8 4 2 3 3" xfId="5519" xr:uid="{97B42752-21D7-4F67-A63F-40F9AF7B064D}"/>
    <cellStyle name="Comma 3 8 4 2 3 3 2" xfId="13048" xr:uid="{2284D6D8-8357-490A-A498-0A0DDCF8533E}"/>
    <cellStyle name="Comma 3 8 4 2 3 3 2 2" xfId="29252" xr:uid="{77F25524-329F-4A97-B141-764D0ED0494F}"/>
    <cellStyle name="Comma 3 8 4 2 3 3 3" xfId="21723" xr:uid="{67CB5278-D4DC-429A-A770-1D10D766EA8C}"/>
    <cellStyle name="Comma 3 8 4 2 3 4" xfId="10571" xr:uid="{2F1739B6-ECCA-4474-A2A0-7418C885E753}"/>
    <cellStyle name="Comma 3 8 4 2 3 4 2" xfId="26775" xr:uid="{F6E7BC61-DF36-48CA-8599-D3C74B2E212E}"/>
    <cellStyle name="Comma 3 8 4 2 3 5" xfId="17711" xr:uid="{939D8D76-E144-4AC9-AF0B-DFACDA5FE60A}"/>
    <cellStyle name="Comma 3 8 4 2 3 5 2" xfId="33843" xr:uid="{2843B886-A61B-4752-85A5-E9432C0AD9CE}"/>
    <cellStyle name="Comma 3 8 4 2 3 6" xfId="19097" xr:uid="{8A4D02C9-5D9D-40A2-80C5-0B8C585F3603}"/>
    <cellStyle name="Comma 3 8 4 2 4" xfId="3806" xr:uid="{473C381B-F1BE-498E-8825-409C1B19B481}"/>
    <cellStyle name="Comma 3 8 4 2 4 2" xfId="7516" xr:uid="{F1C76110-5E34-4BDD-B74E-2C91BA7E2E68}"/>
    <cellStyle name="Comma 3 8 4 2 4 2 2" xfId="15025" xr:uid="{20DE30F5-E6EA-428D-B36F-3F38AB20EF77}"/>
    <cellStyle name="Comma 3 8 4 2 4 2 2 2" xfId="31229" xr:uid="{44516DF0-031B-4EDB-B17E-2B734880415D}"/>
    <cellStyle name="Comma 3 8 4 2 4 2 3" xfId="23720" xr:uid="{573E62C2-DE90-4078-98E8-3813AF39AAFA}"/>
    <cellStyle name="Comma 3 8 4 2 4 3" xfId="5244" xr:uid="{1137246B-983A-4308-AF32-466DFEB45893}"/>
    <cellStyle name="Comma 3 8 4 2 4 3 2" xfId="12795" xr:uid="{EFF65AEC-DDC1-4D7E-BBE2-F01D57535BB7}"/>
    <cellStyle name="Comma 3 8 4 2 4 3 2 2" xfId="28999" xr:uid="{DEB6FBBB-AA19-488C-ACA6-5F7B5CC80A5D}"/>
    <cellStyle name="Comma 3 8 4 2 4 3 3" xfId="21448" xr:uid="{9E1206F0-65AD-457C-A9FB-E1287D65520C}"/>
    <cellStyle name="Comma 3 8 4 2 4 4" xfId="11416" xr:uid="{9F770736-CB94-4B78-B8EC-0E8AD1B62D3C}"/>
    <cellStyle name="Comma 3 8 4 2 4 4 2" xfId="27620" xr:uid="{8F98A863-B573-42D7-8726-335963866205}"/>
    <cellStyle name="Comma 3 8 4 2 4 5" xfId="17712" xr:uid="{FC7B7A24-292F-408D-8EA9-02F3E520FF52}"/>
    <cellStyle name="Comma 3 8 4 2 4 5 2" xfId="33844" xr:uid="{213A5FFF-009D-4AD0-BD1C-F9298FFA4079}"/>
    <cellStyle name="Comma 3 8 4 2 4 6" xfId="20015" xr:uid="{21FC5927-1BEF-4CB5-8D5F-3DF5F92BDD9E}"/>
    <cellStyle name="Comma 3 8 4 2 5" xfId="3930" xr:uid="{8E8EB702-1479-4035-97E4-0DB8DAF5586F}"/>
    <cellStyle name="Comma 3 8 4 2 5 2" xfId="5429" xr:uid="{EFEF405C-BC2E-4B00-95E7-F785F3F43F65}"/>
    <cellStyle name="Comma 3 8 4 2 5 2 2" xfId="21633" xr:uid="{A50EFDAA-26E5-432F-AD4A-B2B080758CF2}"/>
    <cellStyle name="Comma 3 8 4 2 5 3" xfId="17713" xr:uid="{FC32723C-4E88-45F9-8122-BD3D052D862A}"/>
    <cellStyle name="Comma 3 8 4 2 5 3 2" xfId="33845" xr:uid="{77F8B81C-016C-4E51-8A22-39351124890F}"/>
    <cellStyle name="Comma 3 8 4 2 5 4" xfId="20134" xr:uid="{F55BE966-15FE-471D-B0F9-6E11405D4193}"/>
    <cellStyle name="Comma 3 8 4 2 6" xfId="4275" xr:uid="{FD84A358-D21A-4304-B931-1D38049B0543}"/>
    <cellStyle name="Comma 3 8 4 2 6 2" xfId="7945" xr:uid="{83570597-E7C1-40D6-9C40-285B10E119DF}"/>
    <cellStyle name="Comma 3 8 4 2 6 2 2" xfId="15452" xr:uid="{D0DCDD96-22A3-4D15-BBB8-5ED9347271E9}"/>
    <cellStyle name="Comma 3 8 4 2 6 2 2 2" xfId="31656" xr:uid="{FD7BE1AE-76B8-4561-B3AC-B0B568F1ED08}"/>
    <cellStyle name="Comma 3 8 4 2 6 2 3" xfId="24149" xr:uid="{B845A34D-F3C2-49FA-9304-826CC4DBC425}"/>
    <cellStyle name="Comma 3 8 4 2 6 3" xfId="9103" xr:uid="{C784BD2B-3556-455B-8C85-272B640BAC90}"/>
    <cellStyle name="Comma 3 8 4 2 6 3 2" xfId="16582" xr:uid="{E6F82C35-229F-44EE-B55E-0924492060FA}"/>
    <cellStyle name="Comma 3 8 4 2 6 3 2 2" xfId="32786" xr:uid="{BFBB91AB-D65D-48AD-B98E-223129A27364}"/>
    <cellStyle name="Comma 3 8 4 2 6 3 3" xfId="25307" xr:uid="{252BD312-E1B5-4B8C-919E-8D5F0482B54D}"/>
    <cellStyle name="Comma 3 8 4 2 6 4" xfId="11838" xr:uid="{C86EF032-C56F-4F68-873F-E25F31103298}"/>
    <cellStyle name="Comma 3 8 4 2 6 4 2" xfId="28042" xr:uid="{52AB0AF1-5F3F-4D02-B33F-FBD6C78417A6}"/>
    <cellStyle name="Comma 3 8 4 2 6 5" xfId="17714" xr:uid="{13497F75-8CA5-4CF4-8074-58C8C5BE4CFB}"/>
    <cellStyle name="Comma 3 8 4 2 6 5 2" xfId="33846" xr:uid="{2483B9AD-50F5-4CD5-882D-7A3690B2B277}"/>
    <cellStyle name="Comma 3 8 4 2 6 6" xfId="20479" xr:uid="{F29ECE61-94D9-43A3-98C1-73148B4F93C4}"/>
    <cellStyle name="Comma 3 8 4 2 7" xfId="4700" xr:uid="{348F207E-CEA8-48EA-9C72-51CA64D5C97E}"/>
    <cellStyle name="Comma 3 8 4 2 7 2" xfId="8370" xr:uid="{CFD9831A-5C44-4D5D-A920-CF1E13A2F894}"/>
    <cellStyle name="Comma 3 8 4 2 7 2 2" xfId="15877" xr:uid="{8BF41372-BDF7-45BD-BD4C-9B8F075EFCA3}"/>
    <cellStyle name="Comma 3 8 4 2 7 2 2 2" xfId="32081" xr:uid="{8FA1AA7B-30BC-415E-B620-40808EADEAD4}"/>
    <cellStyle name="Comma 3 8 4 2 7 2 3" xfId="24574" xr:uid="{98F9E4BD-2794-41D0-AE8D-A68CA1D0591F}"/>
    <cellStyle name="Comma 3 8 4 2 7 3" xfId="5219" xr:uid="{EB5F9A1E-8D16-482F-A0C5-AE76F1D4D19D}"/>
    <cellStyle name="Comma 3 8 4 2 7 3 2" xfId="12775" xr:uid="{12AE56E1-0FA1-4A96-BA7F-CD9D8C1FA815}"/>
    <cellStyle name="Comma 3 8 4 2 7 3 2 2" xfId="28979" xr:uid="{026F8A11-FDB9-4410-AA47-12FB5A91E0EB}"/>
    <cellStyle name="Comma 3 8 4 2 7 3 3" xfId="21423" xr:uid="{B04733E7-4FA0-457C-B461-22B60307924E}"/>
    <cellStyle name="Comma 3 8 4 2 7 4" xfId="12263" xr:uid="{C4B85E3E-0242-4505-908E-05352B867DF5}"/>
    <cellStyle name="Comma 3 8 4 2 7 4 2" xfId="28467" xr:uid="{3971DC6C-F6BC-42CD-92E8-CCF5D3238EA1}"/>
    <cellStyle name="Comma 3 8 4 2 7 5" xfId="17715" xr:uid="{4C901FF0-859A-43AA-9730-37B0F2E95B6E}"/>
    <cellStyle name="Comma 3 8 4 2 7 5 2" xfId="33847" xr:uid="{D449CA48-6A34-44BD-99CE-73E418972FA9}"/>
    <cellStyle name="Comma 3 8 4 2 7 6" xfId="20904" xr:uid="{105FDC16-EF8B-4FEC-8A5D-31E92F0BDE3B}"/>
    <cellStyle name="Comma 3 8 4 2 8" xfId="5128" xr:uid="{528F7606-3F99-42A9-95D8-4BC10F438A60}"/>
    <cellStyle name="Comma 3 8 4 2 8 2" xfId="8793" xr:uid="{53F3A1BE-51B8-406F-82DF-1010688FB468}"/>
    <cellStyle name="Comma 3 8 4 2 8 2 2" xfId="16300" xr:uid="{481A8BEF-54F4-47EA-8207-E8054C9F2262}"/>
    <cellStyle name="Comma 3 8 4 2 8 2 2 2" xfId="32504" xr:uid="{2CC1656F-5949-4FCD-8FE0-2863E6966026}"/>
    <cellStyle name="Comma 3 8 4 2 8 2 3" xfId="24997" xr:uid="{18C04544-2600-459B-9B72-84F2766B794D}"/>
    <cellStyle name="Comma 3 8 4 2 8 3" xfId="12685" xr:uid="{C0E7CB18-B0F2-42F1-8AB8-7881DE39C08D}"/>
    <cellStyle name="Comma 3 8 4 2 8 3 2" xfId="28889" xr:uid="{D0C34459-43A3-426B-AF94-DFD104F71F0D}"/>
    <cellStyle name="Comma 3 8 4 2 8 4" xfId="21332" xr:uid="{76EB1737-FB76-42AD-809A-1EED842C2830}"/>
    <cellStyle name="Comma 3 8 4 2 9" xfId="5799" xr:uid="{75BD7723-8607-4091-AE78-C73385AF3955}"/>
    <cellStyle name="Comma 3 8 4 2 9 2" xfId="13314" xr:uid="{9C716C11-EEEA-4D0C-BEFF-A3190BFA1AFD}"/>
    <cellStyle name="Comma 3 8 4 2 9 2 2" xfId="29518" xr:uid="{A73489DC-65D5-49A4-A920-B3B78DCF5CF8}"/>
    <cellStyle name="Comma 3 8 4 2 9 3" xfId="22003" xr:uid="{37FB1D35-51E7-49D0-BF6B-5259271558EC}"/>
    <cellStyle name="Comma 3 8 4 3" xfId="2305" xr:uid="{E54C6ACE-44BA-4952-86CB-46C9C47DD9C5}"/>
    <cellStyle name="Comma 3 8 4 3 2" xfId="3152" xr:uid="{65E39B68-E477-40BF-967F-77AC586FDD3F}"/>
    <cellStyle name="Comma 3 8 4 3 2 2" xfId="6934" xr:uid="{90FD11E7-166E-4DD6-9516-C48AD5F4FEB0}"/>
    <cellStyle name="Comma 3 8 4 3 2 2 2" xfId="14445" xr:uid="{0431B789-316C-46C8-B0C7-D71F31E880D3}"/>
    <cellStyle name="Comma 3 8 4 3 2 2 2 2" xfId="30649" xr:uid="{7F2983F7-A49B-41F9-AB28-D51B546964B4}"/>
    <cellStyle name="Comma 3 8 4 3 2 2 3" xfId="23138" xr:uid="{154A7FA3-2363-4453-B9CA-ECC5260F7B8A}"/>
    <cellStyle name="Comma 3 8 4 3 2 3" xfId="5557" xr:uid="{A08EE5C3-EB69-4D64-894F-7FA8F621D556}"/>
    <cellStyle name="Comma 3 8 4 3 2 3 2" xfId="13076" xr:uid="{A7ECDD8B-DE3A-466E-A0E8-43D417136541}"/>
    <cellStyle name="Comma 3 8 4 3 2 3 2 2" xfId="29280" xr:uid="{1C6D9593-56C0-4401-BE28-7D354E13250E}"/>
    <cellStyle name="Comma 3 8 4 3 2 3 3" xfId="21761" xr:uid="{5FAA067D-43E0-40DC-B16D-695D3A6D935A}"/>
    <cellStyle name="Comma 3 8 4 3 2 4" xfId="10845" xr:uid="{7A73B5C2-BCFE-4729-8184-C03C73C7CDFB}"/>
    <cellStyle name="Comma 3 8 4 3 2 4 2" xfId="27049" xr:uid="{6E3DA5C9-B584-43C0-A847-2ECEAB82942C}"/>
    <cellStyle name="Comma 3 8 4 3 2 5" xfId="17717" xr:uid="{C755915E-6B08-425B-A8C3-8A87EE27BBA4}"/>
    <cellStyle name="Comma 3 8 4 3 2 5 2" xfId="33849" xr:uid="{F9F7451E-7551-4E12-85B3-32252A04F1AF}"/>
    <cellStyle name="Comma 3 8 4 3 2 6" xfId="19372" xr:uid="{A9757EF0-100D-4BCA-8381-1B5F40CE8E5A}"/>
    <cellStyle name="Comma 3 8 4 3 3" xfId="6089" xr:uid="{71DD4B9E-8442-4383-BF7E-01DBFB6A712A}"/>
    <cellStyle name="Comma 3 8 4 3 3 2" xfId="13601" xr:uid="{B5420F26-CDD7-431C-A82F-C631D747D9EF}"/>
    <cellStyle name="Comma 3 8 4 3 3 2 2" xfId="29805" xr:uid="{C3ECBCDC-CA39-4245-9C39-D4AF40F61469}"/>
    <cellStyle name="Comma 3 8 4 3 3 3" xfId="22293" xr:uid="{586895E1-A04A-4FFB-84C5-482ED401F510}"/>
    <cellStyle name="Comma 3 8 4 3 4" xfId="5426" xr:uid="{F567772F-0FD4-44AA-944B-E3A0EEF5DC89}"/>
    <cellStyle name="Comma 3 8 4 3 4 2" xfId="12971" xr:uid="{455D35EE-D03F-4E14-9B2B-45BFD705902F}"/>
    <cellStyle name="Comma 3 8 4 3 4 2 2" xfId="29175" xr:uid="{FFBFC406-7F50-4EC0-B437-4D66CBB82AC2}"/>
    <cellStyle name="Comma 3 8 4 3 4 3" xfId="21630" xr:uid="{F3FA1015-9F29-45B8-8C17-0B8C482E00DE}"/>
    <cellStyle name="Comma 3 8 4 3 5" xfId="10001" xr:uid="{8F2E5821-878B-4C4E-8200-6A236432E209}"/>
    <cellStyle name="Comma 3 8 4 3 5 2" xfId="26205" xr:uid="{631A8BF9-4728-4901-9D89-9EF14A9811A6}"/>
    <cellStyle name="Comma 3 8 4 3 6" xfId="17716" xr:uid="{E65DA4BA-72BA-4C73-A0BF-A1D31320AE2E}"/>
    <cellStyle name="Comma 3 8 4 3 6 2" xfId="33848" xr:uid="{45EF6B92-7EC8-4524-A1E9-DF0A50EDC7B1}"/>
    <cellStyle name="Comma 3 8 4 3 7" xfId="18527" xr:uid="{BEFC669C-9C6B-4444-A176-B883E8A592A4}"/>
    <cellStyle name="Comma 3 8 4 4" xfId="2727" xr:uid="{226AC4AC-1C96-430F-B5C6-6359A834B6D6}"/>
    <cellStyle name="Comma 3 8 4 4 2" xfId="6511" xr:uid="{7FA591C7-4D72-41B7-B29A-26A25A8631FE}"/>
    <cellStyle name="Comma 3 8 4 4 2 2" xfId="14023" xr:uid="{5A125B93-0E53-424A-8BF3-EF61C36C3B1D}"/>
    <cellStyle name="Comma 3 8 4 4 2 2 2" xfId="30227" xr:uid="{6A299A20-884F-4008-8725-31A1A1EDDD42}"/>
    <cellStyle name="Comma 3 8 4 4 2 3" xfId="22715" xr:uid="{5BD782FD-E648-41FB-BE41-99145F276320}"/>
    <cellStyle name="Comma 3 8 4 4 3" xfId="5264" xr:uid="{0FB48AE4-584B-41F6-80A5-48D130310D41}"/>
    <cellStyle name="Comma 3 8 4 4 3 2" xfId="12813" xr:uid="{DD1D5473-3BFD-4F24-850E-49E9143EB518}"/>
    <cellStyle name="Comma 3 8 4 4 3 2 2" xfId="29017" xr:uid="{F7213500-C520-4CD9-9A08-588A3C045C36}"/>
    <cellStyle name="Comma 3 8 4 4 3 3" xfId="21468" xr:uid="{C7BF7335-90B3-4ACF-90FB-2DCCC8663D63}"/>
    <cellStyle name="Comma 3 8 4 4 4" xfId="10423" xr:uid="{F3C4915A-E0B1-4376-9345-8E58B25EC055}"/>
    <cellStyle name="Comma 3 8 4 4 4 2" xfId="26627" xr:uid="{D2EE5C8B-0716-4E9E-9D5A-976A2135E317}"/>
    <cellStyle name="Comma 3 8 4 4 5" xfId="17718" xr:uid="{ECC1CCB4-76F5-448C-A4BB-06CFE86CD6FF}"/>
    <cellStyle name="Comma 3 8 4 4 5 2" xfId="33850" xr:uid="{0DB678C8-BC27-421E-87CB-8FA6198A7D3F}"/>
    <cellStyle name="Comma 3 8 4 4 6" xfId="18949" xr:uid="{1D704784-E4A7-4732-A44D-75E5407D5009}"/>
    <cellStyle name="Comma 3 8 4 5" xfId="3657" xr:uid="{7571C9EB-5F95-4B63-BA2A-52E7173BC588}"/>
    <cellStyle name="Comma 3 8 4 5 2" xfId="7367" xr:uid="{853181F9-85B2-4E10-BD9F-A836D5360BB9}"/>
    <cellStyle name="Comma 3 8 4 5 2 2" xfId="14876" xr:uid="{9E1E2D3F-4C5A-40DA-8375-1B11B67724C6}"/>
    <cellStyle name="Comma 3 8 4 5 2 2 2" xfId="31080" xr:uid="{5D831176-7C39-4826-902D-3F24B2A987A4}"/>
    <cellStyle name="Comma 3 8 4 5 2 3" xfId="23571" xr:uid="{0D08B486-D75A-492B-B907-008ED2E65251}"/>
    <cellStyle name="Comma 3 8 4 5 3" xfId="5574" xr:uid="{99471ACE-C7C5-4935-8DE5-A81E1E1609AD}"/>
    <cellStyle name="Comma 3 8 4 5 3 2" xfId="13091" xr:uid="{315D0073-940F-4FE2-B6AF-03AB3DBAF7F1}"/>
    <cellStyle name="Comma 3 8 4 5 3 2 2" xfId="29295" xr:uid="{AF900308-0BE9-4DFC-885C-D044979EBE51}"/>
    <cellStyle name="Comma 3 8 4 5 3 3" xfId="21778" xr:uid="{BCFDC179-7C12-4CF0-AF5D-9F16FA95EFF7}"/>
    <cellStyle name="Comma 3 8 4 5 4" xfId="11268" xr:uid="{B23F0908-16A8-41D7-B2D9-CDAF9C50F338}"/>
    <cellStyle name="Comma 3 8 4 5 4 2" xfId="27472" xr:uid="{4823D16E-8453-42CD-AE11-655D3090AF28}"/>
    <cellStyle name="Comma 3 8 4 5 5" xfId="17719" xr:uid="{7081E580-E21F-431A-827E-948414BABECA}"/>
    <cellStyle name="Comma 3 8 4 5 5 2" xfId="33851" xr:uid="{E15D5B1E-25CB-417E-A9A8-E275F96715E4}"/>
    <cellStyle name="Comma 3 8 4 5 6" xfId="19866" xr:uid="{A56454A0-07FF-4FDA-925A-5CC8DE3A2522}"/>
    <cellStyle name="Comma 3 8 4 6" xfId="3401" xr:uid="{C6D456AC-9D0B-4E69-BB1F-69260FE68D29}"/>
    <cellStyle name="Comma 3 8 4 6 2" xfId="8878" xr:uid="{31B71B14-CE45-44DC-BD09-701F1C25AA6A}"/>
    <cellStyle name="Comma 3 8 4 6 2 2" xfId="25082" xr:uid="{DAA21FBC-902A-4F9C-9596-0ED40A4DCE86}"/>
    <cellStyle name="Comma 3 8 4 6 3" xfId="17720" xr:uid="{6A2BEA56-34FF-42FE-ACD3-0ECF65266638}"/>
    <cellStyle name="Comma 3 8 4 6 3 2" xfId="33852" xr:uid="{7175127F-8D87-40F0-9F8C-8AE547B5AAEF}"/>
    <cellStyle name="Comma 3 8 4 6 4" xfId="19617" xr:uid="{B60DBC3C-7A2F-49E9-8EC3-E7965B3216F7}"/>
    <cellStyle name="Comma 3 8 4 7" xfId="4127" xr:uid="{6E409E2D-E4BF-4517-BEF4-B6C7504DD0C6}"/>
    <cellStyle name="Comma 3 8 4 7 2" xfId="7797" xr:uid="{A35EB0B5-2E5F-4502-AE3B-823DF2D44C5B}"/>
    <cellStyle name="Comma 3 8 4 7 2 2" xfId="15304" xr:uid="{97A27F65-59BF-4E09-8AD7-F29704ECD69D}"/>
    <cellStyle name="Comma 3 8 4 7 2 2 2" xfId="31508" xr:uid="{8D4034D2-CE21-4F9F-ADE6-45771332F374}"/>
    <cellStyle name="Comma 3 8 4 7 2 3" xfId="24001" xr:uid="{C063FF70-DBE8-4DAC-B3B2-5A20DA665DF5}"/>
    <cellStyle name="Comma 3 8 4 7 3" xfId="5221" xr:uid="{E639D502-D2D1-4196-963E-B3514E60F5C1}"/>
    <cellStyle name="Comma 3 8 4 7 3 2" xfId="12777" xr:uid="{8A3E8750-8423-45FB-9BCA-FA23E4F2CC0C}"/>
    <cellStyle name="Comma 3 8 4 7 3 2 2" xfId="28981" xr:uid="{31C260C6-2AB3-41C7-934B-618148367E81}"/>
    <cellStyle name="Comma 3 8 4 7 3 3" xfId="21425" xr:uid="{CD246EA5-1794-42E3-9A1A-59AC40981AE8}"/>
    <cellStyle name="Comma 3 8 4 7 4" xfId="11690" xr:uid="{1CD9FD88-AD15-481F-BAF3-FE3BB6C33E93}"/>
    <cellStyle name="Comma 3 8 4 7 4 2" xfId="27894" xr:uid="{C486CC2B-42A5-4A12-BE1D-55C34665C17D}"/>
    <cellStyle name="Comma 3 8 4 7 5" xfId="17721" xr:uid="{ADAAA08D-3AFF-42EE-B01E-FA5D796B7714}"/>
    <cellStyle name="Comma 3 8 4 7 5 2" xfId="33853" xr:uid="{4B28032F-EC01-466F-9055-2F9275419880}"/>
    <cellStyle name="Comma 3 8 4 7 6" xfId="20331" xr:uid="{919A091F-C589-45C4-9A06-777751A7C709}"/>
    <cellStyle name="Comma 3 8 4 8" xfId="4552" xr:uid="{48AC0898-0479-493E-914B-667DEE617C39}"/>
    <cellStyle name="Comma 3 8 4 8 2" xfId="8222" xr:uid="{E574F1BC-0959-4D42-ACC1-2AE4CD003AD3}"/>
    <cellStyle name="Comma 3 8 4 8 2 2" xfId="15729" xr:uid="{16AB72F7-F609-43AD-91EC-6BCA35408BDF}"/>
    <cellStyle name="Comma 3 8 4 8 2 2 2" xfId="31933" xr:uid="{C3E1233B-5ABE-4748-9880-0AFAAD2CEFB3}"/>
    <cellStyle name="Comma 3 8 4 8 2 3" xfId="24426" xr:uid="{36623694-3163-4465-A8EE-519B6D65EB2F}"/>
    <cellStyle name="Comma 3 8 4 8 3" xfId="9194" xr:uid="{5FFF65CA-8B06-469F-BED9-5CBD98326084}"/>
    <cellStyle name="Comma 3 8 4 8 3 2" xfId="16665" xr:uid="{66027AB6-0B7D-4126-BE2E-A6F95AFFA303}"/>
    <cellStyle name="Comma 3 8 4 8 3 2 2" xfId="32869" xr:uid="{AE509EDB-A91E-44D4-B612-EEF55C5BD638}"/>
    <cellStyle name="Comma 3 8 4 8 3 3" xfId="25398" xr:uid="{7027C8BA-6C4B-4BC4-86C8-38369CB8FBFA}"/>
    <cellStyle name="Comma 3 8 4 8 4" xfId="12115" xr:uid="{5FE1EC52-574B-416E-A6D2-0C6FAF4B9852}"/>
    <cellStyle name="Comma 3 8 4 8 4 2" xfId="28319" xr:uid="{326AED96-08A2-434C-92C4-44E23C3155EE}"/>
    <cellStyle name="Comma 3 8 4 8 5" xfId="17722" xr:uid="{0B6CA319-C091-4D64-A3BD-43FAFA2C608E}"/>
    <cellStyle name="Comma 3 8 4 8 5 2" xfId="33854" xr:uid="{8ADF56F9-5F77-4561-A6AE-56C8F63A24F8}"/>
    <cellStyle name="Comma 3 8 4 8 6" xfId="20756" xr:uid="{06C2839E-97B1-4E05-A400-E74E22741979}"/>
    <cellStyle name="Comma 3 8 4 9" xfId="4979" xr:uid="{D934A719-FF25-4ABE-B813-136F201073FB}"/>
    <cellStyle name="Comma 3 8 4 9 2" xfId="8645" xr:uid="{2B28E4F6-A41B-4F5A-B9C1-D06087946119}"/>
    <cellStyle name="Comma 3 8 4 9 2 2" xfId="16152" xr:uid="{852B3EC0-9F52-4E68-9359-0256C7884440}"/>
    <cellStyle name="Comma 3 8 4 9 2 2 2" xfId="32356" xr:uid="{7C0DAF4E-AD49-4AFB-A600-97DB75AD5ED3}"/>
    <cellStyle name="Comma 3 8 4 9 2 3" xfId="24849" xr:uid="{24C5743E-5CF8-45A1-A457-94E1CAE18419}"/>
    <cellStyle name="Comma 3 8 4 9 3" xfId="12537" xr:uid="{73A4D7E5-5416-4E30-B0D4-7ED27E3849B4}"/>
    <cellStyle name="Comma 3 8 4 9 3 2" xfId="28741" xr:uid="{ACAC37BA-B8F6-4941-892A-4765548E012A}"/>
    <cellStyle name="Comma 3 8 4 9 4" xfId="21183" xr:uid="{BA49A2C7-1FAE-49FB-864F-2B55383440BC}"/>
    <cellStyle name="Comma 3 8 5" xfId="1947" xr:uid="{AC379B05-56BF-4FB1-AD2F-E841880C8AC4}"/>
    <cellStyle name="Comma 3 8 5 10" xfId="9727" xr:uid="{4C8E8F9A-41C0-451B-A0D9-ABC9BCA16AA3}"/>
    <cellStyle name="Comma 3 8 5 10 2" xfId="25931" xr:uid="{1BD17870-31C6-4E73-B1CA-A7BE75375AF6}"/>
    <cellStyle name="Comma 3 8 5 11" xfId="17723" xr:uid="{D2BC0AA3-BCD7-410E-A8FA-06093E8B7DD5}"/>
    <cellStyle name="Comma 3 8 5 11 2" xfId="33855" xr:uid="{E5FC69B8-9D76-4C46-9092-CC1B3A73DA69}"/>
    <cellStyle name="Comma 3 8 5 12" xfId="18251" xr:uid="{DC9F13F8-3B6D-47A1-8FF3-7CDA906E681D}"/>
    <cellStyle name="Comma 3 8 5 2" xfId="2454" xr:uid="{8E40F3B8-17F0-4330-ADF5-48BA16531652}"/>
    <cellStyle name="Comma 3 8 5 2 2" xfId="3301" xr:uid="{22E05CB2-8691-4A14-8EAA-1B1295A42B32}"/>
    <cellStyle name="Comma 3 8 5 2 2 2" xfId="7083" xr:uid="{BC0389EF-A85B-4797-9E98-FFE8B404BA0B}"/>
    <cellStyle name="Comma 3 8 5 2 2 2 2" xfId="14594" xr:uid="{70746119-F746-40FC-8E36-2BCC75B284F0}"/>
    <cellStyle name="Comma 3 8 5 2 2 2 2 2" xfId="30798" xr:uid="{D6CAB3E7-34DB-4DF5-9D82-FA49D5F1A5B2}"/>
    <cellStyle name="Comma 3 8 5 2 2 2 3" xfId="23287" xr:uid="{37FDABEF-0615-4F40-BD23-70741585C8EA}"/>
    <cellStyle name="Comma 3 8 5 2 2 3" xfId="8926" xr:uid="{63D6E321-024C-493F-8AFD-A5B3A2CEAAF6}"/>
    <cellStyle name="Comma 3 8 5 2 2 3 2" xfId="16427" xr:uid="{5219F608-D3DD-40B3-8736-11885D860732}"/>
    <cellStyle name="Comma 3 8 5 2 2 3 2 2" xfId="32631" xr:uid="{E35A9A12-44EF-41CA-94DB-94284315F9A0}"/>
    <cellStyle name="Comma 3 8 5 2 2 3 3" xfId="25130" xr:uid="{CF188514-2CC9-45D8-89BA-3FD278FE63EE}"/>
    <cellStyle name="Comma 3 8 5 2 2 4" xfId="10994" xr:uid="{D5F5BB22-D255-49D7-945E-BA2849600CEA}"/>
    <cellStyle name="Comma 3 8 5 2 2 4 2" xfId="27198" xr:uid="{EA440D9A-80E8-4704-AFA3-3466ABDDD361}"/>
    <cellStyle name="Comma 3 8 5 2 2 5" xfId="17725" xr:uid="{2CE75D61-244E-426D-B0A7-A6D1A5A87D47}"/>
    <cellStyle name="Comma 3 8 5 2 2 5 2" xfId="33857" xr:uid="{DFEB10D4-A76D-406C-924A-1C44BD129B83}"/>
    <cellStyle name="Comma 3 8 5 2 2 6" xfId="19521" xr:uid="{33CEB9B0-A5A3-400B-9F53-A52D3B667059}"/>
    <cellStyle name="Comma 3 8 5 2 3" xfId="6238" xr:uid="{8A28FADB-056D-4E26-B5ED-7A9236F6AB5B}"/>
    <cellStyle name="Comma 3 8 5 2 3 2" xfId="13750" xr:uid="{1336ED1B-2059-446E-86C1-D4FBC01B581E}"/>
    <cellStyle name="Comma 3 8 5 2 3 2 2" xfId="29954" xr:uid="{36D3D2DF-4C21-49D7-99B4-CA5FB8B6DB1F}"/>
    <cellStyle name="Comma 3 8 5 2 3 3" xfId="22442" xr:uid="{0DFE1739-13EE-44DC-B05D-F32C2516A387}"/>
    <cellStyle name="Comma 3 8 5 2 4" xfId="6045" xr:uid="{DC11CEA9-FB16-40C7-9BB1-09EF07E641C7}"/>
    <cellStyle name="Comma 3 8 5 2 4 2" xfId="13558" xr:uid="{7AF2B76F-AC56-4AE1-B406-CB446CDE9961}"/>
    <cellStyle name="Comma 3 8 5 2 4 2 2" xfId="29762" xr:uid="{E5F026DF-C573-47B7-997C-5A67480C9F42}"/>
    <cellStyle name="Comma 3 8 5 2 4 3" xfId="22249" xr:uid="{9FA4DB28-B3AE-4027-AAAD-FB371087874F}"/>
    <cellStyle name="Comma 3 8 5 2 5" xfId="10150" xr:uid="{6BE4B498-62D6-4D82-BB65-6B1F25C1A267}"/>
    <cellStyle name="Comma 3 8 5 2 5 2" xfId="26354" xr:uid="{010BD42E-5E07-485E-A1DE-1C839C204200}"/>
    <cellStyle name="Comma 3 8 5 2 6" xfId="17724" xr:uid="{EA953011-ED82-4612-A137-AB1772085C94}"/>
    <cellStyle name="Comma 3 8 5 2 6 2" xfId="33856" xr:uid="{359CFBD4-0B5D-4BC4-84B5-3D6C22627A68}"/>
    <cellStyle name="Comma 3 8 5 2 7" xfId="18676" xr:uid="{4868C5F6-5D7D-4511-A6C7-E5DE7A7AD4E5}"/>
    <cellStyle name="Comma 3 8 5 3" xfId="2876" xr:uid="{08583C99-18AD-4779-B8F9-CAC2B6B217D5}"/>
    <cellStyle name="Comma 3 8 5 3 2" xfId="6660" xr:uid="{5BD59D29-6151-43CD-B393-DC3DC9A53184}"/>
    <cellStyle name="Comma 3 8 5 3 2 2" xfId="14172" xr:uid="{20761989-4040-470B-9259-B2E26C354CF1}"/>
    <cellStyle name="Comma 3 8 5 3 2 2 2" xfId="30376" xr:uid="{F06A1035-4346-4485-929F-70BDAD779F68}"/>
    <cellStyle name="Comma 3 8 5 3 2 3" xfId="22864" xr:uid="{4568657C-3739-4B71-B32E-D35665531A41}"/>
    <cellStyle name="Comma 3 8 5 3 3" xfId="9047" xr:uid="{D806DD5C-1BF4-4BA8-8528-DCDA3238FE92}"/>
    <cellStyle name="Comma 3 8 5 3 3 2" xfId="16536" xr:uid="{ABC1C20F-3732-415C-B812-297DAF4F3934}"/>
    <cellStyle name="Comma 3 8 5 3 3 2 2" xfId="32740" xr:uid="{E128FC7B-6E86-411D-9327-A4FA41DEB6D8}"/>
    <cellStyle name="Comma 3 8 5 3 3 3" xfId="25251" xr:uid="{E16AE5FD-1608-4B79-8E75-E55FB8A45279}"/>
    <cellStyle name="Comma 3 8 5 3 4" xfId="10572" xr:uid="{50F4D25A-C4CA-4FA1-85B6-92F5AD5C1774}"/>
    <cellStyle name="Comma 3 8 5 3 4 2" xfId="26776" xr:uid="{BEDE97CA-4A14-4D3C-947D-BA54ABED6371}"/>
    <cellStyle name="Comma 3 8 5 3 5" xfId="17726" xr:uid="{8CC10E1D-A061-4A84-84F3-4E7C3A080AC8}"/>
    <cellStyle name="Comma 3 8 5 3 5 2" xfId="33858" xr:uid="{E22B79AA-DB67-4AE3-9DA0-47D7FB068317}"/>
    <cellStyle name="Comma 3 8 5 3 6" xfId="19098" xr:uid="{9FC258E1-267A-48D0-8333-54436D54FCCF}"/>
    <cellStyle name="Comma 3 8 5 4" xfId="3807" xr:uid="{93EFA1EA-6F6E-4B7F-9B38-3DB898FDB3E0}"/>
    <cellStyle name="Comma 3 8 5 4 2" xfId="7517" xr:uid="{648582FD-4F04-4DFF-B743-A4D68B7684D1}"/>
    <cellStyle name="Comma 3 8 5 4 2 2" xfId="15026" xr:uid="{62064AF4-CF0D-4A46-B6C0-C86FAB39F81A}"/>
    <cellStyle name="Comma 3 8 5 4 2 2 2" xfId="31230" xr:uid="{8D09B2C3-B227-4A39-BB61-4BC8B036DA99}"/>
    <cellStyle name="Comma 3 8 5 4 2 3" xfId="23721" xr:uid="{FDCF07BE-28C7-4F98-844B-1F31C5709B38}"/>
    <cellStyle name="Comma 3 8 5 4 3" xfId="5258" xr:uid="{4222A3DF-CD13-4839-8594-841C8F338460}"/>
    <cellStyle name="Comma 3 8 5 4 3 2" xfId="12807" xr:uid="{0BE7CCF7-4CF6-4C4C-A94C-288287995DB4}"/>
    <cellStyle name="Comma 3 8 5 4 3 2 2" xfId="29011" xr:uid="{22890B06-ACA1-4FC0-A242-C6E15146E811}"/>
    <cellStyle name="Comma 3 8 5 4 3 3" xfId="21462" xr:uid="{39C96B0F-1220-419B-8478-53C0D92D5121}"/>
    <cellStyle name="Comma 3 8 5 4 4" xfId="11417" xr:uid="{0F7F7F0D-8B7B-4508-BD4D-E9FAC6A53357}"/>
    <cellStyle name="Comma 3 8 5 4 4 2" xfId="27621" xr:uid="{6E949BE2-AD1E-456D-9451-4F20808634F4}"/>
    <cellStyle name="Comma 3 8 5 4 5" xfId="17727" xr:uid="{A4DFE091-14A5-4609-A9F3-C02AB71C6005}"/>
    <cellStyle name="Comma 3 8 5 4 5 2" xfId="33859" xr:uid="{2DFD755F-A5E7-4AD3-B3EF-FBFE52735D90}"/>
    <cellStyle name="Comma 3 8 5 4 6" xfId="20016" xr:uid="{FF5D1950-3A1A-43A1-B7B0-C6BE8514BBF3}"/>
    <cellStyle name="Comma 3 8 5 5" xfId="3896" xr:uid="{9CC31767-E52F-4357-8FF3-ED41DA73F1C0}"/>
    <cellStyle name="Comma 3 8 5 5 2" xfId="9237" xr:uid="{A1355A4B-F399-41DE-B53E-3F46DE844844}"/>
    <cellStyle name="Comma 3 8 5 5 2 2" xfId="25441" xr:uid="{0BEB7F9D-A2F3-47B8-8884-9B9F0F796357}"/>
    <cellStyle name="Comma 3 8 5 5 3" xfId="17728" xr:uid="{2275948D-F166-439A-9221-4D05DFBC622F}"/>
    <cellStyle name="Comma 3 8 5 5 3 2" xfId="33860" xr:uid="{25DD5A17-AC11-4D39-A173-10EE343DB988}"/>
    <cellStyle name="Comma 3 8 5 5 4" xfId="20105" xr:uid="{296E8169-B897-42AD-A318-DF9C55F74958}"/>
    <cellStyle name="Comma 3 8 5 6" xfId="4276" xr:uid="{2608F3D8-32DE-41EF-8F24-9AD5F713A133}"/>
    <cellStyle name="Comma 3 8 5 6 2" xfId="7946" xr:uid="{072A6450-F6D3-4401-A5E2-0C1565EFE94C}"/>
    <cellStyle name="Comma 3 8 5 6 2 2" xfId="15453" xr:uid="{FFF03753-E596-4DE7-BBDB-A3CC22B11495}"/>
    <cellStyle name="Comma 3 8 5 6 2 2 2" xfId="31657" xr:uid="{54016E6A-6BDB-4C2B-8BCC-8C83381E35E0}"/>
    <cellStyle name="Comma 3 8 5 6 2 3" xfId="24150" xr:uid="{9D1EDD04-5FBD-43CD-A31D-2ABD7336640C}"/>
    <cellStyle name="Comma 3 8 5 6 3" xfId="8915" xr:uid="{44E1BAA9-C643-4B08-8626-899E04822D3C}"/>
    <cellStyle name="Comma 3 8 5 6 3 2" xfId="16418" xr:uid="{9BDEAA7C-F404-4F71-8511-338C088151DD}"/>
    <cellStyle name="Comma 3 8 5 6 3 2 2" xfId="32622" xr:uid="{4F04A64A-339C-4271-B655-5CBBF4074B07}"/>
    <cellStyle name="Comma 3 8 5 6 3 3" xfId="25119" xr:uid="{C2376876-3C14-4007-BB94-D5B61BFEEAFB}"/>
    <cellStyle name="Comma 3 8 5 6 4" xfId="11839" xr:uid="{984CFEA4-50B9-41B2-BCFB-ECD91AB0062F}"/>
    <cellStyle name="Comma 3 8 5 6 4 2" xfId="28043" xr:uid="{23B6B808-EDF3-4C82-805C-CF77AD523777}"/>
    <cellStyle name="Comma 3 8 5 6 5" xfId="17729" xr:uid="{02354CF1-8700-4229-9E13-DA6F8957D742}"/>
    <cellStyle name="Comma 3 8 5 6 5 2" xfId="33861" xr:uid="{7839D067-3D3F-4C14-9CB0-B47253FE1620}"/>
    <cellStyle name="Comma 3 8 5 6 6" xfId="20480" xr:uid="{CBA0B71E-1DB0-4CE9-AD57-C9AB96068962}"/>
    <cellStyle name="Comma 3 8 5 7" xfId="4701" xr:uid="{E9648304-014B-40A6-8872-A4A51151180A}"/>
    <cellStyle name="Comma 3 8 5 7 2" xfId="8371" xr:uid="{526A94A4-4C06-4513-B4F4-F767DC0C4224}"/>
    <cellStyle name="Comma 3 8 5 7 2 2" xfId="15878" xr:uid="{7E7D886A-004E-414E-89E2-414C73F7D7CD}"/>
    <cellStyle name="Comma 3 8 5 7 2 2 2" xfId="32082" xr:uid="{2E63FCB0-CA54-44C7-A0FB-EDD1A27DC62A}"/>
    <cellStyle name="Comma 3 8 5 7 2 3" xfId="24575" xr:uid="{729FBF27-27AF-4E8E-AC1C-8CC400EC6492}"/>
    <cellStyle name="Comma 3 8 5 7 3" xfId="7163" xr:uid="{844F2FE5-32FE-4B25-AEB2-B066B6294F1B}"/>
    <cellStyle name="Comma 3 8 5 7 3 2" xfId="14674" xr:uid="{6A82047C-94DC-4285-9429-DE0D79540FFC}"/>
    <cellStyle name="Comma 3 8 5 7 3 2 2" xfId="30878" xr:uid="{E1468578-7265-4F71-8096-19C81FCD47C4}"/>
    <cellStyle name="Comma 3 8 5 7 3 3" xfId="23367" xr:uid="{7F2BFCE1-619A-4158-8607-590A871CF664}"/>
    <cellStyle name="Comma 3 8 5 7 4" xfId="12264" xr:uid="{6BF9F7C7-08C3-4C94-AF87-856AF2A94BC3}"/>
    <cellStyle name="Comma 3 8 5 7 4 2" xfId="28468" xr:uid="{22780BF5-0703-40E2-8142-E8A815CD392A}"/>
    <cellStyle name="Comma 3 8 5 7 5" xfId="17730" xr:uid="{27285BD2-8669-49F8-BA1F-08145A6D2477}"/>
    <cellStyle name="Comma 3 8 5 7 5 2" xfId="33862" xr:uid="{161971B9-C7B2-4B0E-B8BE-46E3CE0632AC}"/>
    <cellStyle name="Comma 3 8 5 7 6" xfId="20905" xr:uid="{55457F57-B434-4045-A361-1B3D633F4565}"/>
    <cellStyle name="Comma 3 8 5 8" xfId="5129" xr:uid="{6C932423-D3D1-4461-A8D6-33DBAA1F2848}"/>
    <cellStyle name="Comma 3 8 5 8 2" xfId="8794" xr:uid="{0E6301D7-052F-4E8D-9236-E08B6EDE49C3}"/>
    <cellStyle name="Comma 3 8 5 8 2 2" xfId="16301" xr:uid="{68386EE3-70DB-4E5F-B764-2FF573A4E131}"/>
    <cellStyle name="Comma 3 8 5 8 2 2 2" xfId="32505" xr:uid="{4BFCF96B-5F80-4B66-9C4B-92D3F5BC80E2}"/>
    <cellStyle name="Comma 3 8 5 8 2 3" xfId="24998" xr:uid="{53D021D0-00FF-4DFB-BFC1-CFB36570490C}"/>
    <cellStyle name="Comma 3 8 5 8 3" xfId="12686" xr:uid="{602781B4-77E6-4272-83AD-35EFC64FFD52}"/>
    <cellStyle name="Comma 3 8 5 8 3 2" xfId="28890" xr:uid="{7B9E3F22-3609-43BB-B7A0-0FEBAA9A828E}"/>
    <cellStyle name="Comma 3 8 5 8 4" xfId="21333" xr:uid="{79FEC263-9B73-414F-BF64-D281E7F71E4B}"/>
    <cellStyle name="Comma 3 8 5 9" xfId="5800" xr:uid="{868C6ABE-C09B-4B44-A572-C8A949B67501}"/>
    <cellStyle name="Comma 3 8 5 9 2" xfId="13315" xr:uid="{B0AAD992-1A83-4CF7-9B5F-9039D5F61142}"/>
    <cellStyle name="Comma 3 8 5 9 2 2" xfId="29519" xr:uid="{E072FA0F-85BE-4615-B8C5-EBB2FF944619}"/>
    <cellStyle name="Comma 3 8 5 9 3" xfId="22004" xr:uid="{9FAE35D1-BA4A-44C7-9B5C-09FC7B63B941}"/>
    <cellStyle name="Comma 3 8 6" xfId="2202" xr:uid="{E8D3532C-396C-402D-BDFB-0A22C2BDAD39}"/>
    <cellStyle name="Comma 3 8 6 2" xfId="3110" xr:uid="{6E92F362-D269-47C4-8203-BDD47B36C7B1}"/>
    <cellStyle name="Comma 3 8 6 2 2" xfId="6892" xr:uid="{F0887E4F-6D19-4665-93E5-7C38CC6C405C}"/>
    <cellStyle name="Comma 3 8 6 2 2 2" xfId="14403" xr:uid="{3550FFC0-351C-4B81-B178-40D5F334E4A0}"/>
    <cellStyle name="Comma 3 8 6 2 2 2 2" xfId="30607" xr:uid="{8D980F0D-0BCC-4C05-B0AD-72916B0F0708}"/>
    <cellStyle name="Comma 3 8 6 2 2 3" xfId="23096" xr:uid="{8FEF6F4B-0F8A-4096-87F9-5EB198B0CC50}"/>
    <cellStyle name="Comma 3 8 6 2 3" xfId="5231" xr:uid="{740A953A-FA02-4A9A-9FD7-BB5FFB59B4D6}"/>
    <cellStyle name="Comma 3 8 6 2 3 2" xfId="12786" xr:uid="{75391851-F317-4338-8492-69CE251D2B35}"/>
    <cellStyle name="Comma 3 8 6 2 3 2 2" xfId="28990" xr:uid="{D881EA7E-D01F-4907-9463-2E826917DFF3}"/>
    <cellStyle name="Comma 3 8 6 2 3 3" xfId="21435" xr:uid="{68FEBF88-C174-4769-9A23-C06259C48B5C}"/>
    <cellStyle name="Comma 3 8 6 2 4" xfId="10803" xr:uid="{D448F2E1-BCC5-46AE-AA19-0861EB880018}"/>
    <cellStyle name="Comma 3 8 6 2 4 2" xfId="27007" xr:uid="{F979751B-EAE6-41E3-B5CD-270E4923C237}"/>
    <cellStyle name="Comma 3 8 6 2 5" xfId="17732" xr:uid="{71177528-ADB6-4640-8700-4B0EAB50C596}"/>
    <cellStyle name="Comma 3 8 6 2 5 2" xfId="33864" xr:uid="{BD47294F-4047-41E4-B449-9F15CB6032CD}"/>
    <cellStyle name="Comma 3 8 6 2 6" xfId="19330" xr:uid="{F14BFD7B-1AB4-48C4-BE3B-61B2F8A81815}"/>
    <cellStyle name="Comma 3 8 6 3" xfId="6036" xr:uid="{938B64ED-DF30-4D10-ABC6-BA398099AD85}"/>
    <cellStyle name="Comma 3 8 6 3 2" xfId="13550" xr:uid="{4DEDC66F-4CA5-40C7-BA22-C620B8600BAE}"/>
    <cellStyle name="Comma 3 8 6 3 2 2" xfId="29754" xr:uid="{4A0F718C-6AB3-4F6B-8E71-D941972BFF06}"/>
    <cellStyle name="Comma 3 8 6 3 3" xfId="22240" xr:uid="{D5334CDC-9EE3-49B8-A168-5FA1C5D0E514}"/>
    <cellStyle name="Comma 3 8 6 4" xfId="9162" xr:uid="{31C98C61-C4D8-4E04-B96F-453D9D9F493C}"/>
    <cellStyle name="Comma 3 8 6 4 2" xfId="16637" xr:uid="{E9AB36D1-B41D-4A05-96FC-EB210EAC9301}"/>
    <cellStyle name="Comma 3 8 6 4 2 2" xfId="32841" xr:uid="{C8F1AF03-D66D-4C27-B8BC-8F5FAFF6CF7C}"/>
    <cellStyle name="Comma 3 8 6 4 3" xfId="25366" xr:uid="{48DDA4A8-D283-4C71-AB9B-9F8C7BAF5C09}"/>
    <cellStyle name="Comma 3 8 6 5" xfId="9959" xr:uid="{00019D5C-FAC3-43D7-BCD5-80F0EF2E5D20}"/>
    <cellStyle name="Comma 3 8 6 5 2" xfId="26163" xr:uid="{3E5404B6-D19B-4E86-9CFE-4733716DB448}"/>
    <cellStyle name="Comma 3 8 6 6" xfId="17731" xr:uid="{A61A6923-40D7-47AB-8308-B7293158969E}"/>
    <cellStyle name="Comma 3 8 6 6 2" xfId="33863" xr:uid="{8D5B0700-569E-4A77-AC6D-AF30EDA98D8E}"/>
    <cellStyle name="Comma 3 8 6 7" xfId="18485" xr:uid="{077F16F0-0ACD-4E58-BC37-5C1C760DDB3B}"/>
    <cellStyle name="Comma 3 8 7" xfId="2685" xr:uid="{740EF054-16F8-4255-9841-44880794268E}"/>
    <cellStyle name="Comma 3 8 7 2" xfId="6469" xr:uid="{B9DF7ED6-8FD2-44D1-8364-B7CB72D25EC4}"/>
    <cellStyle name="Comma 3 8 7 2 2" xfId="13981" xr:uid="{E4369D6C-9AD0-4158-A07B-CE6536F84F67}"/>
    <cellStyle name="Comma 3 8 7 2 2 2" xfId="30185" xr:uid="{C071EF31-08A4-484F-9BEA-BFE714D43A0D}"/>
    <cellStyle name="Comma 3 8 7 2 3" xfId="22673" xr:uid="{EF3D2145-4278-4A83-A386-F28CD1C413D1}"/>
    <cellStyle name="Comma 3 8 7 3" xfId="5526" xr:uid="{31680E85-57A7-4179-B0CF-235BFB8052BC}"/>
    <cellStyle name="Comma 3 8 7 3 2" xfId="13054" xr:uid="{1DAF9D7B-9660-47E4-8B8A-F99A08152B17}"/>
    <cellStyle name="Comma 3 8 7 3 2 2" xfId="29258" xr:uid="{603A34FC-5EC0-4D99-A1D7-0DD481C99FB4}"/>
    <cellStyle name="Comma 3 8 7 3 3" xfId="21730" xr:uid="{BAF0BDC5-507B-4204-B0B7-1B3ECD892B6A}"/>
    <cellStyle name="Comma 3 8 7 4" xfId="10381" xr:uid="{5E1D43E8-977F-4012-9527-B06F4825ECBF}"/>
    <cellStyle name="Comma 3 8 7 4 2" xfId="26585" xr:uid="{7FC12E35-536D-41A0-9F37-AAAB101FCACB}"/>
    <cellStyle name="Comma 3 8 7 5" xfId="17733" xr:uid="{5F7B22CA-93E7-4A72-9F30-3A7FE78C684B}"/>
    <cellStyle name="Comma 3 8 7 5 2" xfId="33865" xr:uid="{96692021-99B4-43AC-9C88-13EEC602EF13}"/>
    <cellStyle name="Comma 3 8 7 6" xfId="18907" xr:uid="{9FD7CB67-84E7-4242-BCFE-77CB5E817B9B}"/>
    <cellStyle name="Comma 3 8 8" xfId="3612" xr:uid="{F3D9DF59-BCFC-45F9-AA31-AA0CD30A6323}"/>
    <cellStyle name="Comma 3 8 8 2" xfId="7325" xr:uid="{799CD4A3-CA92-4C35-9886-7C57995EDB8F}"/>
    <cellStyle name="Comma 3 8 8 2 2" xfId="14834" xr:uid="{667966F9-9809-4C58-A673-45273C3B095F}"/>
    <cellStyle name="Comma 3 8 8 2 2 2" xfId="31038" xr:uid="{94169055-A088-44AE-A8AB-DDF82D5D395E}"/>
    <cellStyle name="Comma 3 8 8 2 3" xfId="23529" xr:uid="{46563F00-E8BC-4745-AD51-14190907B5EB}"/>
    <cellStyle name="Comma 3 8 8 3" xfId="9374" xr:uid="{7D699978-538A-435E-B14E-E78F24B806B7}"/>
    <cellStyle name="Comma 3 8 8 3 2" xfId="16815" xr:uid="{4D13C1C0-AC73-422C-9192-AC0DE70942A5}"/>
    <cellStyle name="Comma 3 8 8 3 2 2" xfId="33019" xr:uid="{FE4E493D-A9DE-4152-9FA7-A79F98E99A77}"/>
    <cellStyle name="Comma 3 8 8 3 3" xfId="25578" xr:uid="{B4803EE9-1589-4EAF-AFE6-B0F812FDD6C1}"/>
    <cellStyle name="Comma 3 8 8 4" xfId="11226" xr:uid="{F68CA1E8-1D47-4DBA-AE09-11FC590D98F1}"/>
    <cellStyle name="Comma 3 8 8 4 2" xfId="27430" xr:uid="{53A2695F-9602-4AA6-A63E-AC2BA674EC1C}"/>
    <cellStyle name="Comma 3 8 8 5" xfId="17734" xr:uid="{7C42874C-5F93-42E1-B56B-1237B28AE850}"/>
    <cellStyle name="Comma 3 8 8 5 2" xfId="33866" xr:uid="{58342983-F6E8-47A1-8C1C-7C70EA8ACA56}"/>
    <cellStyle name="Comma 3 8 8 6" xfId="19821" xr:uid="{ED7E8AB4-8009-4719-AA31-A2C220E8AD1E}"/>
    <cellStyle name="Comma 3 8 9" xfId="3569" xr:uid="{C4FCA102-8B2F-45D0-BB66-130F4C369F95}"/>
    <cellStyle name="Comma 3 8 9 2" xfId="9210" xr:uid="{9477F2BA-F466-4767-832E-21B3B496EAFF}"/>
    <cellStyle name="Comma 3 8 9 2 2" xfId="25414" xr:uid="{CD6FF89B-107E-463C-A2C5-C71799233555}"/>
    <cellStyle name="Comma 3 8 9 3" xfId="17735" xr:uid="{B0D47C55-09EB-490B-B641-D93A76E014A3}"/>
    <cellStyle name="Comma 3 8 9 3 2" xfId="33867" xr:uid="{CCB3D9BB-38FD-4DF7-B6F0-22AEBCB82577}"/>
    <cellStyle name="Comma 3 8 9 4" xfId="19782" xr:uid="{E0FB23A6-EE46-486F-BC0E-270E8F585978}"/>
    <cellStyle name="Comma 3 9" xfId="1624" xr:uid="{B8E518B7-2059-4043-98BC-70CCA0F9CF3C}"/>
    <cellStyle name="Comma 3 9 10" xfId="4087" xr:uid="{AE8E949C-6D52-4C7A-9409-9FEF106A456E}"/>
    <cellStyle name="Comma 3 9 10 2" xfId="7757" xr:uid="{81D65D82-6D23-4F73-B380-5893B92940CB}"/>
    <cellStyle name="Comma 3 9 10 2 2" xfId="15264" xr:uid="{A23926AF-F9CE-43DB-8346-A552F042E553}"/>
    <cellStyle name="Comma 3 9 10 2 2 2" xfId="31468" xr:uid="{25A278F5-DA97-4971-B41F-383F686C04C3}"/>
    <cellStyle name="Comma 3 9 10 2 3" xfId="23961" xr:uid="{627BDFB2-58A1-4C40-BE92-FE0A4D89F5E9}"/>
    <cellStyle name="Comma 3 9 10 3" xfId="5432" xr:uid="{BB09A815-99D0-47C2-A5A9-DB62DEC03D16}"/>
    <cellStyle name="Comma 3 9 10 3 2" xfId="12976" xr:uid="{0C1D324A-50CA-4968-BC6D-79CBA2CB775E}"/>
    <cellStyle name="Comma 3 9 10 3 2 2" xfId="29180" xr:uid="{AA9E1BB2-2AD7-4D5B-B7E5-855D8D954C4E}"/>
    <cellStyle name="Comma 3 9 10 3 3" xfId="21636" xr:uid="{F293EE21-F9A4-48AB-B43C-C6792A49C0AE}"/>
    <cellStyle name="Comma 3 9 10 4" xfId="11650" xr:uid="{9075D784-0567-4045-A9F2-8F95E8C57FF3}"/>
    <cellStyle name="Comma 3 9 10 4 2" xfId="27854" xr:uid="{592E3E57-C70E-4D55-ACFA-7A9E0AC0FA8E}"/>
    <cellStyle name="Comma 3 9 10 5" xfId="17737" xr:uid="{DB7BB6F9-D802-4169-AD77-AF99FC61EE65}"/>
    <cellStyle name="Comma 3 9 10 5 2" xfId="33869" xr:uid="{D1CBC6C9-B411-469A-902A-6524A855A023}"/>
    <cellStyle name="Comma 3 9 10 6" xfId="20291" xr:uid="{07EC59CF-0AE9-4837-BCF8-1500AB4F4B4F}"/>
    <cellStyle name="Comma 3 9 11" xfId="4512" xr:uid="{099DE0AC-FFD8-4D30-8FA3-DA70AF10B1ED}"/>
    <cellStyle name="Comma 3 9 11 2" xfId="8182" xr:uid="{54FCD9F3-B432-4A87-8D91-98828DD35EFE}"/>
    <cellStyle name="Comma 3 9 11 2 2" xfId="15689" xr:uid="{A9F81B37-2D7D-47B2-A6FF-9486CF8A8030}"/>
    <cellStyle name="Comma 3 9 11 2 2 2" xfId="31893" xr:uid="{17C12344-CCBE-482A-B269-F025ACB80817}"/>
    <cellStyle name="Comma 3 9 11 2 3" xfId="24386" xr:uid="{57AE1005-A010-4E01-8E98-A26ADA41959D}"/>
    <cellStyle name="Comma 3 9 11 3" xfId="9026" xr:uid="{5BEE3626-E061-4DAD-A976-D408BA771F10}"/>
    <cellStyle name="Comma 3 9 11 3 2" xfId="16517" xr:uid="{0E59B2C1-BECA-4EAF-924D-7F9CCE9691FE}"/>
    <cellStyle name="Comma 3 9 11 3 2 2" xfId="32721" xr:uid="{B6AFF7FD-ECF6-45D0-AE83-A8BBEBDDD13B}"/>
    <cellStyle name="Comma 3 9 11 3 3" xfId="25230" xr:uid="{6E4FD0EB-4904-4E7A-A5C5-17C8566E4FFA}"/>
    <cellStyle name="Comma 3 9 11 4" xfId="12075" xr:uid="{96F616BC-331C-49B5-B914-29778F28C153}"/>
    <cellStyle name="Comma 3 9 11 4 2" xfId="28279" xr:uid="{4F69D850-D50E-4B33-9E51-74838A294130}"/>
    <cellStyle name="Comma 3 9 11 5" xfId="17738" xr:uid="{A3923C74-9519-4E5F-9F3E-CD62F2A5E203}"/>
    <cellStyle name="Comma 3 9 11 5 2" xfId="33870" xr:uid="{867FB25C-1BDE-47E3-9141-47F93029364C}"/>
    <cellStyle name="Comma 3 9 11 6" xfId="20716" xr:uid="{4BB1D771-8F03-491F-B53B-4358B1663853}"/>
    <cellStyle name="Comma 3 9 12" xfId="4939" xr:uid="{40E40784-A581-4AF3-A8F9-0C3498DEA6A7}"/>
    <cellStyle name="Comma 3 9 12 2" xfId="8605" xr:uid="{1203C29D-C1C3-4AEF-A4E7-83638A883FC8}"/>
    <cellStyle name="Comma 3 9 12 2 2" xfId="16112" xr:uid="{3AD649F7-DFC1-4521-A76B-11AEFCDECCD3}"/>
    <cellStyle name="Comma 3 9 12 2 2 2" xfId="32316" xr:uid="{3CCD45D8-06B7-4BD5-B2B6-9AD284B3276E}"/>
    <cellStyle name="Comma 3 9 12 2 3" xfId="24809" xr:uid="{E951107D-F9F5-4391-9408-E69BF34DA2FA}"/>
    <cellStyle name="Comma 3 9 12 3" xfId="12497" xr:uid="{8F207B62-73C9-47EC-A847-A43B7F78D8CB}"/>
    <cellStyle name="Comma 3 9 12 3 2" xfId="28701" xr:uid="{7B613A3A-A9AD-4734-9734-6A5DFFCC32FB}"/>
    <cellStyle name="Comma 3 9 12 4" xfId="21143" xr:uid="{B2A97FE5-BE67-4CEC-B630-639861ABA253}"/>
    <cellStyle name="Comma 3 9 13" xfId="5585" xr:uid="{E2755DDE-72FD-4AF9-ADD7-FE1B507D4E38}"/>
    <cellStyle name="Comma 3 9 13 2" xfId="13102" xr:uid="{DF2A8C70-29BD-4F46-AFCE-99F9ECDA3FCD}"/>
    <cellStyle name="Comma 3 9 13 2 2" xfId="29306" xr:uid="{03A1BB48-2DD3-4B31-B365-E2BF43A937F3}"/>
    <cellStyle name="Comma 3 9 13 3" xfId="21789" xr:uid="{B0921B45-60E2-4CEF-BCC6-821F336AE6C1}"/>
    <cellStyle name="Comma 3 9 14" xfId="9538" xr:uid="{2B030494-AEDC-4A0C-B98B-42DA7CCE59FA}"/>
    <cellStyle name="Comma 3 9 14 2" xfId="25742" xr:uid="{158BE8BA-B4E1-4420-A96A-C4C75D1B53AA}"/>
    <cellStyle name="Comma 3 9 15" xfId="17736" xr:uid="{BB39CCFB-DD3A-4F54-A088-50C72244DD72}"/>
    <cellStyle name="Comma 3 9 15 2" xfId="33868" xr:uid="{7E424A51-FFEF-4529-8AA0-BD8AF21A3B97}"/>
    <cellStyle name="Comma 3 9 16" xfId="18061" xr:uid="{4AF439E0-04C9-4BF1-8BC9-F21F0EE8DC9C}"/>
    <cellStyle name="Comma 3 9 2" xfId="1755" xr:uid="{6943A64B-2605-4127-B99F-4BADC2554CCA}"/>
    <cellStyle name="Comma 3 9 2 10" xfId="5624" xr:uid="{F11A5CBF-9670-481B-8648-FBEF5972AA9C}"/>
    <cellStyle name="Comma 3 9 2 10 2" xfId="13139" xr:uid="{8F805050-1BF2-42A7-8FF6-9DA5B9C82099}"/>
    <cellStyle name="Comma 3 9 2 10 2 2" xfId="29343" xr:uid="{089E5DF1-3884-4C4E-A541-29A442219115}"/>
    <cellStyle name="Comma 3 9 2 10 3" xfId="21828" xr:uid="{D9AD3D73-9B5D-4334-AB1D-74049EB5AB9A}"/>
    <cellStyle name="Comma 3 9 2 11" xfId="9552" xr:uid="{348401DF-0B9C-4EFD-A638-130A2492BC65}"/>
    <cellStyle name="Comma 3 9 2 11 2" xfId="25756" xr:uid="{1349EDD1-E1D0-4AAF-A343-9823071412B0}"/>
    <cellStyle name="Comma 3 9 2 12" xfId="17739" xr:uid="{CDDF2CA1-846B-465D-B503-F0DCF278C063}"/>
    <cellStyle name="Comma 3 9 2 12 2" xfId="33871" xr:uid="{22B5C5C2-3523-4737-B516-1B626320BAB8}"/>
    <cellStyle name="Comma 3 9 2 13" xfId="18075" xr:uid="{9551A2BE-B781-427A-AAC5-36B9717A31B0}"/>
    <cellStyle name="Comma 3 9 2 2" xfId="1948" xr:uid="{18AEB008-0278-4347-B2D1-146349DFFBF2}"/>
    <cellStyle name="Comma 3 9 2 2 10" xfId="9728" xr:uid="{2EDCBC14-C7D8-4D91-AB6C-3165A40273A0}"/>
    <cellStyle name="Comma 3 9 2 2 10 2" xfId="25932" xr:uid="{AE3B98C7-9003-4EC8-8E80-9F5B28205D6E}"/>
    <cellStyle name="Comma 3 9 2 2 11" xfId="17740" xr:uid="{779BD4CD-E868-477C-9806-ED7D5CA443AE}"/>
    <cellStyle name="Comma 3 9 2 2 11 2" xfId="33872" xr:uid="{AFA1B463-CF7C-472F-9234-003EA6632C95}"/>
    <cellStyle name="Comma 3 9 2 2 12" xfId="18252" xr:uid="{A95AB108-7241-468C-8460-8A226883B848}"/>
    <cellStyle name="Comma 3 9 2 2 2" xfId="2455" xr:uid="{71E39CD1-5FB3-4CB7-B30C-085E9CAD7FB6}"/>
    <cellStyle name="Comma 3 9 2 2 2 2" xfId="3302" xr:uid="{D135CAA5-3692-468A-B1C7-FC9D8B62E355}"/>
    <cellStyle name="Comma 3 9 2 2 2 2 2" xfId="7084" xr:uid="{E669D672-3911-443D-849F-AB801E31DDE7}"/>
    <cellStyle name="Comma 3 9 2 2 2 2 2 2" xfId="14595" xr:uid="{F64A8F14-E492-4323-AC31-C1D3CB929079}"/>
    <cellStyle name="Comma 3 9 2 2 2 2 2 2 2" xfId="30799" xr:uid="{4D7AFFE1-F44A-42CF-A516-3DB2BA4503D8}"/>
    <cellStyle name="Comma 3 9 2 2 2 2 2 3" xfId="23288" xr:uid="{E0CB4D6B-B89F-4142-B8E3-1482224AC924}"/>
    <cellStyle name="Comma 3 9 2 2 2 2 3" xfId="5609" xr:uid="{B3CEC0A3-4030-4EC7-98DE-F3A9EA9F6A8A}"/>
    <cellStyle name="Comma 3 9 2 2 2 2 3 2" xfId="13124" xr:uid="{9B90C60F-72BB-4E1E-99BD-724AE0E16984}"/>
    <cellStyle name="Comma 3 9 2 2 2 2 3 2 2" xfId="29328" xr:uid="{75B5C44D-AD2F-4DDE-8EC6-B40BAA5BA209}"/>
    <cellStyle name="Comma 3 9 2 2 2 2 3 3" xfId="21813" xr:uid="{12D609E2-127F-4BB4-8FFF-850AF237B574}"/>
    <cellStyle name="Comma 3 9 2 2 2 2 4" xfId="10995" xr:uid="{C53C7FDA-3FD7-40D7-AD82-EEFD14ED0D9D}"/>
    <cellStyle name="Comma 3 9 2 2 2 2 4 2" xfId="27199" xr:uid="{FAFCE0D6-CEB1-441A-BA2A-C15C851B4E70}"/>
    <cellStyle name="Comma 3 9 2 2 2 2 5" xfId="17742" xr:uid="{529E3FBC-CF07-481B-969C-4D92EAAD57E7}"/>
    <cellStyle name="Comma 3 9 2 2 2 2 5 2" xfId="33874" xr:uid="{EBB4E9EF-CC30-4867-B25C-6CFFB37D4E1B}"/>
    <cellStyle name="Comma 3 9 2 2 2 2 6" xfId="19522" xr:uid="{44BACE98-DD15-469F-911A-5DB3B750D751}"/>
    <cellStyle name="Comma 3 9 2 2 2 3" xfId="6239" xr:uid="{08DB5D80-4A7F-4F4B-9802-AE355F1B52C3}"/>
    <cellStyle name="Comma 3 9 2 2 2 3 2" xfId="13751" xr:uid="{0EBC26A1-1896-439D-901C-F50F847CF7E9}"/>
    <cellStyle name="Comma 3 9 2 2 2 3 2 2" xfId="29955" xr:uid="{C71A7275-92F4-42EF-B4FC-D36EFBC055A6}"/>
    <cellStyle name="Comma 3 9 2 2 2 3 3" xfId="22443" xr:uid="{264E9F5D-2D11-4CCD-8AF0-D1215C010C58}"/>
    <cellStyle name="Comma 3 9 2 2 2 4" xfId="8918" xr:uid="{77452EB7-248F-46FD-9D96-1950C8BEA14D}"/>
    <cellStyle name="Comma 3 9 2 2 2 4 2" xfId="16421" xr:uid="{CF757770-ED24-4040-B897-D136F1AAF2F5}"/>
    <cellStyle name="Comma 3 9 2 2 2 4 2 2" xfId="32625" xr:uid="{5ABCEB61-24E9-4E20-92D1-39EFC6A150FC}"/>
    <cellStyle name="Comma 3 9 2 2 2 4 3" xfId="25122" xr:uid="{B542EB1A-0CE5-4749-9731-243F964ECBA6}"/>
    <cellStyle name="Comma 3 9 2 2 2 5" xfId="10151" xr:uid="{1DCD4C76-0766-4836-8A13-72DAD5389BAB}"/>
    <cellStyle name="Comma 3 9 2 2 2 5 2" xfId="26355" xr:uid="{36FDC273-CDD0-4523-9341-BF3742CCCE8A}"/>
    <cellStyle name="Comma 3 9 2 2 2 6" xfId="17741" xr:uid="{37A93A0D-F042-4D2D-8548-6CA50C53F640}"/>
    <cellStyle name="Comma 3 9 2 2 2 6 2" xfId="33873" xr:uid="{6D85A951-CA9A-45D9-8807-588A801D2382}"/>
    <cellStyle name="Comma 3 9 2 2 2 7" xfId="18677" xr:uid="{75208290-3ED8-45A7-AE94-ACE367EEBBDE}"/>
    <cellStyle name="Comma 3 9 2 2 3" xfId="2877" xr:uid="{489B52E0-B8AA-4555-B9EA-CC70D3ED4C9A}"/>
    <cellStyle name="Comma 3 9 2 2 3 2" xfId="6661" xr:uid="{244AE922-A53A-46A5-9C2C-8BD3A0B95181}"/>
    <cellStyle name="Comma 3 9 2 2 3 2 2" xfId="14173" xr:uid="{ACC2831C-2B9A-4F13-9C3D-E9A8921D1310}"/>
    <cellStyle name="Comma 3 9 2 2 3 2 2 2" xfId="30377" xr:uid="{241F99D4-6344-4157-AED3-E3EA080F69C7}"/>
    <cellStyle name="Comma 3 9 2 2 3 2 3" xfId="22865" xr:uid="{026E5C24-DF33-4208-B147-8FF0BB2CFD38}"/>
    <cellStyle name="Comma 3 9 2 2 3 3" xfId="9181" xr:uid="{9943BD46-284B-43A7-BE01-329EB8F8ACFF}"/>
    <cellStyle name="Comma 3 9 2 2 3 3 2" xfId="16654" xr:uid="{8A3A3F59-0438-4DEE-AD45-BFCD6421E0D9}"/>
    <cellStyle name="Comma 3 9 2 2 3 3 2 2" xfId="32858" xr:uid="{ED50BCDB-5723-4B10-B6C1-89712C681274}"/>
    <cellStyle name="Comma 3 9 2 2 3 3 3" xfId="25385" xr:uid="{0738DC35-9648-4C7A-951A-E6476354F144}"/>
    <cellStyle name="Comma 3 9 2 2 3 4" xfId="10573" xr:uid="{D4D49587-A907-41F9-B452-73AFAB31DA57}"/>
    <cellStyle name="Comma 3 9 2 2 3 4 2" xfId="26777" xr:uid="{B85C1223-3D6F-419F-80FC-CD4B40BE54E5}"/>
    <cellStyle name="Comma 3 9 2 2 3 5" xfId="17743" xr:uid="{D5E18071-4358-4696-A85B-E8F7994E2611}"/>
    <cellStyle name="Comma 3 9 2 2 3 5 2" xfId="33875" xr:uid="{716EBE2A-C55E-4F2C-934F-88E965787483}"/>
    <cellStyle name="Comma 3 9 2 2 3 6" xfId="19099" xr:uid="{761AB1BC-9F51-4A43-8661-F05E777EE3EC}"/>
    <cellStyle name="Comma 3 9 2 2 4" xfId="3808" xr:uid="{B418E618-07D1-4888-8A50-59A65B36060E}"/>
    <cellStyle name="Comma 3 9 2 2 4 2" xfId="7518" xr:uid="{CBE2ADBE-B902-4F34-A284-3FFAA9F4A9C2}"/>
    <cellStyle name="Comma 3 9 2 2 4 2 2" xfId="15027" xr:uid="{2697752F-452C-4C5F-A05C-E9FE85AAC6EC}"/>
    <cellStyle name="Comma 3 9 2 2 4 2 2 2" xfId="31231" xr:uid="{86479B39-43D8-4231-A810-66B0F65D4E0C}"/>
    <cellStyle name="Comma 3 9 2 2 4 2 3" xfId="23722" xr:uid="{7A1D60D8-A2DC-4C4B-A0E9-872C8FB96615}"/>
    <cellStyle name="Comma 3 9 2 2 4 3" xfId="5560" xr:uid="{F7254D9C-3F8F-4405-ADA3-D6A8C3C31992}"/>
    <cellStyle name="Comma 3 9 2 2 4 3 2" xfId="13079" xr:uid="{62227F58-0B4A-49BB-9F1C-BDEE6014826A}"/>
    <cellStyle name="Comma 3 9 2 2 4 3 2 2" xfId="29283" xr:uid="{38B9DF7E-1FEB-4E15-B6FC-C9A5D94A6B16}"/>
    <cellStyle name="Comma 3 9 2 2 4 3 3" xfId="21764" xr:uid="{6F25C16A-5C01-4801-8CC5-3DBEA6877354}"/>
    <cellStyle name="Comma 3 9 2 2 4 4" xfId="11418" xr:uid="{D9023836-72C0-41CD-9EB8-D4E7957704BB}"/>
    <cellStyle name="Comma 3 9 2 2 4 4 2" xfId="27622" xr:uid="{6BED58CE-F3EF-4666-9FB0-79F8CB9791E9}"/>
    <cellStyle name="Comma 3 9 2 2 4 5" xfId="17744" xr:uid="{22C08FF3-0D9C-4786-BC96-2C91D7713619}"/>
    <cellStyle name="Comma 3 9 2 2 4 5 2" xfId="33876" xr:uid="{9B63A915-C1AD-4D46-800C-4FA429997360}"/>
    <cellStyle name="Comma 3 9 2 2 4 6" xfId="20017" xr:uid="{A32275D4-F61A-4A24-BAA3-4485D2127993}"/>
    <cellStyle name="Comma 3 9 2 2 5" xfId="3564" xr:uid="{27C336AE-78A1-448F-A858-494FD11DC5E7}"/>
    <cellStyle name="Comma 3 9 2 2 5 2" xfId="9068" xr:uid="{75DC20AA-F167-4114-986C-5DAFE475CFC1}"/>
    <cellStyle name="Comma 3 9 2 2 5 2 2" xfId="25272" xr:uid="{24AB53ED-E873-4BEC-92EF-634569A315DE}"/>
    <cellStyle name="Comma 3 9 2 2 5 3" xfId="17745" xr:uid="{CCA3B779-83D0-4A1F-B533-9A1BD78F61F6}"/>
    <cellStyle name="Comma 3 9 2 2 5 3 2" xfId="33877" xr:uid="{475D102B-9E95-4BD1-B147-DFE0ED38A141}"/>
    <cellStyle name="Comma 3 9 2 2 5 4" xfId="19777" xr:uid="{688A7866-8BA2-46DB-8BCF-4045B227629C}"/>
    <cellStyle name="Comma 3 9 2 2 6" xfId="4277" xr:uid="{6C06A2A9-AD42-4855-8276-78EC391F4993}"/>
    <cellStyle name="Comma 3 9 2 2 6 2" xfId="7947" xr:uid="{82810222-80D4-48D7-B6CC-2A122E3BE97F}"/>
    <cellStyle name="Comma 3 9 2 2 6 2 2" xfId="15454" xr:uid="{2E2A14D9-9862-4210-AFD4-D679D1ABAD13}"/>
    <cellStyle name="Comma 3 9 2 2 6 2 2 2" xfId="31658" xr:uid="{24211FB2-44F7-46C7-9563-6D3DBF252411}"/>
    <cellStyle name="Comma 3 9 2 2 6 2 3" xfId="24151" xr:uid="{B5D2D8F7-E523-471A-9E85-056E86984D69}"/>
    <cellStyle name="Comma 3 9 2 2 6 3" xfId="9266" xr:uid="{D0E339A6-E623-4D52-93EE-D7F70683F67B}"/>
    <cellStyle name="Comma 3 9 2 2 6 3 2" xfId="16726" xr:uid="{D29D5620-4B2B-4B80-933F-740424E3BBA2}"/>
    <cellStyle name="Comma 3 9 2 2 6 3 2 2" xfId="32930" xr:uid="{ECA9AB25-7C29-4B9C-A2DD-27FB4BE9B974}"/>
    <cellStyle name="Comma 3 9 2 2 6 3 3" xfId="25470" xr:uid="{7F61261A-703B-4A8C-AC3C-221890492391}"/>
    <cellStyle name="Comma 3 9 2 2 6 4" xfId="11840" xr:uid="{8D7330A8-0604-49FB-8866-F4F107B8FF15}"/>
    <cellStyle name="Comma 3 9 2 2 6 4 2" xfId="28044" xr:uid="{E451F7BD-8EE4-4C70-9BE3-8C16EFC81EEE}"/>
    <cellStyle name="Comma 3 9 2 2 6 5" xfId="17746" xr:uid="{5E7AD6B7-9DAA-402C-B6FB-F0EDD486DA5D}"/>
    <cellStyle name="Comma 3 9 2 2 6 5 2" xfId="33878" xr:uid="{965932DA-BBB6-485E-87C5-B070D9D6819D}"/>
    <cellStyle name="Comma 3 9 2 2 6 6" xfId="20481" xr:uid="{B52907E0-B332-4588-87AB-10BFE692D8A5}"/>
    <cellStyle name="Comma 3 9 2 2 7" xfId="4702" xr:uid="{C663C2F1-8E27-4339-A441-599B0940360F}"/>
    <cellStyle name="Comma 3 9 2 2 7 2" xfId="8372" xr:uid="{9CEA30B2-C833-46D8-9BC1-FBE44E31A3B9}"/>
    <cellStyle name="Comma 3 9 2 2 7 2 2" xfId="15879" xr:uid="{152148E3-B10A-4C4C-B36B-154D00AF4DB9}"/>
    <cellStyle name="Comma 3 9 2 2 7 2 2 2" xfId="32083" xr:uid="{64A76B68-2E3A-4B50-8CA0-DC241E4AE028}"/>
    <cellStyle name="Comma 3 9 2 2 7 2 3" xfId="24576" xr:uid="{BF463DE9-9948-4189-A94D-A7389F0AAFF3}"/>
    <cellStyle name="Comma 3 9 2 2 7 3" xfId="5538" xr:uid="{C0459004-6294-445F-867A-6129C81B2D6D}"/>
    <cellStyle name="Comma 3 9 2 2 7 3 2" xfId="13064" xr:uid="{46BC8E21-FB3F-4679-86B4-120BAEB500DB}"/>
    <cellStyle name="Comma 3 9 2 2 7 3 2 2" xfId="29268" xr:uid="{8092BEA7-E996-491F-AA7D-B10B88DB4882}"/>
    <cellStyle name="Comma 3 9 2 2 7 3 3" xfId="21742" xr:uid="{ADB2E989-9CE8-4C7B-98CF-48D92F9E20B5}"/>
    <cellStyle name="Comma 3 9 2 2 7 4" xfId="12265" xr:uid="{779B8BEC-A760-4DB7-8176-E1BBEBA1D249}"/>
    <cellStyle name="Comma 3 9 2 2 7 4 2" xfId="28469" xr:uid="{2686D3CA-117A-407D-9F03-2014A3A438E3}"/>
    <cellStyle name="Comma 3 9 2 2 7 5" xfId="17747" xr:uid="{9D55D87A-631F-44FE-80F2-0746D173720F}"/>
    <cellStyle name="Comma 3 9 2 2 7 5 2" xfId="33879" xr:uid="{486951DB-E0BD-4FB9-9E60-4D3362150E5B}"/>
    <cellStyle name="Comma 3 9 2 2 7 6" xfId="20906" xr:uid="{736BF891-0360-4168-98CF-EF098E9041DF}"/>
    <cellStyle name="Comma 3 9 2 2 8" xfId="5130" xr:uid="{67168A3A-65CA-41F3-AAA9-96C5AB8874D9}"/>
    <cellStyle name="Comma 3 9 2 2 8 2" xfId="8795" xr:uid="{4B3EC8B0-AE27-45DC-9F0B-1EFA1A6F5C2B}"/>
    <cellStyle name="Comma 3 9 2 2 8 2 2" xfId="16302" xr:uid="{AEE60922-B5CB-4193-8765-9D2FC992FC17}"/>
    <cellStyle name="Comma 3 9 2 2 8 2 2 2" xfId="32506" xr:uid="{C34726E6-3CA1-4B9B-8D0F-D516B5C2BD79}"/>
    <cellStyle name="Comma 3 9 2 2 8 2 3" xfId="24999" xr:uid="{D514D45B-B7A2-40D4-AACB-DCDAF0642C53}"/>
    <cellStyle name="Comma 3 9 2 2 8 3" xfId="12687" xr:uid="{DC12B94A-5302-4E2D-9DCA-43B7142098D0}"/>
    <cellStyle name="Comma 3 9 2 2 8 3 2" xfId="28891" xr:uid="{284AAB6E-92C4-42B9-8893-EDA1602C1D2A}"/>
    <cellStyle name="Comma 3 9 2 2 8 4" xfId="21334" xr:uid="{109FA5FD-9BF0-4AF4-9A25-7F803D4B20DD}"/>
    <cellStyle name="Comma 3 9 2 2 9" xfId="5801" xr:uid="{53FCACFF-1C8A-4710-97B9-750EFC84240D}"/>
    <cellStyle name="Comma 3 9 2 2 9 2" xfId="13316" xr:uid="{4A4D2E58-E0D6-4F22-9472-99C66CC72C37}"/>
    <cellStyle name="Comma 3 9 2 2 9 2 2" xfId="29520" xr:uid="{93D70A1B-8793-4BA7-955C-D0DD4BFB92AC}"/>
    <cellStyle name="Comma 3 9 2 2 9 3" xfId="22005" xr:uid="{FF1087FA-0BF0-4CDB-BCCE-5244C48E5256}"/>
    <cellStyle name="Comma 3 9 2 3" xfId="2275" xr:uid="{1408C443-147B-42CB-89EB-0C0DA79A8CCF}"/>
    <cellStyle name="Comma 3 9 2 3 2" xfId="3126" xr:uid="{1BCBB5BC-FF6E-4B2A-B11D-72E5A9F1E48C}"/>
    <cellStyle name="Comma 3 9 2 3 2 2" xfId="6908" xr:uid="{9D3B9445-8B53-4602-AD5A-CB7A71FB6B23}"/>
    <cellStyle name="Comma 3 9 2 3 2 2 2" xfId="14419" xr:uid="{0E3328ED-9391-4725-B353-996C4E7743CB}"/>
    <cellStyle name="Comma 3 9 2 3 2 2 2 2" xfId="30623" xr:uid="{A8307F4B-245C-41C2-B870-3221BB95867A}"/>
    <cellStyle name="Comma 3 9 2 3 2 2 3" xfId="23112" xr:uid="{03FB8107-DF56-4824-8154-3C432AC9DF3B}"/>
    <cellStyle name="Comma 3 9 2 3 2 3" xfId="8977" xr:uid="{1D8DF556-A16B-4327-A395-3C0E75BF4881}"/>
    <cellStyle name="Comma 3 9 2 3 2 3 2" xfId="16471" xr:uid="{55C00E40-98AB-4042-A1A8-CB3718D41940}"/>
    <cellStyle name="Comma 3 9 2 3 2 3 2 2" xfId="32675" xr:uid="{D7F8DF91-0058-480B-A896-B57263BC6D13}"/>
    <cellStyle name="Comma 3 9 2 3 2 3 3" xfId="25181" xr:uid="{E8CFC7EB-8E61-44F0-A42A-3555A9D6639A}"/>
    <cellStyle name="Comma 3 9 2 3 2 4" xfId="10819" xr:uid="{5B2973FA-DE64-478B-A89D-BE68CE2B2ADF}"/>
    <cellStyle name="Comma 3 9 2 3 2 4 2" xfId="27023" xr:uid="{1485C389-E37F-4DA1-8606-87193E8C0EDE}"/>
    <cellStyle name="Comma 3 9 2 3 2 5" xfId="17749" xr:uid="{C18B2536-E689-4F2A-9A2C-CA49EF825D21}"/>
    <cellStyle name="Comma 3 9 2 3 2 5 2" xfId="33881" xr:uid="{F2AD1E56-CC02-4DDC-9692-B782EB5FFC95}"/>
    <cellStyle name="Comma 3 9 2 3 2 6" xfId="19346" xr:uid="{70CAD6C6-7921-4F0D-A32D-EAAA04A5A01F}"/>
    <cellStyle name="Comma 3 9 2 3 3" xfId="6063" xr:uid="{BFC76DAA-7C9C-42FC-80D9-481ACD5FCA55}"/>
    <cellStyle name="Comma 3 9 2 3 3 2" xfId="13575" xr:uid="{2E9E3CEF-823D-40FF-97A0-68B4EC38ECDA}"/>
    <cellStyle name="Comma 3 9 2 3 3 2 2" xfId="29779" xr:uid="{76DEE50D-832C-4B63-A0C1-5C5507D8E542}"/>
    <cellStyle name="Comma 3 9 2 3 3 3" xfId="22267" xr:uid="{4582FF53-526C-45DA-8431-9B1DB741429F}"/>
    <cellStyle name="Comma 3 9 2 3 4" xfId="8887" xr:uid="{0EC6075E-4580-4775-B50C-5E5F8E818DB2}"/>
    <cellStyle name="Comma 3 9 2 3 4 2" xfId="16391" xr:uid="{FC30E565-F3FA-4ADB-91C5-E4D9C8610301}"/>
    <cellStyle name="Comma 3 9 2 3 4 2 2" xfId="32595" xr:uid="{FC9AE640-5C35-4786-ABC5-66E411849BD2}"/>
    <cellStyle name="Comma 3 9 2 3 4 3" xfId="25091" xr:uid="{7029D3AE-EBA5-480D-90FB-D273978D2F2A}"/>
    <cellStyle name="Comma 3 9 2 3 5" xfId="9975" xr:uid="{90BF528D-8763-4CA4-A838-503065E2E240}"/>
    <cellStyle name="Comma 3 9 2 3 5 2" xfId="26179" xr:uid="{301E5855-1408-449C-8DB4-AAC21F637EAE}"/>
    <cellStyle name="Comma 3 9 2 3 6" xfId="17748" xr:uid="{B40DF71D-2293-4B36-82BC-8B6C8FC52B7E}"/>
    <cellStyle name="Comma 3 9 2 3 6 2" xfId="33880" xr:uid="{23E47940-AD3E-44D4-AA60-E68697116BDE}"/>
    <cellStyle name="Comma 3 9 2 3 7" xfId="18501" xr:uid="{8A79B9FA-ABBC-4533-8C14-E2B8335F6590}"/>
    <cellStyle name="Comma 3 9 2 4" xfId="2701" xr:uid="{9D2FD355-34D7-46A8-BF83-D4602AF027E4}"/>
    <cellStyle name="Comma 3 9 2 4 2" xfId="6485" xr:uid="{CB9F6CEA-A325-4951-989B-07CE58840247}"/>
    <cellStyle name="Comma 3 9 2 4 2 2" xfId="13997" xr:uid="{B87EBC19-D749-4A65-85CE-B630C0B47919}"/>
    <cellStyle name="Comma 3 9 2 4 2 2 2" xfId="30201" xr:uid="{8556C2C0-5C28-40BA-8A7C-2216A6763DE6}"/>
    <cellStyle name="Comma 3 9 2 4 2 3" xfId="22689" xr:uid="{DD619828-5A20-430D-BD75-8E2D14D217C1}"/>
    <cellStyle name="Comma 3 9 2 4 3" xfId="5452" xr:uid="{855165F8-EF71-4503-8A96-DD42C9B91D36}"/>
    <cellStyle name="Comma 3 9 2 4 3 2" xfId="12995" xr:uid="{1DD3B6D9-75E5-4431-92C3-E4D4B6851A06}"/>
    <cellStyle name="Comma 3 9 2 4 3 2 2" xfId="29199" xr:uid="{4733C5FE-8BDD-4154-B362-99C10696B039}"/>
    <cellStyle name="Comma 3 9 2 4 3 3" xfId="21656" xr:uid="{7FB67CDB-8982-4E0B-A6E8-30A9540A2790}"/>
    <cellStyle name="Comma 3 9 2 4 4" xfId="10397" xr:uid="{3052D0E7-38DC-4933-BECB-7F8F822B4442}"/>
    <cellStyle name="Comma 3 9 2 4 4 2" xfId="26601" xr:uid="{16C42857-2BD9-421A-928D-C7E87D5185D1}"/>
    <cellStyle name="Comma 3 9 2 4 5" xfId="17750" xr:uid="{036AB242-3531-48E7-AB76-0AFA0DAE2C1E}"/>
    <cellStyle name="Comma 3 9 2 4 5 2" xfId="33882" xr:uid="{4B0ECB9E-A5C3-4F12-9C8D-98079244C4B5}"/>
    <cellStyle name="Comma 3 9 2 4 6" xfId="18923" xr:uid="{8098D08E-A57A-41D6-B8DA-463430380005}"/>
    <cellStyle name="Comma 3 9 2 5" xfId="3631" xr:uid="{0BCEEE76-4408-4BA4-B6D6-09ADDE63F229}"/>
    <cellStyle name="Comma 3 9 2 5 2" xfId="7341" xr:uid="{D404BF88-EFED-4F6F-8DB2-0C769C17280F}"/>
    <cellStyle name="Comma 3 9 2 5 2 2" xfId="14850" xr:uid="{45B7C2E8-B350-42F3-B469-2D353C034AC5}"/>
    <cellStyle name="Comma 3 9 2 5 2 2 2" xfId="31054" xr:uid="{CA6F4F2B-63D5-4B95-BE4B-1C7A82D7AC03}"/>
    <cellStyle name="Comma 3 9 2 5 2 3" xfId="23545" xr:uid="{F801B701-FDF8-421C-972C-6A6152971544}"/>
    <cellStyle name="Comma 3 9 2 5 3" xfId="5608" xr:uid="{7B7F7FDE-91C0-4918-A2B5-A704B836A08C}"/>
    <cellStyle name="Comma 3 9 2 5 3 2" xfId="13123" xr:uid="{3BD5B7D7-919E-4BBA-81D3-7388C9794220}"/>
    <cellStyle name="Comma 3 9 2 5 3 2 2" xfId="29327" xr:uid="{AEB8984F-8136-497C-B8C9-955A480D3223}"/>
    <cellStyle name="Comma 3 9 2 5 3 3" xfId="21812" xr:uid="{E5A14660-CFC2-4246-869C-0EC09877BF23}"/>
    <cellStyle name="Comma 3 9 2 5 4" xfId="11242" xr:uid="{B5766DD4-2757-4802-85B3-5536818DAFEA}"/>
    <cellStyle name="Comma 3 9 2 5 4 2" xfId="27446" xr:uid="{E8F980FD-C34B-4B52-B42F-B7C0107B0103}"/>
    <cellStyle name="Comma 3 9 2 5 5" xfId="17751" xr:uid="{B8CC00DF-151A-4918-A8DF-4B694FE204ED}"/>
    <cellStyle name="Comma 3 9 2 5 5 2" xfId="33883" xr:uid="{ED05B51E-7A54-41E4-A3D3-4B779022CC9C}"/>
    <cellStyle name="Comma 3 9 2 5 6" xfId="19840" xr:uid="{A37C4910-6438-4A42-AA0E-B0539BDA6723}"/>
    <cellStyle name="Comma 3 9 2 6" xfId="3399" xr:uid="{D114B34A-3A70-49FC-A79F-5313A80E9681}"/>
    <cellStyle name="Comma 3 9 2 6 2" xfId="8947" xr:uid="{A7238C9D-BB35-47AC-8231-E40299FD41C5}"/>
    <cellStyle name="Comma 3 9 2 6 2 2" xfId="25151" xr:uid="{0E3C707E-870E-4CEE-8B80-874A81E408E2}"/>
    <cellStyle name="Comma 3 9 2 6 3" xfId="17752" xr:uid="{F7ED5A5F-FBB1-4AF3-ADDB-39633DCEFD18}"/>
    <cellStyle name="Comma 3 9 2 6 3 2" xfId="33884" xr:uid="{A4952A9C-8CC6-4D48-B508-06FC7BE32DDA}"/>
    <cellStyle name="Comma 3 9 2 6 4" xfId="19615" xr:uid="{63DFF757-47BB-4481-87EF-556CF1FA0ED0}"/>
    <cellStyle name="Comma 3 9 2 7" xfId="4101" xr:uid="{353B8C54-153D-433B-BA45-85F8033C33B5}"/>
    <cellStyle name="Comma 3 9 2 7 2" xfId="7771" xr:uid="{8913EC25-EEAA-42CC-A97A-A504BA530E8A}"/>
    <cellStyle name="Comma 3 9 2 7 2 2" xfId="15278" xr:uid="{77CAEDFD-06DA-4D9C-9E64-46C60EFA0CE8}"/>
    <cellStyle name="Comma 3 9 2 7 2 2 2" xfId="31482" xr:uid="{A8789D58-09F5-42EF-A837-141535662982}"/>
    <cellStyle name="Comma 3 9 2 7 2 3" xfId="23975" xr:uid="{9D1C04BC-A183-4FD8-988C-0B96A848534A}"/>
    <cellStyle name="Comma 3 9 2 7 3" xfId="9100" xr:uid="{81DEEB4C-CB16-4696-96C0-22E925EB8BBD}"/>
    <cellStyle name="Comma 3 9 2 7 3 2" xfId="16579" xr:uid="{3EE7B0F6-11CE-41F8-9185-3BBA9922F787}"/>
    <cellStyle name="Comma 3 9 2 7 3 2 2" xfId="32783" xr:uid="{D656189E-125E-4593-9645-DA334F7DD5C2}"/>
    <cellStyle name="Comma 3 9 2 7 3 3" xfId="25304" xr:uid="{996A9E36-798F-445C-8716-C10C9B603634}"/>
    <cellStyle name="Comma 3 9 2 7 4" xfId="11664" xr:uid="{05BA8858-148E-4722-ABCD-A1D0C19930D0}"/>
    <cellStyle name="Comma 3 9 2 7 4 2" xfId="27868" xr:uid="{9F1094E3-46A3-4C8A-83FE-6CAC87E2D998}"/>
    <cellStyle name="Comma 3 9 2 7 5" xfId="17753" xr:uid="{934823AC-4582-497A-B67D-2DF14536A77D}"/>
    <cellStyle name="Comma 3 9 2 7 5 2" xfId="33885" xr:uid="{0A5EEE61-0984-4A5C-BB14-433A655A1CA4}"/>
    <cellStyle name="Comma 3 9 2 7 6" xfId="20305" xr:uid="{8A575BD4-5962-4537-844A-08DF2FA82C41}"/>
    <cellStyle name="Comma 3 9 2 8" xfId="4526" xr:uid="{FCBB5153-FC6D-4840-8987-F6B6477E89DE}"/>
    <cellStyle name="Comma 3 9 2 8 2" xfId="8196" xr:uid="{5672FBE0-8816-48FA-A8FC-01EADE7237F0}"/>
    <cellStyle name="Comma 3 9 2 8 2 2" xfId="15703" xr:uid="{AE2C97C0-44E8-4775-A18A-C603BCD6DD68}"/>
    <cellStyle name="Comma 3 9 2 8 2 2 2" xfId="31907" xr:uid="{96C83FC9-8FE3-4D72-A2CD-7B1249F63F31}"/>
    <cellStyle name="Comma 3 9 2 8 2 3" xfId="24400" xr:uid="{4867B175-D354-4730-8AA2-36776298DFA1}"/>
    <cellStyle name="Comma 3 9 2 8 3" xfId="9289" xr:uid="{9FB79B31-8B6A-45A3-A318-0DD2EB1F6137}"/>
    <cellStyle name="Comma 3 9 2 8 3 2" xfId="16746" xr:uid="{1B54872C-863E-4DD0-B738-5EA36C766925}"/>
    <cellStyle name="Comma 3 9 2 8 3 2 2" xfId="32950" xr:uid="{787B4730-73E4-4A95-A2A9-86408C482E41}"/>
    <cellStyle name="Comma 3 9 2 8 3 3" xfId="25493" xr:uid="{68AD3CA7-5832-4800-A1C6-6D773D927A8E}"/>
    <cellStyle name="Comma 3 9 2 8 4" xfId="12089" xr:uid="{5A73C56E-5918-4834-96A3-90E13F9D67B8}"/>
    <cellStyle name="Comma 3 9 2 8 4 2" xfId="28293" xr:uid="{5E5ABA9A-C67F-4B21-8E16-5EC429515705}"/>
    <cellStyle name="Comma 3 9 2 8 5" xfId="17754" xr:uid="{27B28F8D-6DC9-4E76-ADBA-6896CD015593}"/>
    <cellStyle name="Comma 3 9 2 8 5 2" xfId="33886" xr:uid="{DAB1A628-187F-4001-B61F-B043E895EAB1}"/>
    <cellStyle name="Comma 3 9 2 8 6" xfId="20730" xr:uid="{B5A000C8-BDD9-4446-907F-D687629DCB7D}"/>
    <cellStyle name="Comma 3 9 2 9" xfId="4953" xr:uid="{9749DA5D-2918-4DE9-B7F6-64D1501F1BD2}"/>
    <cellStyle name="Comma 3 9 2 9 2" xfId="8619" xr:uid="{48DD50CD-E629-4EA4-8E50-21093D21A96E}"/>
    <cellStyle name="Comma 3 9 2 9 2 2" xfId="16126" xr:uid="{CB474BE7-AB67-4D0E-8D7B-ED1B9E8E50FD}"/>
    <cellStyle name="Comma 3 9 2 9 2 2 2" xfId="32330" xr:uid="{C8477D21-AB29-4E5D-B249-27284D3CBEB0}"/>
    <cellStyle name="Comma 3 9 2 9 2 3" xfId="24823" xr:uid="{361CEBAB-492F-4D77-A9B7-82149B462C8D}"/>
    <cellStyle name="Comma 3 9 2 9 3" xfId="12511" xr:uid="{803879C3-3AE3-49D1-8770-C4B362D07905}"/>
    <cellStyle name="Comma 3 9 2 9 3 2" xfId="28715" xr:uid="{5822F317-66A9-4530-86E0-85AFE1889174}"/>
    <cellStyle name="Comma 3 9 2 9 4" xfId="21157" xr:uid="{0AA76941-7427-42E0-B376-3BA800E5CEA1}"/>
    <cellStyle name="Comma 3 9 3" xfId="1773" xr:uid="{D36668AE-9C5B-41BB-AD23-03036A7CDB0A}"/>
    <cellStyle name="Comma 3 9 3 10" xfId="5638" xr:uid="{3E011269-041F-40BA-B626-297905232F2E}"/>
    <cellStyle name="Comma 3 9 3 10 2" xfId="13153" xr:uid="{CDCC2715-AAF9-4D5F-A2FA-AD0462335CE3}"/>
    <cellStyle name="Comma 3 9 3 10 2 2" xfId="29357" xr:uid="{88F96ADE-BEE8-4915-932A-0AB1A1869A4C}"/>
    <cellStyle name="Comma 3 9 3 10 3" xfId="21842" xr:uid="{F2EBC0D8-3B97-4444-A16B-696C6868AB1A}"/>
    <cellStyle name="Comma 3 9 3 11" xfId="9566" xr:uid="{48F7F436-7341-4135-8EA5-7A7CA5F17A1E}"/>
    <cellStyle name="Comma 3 9 3 11 2" xfId="25770" xr:uid="{82E84887-1AB2-43E7-9698-6C621B43FC34}"/>
    <cellStyle name="Comma 3 9 3 12" xfId="17755" xr:uid="{5B9E3C9A-F59E-4FD0-9B40-3AC05142364F}"/>
    <cellStyle name="Comma 3 9 3 12 2" xfId="33887" xr:uid="{02FDEE1F-91D7-49A3-AD64-96DE9B0832EB}"/>
    <cellStyle name="Comma 3 9 3 13" xfId="18089" xr:uid="{B9F51A0B-0748-4E68-8704-050CBCE0C60B}"/>
    <cellStyle name="Comma 3 9 3 2" xfId="1949" xr:uid="{6E414A4A-A2DD-46DC-BCA5-E77271B119C5}"/>
    <cellStyle name="Comma 3 9 3 2 10" xfId="9729" xr:uid="{063A9DEA-38C2-4106-9B7E-FCD099EB2DC9}"/>
    <cellStyle name="Comma 3 9 3 2 10 2" xfId="25933" xr:uid="{9B134BAB-0BA1-40B4-99E3-42965025F48D}"/>
    <cellStyle name="Comma 3 9 3 2 11" xfId="17756" xr:uid="{5155936C-350A-4963-9561-9F7AB6D31B2C}"/>
    <cellStyle name="Comma 3 9 3 2 11 2" xfId="33888" xr:uid="{4E36FF0C-5D28-4CF2-9C19-8B33DEBBD4DC}"/>
    <cellStyle name="Comma 3 9 3 2 12" xfId="18253" xr:uid="{452680A9-E3E3-442D-8B13-E8971FAA4EC9}"/>
    <cellStyle name="Comma 3 9 3 2 2" xfId="2456" xr:uid="{CF624996-7B72-4C36-9F75-94EA95E1F38F}"/>
    <cellStyle name="Comma 3 9 3 2 2 2" xfId="3303" xr:uid="{BD259760-68DF-4080-997F-F3E04721FEC2}"/>
    <cellStyle name="Comma 3 9 3 2 2 2 2" xfId="7085" xr:uid="{9B34F852-A39C-41B6-AEC2-64C676256DEC}"/>
    <cellStyle name="Comma 3 9 3 2 2 2 2 2" xfId="14596" xr:uid="{F37BDF9F-9BA7-4235-8E55-7403BE6339A5}"/>
    <cellStyle name="Comma 3 9 3 2 2 2 2 2 2" xfId="30800" xr:uid="{50E80595-7333-4695-80B0-85C06453914F}"/>
    <cellStyle name="Comma 3 9 3 2 2 2 2 3" xfId="23289" xr:uid="{885FF474-5EC9-435C-8E26-3E85A8AEF820}"/>
    <cellStyle name="Comma 3 9 3 2 2 2 3" xfId="5592" xr:uid="{CC0D895C-4941-4B15-9EBB-2C6578D71882}"/>
    <cellStyle name="Comma 3 9 3 2 2 2 3 2" xfId="13108" xr:uid="{2D8FCEB8-B750-42F7-B710-09D020DD7395}"/>
    <cellStyle name="Comma 3 9 3 2 2 2 3 2 2" xfId="29312" xr:uid="{1FDD87EC-83BD-402B-AE2F-02BAC8BA0C0C}"/>
    <cellStyle name="Comma 3 9 3 2 2 2 3 3" xfId="21796" xr:uid="{C5FA152A-5A10-46CA-9389-B20BACC3EB87}"/>
    <cellStyle name="Comma 3 9 3 2 2 2 4" xfId="10996" xr:uid="{DC2BAE73-08B7-42E4-9BD5-BA63F41DBFB5}"/>
    <cellStyle name="Comma 3 9 3 2 2 2 4 2" xfId="27200" xr:uid="{F50DA5C9-0E39-4BCD-B51E-790F0BB8CA52}"/>
    <cellStyle name="Comma 3 9 3 2 2 2 5" xfId="17758" xr:uid="{7E23FBB7-CF40-4781-82C5-BA440D010C7F}"/>
    <cellStyle name="Comma 3 9 3 2 2 2 5 2" xfId="33890" xr:uid="{471412E3-2C73-4BC6-99A3-B909E87BC677}"/>
    <cellStyle name="Comma 3 9 3 2 2 2 6" xfId="19523" xr:uid="{C8712303-9439-4D02-97A4-E8160621E74F}"/>
    <cellStyle name="Comma 3 9 3 2 2 3" xfId="6240" xr:uid="{27E6A7AD-2E6E-42DF-961D-74E5BBB07586}"/>
    <cellStyle name="Comma 3 9 3 2 2 3 2" xfId="13752" xr:uid="{5CC59401-E72D-4B3F-B0E1-32B661C12BE4}"/>
    <cellStyle name="Comma 3 9 3 2 2 3 2 2" xfId="29956" xr:uid="{E625404D-1933-4F7A-901E-A01FC4C2D375}"/>
    <cellStyle name="Comma 3 9 3 2 2 3 3" xfId="22444" xr:uid="{ED70756D-E9EC-4B57-8526-DAB3A8189ACA}"/>
    <cellStyle name="Comma 3 9 3 2 2 4" xfId="9003" xr:uid="{7C0F8EFE-220E-4446-BA66-C2D302CE84FE}"/>
    <cellStyle name="Comma 3 9 3 2 2 4 2" xfId="16495" xr:uid="{50F63E10-AED6-44C8-B5C7-0C14AA944FA8}"/>
    <cellStyle name="Comma 3 9 3 2 2 4 2 2" xfId="32699" xr:uid="{7A6A97F6-BA7C-42F5-9C77-EDD2338C46EF}"/>
    <cellStyle name="Comma 3 9 3 2 2 4 3" xfId="25207" xr:uid="{D2FD8084-FF33-47E2-88B0-449FF25469F4}"/>
    <cellStyle name="Comma 3 9 3 2 2 5" xfId="10152" xr:uid="{BDF43766-5BA6-45CC-B5E5-14029E01AC51}"/>
    <cellStyle name="Comma 3 9 3 2 2 5 2" xfId="26356" xr:uid="{7B736BA1-E953-4C16-B2FF-5B490291A2C5}"/>
    <cellStyle name="Comma 3 9 3 2 2 6" xfId="17757" xr:uid="{F7F3244C-F213-4D2D-BFF6-6509F8BB1670}"/>
    <cellStyle name="Comma 3 9 3 2 2 6 2" xfId="33889" xr:uid="{1FA1863E-C49E-45C7-8A89-64EBB40BB7EB}"/>
    <cellStyle name="Comma 3 9 3 2 2 7" xfId="18678" xr:uid="{11BC7DCA-2865-41F3-8709-0837ECDF99FA}"/>
    <cellStyle name="Comma 3 9 3 2 3" xfId="2878" xr:uid="{DF6EB230-652B-4A8A-9F39-337907E91800}"/>
    <cellStyle name="Comma 3 9 3 2 3 2" xfId="6662" xr:uid="{5FB9117C-2449-4A55-984B-A6CAECAFC1DF}"/>
    <cellStyle name="Comma 3 9 3 2 3 2 2" xfId="14174" xr:uid="{67F9AE50-BFEC-439E-81E4-FE61EAE58964}"/>
    <cellStyle name="Comma 3 9 3 2 3 2 2 2" xfId="30378" xr:uid="{372ECAAD-C2DA-476A-9CD0-97D99072EDFB}"/>
    <cellStyle name="Comma 3 9 3 2 3 2 3" xfId="22866" xr:uid="{DF36C873-F9BD-445E-A8DD-F7289BCC9F22}"/>
    <cellStyle name="Comma 3 9 3 2 3 3" xfId="9259" xr:uid="{D8A44CC5-9270-425A-BCBD-4BEFEE35999B}"/>
    <cellStyle name="Comma 3 9 3 2 3 3 2" xfId="16720" xr:uid="{7E48D042-5E92-4626-ADD6-0F4FF6AE4128}"/>
    <cellStyle name="Comma 3 9 3 2 3 3 2 2" xfId="32924" xr:uid="{6954D67D-3302-49B8-B5A9-5311E1133803}"/>
    <cellStyle name="Comma 3 9 3 2 3 3 3" xfId="25463" xr:uid="{4F6F48A0-C402-44A0-B13B-433678F38FE7}"/>
    <cellStyle name="Comma 3 9 3 2 3 4" xfId="10574" xr:uid="{32AA08B2-1089-4507-B483-A6187FC50D3B}"/>
    <cellStyle name="Comma 3 9 3 2 3 4 2" xfId="26778" xr:uid="{06ACF6D3-C66E-4846-AD6A-9DC323ED7934}"/>
    <cellStyle name="Comma 3 9 3 2 3 5" xfId="17759" xr:uid="{9889F450-043A-476F-834B-272E4C21D42D}"/>
    <cellStyle name="Comma 3 9 3 2 3 5 2" xfId="33891" xr:uid="{CB68E225-99D3-4C68-8306-C76D277C4315}"/>
    <cellStyle name="Comma 3 9 3 2 3 6" xfId="19100" xr:uid="{D15FCF09-00EF-4DD3-BFD6-A01523DD52DC}"/>
    <cellStyle name="Comma 3 9 3 2 4" xfId="3809" xr:uid="{27362F3F-D941-41D7-B762-3D5747DCA186}"/>
    <cellStyle name="Comma 3 9 3 2 4 2" xfId="7519" xr:uid="{6BAFE5A4-4F83-42AF-B0ED-A8E1D19AC39F}"/>
    <cellStyle name="Comma 3 9 3 2 4 2 2" xfId="15028" xr:uid="{71345AD1-FA7E-4680-8753-C9C724CAF342}"/>
    <cellStyle name="Comma 3 9 3 2 4 2 2 2" xfId="31232" xr:uid="{F0C81088-8106-426D-84F1-23349FEDAE4A}"/>
    <cellStyle name="Comma 3 9 3 2 4 2 3" xfId="23723" xr:uid="{801B8334-934E-40C4-90D5-A9E93B062758}"/>
    <cellStyle name="Comma 3 9 3 2 4 3" xfId="9203" xr:uid="{B641C09A-6A05-4605-A718-42EA950B387A}"/>
    <cellStyle name="Comma 3 9 3 2 4 3 2" xfId="16673" xr:uid="{EC712272-6EA6-4C63-831E-C60DC3B06D20}"/>
    <cellStyle name="Comma 3 9 3 2 4 3 2 2" xfId="32877" xr:uid="{5C1162F0-90F2-462B-AEEF-7D255DFBE98F}"/>
    <cellStyle name="Comma 3 9 3 2 4 3 3" xfId="25407" xr:uid="{297E951D-200F-4BE9-950E-65F3324D365D}"/>
    <cellStyle name="Comma 3 9 3 2 4 4" xfId="11419" xr:uid="{BB488043-FC42-4E02-97F1-E9EEBEC6C59B}"/>
    <cellStyle name="Comma 3 9 3 2 4 4 2" xfId="27623" xr:uid="{AFB54A53-D757-4770-B6F2-E6E0352706CB}"/>
    <cellStyle name="Comma 3 9 3 2 4 5" xfId="17760" xr:uid="{5C75FF10-F511-4C18-94F7-3DB6F376F77A}"/>
    <cellStyle name="Comma 3 9 3 2 4 5 2" xfId="33892" xr:uid="{7F075559-DB88-428B-93F3-7A3F434558E8}"/>
    <cellStyle name="Comma 3 9 3 2 4 6" xfId="20018" xr:uid="{171BB9DC-B2C7-4995-845F-DBA1E6AE574B}"/>
    <cellStyle name="Comma 3 9 3 2 5" xfId="3595" xr:uid="{794BB79E-AE3D-4499-9D4E-F80B6D9DDEE2}"/>
    <cellStyle name="Comma 3 9 3 2 5 2" xfId="9163" xr:uid="{0D9AF5ED-40DA-49CA-91D8-91773C390867}"/>
    <cellStyle name="Comma 3 9 3 2 5 2 2" xfId="25367" xr:uid="{69D39101-E220-492D-B43D-B2D1EDBFA641}"/>
    <cellStyle name="Comma 3 9 3 2 5 3" xfId="17761" xr:uid="{CC1B9416-5763-4093-B191-39654ECBB9FE}"/>
    <cellStyle name="Comma 3 9 3 2 5 3 2" xfId="33893" xr:uid="{AB5C9981-E90C-490D-BE75-29B140298A11}"/>
    <cellStyle name="Comma 3 9 3 2 5 4" xfId="19805" xr:uid="{9ED7281C-5D9C-46CF-867F-08AB05276F8E}"/>
    <cellStyle name="Comma 3 9 3 2 6" xfId="4278" xr:uid="{69D2E255-1F26-49B2-ADB7-D652149F3E78}"/>
    <cellStyle name="Comma 3 9 3 2 6 2" xfId="7948" xr:uid="{2A707ACF-4A19-4A2A-B447-58778CFD177C}"/>
    <cellStyle name="Comma 3 9 3 2 6 2 2" xfId="15455" xr:uid="{092926AF-79EE-4157-B8BD-3BD2D35D3ECB}"/>
    <cellStyle name="Comma 3 9 3 2 6 2 2 2" xfId="31659" xr:uid="{B390AA61-604B-4AED-8B19-8E86FC195AE5}"/>
    <cellStyle name="Comma 3 9 3 2 6 2 3" xfId="24152" xr:uid="{E780101C-894D-46A3-A7D5-A4F9B820E5E0}"/>
    <cellStyle name="Comma 3 9 3 2 6 3" xfId="9224" xr:uid="{6A53FE9F-2002-41E2-974F-C8FF8B2D48AC}"/>
    <cellStyle name="Comma 3 9 3 2 6 3 2" xfId="16690" xr:uid="{55C6634C-E4F5-4A45-831F-ACCFCC2E8B5C}"/>
    <cellStyle name="Comma 3 9 3 2 6 3 2 2" xfId="32894" xr:uid="{4CA8E078-84E1-4DD0-A509-77008B4F5172}"/>
    <cellStyle name="Comma 3 9 3 2 6 3 3" xfId="25428" xr:uid="{81122006-E0A4-4FC3-8B1B-46AB35DC04FA}"/>
    <cellStyle name="Comma 3 9 3 2 6 4" xfId="11841" xr:uid="{72BD2162-EF08-4757-B6B3-1537703E7CD5}"/>
    <cellStyle name="Comma 3 9 3 2 6 4 2" xfId="28045" xr:uid="{D1D71E23-0F5A-4EBB-9DB0-72B0E725C5D4}"/>
    <cellStyle name="Comma 3 9 3 2 6 5" xfId="17762" xr:uid="{F5C9D7A7-0B1C-4B9A-AA69-2F80EFCD93E3}"/>
    <cellStyle name="Comma 3 9 3 2 6 5 2" xfId="33894" xr:uid="{4238DE2A-7D0A-448E-8D3D-3D51BE1B13EE}"/>
    <cellStyle name="Comma 3 9 3 2 6 6" xfId="20482" xr:uid="{C0E3A6FF-565C-485A-909C-78943015E3A1}"/>
    <cellStyle name="Comma 3 9 3 2 7" xfId="4703" xr:uid="{3F7DC2E6-3835-4779-8BC2-E1964CE23470}"/>
    <cellStyle name="Comma 3 9 3 2 7 2" xfId="8373" xr:uid="{E8B171BC-C7D5-45DF-B4A4-4798C417D90E}"/>
    <cellStyle name="Comma 3 9 3 2 7 2 2" xfId="15880" xr:uid="{0402541F-CDE0-4FDF-9AA8-B1FCA0F3A673}"/>
    <cellStyle name="Comma 3 9 3 2 7 2 2 2" xfId="32084" xr:uid="{EBA7F490-F75E-48DD-B711-55E84CCA686C}"/>
    <cellStyle name="Comma 3 9 3 2 7 2 3" xfId="24577" xr:uid="{70C6D5E8-D8C7-4ACB-9363-FE0745FD3592}"/>
    <cellStyle name="Comma 3 9 3 2 7 3" xfId="5272" xr:uid="{CA686011-CCC7-4FC3-995E-F76C97BF9EEB}"/>
    <cellStyle name="Comma 3 9 3 2 7 3 2" xfId="12821" xr:uid="{618A649B-9907-48CD-915C-693B20400A55}"/>
    <cellStyle name="Comma 3 9 3 2 7 3 2 2" xfId="29025" xr:uid="{2E632EBD-4DA9-4D35-97FF-685887729581}"/>
    <cellStyle name="Comma 3 9 3 2 7 3 3" xfId="21476" xr:uid="{18AFA972-20D7-4765-A8E6-83C1AB87D070}"/>
    <cellStyle name="Comma 3 9 3 2 7 4" xfId="12266" xr:uid="{65893029-1940-4A0B-869A-8BF2C18153C0}"/>
    <cellStyle name="Comma 3 9 3 2 7 4 2" xfId="28470" xr:uid="{FA5386CA-CA9E-4B44-BF29-A6EBB9284458}"/>
    <cellStyle name="Comma 3 9 3 2 7 5" xfId="17763" xr:uid="{F307D19F-DEA4-4447-B124-49C1CD6D96E7}"/>
    <cellStyle name="Comma 3 9 3 2 7 5 2" xfId="33895" xr:uid="{C79D2BF8-21DB-4BEF-9C91-4CBC86EC2EFA}"/>
    <cellStyle name="Comma 3 9 3 2 7 6" xfId="20907" xr:uid="{3D173FA5-5753-429D-B16F-91EF289610C3}"/>
    <cellStyle name="Comma 3 9 3 2 8" xfId="5131" xr:uid="{031EA226-83F1-4CDA-BC56-DE1E11A7F1CA}"/>
    <cellStyle name="Comma 3 9 3 2 8 2" xfId="8796" xr:uid="{14B3D263-1746-4BE5-8214-CC582823AC34}"/>
    <cellStyle name="Comma 3 9 3 2 8 2 2" xfId="16303" xr:uid="{72B05B8F-629F-4023-A2FB-26E1380A07C9}"/>
    <cellStyle name="Comma 3 9 3 2 8 2 2 2" xfId="32507" xr:uid="{0AC84530-CB3E-48A5-8FE7-EDDC27CDC550}"/>
    <cellStyle name="Comma 3 9 3 2 8 2 3" xfId="25000" xr:uid="{59549492-BAF1-4142-8438-3DE6C90F713D}"/>
    <cellStyle name="Comma 3 9 3 2 8 3" xfId="12688" xr:uid="{6BAE988D-9F4E-457B-B046-95DA443F6CE9}"/>
    <cellStyle name="Comma 3 9 3 2 8 3 2" xfId="28892" xr:uid="{E26D7A06-1D7E-4F97-B471-C6EECA484F57}"/>
    <cellStyle name="Comma 3 9 3 2 8 4" xfId="21335" xr:uid="{740FA194-14CF-4408-A8FE-BEBCA6E5CB22}"/>
    <cellStyle name="Comma 3 9 3 2 9" xfId="5802" xr:uid="{9B4A513B-2D11-41BF-9AF5-AF1C8FE7AD55}"/>
    <cellStyle name="Comma 3 9 3 2 9 2" xfId="13317" xr:uid="{3799220A-26CF-4E2E-8F5D-BF8ED6CF8290}"/>
    <cellStyle name="Comma 3 9 3 2 9 2 2" xfId="29521" xr:uid="{1ED62C81-D5EA-4290-8134-5FBE5A2366C7}"/>
    <cellStyle name="Comma 3 9 3 2 9 3" xfId="22006" xr:uid="{A7FC29D5-770E-44D6-81AA-8D7647EB7675}"/>
    <cellStyle name="Comma 3 9 3 3" xfId="2291" xr:uid="{486774CE-F7ED-4E2A-ACC2-8A511A30003B}"/>
    <cellStyle name="Comma 3 9 3 3 2" xfId="3140" xr:uid="{15A51A9C-D11A-4A17-ABD2-0B99E3C933FA}"/>
    <cellStyle name="Comma 3 9 3 3 2 2" xfId="6922" xr:uid="{83557601-6E3D-493B-A2FB-9845D571A140}"/>
    <cellStyle name="Comma 3 9 3 3 2 2 2" xfId="14433" xr:uid="{2F23455F-AFA5-4F5F-8488-084A00A45F06}"/>
    <cellStyle name="Comma 3 9 3 3 2 2 2 2" xfId="30637" xr:uid="{5E8B7191-4368-4858-88FD-491F49184FAD}"/>
    <cellStyle name="Comma 3 9 3 3 2 2 3" xfId="23126" xr:uid="{278FE9EB-2A86-4F8B-A16A-6642201B4652}"/>
    <cellStyle name="Comma 3 9 3 3 2 3" xfId="9065" xr:uid="{8544BDAF-484D-4F85-863E-0058A7D5D2EF}"/>
    <cellStyle name="Comma 3 9 3 3 2 3 2" xfId="16550" xr:uid="{A684E509-AA78-4671-A842-4ACCBB32FC6D}"/>
    <cellStyle name="Comma 3 9 3 3 2 3 2 2" xfId="32754" xr:uid="{B0194E2C-05BA-4A29-BA24-1FDC9828C8AA}"/>
    <cellStyle name="Comma 3 9 3 3 2 3 3" xfId="25269" xr:uid="{05DBB539-37F1-4C91-9018-2FA699178DC9}"/>
    <cellStyle name="Comma 3 9 3 3 2 4" xfId="10833" xr:uid="{2286A67F-A13C-4F1C-9B4C-293C13CEE9A4}"/>
    <cellStyle name="Comma 3 9 3 3 2 4 2" xfId="27037" xr:uid="{5691E056-904F-4016-A0D7-9414C9AC1342}"/>
    <cellStyle name="Comma 3 9 3 3 2 5" xfId="17765" xr:uid="{6699EA2D-41AF-4D64-8464-19CB05A44593}"/>
    <cellStyle name="Comma 3 9 3 3 2 5 2" xfId="33897" xr:uid="{BAB08EEE-9ABE-46C3-934C-DCFA56BCFF6E}"/>
    <cellStyle name="Comma 3 9 3 3 2 6" xfId="19360" xr:uid="{302AED3F-DB71-44BD-A195-D80F6EAB1788}"/>
    <cellStyle name="Comma 3 9 3 3 3" xfId="6077" xr:uid="{CC026870-790C-4610-882C-1AD8D8A914C9}"/>
    <cellStyle name="Comma 3 9 3 3 3 2" xfId="13589" xr:uid="{532CE86E-00E4-438F-9F5B-4DA5F095B7A1}"/>
    <cellStyle name="Comma 3 9 3 3 3 2 2" xfId="29793" xr:uid="{0DE8D656-AC2D-45D0-8645-B50E57B1BCC9}"/>
    <cellStyle name="Comma 3 9 3 3 3 3" xfId="22281" xr:uid="{1DDB8950-6D03-481A-98A8-6C7D7D14D561}"/>
    <cellStyle name="Comma 3 9 3 3 4" xfId="9127" xr:uid="{447A20E9-7270-46FA-AD87-741B2106E4FD}"/>
    <cellStyle name="Comma 3 9 3 3 4 2" xfId="16605" xr:uid="{5B714417-B56F-4E6D-B544-B31C5CDAF81C}"/>
    <cellStyle name="Comma 3 9 3 3 4 2 2" xfId="32809" xr:uid="{C424EB40-8108-454D-BBCE-5240EC48937C}"/>
    <cellStyle name="Comma 3 9 3 3 4 3" xfId="25331" xr:uid="{A43F9D99-5BAB-46E4-834F-F43B08180DC3}"/>
    <cellStyle name="Comma 3 9 3 3 5" xfId="9989" xr:uid="{E776816D-FAA7-4E84-99AC-0571572B7F3A}"/>
    <cellStyle name="Comma 3 9 3 3 5 2" xfId="26193" xr:uid="{C20DA025-F108-4EB1-9181-EA485D1B58A2}"/>
    <cellStyle name="Comma 3 9 3 3 6" xfId="17764" xr:uid="{BA97E3E6-5AB1-4A83-A9FD-14D26C09DEB1}"/>
    <cellStyle name="Comma 3 9 3 3 6 2" xfId="33896" xr:uid="{5C5A87C9-D58D-4842-BEAB-58E589FD8724}"/>
    <cellStyle name="Comma 3 9 3 3 7" xfId="18515" xr:uid="{36F4C6D6-4F4F-4605-8AD3-B23A601B9161}"/>
    <cellStyle name="Comma 3 9 3 4" xfId="2715" xr:uid="{90140F55-DD83-464E-840C-B4295D850EAA}"/>
    <cellStyle name="Comma 3 9 3 4 2" xfId="6499" xr:uid="{DC280F22-C93E-4CC6-97EB-BCEEA2C22A67}"/>
    <cellStyle name="Comma 3 9 3 4 2 2" xfId="14011" xr:uid="{A6EBAAB2-2411-465B-9B96-B912371CBC53}"/>
    <cellStyle name="Comma 3 9 3 4 2 2 2" xfId="30215" xr:uid="{09DDC233-B043-4EFB-9B4B-CABC6DCFFFAB}"/>
    <cellStyle name="Comma 3 9 3 4 2 3" xfId="22703" xr:uid="{F145EBA3-4798-4E6F-8179-5F2D7180AC97}"/>
    <cellStyle name="Comma 3 9 3 4 3" xfId="9124" xr:uid="{43FBFC28-48B3-4744-AA76-A7B7CDB5BA88}"/>
    <cellStyle name="Comma 3 9 3 4 3 2" xfId="16602" xr:uid="{4F7A02F1-91BC-4302-BCC8-70F257AF0531}"/>
    <cellStyle name="Comma 3 9 3 4 3 2 2" xfId="32806" xr:uid="{63D6A165-BC45-4EEB-AC70-AB7708505D00}"/>
    <cellStyle name="Comma 3 9 3 4 3 3" xfId="25328" xr:uid="{267F4F1C-F3A3-4533-811B-E8A53C99F102}"/>
    <cellStyle name="Comma 3 9 3 4 4" xfId="10411" xr:uid="{13E475C4-329D-4A07-A0A7-EFD062F40B9D}"/>
    <cellStyle name="Comma 3 9 3 4 4 2" xfId="26615" xr:uid="{63DCCF83-74DE-48DC-8C82-6EF6C0F033BE}"/>
    <cellStyle name="Comma 3 9 3 4 5" xfId="17766" xr:uid="{4D93ACB3-1129-4D31-BF41-06CD683E4558}"/>
    <cellStyle name="Comma 3 9 3 4 5 2" xfId="33898" xr:uid="{25297129-1466-4B39-88AA-9042C77CD1A4}"/>
    <cellStyle name="Comma 3 9 3 4 6" xfId="18937" xr:uid="{27F10D84-7B8A-4C55-A71C-E8EC779A7A87}"/>
    <cellStyle name="Comma 3 9 3 5" xfId="3645" xr:uid="{A453F56D-4E71-4B14-8006-4383B238511D}"/>
    <cellStyle name="Comma 3 9 3 5 2" xfId="7355" xr:uid="{8A7730DA-8B15-42FA-8265-838B61B3654B}"/>
    <cellStyle name="Comma 3 9 3 5 2 2" xfId="14864" xr:uid="{AEFFC6FC-240E-49BC-ACD6-A9CB4BDC5CD7}"/>
    <cellStyle name="Comma 3 9 3 5 2 2 2" xfId="31068" xr:uid="{80A677A5-7D2E-43FD-8541-6A35D22728D2}"/>
    <cellStyle name="Comma 3 9 3 5 2 3" xfId="23559" xr:uid="{453A2D46-F375-49AA-B4F9-E5B23A00E284}"/>
    <cellStyle name="Comma 3 9 3 5 3" xfId="9113" xr:uid="{073CAA05-72F3-4A2A-A7FF-33320F44AB72}"/>
    <cellStyle name="Comma 3 9 3 5 3 2" xfId="16591" xr:uid="{F1E9294F-150F-4D71-B3DE-C7B7B4F2B539}"/>
    <cellStyle name="Comma 3 9 3 5 3 2 2" xfId="32795" xr:uid="{0F748FB7-C149-427C-9C3D-8CEEC5DEE402}"/>
    <cellStyle name="Comma 3 9 3 5 3 3" xfId="25317" xr:uid="{138FE76A-2BFF-4D7C-BB91-3B23B1CA80ED}"/>
    <cellStyle name="Comma 3 9 3 5 4" xfId="11256" xr:uid="{F686A6B7-A27A-42BB-8DBE-9AD5E2D8AEC4}"/>
    <cellStyle name="Comma 3 9 3 5 4 2" xfId="27460" xr:uid="{C91D0A4A-996A-44B4-B6DB-0AC1A464DDF5}"/>
    <cellStyle name="Comma 3 9 3 5 5" xfId="17767" xr:uid="{0E011F80-D1F5-449A-BD26-4E6B3CEA5990}"/>
    <cellStyle name="Comma 3 9 3 5 5 2" xfId="33899" xr:uid="{D7288782-D05E-45FC-8C3F-4D91C2663291}"/>
    <cellStyle name="Comma 3 9 3 5 6" xfId="19854" xr:uid="{5009EB34-0F2B-4CAF-B72E-53DE3DA27625}"/>
    <cellStyle name="Comma 3 9 3 6" xfId="3559" xr:uid="{B9BD203E-8450-469B-907A-F36E24C46F16}"/>
    <cellStyle name="Comma 3 9 3 6 2" xfId="5469" xr:uid="{B4783E5A-3E34-4FD8-B1A3-C6AE1A4E4A34}"/>
    <cellStyle name="Comma 3 9 3 6 2 2" xfId="21673" xr:uid="{A315B8A7-0508-4B70-A235-031D80678C6D}"/>
    <cellStyle name="Comma 3 9 3 6 3" xfId="17768" xr:uid="{06AEA720-34EC-46AF-B7E7-15A503753704}"/>
    <cellStyle name="Comma 3 9 3 6 3 2" xfId="33900" xr:uid="{F7BD158D-BA77-4F89-8299-FEFFBEDF0B75}"/>
    <cellStyle name="Comma 3 9 3 6 4" xfId="19773" xr:uid="{5E3304A1-EB79-4658-A75F-1DD3A2A6D12B}"/>
    <cellStyle name="Comma 3 9 3 7" xfId="4115" xr:uid="{3494C1DD-9365-484F-ABD9-8F30B273B80F}"/>
    <cellStyle name="Comma 3 9 3 7 2" xfId="7785" xr:uid="{BF003F06-DEB8-4451-88F6-1FFABC94F6AB}"/>
    <cellStyle name="Comma 3 9 3 7 2 2" xfId="15292" xr:uid="{091F10E0-9AC0-49F2-A6BC-3378A9B33E8B}"/>
    <cellStyle name="Comma 3 9 3 7 2 2 2" xfId="31496" xr:uid="{EB2238BD-105A-47F3-97F7-D994BEAEB541}"/>
    <cellStyle name="Comma 3 9 3 7 2 3" xfId="23989" xr:uid="{23E239B4-4ADE-4D63-AC17-21E51A7F1CE9}"/>
    <cellStyle name="Comma 3 9 3 7 3" xfId="7377" xr:uid="{3CE015D6-D822-4CA5-97DB-D2C8786BA0A6}"/>
    <cellStyle name="Comma 3 9 3 7 3 2" xfId="14886" xr:uid="{E1DC91C9-A12D-46D1-9EA5-B75077D0A421}"/>
    <cellStyle name="Comma 3 9 3 7 3 2 2" xfId="31090" xr:uid="{9F26EDD6-949B-442C-847A-BCEC4A462023}"/>
    <cellStyle name="Comma 3 9 3 7 3 3" xfId="23581" xr:uid="{C9329D1C-7781-441F-A1B0-247D559C30FD}"/>
    <cellStyle name="Comma 3 9 3 7 4" xfId="11678" xr:uid="{C1FF9964-B374-471F-B696-065E3E9D3D54}"/>
    <cellStyle name="Comma 3 9 3 7 4 2" xfId="27882" xr:uid="{1CAFE235-D3A6-48B0-AAB1-8EB036CB0B5C}"/>
    <cellStyle name="Comma 3 9 3 7 5" xfId="17769" xr:uid="{CD61D8E3-A9F3-4267-BE2D-1882ECFCFC69}"/>
    <cellStyle name="Comma 3 9 3 7 5 2" xfId="33901" xr:uid="{264854F3-C34B-4EF1-A5D0-714C0145C2F6}"/>
    <cellStyle name="Comma 3 9 3 7 6" xfId="20319" xr:uid="{6D57087C-EF53-4FAB-BF66-D7A2E958004D}"/>
    <cellStyle name="Comma 3 9 3 8" xfId="4540" xr:uid="{A05B10AF-63A7-49E6-94DE-459345D286A0}"/>
    <cellStyle name="Comma 3 9 3 8 2" xfId="8210" xr:uid="{7BBDD8C0-A103-4F85-8DA4-E0BCC9468D0D}"/>
    <cellStyle name="Comma 3 9 3 8 2 2" xfId="15717" xr:uid="{CF703CDC-934C-484D-8622-D97CD464E20D}"/>
    <cellStyle name="Comma 3 9 3 8 2 2 2" xfId="31921" xr:uid="{A8E99DFE-8EBB-44CB-8F67-26B4C315A4A6}"/>
    <cellStyle name="Comma 3 9 3 8 2 3" xfId="24414" xr:uid="{96D15E46-BC54-4B3E-BEA8-B18F7BD37BC0}"/>
    <cellStyle name="Comma 3 9 3 8 3" xfId="5209" xr:uid="{E1865333-F5D1-4865-80B6-CF29B48ACA43}"/>
    <cellStyle name="Comma 3 9 3 8 3 2" xfId="12765" xr:uid="{A738E9B8-0446-47A6-99FD-24039048CE01}"/>
    <cellStyle name="Comma 3 9 3 8 3 2 2" xfId="28969" xr:uid="{EFDFC371-67AD-43A5-AD93-FBBF79B61AB9}"/>
    <cellStyle name="Comma 3 9 3 8 3 3" xfId="21413" xr:uid="{5FF9A09B-6A6E-4397-942B-0BEEFD870A0D}"/>
    <cellStyle name="Comma 3 9 3 8 4" xfId="12103" xr:uid="{5624E91D-F5C8-4FDB-AD1C-8DEF64221EA9}"/>
    <cellStyle name="Comma 3 9 3 8 4 2" xfId="28307" xr:uid="{07F02684-2EBC-42F0-AE6A-90D3EE8A8054}"/>
    <cellStyle name="Comma 3 9 3 8 5" xfId="17770" xr:uid="{C19A4DF4-736C-42B8-8FD5-5BEB89C7FB89}"/>
    <cellStyle name="Comma 3 9 3 8 5 2" xfId="33902" xr:uid="{19775D74-09B0-4A02-8119-DCFBECCC8B9F}"/>
    <cellStyle name="Comma 3 9 3 8 6" xfId="20744" xr:uid="{0C52F33A-0005-4241-8092-8E752F8BD07A}"/>
    <cellStyle name="Comma 3 9 3 9" xfId="4967" xr:uid="{BBF8D87F-DC39-48DB-BCCE-788446E7074A}"/>
    <cellStyle name="Comma 3 9 3 9 2" xfId="8633" xr:uid="{4D483C7D-54C1-44E7-9BFA-4FD3E01F2D1F}"/>
    <cellStyle name="Comma 3 9 3 9 2 2" xfId="16140" xr:uid="{31EA82D5-BBCF-4B1A-9DE8-8E0CB666C02A}"/>
    <cellStyle name="Comma 3 9 3 9 2 2 2" xfId="32344" xr:uid="{83C0E250-35C1-4FC9-9581-4687C75F7822}"/>
    <cellStyle name="Comma 3 9 3 9 2 3" xfId="24837" xr:uid="{DA388C50-5222-4C26-B7B6-1C8B16E86794}"/>
    <cellStyle name="Comma 3 9 3 9 3" xfId="12525" xr:uid="{9BEB66C9-F7AA-46EC-BDE7-098E309EDB90}"/>
    <cellStyle name="Comma 3 9 3 9 3 2" xfId="28729" xr:uid="{26971BAE-943F-4FB2-9D05-80506F96C822}"/>
    <cellStyle name="Comma 3 9 3 9 4" xfId="21171" xr:uid="{C2ED95E9-090F-4AED-AF59-18CC1085B56F}"/>
    <cellStyle name="Comma 3 9 4" xfId="1791" xr:uid="{45998DF4-984F-44C9-A23E-2A72F6378BF1}"/>
    <cellStyle name="Comma 3 9 4 10" xfId="5652" xr:uid="{440BD73A-53D3-42EC-B935-42C67075759E}"/>
    <cellStyle name="Comma 3 9 4 10 2" xfId="13167" xr:uid="{712F2C74-D634-407B-8916-8366C399D3E4}"/>
    <cellStyle name="Comma 3 9 4 10 2 2" xfId="29371" xr:uid="{49ECACB3-8579-4F96-A1F7-9182DDF6A4FB}"/>
    <cellStyle name="Comma 3 9 4 10 3" xfId="21856" xr:uid="{1B67D1E7-9B66-448A-945D-2DEC67101C1B}"/>
    <cellStyle name="Comma 3 9 4 11" xfId="9580" xr:uid="{63E26CD2-A4E1-4748-9401-1AAA3533E719}"/>
    <cellStyle name="Comma 3 9 4 11 2" xfId="25784" xr:uid="{0801372C-6AE7-4543-961B-C59EB9D79C51}"/>
    <cellStyle name="Comma 3 9 4 12" xfId="17771" xr:uid="{624E5116-CFC0-4E59-A6F7-22EE771CFE87}"/>
    <cellStyle name="Comma 3 9 4 12 2" xfId="33903" xr:uid="{7DC12DE5-72AB-41A2-A618-543B142A49C1}"/>
    <cellStyle name="Comma 3 9 4 13" xfId="18103" xr:uid="{D4BC63C8-85BD-4101-A8C3-97117BB0C0B5}"/>
    <cellStyle name="Comma 3 9 4 2" xfId="1950" xr:uid="{4DFC99B2-817A-4511-AAFB-59C6863E484B}"/>
    <cellStyle name="Comma 3 9 4 2 10" xfId="9730" xr:uid="{7A1F409E-D80D-48CD-A685-940B04BD5277}"/>
    <cellStyle name="Comma 3 9 4 2 10 2" xfId="25934" xr:uid="{4127A4E6-20BB-4EE8-9CDE-3ED37FFC8999}"/>
    <cellStyle name="Comma 3 9 4 2 11" xfId="17772" xr:uid="{B59BAA0D-58D6-45D3-A648-C14C92370E77}"/>
    <cellStyle name="Comma 3 9 4 2 11 2" xfId="33904" xr:uid="{1F937025-47B5-40F0-8860-3AA756CDDEDC}"/>
    <cellStyle name="Comma 3 9 4 2 12" xfId="18254" xr:uid="{5841A1DC-0FA8-4080-B48B-BB4223BEB978}"/>
    <cellStyle name="Comma 3 9 4 2 2" xfId="2457" xr:uid="{FDA98B55-D14A-443A-BAE1-F901E202046A}"/>
    <cellStyle name="Comma 3 9 4 2 2 2" xfId="3304" xr:uid="{D69FD00C-4E2A-499A-A3F2-06CE740F52BC}"/>
    <cellStyle name="Comma 3 9 4 2 2 2 2" xfId="7086" xr:uid="{E1945ACF-F446-4BF7-81F7-75521897B6BA}"/>
    <cellStyle name="Comma 3 9 4 2 2 2 2 2" xfId="14597" xr:uid="{5363CF5D-391D-4F5D-817D-0F912D61A397}"/>
    <cellStyle name="Comma 3 9 4 2 2 2 2 2 2" xfId="30801" xr:uid="{D63499DC-0995-473E-8C5A-7AB1ADD77D83}"/>
    <cellStyle name="Comma 3 9 4 2 2 2 2 3" xfId="23290" xr:uid="{A51C11BB-A4EB-474B-9BAC-63FBDF16AC15}"/>
    <cellStyle name="Comma 3 9 4 2 2 2 3" xfId="5559" xr:uid="{2DCB6717-C1FF-41D5-8105-8729B08F4D16}"/>
    <cellStyle name="Comma 3 9 4 2 2 2 3 2" xfId="13078" xr:uid="{FDDB78A4-5DF6-46FC-A901-33F1450D11BA}"/>
    <cellStyle name="Comma 3 9 4 2 2 2 3 2 2" xfId="29282" xr:uid="{153D4CCF-5346-4119-AD1E-485C36D872BA}"/>
    <cellStyle name="Comma 3 9 4 2 2 2 3 3" xfId="21763" xr:uid="{3478851E-8AC9-4873-ABB2-B99C23F47D9D}"/>
    <cellStyle name="Comma 3 9 4 2 2 2 4" xfId="10997" xr:uid="{56360191-B2D3-41B4-AE75-C666AAA5D0AC}"/>
    <cellStyle name="Comma 3 9 4 2 2 2 4 2" xfId="27201" xr:uid="{EE859E54-0E77-4F9D-9216-F00EC42765E0}"/>
    <cellStyle name="Comma 3 9 4 2 2 2 5" xfId="17774" xr:uid="{2A675830-8878-4F32-ACDC-BFB29FAE8F19}"/>
    <cellStyle name="Comma 3 9 4 2 2 2 5 2" xfId="33906" xr:uid="{F470E2D7-45CE-434B-8D26-48CD8BD1775B}"/>
    <cellStyle name="Comma 3 9 4 2 2 2 6" xfId="19524" xr:uid="{E6D593AF-D06B-430A-B758-2A22D56CF7C7}"/>
    <cellStyle name="Comma 3 9 4 2 2 3" xfId="6241" xr:uid="{93F36371-1C01-4BD2-86E5-3E3B023B4AD2}"/>
    <cellStyle name="Comma 3 9 4 2 2 3 2" xfId="13753" xr:uid="{3EBAF497-6BB2-46A7-871E-01B91CD7CD7C}"/>
    <cellStyle name="Comma 3 9 4 2 2 3 2 2" xfId="29957" xr:uid="{ABB964C4-ED80-495F-B959-8F187D29492B}"/>
    <cellStyle name="Comma 3 9 4 2 2 3 3" xfId="22445" xr:uid="{AEF55362-C761-4936-A594-9FE4AD05F1A5}"/>
    <cellStyle name="Comma 3 9 4 2 2 4" xfId="5402" xr:uid="{E59F21F3-0386-49FF-865A-AB5323B883B6}"/>
    <cellStyle name="Comma 3 9 4 2 2 4 2" xfId="12951" xr:uid="{D70475E5-587D-483D-959F-5E64E9E9FCE3}"/>
    <cellStyle name="Comma 3 9 4 2 2 4 2 2" xfId="29155" xr:uid="{71DD3FFF-40DE-4BF6-ADDB-EC67880A9803}"/>
    <cellStyle name="Comma 3 9 4 2 2 4 3" xfId="21606" xr:uid="{6BAB2929-3104-4CA7-A432-7395AE1B93D1}"/>
    <cellStyle name="Comma 3 9 4 2 2 5" xfId="10153" xr:uid="{9327FFE2-2FA2-4909-AEF2-96587F194194}"/>
    <cellStyle name="Comma 3 9 4 2 2 5 2" xfId="26357" xr:uid="{F21EC87D-EF3A-48E2-9FA0-36778CBDEC79}"/>
    <cellStyle name="Comma 3 9 4 2 2 6" xfId="17773" xr:uid="{A303A83D-F385-4A9C-8B8A-1A1720B1B2B0}"/>
    <cellStyle name="Comma 3 9 4 2 2 6 2" xfId="33905" xr:uid="{F9B421BD-B710-40D4-AD33-8C996423DEA9}"/>
    <cellStyle name="Comma 3 9 4 2 2 7" xfId="18679" xr:uid="{9FE395F6-9458-4E25-A40B-ECCF8BA00C0B}"/>
    <cellStyle name="Comma 3 9 4 2 3" xfId="2879" xr:uid="{774D3451-8BDF-40F2-B2C5-B9EA30479EC5}"/>
    <cellStyle name="Comma 3 9 4 2 3 2" xfId="6663" xr:uid="{5FE0D5AA-5319-4E67-9C39-C80CA4FDCF86}"/>
    <cellStyle name="Comma 3 9 4 2 3 2 2" xfId="14175" xr:uid="{9E453178-D723-4CA7-9CEC-ABA2B2B220B0}"/>
    <cellStyle name="Comma 3 9 4 2 3 2 2 2" xfId="30379" xr:uid="{51320024-5841-4A67-8B61-033C56C260FD}"/>
    <cellStyle name="Comma 3 9 4 2 3 2 3" xfId="22867" xr:uid="{2D404B7C-6E12-41CA-84EC-EE7CA3C75533}"/>
    <cellStyle name="Comma 3 9 4 2 3 3" xfId="5438" xr:uid="{405CFC54-782D-4EB7-B698-9EE797A0D707}"/>
    <cellStyle name="Comma 3 9 4 2 3 3 2" xfId="12981" xr:uid="{06091C4B-9E1D-456D-974E-FA7EBA1847EB}"/>
    <cellStyle name="Comma 3 9 4 2 3 3 2 2" xfId="29185" xr:uid="{A24F952A-A4C8-4F1F-8EE1-9089512D6943}"/>
    <cellStyle name="Comma 3 9 4 2 3 3 3" xfId="21642" xr:uid="{C46FD170-BB87-406B-B9F4-CC0BC92C69B9}"/>
    <cellStyle name="Comma 3 9 4 2 3 4" xfId="10575" xr:uid="{D1CD6CB2-23F3-4C0B-B84F-DD71BFEB7C83}"/>
    <cellStyle name="Comma 3 9 4 2 3 4 2" xfId="26779" xr:uid="{4B4052DA-7BA4-4858-B60A-1651A6106768}"/>
    <cellStyle name="Comma 3 9 4 2 3 5" xfId="17775" xr:uid="{3BA467D1-9434-4D7A-B2D4-B3CDC7AF00E8}"/>
    <cellStyle name="Comma 3 9 4 2 3 5 2" xfId="33907" xr:uid="{AD84A952-9F97-4F8D-99EA-92573F4D8C24}"/>
    <cellStyle name="Comma 3 9 4 2 3 6" xfId="19101" xr:uid="{CD7D2C71-A7CC-48C8-90E7-00ECC9849C22}"/>
    <cellStyle name="Comma 3 9 4 2 4" xfId="3810" xr:uid="{6FC0B045-DFE4-40EB-AA43-6C19EE11C56F}"/>
    <cellStyle name="Comma 3 9 4 2 4 2" xfId="7520" xr:uid="{861795EE-E351-40C0-8B66-B836E303766D}"/>
    <cellStyle name="Comma 3 9 4 2 4 2 2" xfId="15029" xr:uid="{F0174952-9BE3-4F06-A3A7-6930767CA64F}"/>
    <cellStyle name="Comma 3 9 4 2 4 2 2 2" xfId="31233" xr:uid="{75816A5F-7415-475C-93D0-0D3F18E7D0D5}"/>
    <cellStyle name="Comma 3 9 4 2 4 2 3" xfId="23724" xr:uid="{5F3444D6-D438-4D04-A825-453E212A3A8E}"/>
    <cellStyle name="Comma 3 9 4 2 4 3" xfId="5216" xr:uid="{03617B86-683E-4C51-8204-FFDD537F605C}"/>
    <cellStyle name="Comma 3 9 4 2 4 3 2" xfId="12772" xr:uid="{B87C4A31-6866-4F42-A0C4-BE0915F97664}"/>
    <cellStyle name="Comma 3 9 4 2 4 3 2 2" xfId="28976" xr:uid="{C86D0D06-E0BC-4427-8624-93ED6B0FCD43}"/>
    <cellStyle name="Comma 3 9 4 2 4 3 3" xfId="21420" xr:uid="{65F7A101-87D6-4AC5-ACED-F4932C9A36DA}"/>
    <cellStyle name="Comma 3 9 4 2 4 4" xfId="11420" xr:uid="{59756F26-F78D-4ECD-85C7-3D9CCA7841EE}"/>
    <cellStyle name="Comma 3 9 4 2 4 4 2" xfId="27624" xr:uid="{D5B4AB7A-2FC6-4A2F-AAC1-906C31A58777}"/>
    <cellStyle name="Comma 3 9 4 2 4 5" xfId="17776" xr:uid="{97BF1C32-F28D-4521-B179-2D502C435B31}"/>
    <cellStyle name="Comma 3 9 4 2 4 5 2" xfId="33908" xr:uid="{D046C080-1BD7-468B-9F89-6D49A6DCD909}"/>
    <cellStyle name="Comma 3 9 4 2 4 6" xfId="20019" xr:uid="{C657D8A6-C1C5-4F71-B9F0-40F246AB2015}"/>
    <cellStyle name="Comma 3 9 4 2 5" xfId="3555" xr:uid="{206204C3-C80E-4DDF-98A7-6BA1B59C8D78}"/>
    <cellStyle name="Comma 3 9 4 2 5 2" xfId="5236" xr:uid="{9131CD4A-1A84-4F4A-A93C-A8AB097B4EE0}"/>
    <cellStyle name="Comma 3 9 4 2 5 2 2" xfId="21440" xr:uid="{41E7FFE7-7AD2-4F56-8AFE-4E53282B104B}"/>
    <cellStyle name="Comma 3 9 4 2 5 3" xfId="17777" xr:uid="{9242C037-1B64-45B5-9371-A243A1CE4973}"/>
    <cellStyle name="Comma 3 9 4 2 5 3 2" xfId="33909" xr:uid="{F40DEFF1-4A4B-4752-B1AE-DE083F7CAB0D}"/>
    <cellStyle name="Comma 3 9 4 2 5 4" xfId="19770" xr:uid="{5EBEE5E3-22F1-4E17-9A2A-8DCEB3466861}"/>
    <cellStyle name="Comma 3 9 4 2 6" xfId="4279" xr:uid="{F5BD6BB7-936B-4B0B-B7DE-9C7900613916}"/>
    <cellStyle name="Comma 3 9 4 2 6 2" xfId="7949" xr:uid="{F7BBC043-68E2-44EB-B28E-C6AC2E608B4A}"/>
    <cellStyle name="Comma 3 9 4 2 6 2 2" xfId="15456" xr:uid="{A0693FBC-C3BB-4045-A1FE-D685860F4A1B}"/>
    <cellStyle name="Comma 3 9 4 2 6 2 2 2" xfId="31660" xr:uid="{93F07161-6DF1-4E9B-9243-14BE548C37D8}"/>
    <cellStyle name="Comma 3 9 4 2 6 2 3" xfId="24153" xr:uid="{8C4F8A49-2245-4CEB-8BC4-55B86DC8B782}"/>
    <cellStyle name="Comma 3 9 4 2 6 3" xfId="5238" xr:uid="{FAA1408B-D846-43EE-9375-9FD394080910}"/>
    <cellStyle name="Comma 3 9 4 2 6 3 2" xfId="12790" xr:uid="{35024BE7-C9CB-4C5A-B691-3A2C31840C9D}"/>
    <cellStyle name="Comma 3 9 4 2 6 3 2 2" xfId="28994" xr:uid="{B941E689-0ABE-4F4E-B9F4-0C604B6B21D6}"/>
    <cellStyle name="Comma 3 9 4 2 6 3 3" xfId="21442" xr:uid="{32D37DF8-DC22-41B7-A8CF-8079801BA4C0}"/>
    <cellStyle name="Comma 3 9 4 2 6 4" xfId="11842" xr:uid="{97D7D8C4-B61D-4805-A7D9-68747B76CA68}"/>
    <cellStyle name="Comma 3 9 4 2 6 4 2" xfId="28046" xr:uid="{FBCEB9F9-B370-4E66-86FC-2A0591B58188}"/>
    <cellStyle name="Comma 3 9 4 2 6 5" xfId="17778" xr:uid="{958357F7-AAD2-4B8E-B773-7BB06B464B4B}"/>
    <cellStyle name="Comma 3 9 4 2 6 5 2" xfId="33910" xr:uid="{94A348CB-BDEF-4F92-B19D-CF473544E518}"/>
    <cellStyle name="Comma 3 9 4 2 6 6" xfId="20483" xr:uid="{B2AFC14C-6162-4359-A34A-AC5F2045CB7C}"/>
    <cellStyle name="Comma 3 9 4 2 7" xfId="4704" xr:uid="{BEF5B65B-4E42-4AA8-9121-864C4FE672B4}"/>
    <cellStyle name="Comma 3 9 4 2 7 2" xfId="8374" xr:uid="{F0FFE93B-B24D-4BE0-B53D-E86DFA9139FC}"/>
    <cellStyle name="Comma 3 9 4 2 7 2 2" xfId="15881" xr:uid="{45F27275-FF76-4267-8C12-0686A640AD60}"/>
    <cellStyle name="Comma 3 9 4 2 7 2 2 2" xfId="32085" xr:uid="{D6414866-F1F4-44D2-AE66-A9B74139BA39}"/>
    <cellStyle name="Comma 3 9 4 2 7 2 3" xfId="24578" xr:uid="{10C35DAF-34C3-4D3D-80ED-5A6B02B30F26}"/>
    <cellStyle name="Comma 3 9 4 2 7 3" xfId="5222" xr:uid="{4B9F351C-76D6-4AF0-883C-EDAE82252464}"/>
    <cellStyle name="Comma 3 9 4 2 7 3 2" xfId="12778" xr:uid="{86954431-AE88-421B-8291-5578308198B6}"/>
    <cellStyle name="Comma 3 9 4 2 7 3 2 2" xfId="28982" xr:uid="{871313FD-9CAF-41D3-9CF4-24D190914C69}"/>
    <cellStyle name="Comma 3 9 4 2 7 3 3" xfId="21426" xr:uid="{BD8E3994-A7AF-4FC4-846E-2BCB8B5A523B}"/>
    <cellStyle name="Comma 3 9 4 2 7 4" xfId="12267" xr:uid="{BDAB0DC2-DCFF-4D1F-9D23-B844D3834A5E}"/>
    <cellStyle name="Comma 3 9 4 2 7 4 2" xfId="28471" xr:uid="{3FF29A09-11B4-4D2A-A154-7A2B19668ECF}"/>
    <cellStyle name="Comma 3 9 4 2 7 5" xfId="17779" xr:uid="{5892929D-6959-4AD5-AEC0-3BDF8120BCC2}"/>
    <cellStyle name="Comma 3 9 4 2 7 5 2" xfId="33911" xr:uid="{7E62EE66-FA59-4394-94FA-58AFAF6FD340}"/>
    <cellStyle name="Comma 3 9 4 2 7 6" xfId="20908" xr:uid="{3FC9ABD4-41AF-4856-9721-4E17A6E26A0D}"/>
    <cellStyle name="Comma 3 9 4 2 8" xfId="5132" xr:uid="{564E17CD-94B3-4266-B996-E7EEDC617496}"/>
    <cellStyle name="Comma 3 9 4 2 8 2" xfId="8797" xr:uid="{9AC122B6-2E0C-4449-A807-CF62B5057CED}"/>
    <cellStyle name="Comma 3 9 4 2 8 2 2" xfId="16304" xr:uid="{97AB3303-2301-4A86-AE2E-63DBFBF224A2}"/>
    <cellStyle name="Comma 3 9 4 2 8 2 2 2" xfId="32508" xr:uid="{A50C8C0C-9A9F-486D-8597-44735D33FAC5}"/>
    <cellStyle name="Comma 3 9 4 2 8 2 3" xfId="25001" xr:uid="{5CA03D4D-6AD9-4C61-A79D-3EDAEEEA8657}"/>
    <cellStyle name="Comma 3 9 4 2 8 3" xfId="12689" xr:uid="{7417E479-215F-436C-83BA-F317B481AA30}"/>
    <cellStyle name="Comma 3 9 4 2 8 3 2" xfId="28893" xr:uid="{62579596-48A0-41B6-A3D3-4F08CA7C043E}"/>
    <cellStyle name="Comma 3 9 4 2 8 4" xfId="21336" xr:uid="{5442BAA3-1F07-49DF-A2A6-3FEBD8289BA5}"/>
    <cellStyle name="Comma 3 9 4 2 9" xfId="5803" xr:uid="{24228380-C7CE-4FF3-92A9-E07AA26CC842}"/>
    <cellStyle name="Comma 3 9 4 2 9 2" xfId="13318" xr:uid="{FA280BE1-910A-4EA5-8A11-BF0292F84052}"/>
    <cellStyle name="Comma 3 9 4 2 9 2 2" xfId="29522" xr:uid="{B9162E87-BC12-4346-B127-70714400FA60}"/>
    <cellStyle name="Comma 3 9 4 2 9 3" xfId="22007" xr:uid="{B04F6A2C-DBB4-4A04-B21B-D7A2B902AF18}"/>
    <cellStyle name="Comma 3 9 4 3" xfId="2307" xr:uid="{E3B4B26F-F7AC-4EBA-A46F-4D420D5000B4}"/>
    <cellStyle name="Comma 3 9 4 3 2" xfId="3154" xr:uid="{8F1ED6B3-C16E-4113-AD07-D0351C717AE2}"/>
    <cellStyle name="Comma 3 9 4 3 2 2" xfId="6936" xr:uid="{0FF57B13-2B0F-4685-AE49-48872D369C33}"/>
    <cellStyle name="Comma 3 9 4 3 2 2 2" xfId="14447" xr:uid="{3A868AA2-FDC3-42A0-A4D3-346854A8CAF4}"/>
    <cellStyle name="Comma 3 9 4 3 2 2 2 2" xfId="30651" xr:uid="{F3FB7691-6691-44D0-B841-1D362CD8B119}"/>
    <cellStyle name="Comma 3 9 4 3 2 2 3" xfId="23140" xr:uid="{EFB9A5A5-A479-4C8E-81F3-12B9EBF0495F}"/>
    <cellStyle name="Comma 3 9 4 3 2 3" xfId="8997" xr:uid="{1620D7F0-D717-4384-BAFA-F12188CBF0F5}"/>
    <cellStyle name="Comma 3 9 4 3 2 3 2" xfId="16490" xr:uid="{EAB5FEDF-32D4-4506-BFBF-465AB4A2B022}"/>
    <cellStyle name="Comma 3 9 4 3 2 3 2 2" xfId="32694" xr:uid="{F02290EE-5918-4EE5-B4C7-E6C028D6BA46}"/>
    <cellStyle name="Comma 3 9 4 3 2 3 3" xfId="25201" xr:uid="{DB342746-035D-425D-80A2-200E207F47FF}"/>
    <cellStyle name="Comma 3 9 4 3 2 4" xfId="10847" xr:uid="{7075E592-F6C1-4D98-AF00-3048FDB4F34C}"/>
    <cellStyle name="Comma 3 9 4 3 2 4 2" xfId="27051" xr:uid="{22FDF24F-7649-4EAF-A531-EA4D118216D7}"/>
    <cellStyle name="Comma 3 9 4 3 2 5" xfId="17781" xr:uid="{D6E6C40C-D876-4A47-8093-AF682211C491}"/>
    <cellStyle name="Comma 3 9 4 3 2 5 2" xfId="33913" xr:uid="{3A90D6F2-F0EF-461B-8444-BAE89D994B62}"/>
    <cellStyle name="Comma 3 9 4 3 2 6" xfId="19374" xr:uid="{F6FEDF34-AFBF-4EC5-882C-5B1C6E1BC014}"/>
    <cellStyle name="Comma 3 9 4 3 3" xfId="6091" xr:uid="{2CFF1DB2-286E-4711-A90E-FAB5076E0EF4}"/>
    <cellStyle name="Comma 3 9 4 3 3 2" xfId="13603" xr:uid="{B978CA1D-0925-496B-A587-FA5B3F56C8CB}"/>
    <cellStyle name="Comma 3 9 4 3 3 2 2" xfId="29807" xr:uid="{4D385B0C-C07B-45AC-A298-EFA9F43F6E7E}"/>
    <cellStyle name="Comma 3 9 4 3 3 3" xfId="22295" xr:uid="{FCE23287-CE3C-4D99-808F-AADF05CBD2FB}"/>
    <cellStyle name="Comma 3 9 4 3 4" xfId="9351" xr:uid="{D3984EE3-EDD4-453E-9EA8-8A5BCF4DE47F}"/>
    <cellStyle name="Comma 3 9 4 3 4 2" xfId="16794" xr:uid="{933F2E95-0C0E-4BC6-9188-2764D6BF8E64}"/>
    <cellStyle name="Comma 3 9 4 3 4 2 2" xfId="32998" xr:uid="{08B30B47-F479-4EA0-A726-39A50D1FD5F1}"/>
    <cellStyle name="Comma 3 9 4 3 4 3" xfId="25555" xr:uid="{44CAEC37-576F-4659-A0C0-11FB699C72D7}"/>
    <cellStyle name="Comma 3 9 4 3 5" xfId="10003" xr:uid="{9665E8E3-4CA6-469D-B80F-2800838025B2}"/>
    <cellStyle name="Comma 3 9 4 3 5 2" xfId="26207" xr:uid="{979BE695-4D51-4757-A7EF-B103FF5D593B}"/>
    <cellStyle name="Comma 3 9 4 3 6" xfId="17780" xr:uid="{BA7B9B25-941E-4070-BBD8-2CD5AAFE19B8}"/>
    <cellStyle name="Comma 3 9 4 3 6 2" xfId="33912" xr:uid="{F7B7F92E-6BCB-452C-84C3-02A3AB6A69D5}"/>
    <cellStyle name="Comma 3 9 4 3 7" xfId="18529" xr:uid="{AF60330B-38CA-42A9-80EF-4B79BAAAD83D}"/>
    <cellStyle name="Comma 3 9 4 4" xfId="2729" xr:uid="{61EF150C-52CA-4A2B-BFB7-C3380CE1CAE2}"/>
    <cellStyle name="Comma 3 9 4 4 2" xfId="6513" xr:uid="{7A9B5DA7-2868-4D19-B8F8-70DE5D0BF815}"/>
    <cellStyle name="Comma 3 9 4 4 2 2" xfId="14025" xr:uid="{A52FB9AB-2BDC-49B0-B6F9-09043EC8A3DC}"/>
    <cellStyle name="Comma 3 9 4 4 2 2 2" xfId="30229" xr:uid="{F6C88202-FD2E-4A9E-A299-28A93F5BF333}"/>
    <cellStyle name="Comma 3 9 4 4 2 3" xfId="22717" xr:uid="{0FE0BCDF-E45E-470B-875A-7D2D1334321F}"/>
    <cellStyle name="Comma 3 9 4 4 3" xfId="9043" xr:uid="{59310668-559B-4057-AA97-CE528A163733}"/>
    <cellStyle name="Comma 3 9 4 4 3 2" xfId="16532" xr:uid="{3FAC45C0-85C0-4901-B438-3FE1B99C0B55}"/>
    <cellStyle name="Comma 3 9 4 4 3 2 2" xfId="32736" xr:uid="{96E59889-C045-4447-9869-0D9745AFE6D6}"/>
    <cellStyle name="Comma 3 9 4 4 3 3" xfId="25247" xr:uid="{75E91CB0-E558-4D69-81AF-F091A2362D7B}"/>
    <cellStyle name="Comma 3 9 4 4 4" xfId="10425" xr:uid="{3C099F57-FBBE-46DA-84D2-816D40A7E750}"/>
    <cellStyle name="Comma 3 9 4 4 4 2" xfId="26629" xr:uid="{D6CECCC4-AA7A-4CF6-9991-271C5C225332}"/>
    <cellStyle name="Comma 3 9 4 4 5" xfId="17782" xr:uid="{D8C27501-4D1F-4884-915D-AD8D36274965}"/>
    <cellStyle name="Comma 3 9 4 4 5 2" xfId="33914" xr:uid="{C4A766DC-C412-4162-A33A-8EC192265FA4}"/>
    <cellStyle name="Comma 3 9 4 4 6" xfId="18951" xr:uid="{DAFCE7DE-DE59-455C-B048-243BF1DEDE44}"/>
    <cellStyle name="Comma 3 9 4 5" xfId="3659" xr:uid="{9CF68A50-8868-4CF4-AF09-F324DD6CFE68}"/>
    <cellStyle name="Comma 3 9 4 5 2" xfId="7369" xr:uid="{28A17D0D-D7ED-429A-8F49-1AE19E1170D3}"/>
    <cellStyle name="Comma 3 9 4 5 2 2" xfId="14878" xr:uid="{8F763AC4-C5C8-46C6-88A1-975B16CF1BCD}"/>
    <cellStyle name="Comma 3 9 4 5 2 2 2" xfId="31082" xr:uid="{222F6BC3-02F8-47A1-8750-1BABE396EF2B}"/>
    <cellStyle name="Comma 3 9 4 5 2 3" xfId="23573" xr:uid="{F4BF06C9-E1AC-4704-93BC-B460113043FE}"/>
    <cellStyle name="Comma 3 9 4 5 3" xfId="5455" xr:uid="{A292E465-5981-4ED6-B3F4-5CADADA90B62}"/>
    <cellStyle name="Comma 3 9 4 5 3 2" xfId="12997" xr:uid="{499754AF-225A-45E2-B435-C053A340D1B6}"/>
    <cellStyle name="Comma 3 9 4 5 3 2 2" xfId="29201" xr:uid="{08A0596A-606E-4118-BDC1-DAE95BF815CA}"/>
    <cellStyle name="Comma 3 9 4 5 3 3" xfId="21659" xr:uid="{1638F69F-668B-4B7F-B07F-32DB5E77F584}"/>
    <cellStyle name="Comma 3 9 4 5 4" xfId="11270" xr:uid="{16A7E7BA-15F2-47D8-9950-C43B6BBAA836}"/>
    <cellStyle name="Comma 3 9 4 5 4 2" xfId="27474" xr:uid="{E014FEC3-D842-412D-BB30-9F2BDA3797EE}"/>
    <cellStyle name="Comma 3 9 4 5 5" xfId="17783" xr:uid="{F4795F3D-F2F4-4EDC-A30E-9AED738B56D7}"/>
    <cellStyle name="Comma 3 9 4 5 5 2" xfId="33915" xr:uid="{77C0DF92-86E0-4ABD-90DF-7F5870920C87}"/>
    <cellStyle name="Comma 3 9 4 5 6" xfId="19868" xr:uid="{01A536E5-B453-4000-B368-2224D4B78AB4}"/>
    <cellStyle name="Comma 3 9 4 6" xfId="3904" xr:uid="{9F9A7B9E-BAA6-4FDF-9189-FA52CCC0C09A}"/>
    <cellStyle name="Comma 3 9 4 6 2" xfId="9340" xr:uid="{6C56ADFA-4E2D-45D5-9A36-4E5C04C84A1C}"/>
    <cellStyle name="Comma 3 9 4 6 2 2" xfId="25544" xr:uid="{125DD4BE-E4A5-40D9-8DE2-0E70C9E12389}"/>
    <cellStyle name="Comma 3 9 4 6 3" xfId="17784" xr:uid="{55C692C4-62A6-4F90-8901-699F3072E16A}"/>
    <cellStyle name="Comma 3 9 4 6 3 2" xfId="33916" xr:uid="{B6306897-2C86-4D7C-B3EF-95534ECE0E0E}"/>
    <cellStyle name="Comma 3 9 4 6 4" xfId="20113" xr:uid="{5789E816-18E8-4344-A7EA-713C1241D6E8}"/>
    <cellStyle name="Comma 3 9 4 7" xfId="4129" xr:uid="{CF5912C8-0399-4AFD-AC62-1E9B5C7B7EB9}"/>
    <cellStyle name="Comma 3 9 4 7 2" xfId="7799" xr:uid="{D5A7C24A-96FE-44AA-B95D-FF3D14919F7B}"/>
    <cellStyle name="Comma 3 9 4 7 2 2" xfId="15306" xr:uid="{726C372B-5841-495B-AD89-8C229F9003DE}"/>
    <cellStyle name="Comma 3 9 4 7 2 2 2" xfId="31510" xr:uid="{F35563B4-3025-40AF-830A-710970B0C45D}"/>
    <cellStyle name="Comma 3 9 4 7 2 3" xfId="24003" xr:uid="{7565BAF5-CF44-4FCB-A465-A8A79901DE0D}"/>
    <cellStyle name="Comma 3 9 4 7 3" xfId="9046" xr:uid="{C1795C59-89E5-410E-9A4B-EB7B8D5A8EE4}"/>
    <cellStyle name="Comma 3 9 4 7 3 2" xfId="16535" xr:uid="{A50A9B7D-5EF8-4DBE-A8AF-10F5BB9A58DD}"/>
    <cellStyle name="Comma 3 9 4 7 3 2 2" xfId="32739" xr:uid="{3FBFC7AA-3A7F-4192-A5D4-8B6B017ACB9F}"/>
    <cellStyle name="Comma 3 9 4 7 3 3" xfId="25250" xr:uid="{095B307D-B687-422D-9CC0-E912651724F8}"/>
    <cellStyle name="Comma 3 9 4 7 4" xfId="11692" xr:uid="{34B6F095-2068-4190-997B-04CC852E4E34}"/>
    <cellStyle name="Comma 3 9 4 7 4 2" xfId="27896" xr:uid="{B8ADBCFD-5127-4C0A-BEE4-87B439FBE389}"/>
    <cellStyle name="Comma 3 9 4 7 5" xfId="17785" xr:uid="{4FF5E441-A932-4E4C-A95D-644974BE7A38}"/>
    <cellStyle name="Comma 3 9 4 7 5 2" xfId="33917" xr:uid="{04CE5762-BEC8-40FB-AF5F-D6B45951520D}"/>
    <cellStyle name="Comma 3 9 4 7 6" xfId="20333" xr:uid="{C0D0C92A-E4B4-4ABB-9501-F2F678BF0F9B}"/>
    <cellStyle name="Comma 3 9 4 8" xfId="4554" xr:uid="{0C62DD2A-EFD3-473C-B1C0-0A0E64A7811F}"/>
    <cellStyle name="Comma 3 9 4 8 2" xfId="8224" xr:uid="{FB884942-CBA0-48B7-9F44-CB478FAC5A07}"/>
    <cellStyle name="Comma 3 9 4 8 2 2" xfId="15731" xr:uid="{0ABEF28E-471E-4274-9006-F2FF9AE94A4E}"/>
    <cellStyle name="Comma 3 9 4 8 2 2 2" xfId="31935" xr:uid="{F0A51A77-AF05-429E-AA76-97FFC50F7285}"/>
    <cellStyle name="Comma 3 9 4 8 2 3" xfId="24428" xr:uid="{46700341-5FCF-4EFB-90F0-FA35FACAE929}"/>
    <cellStyle name="Comma 3 9 4 8 3" xfId="9038" xr:uid="{6F58A3E2-B9D6-4215-936D-A379877B45E7}"/>
    <cellStyle name="Comma 3 9 4 8 3 2" xfId="16527" xr:uid="{43C023ED-1041-4B5F-B068-C309FBE9660A}"/>
    <cellStyle name="Comma 3 9 4 8 3 2 2" xfId="32731" xr:uid="{51006F47-E726-400C-8714-50D3C0769919}"/>
    <cellStyle name="Comma 3 9 4 8 3 3" xfId="25242" xr:uid="{EC36F74D-B345-49F7-A823-003561EA4045}"/>
    <cellStyle name="Comma 3 9 4 8 4" xfId="12117" xr:uid="{4BBDABC1-0EC8-470C-B2AD-23DAFA18245A}"/>
    <cellStyle name="Comma 3 9 4 8 4 2" xfId="28321" xr:uid="{8B459E86-B3FC-45E4-84D2-C8EA8D859974}"/>
    <cellStyle name="Comma 3 9 4 8 5" xfId="17786" xr:uid="{9E70C2F2-25D2-4466-B404-BFC9489805E9}"/>
    <cellStyle name="Comma 3 9 4 8 5 2" xfId="33918" xr:uid="{1E0E7A3B-5342-4564-9E8B-A5F02694CC63}"/>
    <cellStyle name="Comma 3 9 4 8 6" xfId="20758" xr:uid="{5ED4A1E7-6CD3-4703-A16E-9C333D35E9EF}"/>
    <cellStyle name="Comma 3 9 4 9" xfId="4981" xr:uid="{67081B01-FAE3-48AF-A642-AA6B7D956CFA}"/>
    <cellStyle name="Comma 3 9 4 9 2" xfId="8647" xr:uid="{A4D39966-BADB-4262-8CEE-95B4CF3EAB52}"/>
    <cellStyle name="Comma 3 9 4 9 2 2" xfId="16154" xr:uid="{D1CAB123-145D-4464-87BF-C496696DABC7}"/>
    <cellStyle name="Comma 3 9 4 9 2 2 2" xfId="32358" xr:uid="{7BFBE1FD-59B2-46E2-810D-F16B8C1EF092}"/>
    <cellStyle name="Comma 3 9 4 9 2 3" xfId="24851" xr:uid="{93D4CF73-2169-4E72-AF7D-1AB00DC2415C}"/>
    <cellStyle name="Comma 3 9 4 9 3" xfId="12539" xr:uid="{EAD8181F-8775-45C5-B092-C979B87E9210}"/>
    <cellStyle name="Comma 3 9 4 9 3 2" xfId="28743" xr:uid="{BFC24712-AB59-4518-8098-8280708D1A2F}"/>
    <cellStyle name="Comma 3 9 4 9 4" xfId="21185" xr:uid="{1FF847C8-13F4-4342-AD9A-2723690FAF3B}"/>
    <cellStyle name="Comma 3 9 5" xfId="1951" xr:uid="{60AB6D1B-3A6A-4EF9-8B38-56086D7EE701}"/>
    <cellStyle name="Comma 3 9 5 10" xfId="9731" xr:uid="{813BE582-FADD-411A-901B-54A0EF6B407A}"/>
    <cellStyle name="Comma 3 9 5 10 2" xfId="25935" xr:uid="{EA039DA1-5C27-473C-B356-4DC25A821B8B}"/>
    <cellStyle name="Comma 3 9 5 11" xfId="17787" xr:uid="{7812792F-4BAF-427E-AB93-EDAFE8F88375}"/>
    <cellStyle name="Comma 3 9 5 11 2" xfId="33919" xr:uid="{3BCDB2F2-BB5A-47EB-B48F-1AB65357B6B2}"/>
    <cellStyle name="Comma 3 9 5 12" xfId="18255" xr:uid="{1D10DB1F-73F9-480E-8A28-BF85A10E5399}"/>
    <cellStyle name="Comma 3 9 5 2" xfId="2458" xr:uid="{F6D3E37E-262E-4258-8AC5-19C44C844223}"/>
    <cellStyle name="Comma 3 9 5 2 2" xfId="3305" xr:uid="{3FFE2E54-DA2E-4D2D-BD05-B0B7C9F718CE}"/>
    <cellStyle name="Comma 3 9 5 2 2 2" xfId="7087" xr:uid="{A6F3D4F0-26ED-4A2E-8B60-088F6BCA49CF}"/>
    <cellStyle name="Comma 3 9 5 2 2 2 2" xfId="14598" xr:uid="{9C47DD34-87F5-4341-A60A-E2B6617C38B6}"/>
    <cellStyle name="Comma 3 9 5 2 2 2 2 2" xfId="30802" xr:uid="{22D1E1D7-EB45-4AEA-A190-9E94BAB4C9A0}"/>
    <cellStyle name="Comma 3 9 5 2 2 2 3" xfId="23291" xr:uid="{7E62C128-7E23-44AD-8BAD-7C0660CF4F80}"/>
    <cellStyle name="Comma 3 9 5 2 2 3" xfId="5590" xr:uid="{08D6FC6C-218C-4832-BF88-7B0323876FD7}"/>
    <cellStyle name="Comma 3 9 5 2 2 3 2" xfId="13106" xr:uid="{1CD4766D-E1F6-4BB4-AF36-1E92D4113F8D}"/>
    <cellStyle name="Comma 3 9 5 2 2 3 2 2" xfId="29310" xr:uid="{DF8F62FB-867E-46CD-BE6B-B3A20EF5783F}"/>
    <cellStyle name="Comma 3 9 5 2 2 3 3" xfId="21794" xr:uid="{BF252FCB-C2EA-45D5-84E3-E55C31F3D711}"/>
    <cellStyle name="Comma 3 9 5 2 2 4" xfId="10998" xr:uid="{CD8066E2-7550-4F5A-AB95-967382C417F3}"/>
    <cellStyle name="Comma 3 9 5 2 2 4 2" xfId="27202" xr:uid="{1F0DEEC3-A835-461C-A8A8-915C8AD44E69}"/>
    <cellStyle name="Comma 3 9 5 2 2 5" xfId="17789" xr:uid="{7124943C-83B6-4C6B-BFEB-680ECFFC2C82}"/>
    <cellStyle name="Comma 3 9 5 2 2 5 2" xfId="33921" xr:uid="{C0AD4372-D88B-4E7E-B800-91831574C34A}"/>
    <cellStyle name="Comma 3 9 5 2 2 6" xfId="19525" xr:uid="{E8B9648D-23E3-4A90-A69E-37572BB555EB}"/>
    <cellStyle name="Comma 3 9 5 2 3" xfId="6242" xr:uid="{E27E7E2B-8E6E-4395-A82C-79AFC942819C}"/>
    <cellStyle name="Comma 3 9 5 2 3 2" xfId="13754" xr:uid="{ECF51649-6198-48FE-A41C-AB613FC64DC4}"/>
    <cellStyle name="Comma 3 9 5 2 3 2 2" xfId="29958" xr:uid="{1E67C0BC-1AE7-4184-962B-18CD2AF2FE70}"/>
    <cellStyle name="Comma 3 9 5 2 3 3" xfId="22446" xr:uid="{BEA002B8-B912-446E-8BFA-0F1F963DFBE5}"/>
    <cellStyle name="Comma 3 9 5 2 4" xfId="5537" xr:uid="{BB250FC8-F371-4080-B813-C6EFBE4A93D3}"/>
    <cellStyle name="Comma 3 9 5 2 4 2" xfId="13063" xr:uid="{CF176467-9E9D-410D-9D2B-CF37C9C634DA}"/>
    <cellStyle name="Comma 3 9 5 2 4 2 2" xfId="29267" xr:uid="{A924D677-634B-4B8F-9489-D2E76C72CBE5}"/>
    <cellStyle name="Comma 3 9 5 2 4 3" xfId="21741" xr:uid="{41B11B89-CAAD-4B3B-AAA2-88DBA8F4740E}"/>
    <cellStyle name="Comma 3 9 5 2 5" xfId="10154" xr:uid="{DC12DF75-1A04-4892-8372-BF9205949175}"/>
    <cellStyle name="Comma 3 9 5 2 5 2" xfId="26358" xr:uid="{64037FE1-7357-455E-A72A-CAC3010E8CEB}"/>
    <cellStyle name="Comma 3 9 5 2 6" xfId="17788" xr:uid="{134A8D2A-BC4D-4F1D-A680-08D868EDC338}"/>
    <cellStyle name="Comma 3 9 5 2 6 2" xfId="33920" xr:uid="{74A494F9-33A4-490E-B009-D9D3C544097B}"/>
    <cellStyle name="Comma 3 9 5 2 7" xfId="18680" xr:uid="{D6FBA0BB-0830-4220-AB23-E87B4DAE428A}"/>
    <cellStyle name="Comma 3 9 5 3" xfId="2880" xr:uid="{B0AA20D9-6176-4780-8173-F85C6FD1F743}"/>
    <cellStyle name="Comma 3 9 5 3 2" xfId="6664" xr:uid="{4E36AEF3-4AEA-4161-A128-EBAF15F5927C}"/>
    <cellStyle name="Comma 3 9 5 3 2 2" xfId="14176" xr:uid="{7BF8B533-CB78-49C7-8868-F7D9E2EF4402}"/>
    <cellStyle name="Comma 3 9 5 3 2 2 2" xfId="30380" xr:uid="{E885C2F2-B666-4C37-8D41-FC668C67332F}"/>
    <cellStyle name="Comma 3 9 5 3 2 3" xfId="22868" xr:uid="{6516BD97-E43F-477D-8A50-DF1AA18B0F85}"/>
    <cellStyle name="Comma 3 9 5 3 3" xfId="9283" xr:uid="{A24AACA6-FD53-4759-B733-D708DE5A7C86}"/>
    <cellStyle name="Comma 3 9 5 3 3 2" xfId="16741" xr:uid="{172D320C-D2A8-4170-9EB1-E9C40D8972B2}"/>
    <cellStyle name="Comma 3 9 5 3 3 2 2" xfId="32945" xr:uid="{C38A6B70-B30F-4845-AFCB-365AA48CA527}"/>
    <cellStyle name="Comma 3 9 5 3 3 3" xfId="25487" xr:uid="{0B29D4BA-9D4A-46F3-9E68-30CA786A6AE0}"/>
    <cellStyle name="Comma 3 9 5 3 4" xfId="10576" xr:uid="{FBCEA216-606C-4347-AD1E-08AE1C4BF1AE}"/>
    <cellStyle name="Comma 3 9 5 3 4 2" xfId="26780" xr:uid="{B0FECAA4-93B9-49E9-96A4-15C79C7CE0EB}"/>
    <cellStyle name="Comma 3 9 5 3 5" xfId="17790" xr:uid="{9A06A579-D0DC-49C4-B9B7-AD5ACF499D05}"/>
    <cellStyle name="Comma 3 9 5 3 5 2" xfId="33922" xr:uid="{FFD2A007-36BC-459C-BD02-89609F65594C}"/>
    <cellStyle name="Comma 3 9 5 3 6" xfId="19102" xr:uid="{3E6CDBC4-A057-45CF-8565-EDB0EB41FAF3}"/>
    <cellStyle name="Comma 3 9 5 4" xfId="3811" xr:uid="{97B1F67D-E1A9-4360-AAA5-E1E6FD976C1C}"/>
    <cellStyle name="Comma 3 9 5 4 2" xfId="7521" xr:uid="{C36EBAD5-43D9-4677-BC77-A373CD8687A2}"/>
    <cellStyle name="Comma 3 9 5 4 2 2" xfId="15030" xr:uid="{62A8E0EE-4C96-4837-A23E-40DB473A0CE3}"/>
    <cellStyle name="Comma 3 9 5 4 2 2 2" xfId="31234" xr:uid="{37D09CE9-02ED-4F81-AB36-2516A6E6A86E}"/>
    <cellStyle name="Comma 3 9 5 4 2 3" xfId="23725" xr:uid="{EB4CABC5-6255-400F-BCB7-D1ED1BAB3D45}"/>
    <cellStyle name="Comma 3 9 5 4 3" xfId="9376" xr:uid="{2FB62FDB-D5B3-4B2D-9706-6C16B7855468}"/>
    <cellStyle name="Comma 3 9 5 4 3 2" xfId="16817" xr:uid="{25829061-4A0C-4359-8F9D-052322AFD284}"/>
    <cellStyle name="Comma 3 9 5 4 3 2 2" xfId="33021" xr:uid="{B9402FBD-5C28-4417-A4C1-E25F0A6325A7}"/>
    <cellStyle name="Comma 3 9 5 4 3 3" xfId="25580" xr:uid="{2A34FA1F-630D-425C-A625-025742374739}"/>
    <cellStyle name="Comma 3 9 5 4 4" xfId="11421" xr:uid="{52E0C57C-561A-4625-9486-373912CCB933}"/>
    <cellStyle name="Comma 3 9 5 4 4 2" xfId="27625" xr:uid="{97BC4921-7526-4C0A-916F-8CB4B30F5C56}"/>
    <cellStyle name="Comma 3 9 5 4 5" xfId="17791" xr:uid="{A4A8DEA2-B170-40EA-93FF-717C59CA2A0D}"/>
    <cellStyle name="Comma 3 9 5 4 5 2" xfId="33923" xr:uid="{6091A7A6-2844-4366-8D77-1F57F16FBC0B}"/>
    <cellStyle name="Comma 3 9 5 4 6" xfId="20020" xr:uid="{2B0F6BB1-F0F0-40E3-A9A3-6DE416D920CD}"/>
    <cellStyle name="Comma 3 9 5 5" xfId="3593" xr:uid="{38EBE0DF-FFFA-4BD6-9F0B-D75AC6045B6D}"/>
    <cellStyle name="Comma 3 9 5 5 2" xfId="9299" xr:uid="{E750EC82-0D6F-4DD0-AAF8-CAFC1805D6E5}"/>
    <cellStyle name="Comma 3 9 5 5 2 2" xfId="25503" xr:uid="{B0E3DF55-11CC-493E-BD34-94B123FB2668}"/>
    <cellStyle name="Comma 3 9 5 5 3" xfId="17792" xr:uid="{7CDF1F6B-8097-4EE2-B1DA-9073C5267D1B}"/>
    <cellStyle name="Comma 3 9 5 5 3 2" xfId="33924" xr:uid="{5227368D-BE76-4553-9B0B-3971019DDFE0}"/>
    <cellStyle name="Comma 3 9 5 5 4" xfId="19803" xr:uid="{82AA765C-EE23-4B35-8103-DDE3C72D9CA9}"/>
    <cellStyle name="Comma 3 9 5 6" xfId="4280" xr:uid="{06C9B039-3DBF-4927-9436-386E159A35D4}"/>
    <cellStyle name="Comma 3 9 5 6 2" xfId="7950" xr:uid="{A5E0875C-1B10-4679-8E57-6B1E9BE30557}"/>
    <cellStyle name="Comma 3 9 5 6 2 2" xfId="15457" xr:uid="{EB250E73-FB32-4DD5-8A7A-B80E8B850252}"/>
    <cellStyle name="Comma 3 9 5 6 2 2 2" xfId="31661" xr:uid="{C18C5D67-B4D7-4685-8175-F3DBFD917810}"/>
    <cellStyle name="Comma 3 9 5 6 2 3" xfId="24154" xr:uid="{2BFD951F-6C5E-46C9-946D-29502FC16D0A}"/>
    <cellStyle name="Comma 3 9 5 6 3" xfId="9254" xr:uid="{8C600608-8FCB-4636-8A6F-24974FD1FF5A}"/>
    <cellStyle name="Comma 3 9 5 6 3 2" xfId="16715" xr:uid="{CFAA5923-286D-4C19-BF07-1F3B464AD112}"/>
    <cellStyle name="Comma 3 9 5 6 3 2 2" xfId="32919" xr:uid="{64D9CA7C-1BC7-4C4C-B24E-F687A91C4DA2}"/>
    <cellStyle name="Comma 3 9 5 6 3 3" xfId="25458" xr:uid="{7266DFF1-E5BA-4004-A676-02FE6ADC6319}"/>
    <cellStyle name="Comma 3 9 5 6 4" xfId="11843" xr:uid="{CDC75EEF-9800-4F30-8CE1-09FF90D0FAA4}"/>
    <cellStyle name="Comma 3 9 5 6 4 2" xfId="28047" xr:uid="{41E21F70-083E-479B-97CD-B8EE9F3DB6BE}"/>
    <cellStyle name="Comma 3 9 5 6 5" xfId="17793" xr:uid="{DDD4E0EF-60EE-4301-A05C-480965CB0A13}"/>
    <cellStyle name="Comma 3 9 5 6 5 2" xfId="33925" xr:uid="{3631CBC5-80DE-4188-A4C2-266141A70C29}"/>
    <cellStyle name="Comma 3 9 5 6 6" xfId="20484" xr:uid="{6A45362B-9781-4CE5-A5D8-9E5D874934F5}"/>
    <cellStyle name="Comma 3 9 5 7" xfId="4705" xr:uid="{185E6DF0-E94D-43B0-AA98-04DA8D8EC686}"/>
    <cellStyle name="Comma 3 9 5 7 2" xfId="8375" xr:uid="{271A23C7-CB05-4CC3-9425-2532F85694A7}"/>
    <cellStyle name="Comma 3 9 5 7 2 2" xfId="15882" xr:uid="{B078E402-C97A-471A-9188-71E2F6518769}"/>
    <cellStyle name="Comma 3 9 5 7 2 2 2" xfId="32086" xr:uid="{C70D958E-A51E-4997-B156-18465CFB257E}"/>
    <cellStyle name="Comma 3 9 5 7 2 3" xfId="24579" xr:uid="{58696481-C4AD-4B99-90FA-D373AA40413C}"/>
    <cellStyle name="Comma 3 9 5 7 3" xfId="5554" xr:uid="{2E0E3EB5-86EF-4CD0-BEE5-858764835E21}"/>
    <cellStyle name="Comma 3 9 5 7 3 2" xfId="13074" xr:uid="{68D083E2-2D88-4612-AC3F-8042158737D8}"/>
    <cellStyle name="Comma 3 9 5 7 3 2 2" xfId="29278" xr:uid="{0F02A220-C063-4E96-A1B5-8DA6634E8163}"/>
    <cellStyle name="Comma 3 9 5 7 3 3" xfId="21758" xr:uid="{6C05BD1C-968C-4971-B1CD-EBFD166914DC}"/>
    <cellStyle name="Comma 3 9 5 7 4" xfId="12268" xr:uid="{31CED6FE-27D2-4954-A774-82D8703D85CF}"/>
    <cellStyle name="Comma 3 9 5 7 4 2" xfId="28472" xr:uid="{E24089C8-B9A8-4D60-BDBA-321C791E3426}"/>
    <cellStyle name="Comma 3 9 5 7 5" xfId="17794" xr:uid="{AB502A59-CEDD-4CEC-8F8C-E06DA0ED543E}"/>
    <cellStyle name="Comma 3 9 5 7 5 2" xfId="33926" xr:uid="{10DD96B1-29DF-4F45-AA26-6DB5B45DCD38}"/>
    <cellStyle name="Comma 3 9 5 7 6" xfId="20909" xr:uid="{EE175FED-56F2-4ECA-88C6-744A01B98126}"/>
    <cellStyle name="Comma 3 9 5 8" xfId="5133" xr:uid="{6CB0CB3C-B073-43FC-A3C9-C8FF67F2D294}"/>
    <cellStyle name="Comma 3 9 5 8 2" xfId="8798" xr:uid="{FD1EA8C8-8C61-454A-BA0A-75246D420D1C}"/>
    <cellStyle name="Comma 3 9 5 8 2 2" xfId="16305" xr:uid="{6F85AE1F-961E-4F7E-AAEC-991719F9286C}"/>
    <cellStyle name="Comma 3 9 5 8 2 2 2" xfId="32509" xr:uid="{7DEDC08D-DCCF-4783-9B58-6AA913052C45}"/>
    <cellStyle name="Comma 3 9 5 8 2 3" xfId="25002" xr:uid="{53E8B411-EBC8-4471-AF76-21355117E5E7}"/>
    <cellStyle name="Comma 3 9 5 8 3" xfId="12690" xr:uid="{17F47B5C-38F7-477C-9D13-C9D81543B252}"/>
    <cellStyle name="Comma 3 9 5 8 3 2" xfId="28894" xr:uid="{65DBAF73-F53E-452E-8087-BC1294335D80}"/>
    <cellStyle name="Comma 3 9 5 8 4" xfId="21337" xr:uid="{E82D3C36-A153-42A8-9256-398BBC2E7DAE}"/>
    <cellStyle name="Comma 3 9 5 9" xfId="5804" xr:uid="{B9777F0E-A373-400B-8A04-DBB6D0BC11D5}"/>
    <cellStyle name="Comma 3 9 5 9 2" xfId="13319" xr:uid="{E5F7C4FB-3AA4-4C3A-A8F0-1F30B3A84AA2}"/>
    <cellStyle name="Comma 3 9 5 9 2 2" xfId="29523" xr:uid="{57AC1E08-8486-4D88-8ED6-857F00E8099E}"/>
    <cellStyle name="Comma 3 9 5 9 3" xfId="22008" xr:uid="{28B6146C-7083-4A24-8599-80470BD8AE4B}"/>
    <cellStyle name="Comma 3 9 6" xfId="2204" xr:uid="{D7AF95AD-393F-4005-9652-A50F896B0A89}"/>
    <cellStyle name="Comma 3 9 6 2" xfId="3112" xr:uid="{703C9D10-9462-453E-B2F3-6AD09ED58EB8}"/>
    <cellStyle name="Comma 3 9 6 2 2" xfId="6894" xr:uid="{4155BDD5-77ED-444F-A3A9-06BFDBB264DF}"/>
    <cellStyle name="Comma 3 9 6 2 2 2" xfId="14405" xr:uid="{627BE353-344F-413F-984B-3D5A9CD55498}"/>
    <cellStyle name="Comma 3 9 6 2 2 2 2" xfId="30609" xr:uid="{492DF8FB-ADAB-45D2-8B96-B9D8BC6A9BDA}"/>
    <cellStyle name="Comma 3 9 6 2 2 3" xfId="23098" xr:uid="{B7E4E574-1569-439A-8F51-50D436208B96}"/>
    <cellStyle name="Comma 3 9 6 2 3" xfId="9040" xr:uid="{F8E84094-4EF4-4CBE-8CF7-F040300493C3}"/>
    <cellStyle name="Comma 3 9 6 2 3 2" xfId="16529" xr:uid="{D644AA4D-60B2-4D00-9093-E98C155ADDD9}"/>
    <cellStyle name="Comma 3 9 6 2 3 2 2" xfId="32733" xr:uid="{E9E9F127-1040-47AF-B132-8B47B2F47B10}"/>
    <cellStyle name="Comma 3 9 6 2 3 3" xfId="25244" xr:uid="{51E126BF-C099-40BD-A766-80A7F455E012}"/>
    <cellStyle name="Comma 3 9 6 2 4" xfId="10805" xr:uid="{7455874E-7AAD-4998-842C-B0DC525BF773}"/>
    <cellStyle name="Comma 3 9 6 2 4 2" xfId="27009" xr:uid="{75CD93A9-AEEC-4D11-980E-0ED065B48273}"/>
    <cellStyle name="Comma 3 9 6 2 5" xfId="17796" xr:uid="{414CFB97-E3C1-4712-89AD-C4EA56498EBC}"/>
    <cellStyle name="Comma 3 9 6 2 5 2" xfId="33928" xr:uid="{80027671-084E-472E-A25D-FBE8CF656FE5}"/>
    <cellStyle name="Comma 3 9 6 2 6" xfId="19332" xr:uid="{86C52FB9-DEF7-4BF0-BE4B-70AD83C452BF}"/>
    <cellStyle name="Comma 3 9 6 3" xfId="6038" xr:uid="{70520EC2-75FD-4743-99FE-A7D20DA0C09B}"/>
    <cellStyle name="Comma 3 9 6 3 2" xfId="13552" xr:uid="{9D692532-9C0D-45D1-9CAE-A7831C6FBE07}"/>
    <cellStyle name="Comma 3 9 6 3 2 2" xfId="29756" xr:uid="{05FAF2CD-B9CE-4209-B383-CF915C2546B4}"/>
    <cellStyle name="Comma 3 9 6 3 3" xfId="22242" xr:uid="{A06AFE2C-BA12-4F96-BDEA-2D44C2037BC6}"/>
    <cellStyle name="Comma 3 9 6 4" xfId="5261" xr:uid="{B9E50980-4E8C-46F8-8179-3D66DE229A09}"/>
    <cellStyle name="Comma 3 9 6 4 2" xfId="12810" xr:uid="{FF91BB17-064D-4954-9005-17AEA27D5FEF}"/>
    <cellStyle name="Comma 3 9 6 4 2 2" xfId="29014" xr:uid="{BBA8BE5A-5A2F-429B-B1D6-C2D90161209D}"/>
    <cellStyle name="Comma 3 9 6 4 3" xfId="21465" xr:uid="{DF2901FB-1DC6-4BE9-BD8B-AA881E396F7B}"/>
    <cellStyle name="Comma 3 9 6 5" xfId="9961" xr:uid="{A939A050-25AC-4689-91ED-2CA8C20CCCAE}"/>
    <cellStyle name="Comma 3 9 6 5 2" xfId="26165" xr:uid="{90A72F8D-AA6F-46F2-BE6D-F0D4BCAEB2B1}"/>
    <cellStyle name="Comma 3 9 6 6" xfId="17795" xr:uid="{D3055223-89C8-473D-998F-C190332F5D69}"/>
    <cellStyle name="Comma 3 9 6 6 2" xfId="33927" xr:uid="{B9DD93DE-9296-4CF3-8645-D36EB1B603C6}"/>
    <cellStyle name="Comma 3 9 6 7" xfId="18487" xr:uid="{4B65614F-60E9-4297-9AAA-DE8E9155AD74}"/>
    <cellStyle name="Comma 3 9 7" xfId="2687" xr:uid="{C70C4DB1-10E2-44DE-A6B9-BBCC930A5FDB}"/>
    <cellStyle name="Comma 3 9 7 2" xfId="6471" xr:uid="{84E2971B-6CB5-423A-8F3D-2C43ED2C5934}"/>
    <cellStyle name="Comma 3 9 7 2 2" xfId="13983" xr:uid="{6AFAD928-E63D-4517-BA7A-46D7F7AA19AF}"/>
    <cellStyle name="Comma 3 9 7 2 2 2" xfId="30187" xr:uid="{A9B383C2-C73D-45EB-B9B2-6AE78E1FAA01}"/>
    <cellStyle name="Comma 3 9 7 2 3" xfId="22675" xr:uid="{2CD092A4-A2AC-4E68-9729-7A1D63779703}"/>
    <cellStyle name="Comma 3 9 7 3" xfId="9041" xr:uid="{2D5ACE59-8E75-431C-8BA7-6767D06E93E7}"/>
    <cellStyle name="Comma 3 9 7 3 2" xfId="16530" xr:uid="{AFA08DC4-31D9-401B-A842-0A368071EF24}"/>
    <cellStyle name="Comma 3 9 7 3 2 2" xfId="32734" xr:uid="{CF908A36-DFAE-4819-B616-223C988A3152}"/>
    <cellStyle name="Comma 3 9 7 3 3" xfId="25245" xr:uid="{43411475-8FE9-48A2-9CF0-997C95607621}"/>
    <cellStyle name="Comma 3 9 7 4" xfId="10383" xr:uid="{8CA8499E-972C-4F15-AA88-39D5E6A64D3C}"/>
    <cellStyle name="Comma 3 9 7 4 2" xfId="26587" xr:uid="{FC170AD7-B2C4-40DF-AFBA-21164A8F1DC8}"/>
    <cellStyle name="Comma 3 9 7 5" xfId="17797" xr:uid="{2C9C5C77-5BB3-4B71-BEA4-1E3FEF2CDC78}"/>
    <cellStyle name="Comma 3 9 7 5 2" xfId="33929" xr:uid="{64A3A124-0667-4B79-8154-00721F82BA28}"/>
    <cellStyle name="Comma 3 9 7 6" xfId="18909" xr:uid="{4EB3813F-CACF-4205-8DCC-CC8F4DCF0BDB}"/>
    <cellStyle name="Comma 3 9 8" xfId="3614" xr:uid="{40EF35D9-AE37-4F35-9D88-12CD43DC3B72}"/>
    <cellStyle name="Comma 3 9 8 2" xfId="7327" xr:uid="{A8FDD53A-FD43-41C7-AB86-D725B6E2CB55}"/>
    <cellStyle name="Comma 3 9 8 2 2" xfId="14836" xr:uid="{9624BCC7-E035-40CE-828A-6E1899499E52}"/>
    <cellStyle name="Comma 3 9 8 2 2 2" xfId="31040" xr:uid="{42C88D82-EB75-454B-9E9D-4DB13781B6DA}"/>
    <cellStyle name="Comma 3 9 8 2 3" xfId="23531" xr:uid="{6BD0F3CC-EE3D-48D3-9925-EE7CF600AABF}"/>
    <cellStyle name="Comma 3 9 8 3" xfId="9174" xr:uid="{6414DA52-0894-424A-B71F-2C73250876D5}"/>
    <cellStyle name="Comma 3 9 8 3 2" xfId="16648" xr:uid="{14583219-775D-435C-AEBD-E63CA5351D9E}"/>
    <cellStyle name="Comma 3 9 8 3 2 2" xfId="32852" xr:uid="{C5A5DEAA-B480-4E62-9E91-CE8FB04FEF73}"/>
    <cellStyle name="Comma 3 9 8 3 3" xfId="25378" xr:uid="{0BC0F4BB-20A1-41D9-A552-24A411481EB4}"/>
    <cellStyle name="Comma 3 9 8 4" xfId="11228" xr:uid="{49568430-FFBF-4AB8-8D32-CFA70470BC38}"/>
    <cellStyle name="Comma 3 9 8 4 2" xfId="27432" xr:uid="{D1DF8292-0BA2-4205-A961-31B657C0E3F1}"/>
    <cellStyle name="Comma 3 9 8 5" xfId="17798" xr:uid="{2C5F530C-A181-45FD-AE13-7800AF3E6F2F}"/>
    <cellStyle name="Comma 3 9 8 5 2" xfId="33930" xr:uid="{5CEC8CC0-8AD7-43C4-B5DA-CA93F5AFAC6E}"/>
    <cellStyle name="Comma 3 9 8 6" xfId="19823" xr:uid="{B77DC6DB-B6D7-46E7-BDB2-4434297F032B}"/>
    <cellStyle name="Comma 3 9 9" xfId="3383" xr:uid="{13DE408E-AFF8-40FE-9F74-342D6888F827}"/>
    <cellStyle name="Comma 3 9 9 2" xfId="5470" xr:uid="{D9EF6D3E-B4C8-4EE8-86C7-D5EB91CA9D33}"/>
    <cellStyle name="Comma 3 9 9 2 2" xfId="21674" xr:uid="{5BA5028D-85EE-44AD-9209-451541BE890C}"/>
    <cellStyle name="Comma 3 9 9 3" xfId="17799" xr:uid="{D45BB848-3B20-4ABC-A998-348E3724AD06}"/>
    <cellStyle name="Comma 3 9 9 3 2" xfId="33931" xr:uid="{BFF75933-526C-4375-80E5-64BFE4B565E7}"/>
    <cellStyle name="Comma 3 9 9 4" xfId="19601" xr:uid="{884414D0-AF1C-44E3-B5F1-F96B1A757544}"/>
    <cellStyle name="Comma 4" xfId="664" xr:uid="{C5DA74C4-A2AB-4E01-9509-15D8AB7AC13F}"/>
    <cellStyle name="Comma 4 2" xfId="2181" xr:uid="{77144076-7DC7-43E7-A39B-283E59EBB0F7}"/>
    <cellStyle name="Comma 4 2 2" xfId="5490" xr:uid="{623400EE-5E64-4C76-8F8D-D8097A3B816F}"/>
    <cellStyle name="Comma 4 2 2 2" xfId="21694" xr:uid="{64792F49-B639-4D2B-92A4-9C809AB8E2F8}"/>
    <cellStyle name="Comma 4 2 3" xfId="17801" xr:uid="{02A8A5AD-05DF-4E8B-A4D5-B40A3B8872E5}"/>
    <cellStyle name="Comma 4 2 3 2" xfId="33933" xr:uid="{9597F158-F90A-4337-9B3A-4CDF22F237D5}"/>
    <cellStyle name="Comma 4 2 4" xfId="18467" xr:uid="{FAF970B0-6C02-4F3C-8556-4176D58C4869}"/>
    <cellStyle name="Comma 4 3" xfId="4918" xr:uid="{C18269E8-A63A-4C01-8FDC-E143A152FFA8}"/>
    <cellStyle name="Comma 4 3 2" xfId="21122" xr:uid="{18EC2AB9-193F-4B6F-AC73-A9394676BD2E}"/>
    <cellStyle name="Comma 4 4" xfId="17800" xr:uid="{B5F711AD-24AD-4821-A3B4-2409152000F7}"/>
    <cellStyle name="Comma 4 4 2" xfId="33932" xr:uid="{617E2976-D778-4835-AB1D-34221AB565A4}"/>
    <cellStyle name="Comma 4 5" xfId="18036" xr:uid="{779830EE-E64E-4921-B857-8E9ABD577BCA}"/>
    <cellStyle name="Comma 5" xfId="1805" xr:uid="{C7B4AE48-6CB4-4AA1-9F99-7CF7ED099F21}"/>
    <cellStyle name="Comma 5 10" xfId="9588" xr:uid="{344EE376-9062-468C-A4B3-86CFF9445B30}"/>
    <cellStyle name="Comma 5 10 2" xfId="25792" xr:uid="{1A4FE128-4354-4595-BB6D-AACCAC160EAD}"/>
    <cellStyle name="Comma 5 11" xfId="17802" xr:uid="{10D26997-42C7-4F21-BAF1-3AD5D63EA039}"/>
    <cellStyle name="Comma 5 11 2" xfId="33934" xr:uid="{23ABBE8C-6651-4F54-B3E4-49BA5ED7E638}"/>
    <cellStyle name="Comma 5 12" xfId="18111" xr:uid="{E227ECF3-8E5D-48C8-91D7-F756DA0F4652}"/>
    <cellStyle name="Comma 5 2" xfId="2315" xr:uid="{1D523C6A-2EBC-4DCB-AFCB-108A228CA880}"/>
    <cellStyle name="Comma 5 2 2" xfId="3162" xr:uid="{6AB74FDC-7600-4634-AE26-94DED374D53F}"/>
    <cellStyle name="Comma 5 2 2 2" xfId="6944" xr:uid="{C07A8551-EDE0-49E4-BF6D-203A7A50D6CB}"/>
    <cellStyle name="Comma 5 2 2 2 2" xfId="14455" xr:uid="{4CD90D88-2394-44F3-B037-C2666895CA82}"/>
    <cellStyle name="Comma 5 2 2 2 2 2" xfId="30659" xr:uid="{2A442332-9A9F-4140-B66D-E7B9D6FCF4DB}"/>
    <cellStyle name="Comma 5 2 2 2 3" xfId="23148" xr:uid="{7F5410F0-3FD4-46F5-A779-C427D6248163}"/>
    <cellStyle name="Comma 5 2 2 3" xfId="9242" xr:uid="{B88228B7-7E8F-4D86-B788-7EEECC45CDEE}"/>
    <cellStyle name="Comma 5 2 2 3 2" xfId="16704" xr:uid="{C0FCA1EA-8464-4EFF-8D99-77D14E08ECC7}"/>
    <cellStyle name="Comma 5 2 2 3 2 2" xfId="32908" xr:uid="{042ECAC1-429B-4BAA-B2D5-CFE92253CDA9}"/>
    <cellStyle name="Comma 5 2 2 3 3" xfId="25446" xr:uid="{78B3EF45-4982-4754-9F5D-6D60869C22D3}"/>
    <cellStyle name="Comma 5 2 2 4" xfId="10855" xr:uid="{62A47518-D203-4FA9-9EE3-C51E61775B8C}"/>
    <cellStyle name="Comma 5 2 2 4 2" xfId="27059" xr:uid="{794DF349-D445-4693-900E-5437E7AD1BAC}"/>
    <cellStyle name="Comma 5 2 2 5" xfId="17804" xr:uid="{48AA3446-AB8C-4BC8-8257-B46BB0895BD2}"/>
    <cellStyle name="Comma 5 2 2 5 2" xfId="33936" xr:uid="{0CE7F6EA-E32C-4D1D-976F-56A20B58FEF4}"/>
    <cellStyle name="Comma 5 2 2 6" xfId="19382" xr:uid="{768F1953-B7E2-4B9D-8408-2CB475C03BC7}"/>
    <cellStyle name="Comma 5 2 3" xfId="6099" xr:uid="{60FB4ABE-B5D8-4BCE-856D-F2281DC38A63}"/>
    <cellStyle name="Comma 5 2 3 2" xfId="13611" xr:uid="{C5C8E02A-D7C8-4264-8E62-709B43FD09F4}"/>
    <cellStyle name="Comma 5 2 3 2 2" xfId="29815" xr:uid="{B9D5B17D-9907-482D-A93B-970AF1F1EAA2}"/>
    <cellStyle name="Comma 5 2 3 3" xfId="22303" xr:uid="{2B582F55-ED94-4D23-B8BC-D995FACE6951}"/>
    <cellStyle name="Comma 5 2 4" xfId="9326" xr:uid="{0BD89E44-75F5-4BDE-8AAB-9855880B3AC9}"/>
    <cellStyle name="Comma 5 2 4 2" xfId="16771" xr:uid="{B690DB5F-3846-4DF2-96DB-FC72C33E73BA}"/>
    <cellStyle name="Comma 5 2 4 2 2" xfId="32975" xr:uid="{D393A8C0-2197-4A72-B506-CC54EFE57270}"/>
    <cellStyle name="Comma 5 2 4 3" xfId="25530" xr:uid="{B94162A9-2BBA-4A1C-802A-142E62FFBFC4}"/>
    <cellStyle name="Comma 5 2 5" xfId="10011" xr:uid="{1402656A-1D33-4E8C-8365-3FCDC15E66C2}"/>
    <cellStyle name="Comma 5 2 5 2" xfId="26215" xr:uid="{A3808A1B-278A-4D3C-93A4-6A6305AF9A70}"/>
    <cellStyle name="Comma 5 2 6" xfId="17803" xr:uid="{9765CF9B-4A62-4B92-AA9C-2C0708777B04}"/>
    <cellStyle name="Comma 5 2 6 2" xfId="33935" xr:uid="{77FB801B-E5B1-486B-8636-BD5BA9A758BC}"/>
    <cellStyle name="Comma 5 2 7" xfId="18537" xr:uid="{E99BA590-502D-43D6-8506-8F605956976E}"/>
    <cellStyle name="Comma 5 3" xfId="2737" xr:uid="{1376FD0B-5835-487B-9E76-E7CA79D4C4B8}"/>
    <cellStyle name="Comma 5 3 2" xfId="6521" xr:uid="{9A7A6740-B123-4EBB-ABC1-7C889015752B}"/>
    <cellStyle name="Comma 5 3 2 2" xfId="14033" xr:uid="{F07EE66C-970E-426D-80F2-DE6827380348}"/>
    <cellStyle name="Comma 5 3 2 2 2" xfId="30237" xr:uid="{019BD0F9-E587-4C56-848E-9B54B1954AB5}"/>
    <cellStyle name="Comma 5 3 2 3" xfId="22725" xr:uid="{AD412AC1-E132-49C4-B943-EEDA2C48A527}"/>
    <cellStyle name="Comma 5 3 3" xfId="9130" xr:uid="{CB23CF4F-D9F9-4BFA-92B6-2D6F32C1D4F0}"/>
    <cellStyle name="Comma 5 3 3 2" xfId="16608" xr:uid="{D954AD24-866B-4A29-8341-4C35C430DCE8}"/>
    <cellStyle name="Comma 5 3 3 2 2" xfId="32812" xr:uid="{C70F9BF5-6A4E-4F95-A342-DD51028FE034}"/>
    <cellStyle name="Comma 5 3 3 3" xfId="25334" xr:uid="{68AE396D-FA6B-44D8-9F82-1F44AD916C34}"/>
    <cellStyle name="Comma 5 3 4" xfId="10433" xr:uid="{B40B64ED-DC74-4440-B840-230809167143}"/>
    <cellStyle name="Comma 5 3 4 2" xfId="26637" xr:uid="{8AAC0719-3915-4C91-AC25-62AF0D013A75}"/>
    <cellStyle name="Comma 5 3 5" xfId="17805" xr:uid="{3D031D00-0911-46AE-B06C-2A40347ED681}"/>
    <cellStyle name="Comma 5 3 5 2" xfId="33937" xr:uid="{837A6740-15DB-4927-B747-401A00DD9FCF}"/>
    <cellStyle name="Comma 5 3 6" xfId="18959" xr:uid="{38532F96-D400-400C-B29B-877CE02AE3F0}"/>
    <cellStyle name="Comma 5 4" xfId="3668" xr:uid="{1E446BF2-0763-49A0-9E86-7438473FF236}"/>
    <cellStyle name="Comma 5 4 2" xfId="7378" xr:uid="{BF3DC542-E5D7-4A6B-93E9-F75E545639B6}"/>
    <cellStyle name="Comma 5 4 2 2" xfId="14887" xr:uid="{1C5DC089-99AD-4351-8CF9-0C429E591C30}"/>
    <cellStyle name="Comma 5 4 2 2 2" xfId="31091" xr:uid="{BDF3BAB5-8BB7-4FDD-8A7D-36A4987E7DE0}"/>
    <cellStyle name="Comma 5 4 2 3" xfId="23582" xr:uid="{C2A0C78B-EF26-42A6-B760-F6A90A4E23C2}"/>
    <cellStyle name="Comma 5 4 3" xfId="9348" xr:uid="{F3B6C067-8F44-4823-B1EB-332B5C65A298}"/>
    <cellStyle name="Comma 5 4 3 2" xfId="16791" xr:uid="{61366071-B04C-4440-ACE1-138BFD7DB846}"/>
    <cellStyle name="Comma 5 4 3 2 2" xfId="32995" xr:uid="{BF8789A5-9EF7-4827-ABF5-C77A47175616}"/>
    <cellStyle name="Comma 5 4 3 3" xfId="25552" xr:uid="{38DE1DB8-EBE9-496E-B290-24C0454816B7}"/>
    <cellStyle name="Comma 5 4 4" xfId="11278" xr:uid="{E79624CB-509F-4FCF-B846-C0F65E9B4CD5}"/>
    <cellStyle name="Comma 5 4 4 2" xfId="27482" xr:uid="{7F158878-9542-4783-8811-3C4609502FE5}"/>
    <cellStyle name="Comma 5 4 5" xfId="17806" xr:uid="{D1A57CE2-E333-4DAD-A4A4-986D52292FCA}"/>
    <cellStyle name="Comma 5 4 5 2" xfId="33938" xr:uid="{D6704FA2-FC7E-467D-A15B-192431813821}"/>
    <cellStyle name="Comma 5 4 6" xfId="19877" xr:uid="{AF656F57-3297-4B18-9B25-EB8FFE145871}"/>
    <cellStyle name="Comma 5 5" xfId="3574" xr:uid="{C818F142-244E-4AE8-A945-4AD5C86568C6}"/>
    <cellStyle name="Comma 5 5 2" xfId="9220" xr:uid="{731F168C-7E05-4C30-81D9-82C57324AC74}"/>
    <cellStyle name="Comma 5 5 2 2" xfId="25424" xr:uid="{7BF814C0-9EDC-4DD2-A2AB-658020479882}"/>
    <cellStyle name="Comma 5 5 3" xfId="17807" xr:uid="{00EB66FC-8367-4F60-B8EF-B0743C35ABA0}"/>
    <cellStyle name="Comma 5 5 3 2" xfId="33939" xr:uid="{08429659-FF4A-4601-B8F1-80E0C0ABBF00}"/>
    <cellStyle name="Comma 5 5 4" xfId="19786" xr:uid="{05A8AFFC-C532-4350-9297-22BB65F57D61}"/>
    <cellStyle name="Comma 5 6" xfId="4137" xr:uid="{99128F6A-79A2-4322-AE3C-0257D5DC039A}"/>
    <cellStyle name="Comma 5 6 2" xfId="7807" xr:uid="{2C40747E-CDEF-40BB-8A50-7F0F20669733}"/>
    <cellStyle name="Comma 5 6 2 2" xfId="15314" xr:uid="{EF832DEA-128C-4F3D-96A6-2C39AA185C0C}"/>
    <cellStyle name="Comma 5 6 2 2 2" xfId="31518" xr:uid="{CC6D9262-8046-479F-9122-A91E2D8C34EC}"/>
    <cellStyle name="Comma 5 6 2 3" xfId="24011" xr:uid="{0680B2DB-0B7B-4BF6-B3C1-B23B77D103CC}"/>
    <cellStyle name="Comma 5 6 3" xfId="8906" xr:uid="{2A6F3634-7F90-4C64-8708-DF7B23A3E006}"/>
    <cellStyle name="Comma 5 6 3 2" xfId="16409" xr:uid="{3DF22F16-45DB-4595-A3F4-85F326826945}"/>
    <cellStyle name="Comma 5 6 3 2 2" xfId="32613" xr:uid="{4EA73AF7-852B-4267-AA26-6870F699FB49}"/>
    <cellStyle name="Comma 5 6 3 3" xfId="25110" xr:uid="{1D793569-0E51-4C6B-9692-503768C73064}"/>
    <cellStyle name="Comma 5 6 4" xfId="11700" xr:uid="{7E5BF7F2-56D9-4CA1-8470-F0EC48A6295A}"/>
    <cellStyle name="Comma 5 6 4 2" xfId="27904" xr:uid="{0F605670-C1FD-459F-B45B-3903B2E9B10C}"/>
    <cellStyle name="Comma 5 6 5" xfId="17808" xr:uid="{FC792DC1-F411-432F-B84B-AA211A4704C8}"/>
    <cellStyle name="Comma 5 6 5 2" xfId="33940" xr:uid="{31C58025-E937-49A7-B8C9-CCBB06BE814C}"/>
    <cellStyle name="Comma 5 6 6" xfId="20341" xr:uid="{232F0705-79CC-44F9-80AA-33717857BD56}"/>
    <cellStyle name="Comma 5 7" xfId="4562" xr:uid="{F6098BB6-B1F2-4E88-B1F8-D0EB53BE8963}"/>
    <cellStyle name="Comma 5 7 2" xfId="8232" xr:uid="{DA23AED1-AACB-4BAB-9BFD-184042DBA400}"/>
    <cellStyle name="Comma 5 7 2 2" xfId="15739" xr:uid="{873B8E53-CC6E-4724-B860-951BBDAAC8A3}"/>
    <cellStyle name="Comma 5 7 2 2 2" xfId="31943" xr:uid="{ADB6371A-DD37-4DC0-907F-85DD2FDE891E}"/>
    <cellStyle name="Comma 5 7 2 3" xfId="24436" xr:uid="{189591A7-4D60-4514-B68B-A06D24CAF9E1}"/>
    <cellStyle name="Comma 5 7 3" xfId="5458" xr:uid="{44F943E5-C321-4724-AF44-B023FAE39348}"/>
    <cellStyle name="Comma 5 7 3 2" xfId="13000" xr:uid="{EB84EABD-92D7-479C-9E04-E80583424CB8}"/>
    <cellStyle name="Comma 5 7 3 2 2" xfId="29204" xr:uid="{2B79C37D-2B3A-4FAC-8054-3205DC55DD5A}"/>
    <cellStyle name="Comma 5 7 3 3" xfId="21662" xr:uid="{2FE8AEBC-0D81-48BB-A7C1-5DCB13DE28A7}"/>
    <cellStyle name="Comma 5 7 4" xfId="12125" xr:uid="{A0977F92-3577-4E56-9EE0-388B661CBA7A}"/>
    <cellStyle name="Comma 5 7 4 2" xfId="28329" xr:uid="{FCF41789-F5C3-42EF-8EE1-625F7FD909E3}"/>
    <cellStyle name="Comma 5 7 5" xfId="17809" xr:uid="{B752DF4C-1D7B-41AC-8701-9AED9BF57D38}"/>
    <cellStyle name="Comma 5 7 5 2" xfId="33941" xr:uid="{FBECDB28-49B4-4422-9AAE-57EA68632220}"/>
    <cellStyle name="Comma 5 7 6" xfId="20766" xr:uid="{DE82DBDB-3D59-450D-A3FD-2BDAC60649C9}"/>
    <cellStyle name="Comma 5 8" xfId="4989" xr:uid="{02715084-0BA7-40AD-9A1E-C2432D49FCF3}"/>
    <cellStyle name="Comma 5 8 2" xfId="8655" xr:uid="{91AF551E-1FCA-474E-87CF-DA596160CA06}"/>
    <cellStyle name="Comma 5 8 2 2" xfId="16162" xr:uid="{E2DF1922-55CC-4CCD-85E3-59F4B5E61164}"/>
    <cellStyle name="Comma 5 8 2 2 2" xfId="32366" xr:uid="{7A558CA0-8B2F-4572-969C-9A92E479130B}"/>
    <cellStyle name="Comma 5 8 2 3" xfId="24859" xr:uid="{6DF902DF-F94B-4FBE-8D58-373EB6974F3E}"/>
    <cellStyle name="Comma 5 8 3" xfId="12547" xr:uid="{D2A7BC9E-7574-44D2-AAF0-9F388E4B92AD}"/>
    <cellStyle name="Comma 5 8 3 2" xfId="28751" xr:uid="{9B146C69-331E-477F-AAD5-24A3246D1D21}"/>
    <cellStyle name="Comma 5 8 4" xfId="21193" xr:uid="{D3EFD22E-FDFA-4E77-9B73-4241F41A18CB}"/>
    <cellStyle name="Comma 5 9" xfId="5661" xr:uid="{6692E148-F071-4807-A12F-4524BAA142CA}"/>
    <cellStyle name="Comma 5 9 2" xfId="13176" xr:uid="{D52DB29B-9294-4035-8B12-48550CA76DDE}"/>
    <cellStyle name="Comma 5 9 2 2" xfId="29380" xr:uid="{064A3A3E-882F-47C8-BCCA-BCE723173C99}"/>
    <cellStyle name="Comma 5 9 3" xfId="21865" xr:uid="{805D073F-BDF7-46AF-B2DF-5CCCFF3ABC34}"/>
    <cellStyle name="Comma 6" xfId="16866" xr:uid="{51F5107C-4595-4078-B22A-EB4CA98EAEDD}"/>
    <cellStyle name="Comma 6 2" xfId="33027" xr:uid="{DFB72203-C419-40F5-A7A6-65AA24233F2B}"/>
    <cellStyle name="Comma 7" xfId="16867" xr:uid="{D4CC518F-02EC-4801-BD91-25E0DA19A427}"/>
    <cellStyle name="Comma 7 2" xfId="33028" xr:uid="{E526F298-C6FA-4699-A057-2CA49DC8A9B1}"/>
    <cellStyle name="Comma 8" xfId="16868" xr:uid="{AB919F06-A593-470D-B976-131437E2417A}"/>
    <cellStyle name="Comma 8 2" xfId="33029" xr:uid="{0FF18A5E-DF5C-4EDA-A852-40A33B2669D4}"/>
    <cellStyle name="Comma 9" xfId="16869" xr:uid="{63AF4CF4-3DCE-4818-BE56-48321D911D48}"/>
    <cellStyle name="Comma 9 2" xfId="33030" xr:uid="{F10D8542-1E86-4AEC-9E59-3F674EB3C3D6}"/>
    <cellStyle name="COMMENTS" xfId="274" xr:uid="{48670766-2C33-4B7A-BBDF-890E27AC1D68}"/>
    <cellStyle name="COMMENTS 2" xfId="1060" xr:uid="{BAA5E5CC-E9B1-4BAB-9A66-BB0DC881E4B7}"/>
    <cellStyle name="COMMENTS 3" xfId="1119" xr:uid="{126FB3E2-9AC1-41A1-9E28-2E18C2ACA1FE}"/>
    <cellStyle name="COMMENTS 4" xfId="747" xr:uid="{C28C248E-2A23-4945-B7A0-C2028AC3E0DA}"/>
    <cellStyle name="Currency 2" xfId="14" xr:uid="{F2138B6E-5A5F-4B65-BE5B-2DCC11C194A9}"/>
    <cellStyle name="Currency 2 2" xfId="3379" xr:uid="{F592F6EB-1882-4521-91F0-1D1A94014540}"/>
    <cellStyle name="Currency 2 2 2" xfId="9149" xr:uid="{E97584D5-B839-4306-911A-B35DD1D4DCA2}"/>
    <cellStyle name="Currency 2 2 2 2" xfId="25353" xr:uid="{214D16A2-F0B5-4EB1-B14C-0A342DD5391B}"/>
    <cellStyle name="Currency 2 2 3" xfId="17811" xr:uid="{84B1C2D0-B5D8-405C-8338-87E4543235E3}"/>
    <cellStyle name="Currency 2 2 3 2" xfId="33943" xr:uid="{5A23CEDA-7B5B-42E8-9313-599FCA25E6EC}"/>
    <cellStyle name="Currency 2 2 4" xfId="19598" xr:uid="{7499FE36-0662-442A-A1D4-E24EA17B2C6A}"/>
    <cellStyle name="Currency 2 3" xfId="2955" xr:uid="{593305B2-8C96-47C3-8851-29E33CD2BF6A}"/>
    <cellStyle name="Currency 2 3 2" xfId="7167" xr:uid="{75A66E18-4C8E-4231-B830-25C609505E7C}"/>
    <cellStyle name="Currency 2 3 2 2" xfId="23371" xr:uid="{6A66FEB7-D9F0-4F93-91D6-C7751F5BE258}"/>
    <cellStyle name="Currency 2 3 3" xfId="17812" xr:uid="{EFD94915-64D8-4CDE-8F87-91DA602C6E10}"/>
    <cellStyle name="Currency 2 3 3 2" xfId="33944" xr:uid="{D586C20F-69BD-476B-A606-42B71FCA5357}"/>
    <cellStyle name="Currency 2 3 4" xfId="19175" xr:uid="{AB0BDCDF-AD15-4791-B855-F8D3496DE698}"/>
    <cellStyle name="Currency 2 4" xfId="5206" xr:uid="{07BE3265-3777-48EB-B524-DF747DD1A745}"/>
    <cellStyle name="Currency 2 4 2" xfId="21410" xr:uid="{7E2B69AE-1070-4A82-B0C4-CB2E90135E67}"/>
    <cellStyle name="Currency 2 5" xfId="2039" xr:uid="{F0E6B794-8B46-454C-B5F1-6C428A99314A}"/>
    <cellStyle name="Currency 2 5 2" xfId="18328" xr:uid="{44417C04-1F97-4B89-A47A-424EB3709C9C}"/>
    <cellStyle name="Currency 2 6" xfId="17810" xr:uid="{8472B781-686A-436C-B71B-45A7375BB796}"/>
    <cellStyle name="Currency 2 6 2" xfId="33942" xr:uid="{1DDE7912-81FA-414B-ACF7-F2E6F8907E0A}"/>
    <cellStyle name="Currency 2 7" xfId="17892" xr:uid="{C9422314-8084-4878-878C-F4B3AD1FD9ED}"/>
    <cellStyle name="Currency1" xfId="275" xr:uid="{FFAE3861-2ECD-41B1-BCD6-1B059A7144C1}"/>
    <cellStyle name="Currency1 2" xfId="1025" xr:uid="{C7FD07D2-3BE9-4BC4-9D8C-08FCAF69B3FA}"/>
    <cellStyle name="Currency1 2 2" xfId="1158" xr:uid="{ED74BFCA-4509-4182-B98A-15EC2E0F3CB1}"/>
    <cellStyle name="Currency1 2 2 2" xfId="18049" xr:uid="{DE86C63A-B763-4EC5-A872-9BB04151737E}"/>
    <cellStyle name="Currency1 2 3" xfId="18044" xr:uid="{08EF9E27-57FE-4ECC-ABB9-E3795A2BD60C}"/>
    <cellStyle name="Currency1 3" xfId="1148" xr:uid="{0A3FC500-BA36-4864-8708-362FFC8F99D3}"/>
    <cellStyle name="Currency1 3 2" xfId="1576" xr:uid="{1DBC9F2E-8FAA-4B36-BA89-B56EB989DB9B}"/>
    <cellStyle name="Currency1 3 2 2" xfId="18051" xr:uid="{4333114E-C9B6-4105-8399-3E3D6E131CD3}"/>
    <cellStyle name="Currency1 3 3" xfId="18046" xr:uid="{3CDC7340-B094-4E00-94B1-CC9737002FB4}"/>
    <cellStyle name="Currency1 4" xfId="17894" xr:uid="{28465C8E-A13C-4349-AB7E-327B03C4E0E2}"/>
    <cellStyle name="Data Input" xfId="276" xr:uid="{7F08979E-3932-4A35-8AF1-A437AC7623A3}"/>
    <cellStyle name="Data Input 2" xfId="386" xr:uid="{0EC8E891-172F-4F53-9EA1-EF4CD8D2F431}"/>
    <cellStyle name="Data Input 2 2" xfId="1159" xr:uid="{34D1DF9B-2E6A-4987-A12F-556301212135}"/>
    <cellStyle name="Data Input 2 3" xfId="1026" xr:uid="{99E790E3-4660-4873-AF09-BF6822B02ADC}"/>
    <cellStyle name="Data Input 3" xfId="370" xr:uid="{B8E4C1D6-C756-4642-825E-A45C018064A2}"/>
    <cellStyle name="Data Input 3 2" xfId="1575" xr:uid="{CE4E1043-171E-4F4D-96D0-73E1A368D041}"/>
    <cellStyle name="Data Input 3 3" xfId="1147" xr:uid="{6641EC19-F07E-40F7-8864-D1E6502C606C}"/>
    <cellStyle name="Data Input 4" xfId="612" xr:uid="{BE08ABF2-F506-4EA7-92A0-C49D0EA06A28}"/>
    <cellStyle name="Data Input 4 2" xfId="1611" xr:uid="{2FCFA1E0-8AF4-409D-B179-FDEBD7360381}"/>
    <cellStyle name="Depreciation" xfId="277" xr:uid="{6BD7C742-191F-46C3-8801-4B38A73D9EAA}"/>
    <cellStyle name="Euro" xfId="278" xr:uid="{697CD072-E9D5-4A4E-ADE8-A793838123C8}"/>
    <cellStyle name="Euro 2" xfId="387" xr:uid="{BBE135B7-34A1-47B9-8F68-A3C2331B6353}"/>
    <cellStyle name="Euro 2 2" xfId="1161" xr:uid="{DFAC2D66-5FEA-4E8B-BD4F-4FC37E75B66A}"/>
    <cellStyle name="Euro 2 3" xfId="1027" xr:uid="{3A005E16-3F0A-46B2-A54D-57641AB7831A}"/>
    <cellStyle name="Euro 3" xfId="371" xr:uid="{5366E43E-9CCB-47A4-A1E5-660E8A01664D}"/>
    <cellStyle name="Euro 3 2" xfId="1160" xr:uid="{3C190FD4-3B04-4895-B614-A73313E42476}"/>
    <cellStyle name="Euro 4" xfId="613" xr:uid="{439597CC-1906-4316-8B75-64DD3EDE6AE4}"/>
    <cellStyle name="Euro 4 2" xfId="1574" xr:uid="{2306CE20-8681-4E11-AA55-71929EEE93EE}"/>
    <cellStyle name="Explanatory Text 2" xfId="429" xr:uid="{6605309A-7A2E-4AF1-8F42-B3F78E4EFA6C}"/>
    <cellStyle name="Explanatory Text 2 2" xfId="1028" xr:uid="{56BACB0E-87FF-46D3-BD4C-D763668783CF}"/>
    <cellStyle name="Explanatory Text 3" xfId="463" xr:uid="{07EEBF88-B0A0-4D87-BBC8-DFEE7EC01501}"/>
    <cellStyle name="Explanatory Text 3 2" xfId="1504" xr:uid="{4D9C7C3F-E720-4E18-BBBC-7E3B6FF83FEA}"/>
    <cellStyle name="Explanatory Text 4" xfId="745" xr:uid="{AF8865EE-5B01-439E-951B-D25E0C1D8B59}"/>
    <cellStyle name="Explanatory Text 5" xfId="279" xr:uid="{82DDB797-E93A-4C49-9317-C8C635F5B8F5}"/>
    <cellStyle name="Explanatory Text 6" xfId="16840" xr:uid="{9BD09FBA-AB5F-462C-9670-7873D409C8EB}"/>
    <cellStyle name="Fill" xfId="280" xr:uid="{8B1F1E1B-AE2F-4051-AECC-A876ED6EFA4A}"/>
    <cellStyle name="Fill 2" xfId="1029" xr:uid="{DB54913F-2B59-432D-BB0E-1586F1CF11AD}"/>
    <cellStyle name="Fill 2 2" xfId="1162" xr:uid="{5A63D0E5-E91A-4A28-822E-71BE1BDE3A3D}"/>
    <cellStyle name="Fill 3" xfId="1145" xr:uid="{8A4EA81F-C7E1-4C20-97BC-52F94C3829D4}"/>
    <cellStyle name="Fill 3 2" xfId="1573" xr:uid="{78076C1C-DA85-404C-85F7-B0DA5CD7E513}"/>
    <cellStyle name="Final" xfId="281" xr:uid="{C90F6521-7682-42E7-9451-CE27DACF0E9B}"/>
    <cellStyle name="Final 2" xfId="1061" xr:uid="{BDE1E1E1-4483-4C9C-A47A-D9851E63D94A}"/>
    <cellStyle name="Final 3" xfId="1120" xr:uid="{3217CDE4-B210-45EF-B2C3-981115387E3D}"/>
    <cellStyle name="Final 4" xfId="744" xr:uid="{F5DBE62C-90EE-4F92-B6E1-A76061E0906F}"/>
    <cellStyle name="Good 2" xfId="430" xr:uid="{8F8C5202-4530-4DB0-A331-00EF3D89C9A8}"/>
    <cellStyle name="Good 2 2" xfId="1030" xr:uid="{6DA5BBEE-BFF3-4460-8F71-038EFBF6E659}"/>
    <cellStyle name="Good 3" xfId="453" xr:uid="{830D1DDA-6A2D-4CAC-A138-80B88EE0B264}"/>
    <cellStyle name="Good 3 2" xfId="1505" xr:uid="{E3BCF82D-DB5E-47BE-A885-BBA826BC4436}"/>
    <cellStyle name="Good 4" xfId="743" xr:uid="{F8921D9D-91A6-4DD0-BE21-C25E0FC88931}"/>
    <cellStyle name="Good 5" xfId="282" xr:uid="{4C3BBCAB-54A8-4CE5-997D-140CD8D7A26B}"/>
    <cellStyle name="Good 6" xfId="16830" xr:uid="{59F14BB5-4F1F-40DE-9069-EBE22B2BB077}"/>
    <cellStyle name="GROUPHEADING" xfId="283" xr:uid="{F0654C16-3821-4E3F-A045-A332700E0710}"/>
    <cellStyle name="GROUPHEADING 2" xfId="1062" xr:uid="{298146FD-22F3-44AE-8442-7B33CC95D300}"/>
    <cellStyle name="GROUPHEADING 3" xfId="1121" xr:uid="{F9ACD78D-D5B1-41D7-A15F-7A4EB6F6156F}"/>
    <cellStyle name="GROUPHEADING 4" xfId="742" xr:uid="{0C37AE35-7D96-480E-B4B0-DD624CFBAC7E}"/>
    <cellStyle name="gutter" xfId="284" xr:uid="{C3DF69D8-37A9-4915-9651-564F0739B66E}"/>
    <cellStyle name="heading" xfId="285" xr:uid="{3E787537-C326-4872-8979-DC561E51C6F3}"/>
    <cellStyle name="Heading 1 2" xfId="431" xr:uid="{A22C185C-5FBB-4E9C-B17E-FF4C0B705999}"/>
    <cellStyle name="Heading 1 2 2" xfId="1031" xr:uid="{F149AF54-64E8-499E-9EE2-80400364EF69}"/>
    <cellStyle name="Heading 1 3" xfId="449" xr:uid="{E8382739-E84C-468C-A3CC-160F26C79FC1}"/>
    <cellStyle name="Heading 1 3 2" xfId="1508" xr:uid="{84DEEBE4-CF5D-449B-8606-8C08C2DD1FAC}"/>
    <cellStyle name="Heading 1 4" xfId="740" xr:uid="{9F2F36BC-EB31-48F5-9F79-A7368EDF2F6A}"/>
    <cellStyle name="Heading 1 5" xfId="286" xr:uid="{E613DD62-1921-4969-B898-AD2D86F583D9}"/>
    <cellStyle name="Heading 1 6" xfId="16826" xr:uid="{64332FF0-9DE8-48C3-B908-1107DE249A4E}"/>
    <cellStyle name="heading 10" xfId="1090" xr:uid="{96D24299-FD5F-4772-9BBA-2CD5A125EC01}"/>
    <cellStyle name="heading 11" xfId="1087" xr:uid="{AB76D91D-1C2E-420A-B42B-BDE8357D686F}"/>
    <cellStyle name="heading 12" xfId="1097" xr:uid="{C3FCEBEE-4AFF-4E95-86BC-1174DE706CFF}"/>
    <cellStyle name="heading 13" xfId="1103" xr:uid="{F859B4AC-4F82-4BA7-9277-999C4C9664FD}"/>
    <cellStyle name="heading 14" xfId="1096" xr:uid="{7CCD0031-929E-40BC-8039-5C3CC89883EE}"/>
    <cellStyle name="heading 15" xfId="1104" xr:uid="{4918A827-7B3F-4FB8-BD2B-AF84DF9B8D5D}"/>
    <cellStyle name="heading 16" xfId="1095" xr:uid="{63B29F0F-2D9A-4941-8BA9-B6961E2BAF67}"/>
    <cellStyle name="heading 17" xfId="1101" xr:uid="{2DA36294-8ED2-4A90-8A36-D570532AC930}"/>
    <cellStyle name="heading 18" xfId="1093" xr:uid="{427A44A6-8453-4C95-91EA-323D3EC220BC}"/>
    <cellStyle name="heading 19" xfId="1102" xr:uid="{E4539EEC-1188-402A-A694-E23939A69113}"/>
    <cellStyle name="Heading 2 2" xfId="432" xr:uid="{8740C0F2-D796-470D-B89B-BBE83F94CF87}"/>
    <cellStyle name="Heading 2 2 2" xfId="1032" xr:uid="{6631D9A5-6236-4C56-8815-64DA61482C24}"/>
    <cellStyle name="Heading 2 3" xfId="450" xr:uid="{4CB4596E-1C3F-447E-8B42-B59A2A17FE9C}"/>
    <cellStyle name="Heading 2 3 2" xfId="1509" xr:uid="{18F13392-AB65-4948-8F70-8BBCAC37E920}"/>
    <cellStyle name="Heading 2 4" xfId="739" xr:uid="{4622F411-827C-42BE-A89D-7B0810F8C924}"/>
    <cellStyle name="Heading 2 5" xfId="287" xr:uid="{191658B3-B880-4A61-8DF0-0B52FF88EB3B}"/>
    <cellStyle name="Heading 2 6" xfId="16827" xr:uid="{82B1230B-BB92-4339-B046-9FFFFF22928F}"/>
    <cellStyle name="heading 20" xfId="1092" xr:uid="{35C99016-BA4B-44C2-A92F-554381A95BDE}"/>
    <cellStyle name="heading 21" xfId="1094" xr:uid="{7CA5D3C4-C94F-42C6-B1AC-B669A8A5C315}"/>
    <cellStyle name="heading 22" xfId="1105" xr:uid="{E625F833-EA2D-4995-82E7-11D6492E1CAB}"/>
    <cellStyle name="heading 23" xfId="1122" xr:uid="{788A021D-A044-4927-919A-C89A45AF5279}"/>
    <cellStyle name="heading 24" xfId="1129" xr:uid="{BDFC887F-8886-4D56-9EAE-EB23E61DC131}"/>
    <cellStyle name="heading 25" xfId="1507" xr:uid="{3C7F7A25-2A4A-4040-8617-0042297F926D}"/>
    <cellStyle name="heading 26" xfId="1547" xr:uid="{AB30EBAC-105A-4D76-A61E-DF1C134BD0CC}"/>
    <cellStyle name="heading 27" xfId="741" xr:uid="{EDBD8D57-C67D-41E7-AC44-8A41A0402082}"/>
    <cellStyle name="heading 28" xfId="1630" xr:uid="{7D410D0A-4CD6-49EF-89C0-721F7475B53F}"/>
    <cellStyle name="heading 29" xfId="1632" xr:uid="{EC80A076-93CA-4EF1-9E5C-305CC8DBEBFF}"/>
    <cellStyle name="Heading 3 2" xfId="433" xr:uid="{B9022CA8-FC60-43F7-92F5-FAF36344F269}"/>
    <cellStyle name="Heading 3 2 2" xfId="1033" xr:uid="{2A2DC473-BB82-4EEC-A3CD-691E59B5131F}"/>
    <cellStyle name="Heading 3 3" xfId="451" xr:uid="{14B48436-CBAD-45CC-897B-28269F8E2B98}"/>
    <cellStyle name="Heading 3 3 2" xfId="1510" xr:uid="{1A5EA22D-DF63-4655-8AB9-C425DC699A0E}"/>
    <cellStyle name="Heading 3 4" xfId="738" xr:uid="{AA9801F6-E13D-4120-9B6E-6C0289910C54}"/>
    <cellStyle name="Heading 3 5" xfId="288" xr:uid="{54627979-EA9B-4C11-99AA-865619762CC6}"/>
    <cellStyle name="Heading 3 6" xfId="16828" xr:uid="{8F958124-97D2-45DB-A099-A8B5C0B412EB}"/>
    <cellStyle name="heading 30" xfId="1659" xr:uid="{D49570EF-5DA3-459B-8E29-726AAF85B198}"/>
    <cellStyle name="heading 31" xfId="1626" xr:uid="{E88B1889-BEA9-4B1A-961E-67D0CB16C012}"/>
    <cellStyle name="heading 32" xfId="1634" xr:uid="{FF9D7AD9-8E2E-4A7F-AC92-1D9F2B01D251}"/>
    <cellStyle name="heading 33" xfId="1667" xr:uid="{2665E3E9-11E7-485B-A031-1B4E1E3ECCA0}"/>
    <cellStyle name="heading 34" xfId="1646" xr:uid="{AFAFA6C7-67A2-4A77-861B-63BD3A692BAD}"/>
    <cellStyle name="heading 35" xfId="1651" xr:uid="{B6F19888-9445-4117-8AC5-E6639230430A}"/>
    <cellStyle name="heading 36" xfId="1663" xr:uid="{37B5AC65-6E95-4B77-B04E-A59B7644AF35}"/>
    <cellStyle name="heading 37" xfId="1716" xr:uid="{FDC07802-6CE5-4192-B3B7-B420389A292B}"/>
    <cellStyle name="heading 38" xfId="1627" xr:uid="{8BD3CA9D-E599-4577-B613-01B1F05CB13E}"/>
    <cellStyle name="heading 39" xfId="1674" xr:uid="{3C3D14F8-69D8-4E86-81A4-DC63E9293A0F}"/>
    <cellStyle name="Heading 4 2" xfId="434" xr:uid="{5EF382EC-236F-434E-9EAC-A2AA2981D2FF}"/>
    <cellStyle name="Heading 4 2 2" xfId="1034" xr:uid="{DA7C6663-B53E-430C-9514-673C078EBECC}"/>
    <cellStyle name="Heading 4 3" xfId="452" xr:uid="{0AA565A9-6D32-424C-A03E-EE1004A11D04}"/>
    <cellStyle name="Heading 4 3 2" xfId="1511" xr:uid="{476B39F2-1DB0-47EB-9276-E24FF1E11B37}"/>
    <cellStyle name="Heading 4 4" xfId="737" xr:uid="{22773FC9-1C12-43D0-A0C6-5C8DFDEFE585}"/>
    <cellStyle name="Heading 4 5" xfId="289" xr:uid="{87CD3BC4-2966-4932-999A-78730729CFAE}"/>
    <cellStyle name="Heading 4 6" xfId="16829" xr:uid="{1DB6EAE4-B1E3-44C1-9E47-035A2E46DC65}"/>
    <cellStyle name="heading 40" xfId="1727" xr:uid="{DD490420-35AC-42F4-8033-8278EDF2446F}"/>
    <cellStyle name="heading 41" xfId="1693" xr:uid="{B5C9B68C-5105-4227-B66C-9C60B4668F07}"/>
    <cellStyle name="heading 42" xfId="1707" xr:uid="{E2EBC0D8-7BCD-41EE-99DA-9E085CB1D172}"/>
    <cellStyle name="heading 43" xfId="1648" xr:uid="{DB212191-23A9-4A40-A4E0-668BC1B12177}"/>
    <cellStyle name="heading 44" xfId="1687" xr:uid="{47E76695-E99B-4FC5-ABB8-6DF3E3865447}"/>
    <cellStyle name="heading 45" xfId="1710" xr:uid="{3DAD3D77-B8FF-432B-B251-788C14B5A040}"/>
    <cellStyle name="heading 46" xfId="1699" xr:uid="{00E3D49E-53C3-4DA3-8882-8D231AF59D02}"/>
    <cellStyle name="heading 47" xfId="1704" xr:uid="{046E7E19-88FB-4246-BF94-39EF19151F64}"/>
    <cellStyle name="heading 48" xfId="746" xr:uid="{290C727F-E6C1-42E2-9920-DC8BB5AB1786}"/>
    <cellStyle name="heading 49" xfId="1721" xr:uid="{DBD18D62-8092-4193-9ADA-E276A368A4B0}"/>
    <cellStyle name="heading 5" xfId="1063" xr:uid="{8819DC5C-EF4D-4545-B8AC-AA22ACEC8E18}"/>
    <cellStyle name="heading 50" xfId="1668" xr:uid="{FCBDD900-0BC8-41E5-976D-0F6547973515}"/>
    <cellStyle name="heading 51" xfId="1725" xr:uid="{19FFD046-7573-4B77-A807-3FE87EF04DD8}"/>
    <cellStyle name="heading 52" xfId="1628" xr:uid="{4A7EA229-6AF5-423B-B530-71D76DECEE5B}"/>
    <cellStyle name="heading 53" xfId="1675" xr:uid="{9C2565AB-87E7-48D9-A731-BCE4CF4DD2C7}"/>
    <cellStyle name="heading 54" xfId="1683" xr:uid="{D5F50C88-29ED-4E42-B273-354068602BE8}"/>
    <cellStyle name="heading 55" xfId="1712" xr:uid="{7748B49D-1A71-4C94-938B-94F6E284A9DD}"/>
    <cellStyle name="heading 56" xfId="1644" xr:uid="{FDD501A0-B2DE-4CDB-A097-8A38E0FF6785}"/>
    <cellStyle name="heading 57" xfId="1688" xr:uid="{B69DA7DF-D3A1-4923-8E0B-13E87970DE04}"/>
    <cellStyle name="heading 58" xfId="1709" xr:uid="{7527420D-2D81-42B9-A7C4-8312ED806DDE}"/>
    <cellStyle name="heading 59" xfId="1702" xr:uid="{2B10FB78-EFE3-4F8C-A874-91BAC6D192EC}"/>
    <cellStyle name="heading 6" xfId="1079" xr:uid="{E077FFD2-E9C7-4545-90C5-B22170178795}"/>
    <cellStyle name="heading 60" xfId="1647" xr:uid="{2A269ACE-4E1B-466E-BB7D-19774FAC55F8}"/>
    <cellStyle name="heading 61" xfId="1643" xr:uid="{C8BC01FC-60B7-4DD1-A7E5-DBF1F863327C}"/>
    <cellStyle name="heading 62" xfId="1655" xr:uid="{9E1F9480-108B-4BE5-AF6E-02726275F49F}"/>
    <cellStyle name="heading 63" xfId="1728" xr:uid="{0CE49F99-DB5E-442B-84E0-3E893B3D0862}"/>
    <cellStyle name="heading 64" xfId="1735" xr:uid="{11F55F67-6DE6-46EB-AA5C-CBFA985F8DE8}"/>
    <cellStyle name="heading 65" xfId="1673" xr:uid="{8A7C0123-4AD9-4111-B2E1-AAB6B5141BA1}"/>
    <cellStyle name="heading 66" xfId="1717" xr:uid="{2221ADEF-920C-43CC-9EEA-7BCAC1BD0D39}"/>
    <cellStyle name="heading 67" xfId="1695" xr:uid="{686B0280-EC03-45C2-A530-DF227A3AF6F9}"/>
    <cellStyle name="heading 68" xfId="1726" xr:uid="{638CC9FE-9973-4BF7-A377-B081034B0553}"/>
    <cellStyle name="heading 69" xfId="1635" xr:uid="{E924F162-64B3-4A0D-B2FC-2C7EE4931D94}"/>
    <cellStyle name="heading 7" xfId="1085" xr:uid="{834497BD-E5CC-4CCD-96E7-8BB173D153C2}"/>
    <cellStyle name="heading 70" xfId="1681" xr:uid="{E470B079-0B14-487E-B6FF-65C3ECA2144E}"/>
    <cellStyle name="heading 71" xfId="1690" xr:uid="{C0D0720D-673C-4DDB-A9B1-A282499B83D6}"/>
    <cellStyle name="heading 72" xfId="1733" xr:uid="{AB13E803-92D7-489C-8C6C-2DEECF4AC6F8}"/>
    <cellStyle name="heading 73" xfId="1720" xr:uid="{B6E771FE-A0B8-4F01-AFFB-88C9CDCD4B8D}"/>
    <cellStyle name="heading 74" xfId="1703" xr:uid="{CB0CEF79-184F-4AC0-A3D7-FBE2F884165D}"/>
    <cellStyle name="heading 75" xfId="1734" xr:uid="{AA7002BD-99BB-471E-92AF-4A113A5383DF}"/>
    <cellStyle name="heading 76" xfId="1669" xr:uid="{639EC0D4-7071-4D42-BC1D-C4EE8E55F533}"/>
    <cellStyle name="heading 77" xfId="1730" xr:uid="{84753DBE-7DD7-4F1B-A474-BCCD1A8FADDD}"/>
    <cellStyle name="heading 78" xfId="1713" xr:uid="{2AC0611F-14BC-489D-A2A0-DC19B0AC0C91}"/>
    <cellStyle name="heading 79" xfId="1701" xr:uid="{AA1CA71B-3D50-4887-B4D9-9315EC415978}"/>
    <cellStyle name="heading 8" xfId="1089" xr:uid="{BCFC6FBA-B123-4B33-8995-8DC0C9B17E87}"/>
    <cellStyle name="heading 80" xfId="1705" xr:uid="{F6D1C41B-FE0A-4E16-804F-BBDAB1793BD4}"/>
    <cellStyle name="heading 81" xfId="1671" xr:uid="{52FAB0A4-6437-4C80-8800-E28A0B9F490A}"/>
    <cellStyle name="heading 82" xfId="1694" xr:uid="{19BE5B6C-580A-4F1C-A125-8CCAF792A452}"/>
    <cellStyle name="heading 83" xfId="1666" xr:uid="{69223781-01AE-4294-9989-4C0A71639147}"/>
    <cellStyle name="heading 84" xfId="1714" xr:uid="{9739E4F3-14DE-41CC-81C7-3F3C74273094}"/>
    <cellStyle name="heading 85" xfId="1739" xr:uid="{DD8CAD02-F8DC-4C47-A82C-7FAB77AAF279}"/>
    <cellStyle name="heading 86" xfId="1742" xr:uid="{41C39AD8-B3F8-4153-B00A-85A8D07A51F4}"/>
    <cellStyle name="heading 87" xfId="1738" xr:uid="{0B306DEE-95F9-45C3-A6B3-FDDB22A61389}"/>
    <cellStyle name="heading 88" xfId="1758" xr:uid="{98C58B51-7A8D-4B65-AE52-B892DAD01FE0}"/>
    <cellStyle name="heading 89" xfId="1761" xr:uid="{36D14EF3-B05B-498A-BD6F-8EF9ECD0D3C3}"/>
    <cellStyle name="heading 9" xfId="1086" xr:uid="{5A3AF7C5-8ED9-438A-9DED-BD85F777A9F2}"/>
    <cellStyle name="heading 90" xfId="1776" xr:uid="{ED7C72AD-767D-4E7C-9AFE-1A062682E133}"/>
    <cellStyle name="heading 91" xfId="1779" xr:uid="{52A5D209-5017-4627-8D44-CC33763FA52F}"/>
    <cellStyle name="Heading level 2" xfId="33959" xr:uid="{A5432221-F21F-40E5-9506-F85D45485928}"/>
    <cellStyle name="Headings" xfId="290" xr:uid="{BA3A967E-945E-4229-B42A-E45E7F4BF9EF}"/>
    <cellStyle name="Headings 2" xfId="1064" xr:uid="{E9D11207-EE17-48C9-AA0D-032BF432B665}"/>
    <cellStyle name="Headings 3" xfId="1123" xr:uid="{B4952302-DF25-46B4-8850-37D680363DEA}"/>
    <cellStyle name="Headings 4" xfId="736" xr:uid="{94929EF5-0AFC-49C3-A373-936084FEB070}"/>
    <cellStyle name="Hyperlink" xfId="3" builtinId="8"/>
    <cellStyle name="Hyperlink 2" xfId="2040" xr:uid="{A757BB58-1C2C-42BE-A016-D28AC31EE329}"/>
    <cellStyle name="Hyperlink 3" xfId="2042" xr:uid="{912203F4-25F7-44FC-8884-15C68C208986}"/>
    <cellStyle name="Hyperlink 4" xfId="16824" xr:uid="{1B910DE1-4575-4A8B-A96C-450DA7DF733D}"/>
    <cellStyle name="Hyperlink 5" xfId="11" xr:uid="{78C219D9-98A0-490C-A113-FBBED5B1DEBE}"/>
    <cellStyle name="Hyperlink 6" xfId="33962" xr:uid="{772E857F-A17D-4378-87EC-E155B5CCFC0D}"/>
    <cellStyle name="Input 2" xfId="435" xr:uid="{FDC496A0-0B96-44E8-B92D-F5A140EF6548}"/>
    <cellStyle name="Input 2 2" xfId="1035" xr:uid="{484D66DA-B2CE-4240-A986-5119E70621A7}"/>
    <cellStyle name="Input 3" xfId="456" xr:uid="{931F1C6D-07C3-47D3-9D8A-753710407AF3}"/>
    <cellStyle name="Input 3 2" xfId="1512" xr:uid="{A0DD371C-F9A3-4F2D-A13C-AAA8632E9E33}"/>
    <cellStyle name="Input 4" xfId="735" xr:uid="{06FDE1C6-EB75-4C33-B802-39A484EFCF8B}"/>
    <cellStyle name="Input 5" xfId="291" xr:uid="{D0CA9386-CBF2-4047-A5E2-74D3756B1A50}"/>
    <cellStyle name="Input 6" xfId="16833" xr:uid="{2D101A26-8244-4C96-9C96-1A36D3BAD7DB}"/>
    <cellStyle name="item" xfId="292" xr:uid="{49EA3498-3462-4E86-B496-0160AB940468}"/>
    <cellStyle name="item 2" xfId="388" xr:uid="{78EA1571-CF5D-4833-AF72-A4F09988F571}"/>
    <cellStyle name="item 2 2" xfId="1163" xr:uid="{ABEE82EB-D2AA-45FA-9AB4-5C5FEF7E7CDC}"/>
    <cellStyle name="item 2 3" xfId="1036" xr:uid="{7A0A5061-D1DD-44A6-BDE8-4D61A4B07039}"/>
    <cellStyle name="item 2 4" xfId="1802" xr:uid="{52FC81CC-04E5-44C5-AC62-D0B503542FD5}"/>
    <cellStyle name="item 3" xfId="372" xr:uid="{60893A58-3634-4EE6-8A0E-0D0B17B1191F}"/>
    <cellStyle name="item 3 2" xfId="1143" xr:uid="{783CE096-029E-4591-8551-1E43BDC4DB4B}"/>
    <cellStyle name="item 3 2 2" xfId="1571" xr:uid="{1C658BB6-97C4-4CC2-8E2B-70B2262E01D3}"/>
    <cellStyle name="item 3 3" xfId="1065" xr:uid="{42B4C40C-F78D-4EDC-B1C7-4C4FE06CFE8C}"/>
    <cellStyle name="item 3 4" xfId="1952" xr:uid="{8982A26D-A503-4A7C-BAF6-EFE64620F313}"/>
    <cellStyle name="item 4" xfId="614" xr:uid="{3892AD3D-F456-4460-90FF-178BB0F238EB}"/>
    <cellStyle name="item 4 2" xfId="1164" xr:uid="{BCFBB9F3-F39F-4D24-AF62-826C6727821C}"/>
    <cellStyle name="item 4 3" xfId="1080" xr:uid="{1949F223-EB93-41C1-A6BE-8880251C422D}"/>
    <cellStyle name="item 5" xfId="1124" xr:uid="{5922130A-B9B5-44EA-B735-CAE7A24299A1}"/>
    <cellStyle name="item 5 2" xfId="1165" xr:uid="{E933DED6-94F0-467B-99ED-38E83A773E1F}"/>
    <cellStyle name="item 6" xfId="1144" xr:uid="{626E7475-A479-4464-AD66-19E3050E3778}"/>
    <cellStyle name="item 6 2" xfId="1572" xr:uid="{257F2AB9-B055-4DFC-BC06-9E7F32EABD3E}"/>
    <cellStyle name="item 7" xfId="1532" xr:uid="{BD090248-BD01-4D1E-B71A-DD10FA75DA7F}"/>
    <cellStyle name="item 7 2" xfId="1610" xr:uid="{4AC5E8B5-800E-4E33-9F02-951EA4FE93B4}"/>
    <cellStyle name="item 8" xfId="734" xr:uid="{9A925D7A-5100-4A75-A739-711EA4D50EEE}"/>
    <cellStyle name="Linked Cell 2" xfId="436" xr:uid="{A848E77F-B4DA-43FD-8FE5-88BAA756C98C}"/>
    <cellStyle name="Linked Cell 2 2" xfId="1037" xr:uid="{647B6E3A-DF1B-458F-AC1A-286C59EB331D}"/>
    <cellStyle name="Linked Cell 3" xfId="459" xr:uid="{9B103E50-8B7A-4352-87B3-65C15F87866E}"/>
    <cellStyle name="Linked Cell 3 2" xfId="1514" xr:uid="{ACC49CF3-082C-4B82-A4B6-88E6B686847B}"/>
    <cellStyle name="Linked Cell 4" xfId="733" xr:uid="{FA43F733-CD6B-4E71-9C87-04840D2C183C}"/>
    <cellStyle name="Linked Cell 5" xfId="293" xr:uid="{E0DBBD04-265D-48A6-B8EF-B5C7FF4D2F57}"/>
    <cellStyle name="Linked Cell 6" xfId="16836" xr:uid="{81E14214-341A-4C28-BB38-D670A68A932D}"/>
    <cellStyle name="MAIN HEADING" xfId="294" xr:uid="{09253DCF-813A-41E6-86C0-CC3DBA067846}"/>
    <cellStyle name="MAIN HEADING 2" xfId="1066" xr:uid="{F8B20600-4BDF-42BD-A533-6E935CA58428}"/>
    <cellStyle name="MAIN HEADING 3" xfId="1125" xr:uid="{D1FB09DE-99E6-4622-9B30-BDDF5F9166BB}"/>
    <cellStyle name="MAIN HEADING 4" xfId="732" xr:uid="{ADE679BE-6CCA-424A-8906-910124B5FF80}"/>
    <cellStyle name="Microsoft Excel found an error in the formula you entered. Do you want to accept the correction proposed below?_x000a__x000a_|_x000a__x000a_• To accept the correction, click Yes._x000a_• To close this message and correct the formula yourself, click No." xfId="295" xr:uid="{AA42A3BB-C93C-4749-AFCA-4863E0E1861D}"/>
    <cellStyle name="Microsoft Excel found an error in the formula you entered. Do you want to accept the correction proposed below?_x000a__x000a_|_x000a__x000a_• To accept the correction, click Yes._x000a_• To close this message and correct the formula yourself, click No. 2" xfId="447" xr:uid="{92BF2D11-E10C-45BE-8A41-DFB7F53D27F3}"/>
    <cellStyle name="Microsoft Excel found an error in the formula you entered. Do you want to accept the correction proposed below?_x000a__x000a_|_x000a__x000a_• To accept the correction, click Yes._x000a_• To close this message and correct the formula yourself, click No. 2 2" xfId="1562" xr:uid="{F1E6E573-635E-4000-852F-A41B0C6B8F2F}"/>
    <cellStyle name="Microsoft Excel found an error in the formula you entered. Do you want to accept the correction proposed below?_x000a__x000a_|_x000a__x000a_• To accept the correction, click Yes._x000a_• To close this message and correct the formula yourself, click No. 2 3" xfId="1067" xr:uid="{2C375B78-7813-4C87-8A24-DB7CD16FFE8B}"/>
    <cellStyle name="Microsoft Excel found an error in the formula you entered. Do you want to accept the correction proposed below?_x000a__x000a_|_x000a__x000a_• To accept the correction, click Yes._x000a_• To close this message and correct the formula yourself, click No. 3" xfId="1126" xr:uid="{0743EE91-96BF-4BCA-925E-FF04C1A4EC31}"/>
    <cellStyle name="Microsoft Excel found an error in the formula you entered. Do you want to accept the correction proposed below?_x000a__x000a_|_x000a__x000a_• To accept the correction, click Yes._x000a_• To close this message and correct the formula yourself, click No. 3 2" xfId="1564" xr:uid="{3A6FD5A6-1390-477B-AB49-A18DF8895BD2}"/>
    <cellStyle name="Microsoft Excel found an error in the formula you entered. Do you want to accept the correction proposed below?_x000a__x000a_|_x000a__x000a_• To accept the correction, click Yes._x000a_• To close this message and correct the formula yourself, click No. 4" xfId="1561" xr:uid="{CC0EBA34-0C71-447E-97DD-B0203A90A57A}"/>
    <cellStyle name="Microsoft Excel found an error in the formula you entered. Do you want to accept the correction proposed below?_x000a__x000a_|_x000a__x000a_• To accept the correction, click Yes._x000a_• To close this message and correct the formula yourself, click No. 5" xfId="731" xr:uid="{8FB4344B-F5F9-47CF-BBE2-ADB9723ECEAE}"/>
    <cellStyle name="Neutral 2" xfId="437" xr:uid="{510A3A88-2711-423A-852C-48D13918423E}"/>
    <cellStyle name="Neutral 2 2" xfId="1038" xr:uid="{2C560ED9-1ABF-48FA-BE15-B14B9E8C2F9F}"/>
    <cellStyle name="Neutral 3" xfId="455" xr:uid="{204D86FB-ACCA-4977-BB3B-EC31BB7465E3}"/>
    <cellStyle name="Neutral 3 2" xfId="1516" xr:uid="{D4DC3047-32C5-4211-9261-6B1464855DDF}"/>
    <cellStyle name="Neutral 4" xfId="1004" xr:uid="{F80EADC6-F77C-46B4-A6B4-6E9C61DFD4D1}"/>
    <cellStyle name="Neutral 5" xfId="296" xr:uid="{C61E4551-9A33-467E-B8BB-3F9F6A16CB7F}"/>
    <cellStyle name="Neutral 6" xfId="16832" xr:uid="{24EFC612-42CF-45DA-B1C5-BDB6C478AD30}"/>
    <cellStyle name="Normal" xfId="0" builtinId="0"/>
    <cellStyle name="Normal 10" xfId="297" xr:uid="{5291D6B1-BFBF-4345-94C0-4042272AC07E}"/>
    <cellStyle name="Normal 10 2" xfId="298" xr:uid="{2C360E04-DE75-42D9-8E8E-A8EDDBF588D4}"/>
    <cellStyle name="Normal 10 2 2" xfId="615" xr:uid="{C27744FA-79AE-407E-B9B8-645A6B577DA7}"/>
    <cellStyle name="Normal 10 3" xfId="1" xr:uid="{4480F81E-D87D-4639-9307-A6AABED568A2}"/>
    <cellStyle name="Normal 10 3 2" xfId="1166" xr:uid="{8FBE677D-56B5-47BE-9E25-397A8D7A8C33}"/>
    <cellStyle name="Normal 10 3 3" xfId="5" xr:uid="{7E00A901-61FB-4CF8-A4DE-FE87DE61CC5E}"/>
    <cellStyle name="Normal 10 4" xfId="1517" xr:uid="{461BAF8B-BA73-45D1-8A24-9DEE595D42E5}"/>
    <cellStyle name="Normal 100" xfId="1796" xr:uid="{9BE30EC1-0D4C-4CB2-B5F2-5ED8F32306A4}"/>
    <cellStyle name="Normal 100 10" xfId="18107" xr:uid="{680FE111-4E93-450B-9C3E-E540C6593CC1}"/>
    <cellStyle name="Normal 100 2" xfId="2311" xr:uid="{57C9544C-CFED-4440-8858-2DA330FD266E}"/>
    <cellStyle name="Normal 100 2 2" xfId="3158" xr:uid="{FF6E9D45-0613-4004-9BDD-573F83230B0A}"/>
    <cellStyle name="Normal 100 2 2 2" xfId="6940" xr:uid="{912FFAED-F6BD-4353-B555-705F510D9E43}"/>
    <cellStyle name="Normal 100 2 2 2 2" xfId="14451" xr:uid="{58AA9C85-37A6-4DEE-83F3-5F9F509FAE71}"/>
    <cellStyle name="Normal 100 2 2 2 2 2" xfId="30655" xr:uid="{24159184-D6C8-4216-9491-3D0BAE98450D}"/>
    <cellStyle name="Normal 100 2 2 2 3" xfId="23144" xr:uid="{84B1C5EE-0294-45D5-A3E9-82834D07231B}"/>
    <cellStyle name="Normal 100 2 2 3" xfId="10851" xr:uid="{794EC178-34AD-47E7-9125-38722A041554}"/>
    <cellStyle name="Normal 100 2 2 3 2" xfId="27055" xr:uid="{795876AB-6F78-417C-B16C-73527F656972}"/>
    <cellStyle name="Normal 100 2 2 4" xfId="19378" xr:uid="{476D51C0-F47D-428C-981B-50406BF71364}"/>
    <cellStyle name="Normal 100 2 3" xfId="6095" xr:uid="{055DEBC0-4EB5-4C0D-B21D-C7AAE48431B9}"/>
    <cellStyle name="Normal 100 2 3 2" xfId="13607" xr:uid="{7EA3D5F9-D471-469A-889A-070FEFC54601}"/>
    <cellStyle name="Normal 100 2 3 2 2" xfId="29811" xr:uid="{019C7E3E-E118-4993-B645-EA8917C9D30B}"/>
    <cellStyle name="Normal 100 2 3 3" xfId="22299" xr:uid="{6B6286E2-D7D4-47DC-9744-D2FF0C410967}"/>
    <cellStyle name="Normal 100 2 4" xfId="10007" xr:uid="{A30C6FCD-51EB-470F-9936-2AA27B64FA3A}"/>
    <cellStyle name="Normal 100 2 4 2" xfId="26211" xr:uid="{505EB253-9E7F-43CD-B73F-A1FFFE605641}"/>
    <cellStyle name="Normal 100 2 5" xfId="18533" xr:uid="{465101DD-7CA8-496C-8B66-1A75E8031DE4}"/>
    <cellStyle name="Normal 100 3" xfId="2733" xr:uid="{B32D57C0-5B17-4ED5-87FB-3EDA922C4154}"/>
    <cellStyle name="Normal 100 3 2" xfId="6517" xr:uid="{990483AF-9EB8-47C4-88DD-CA616C0C4CED}"/>
    <cellStyle name="Normal 100 3 2 2" xfId="14029" xr:uid="{7FCEAE59-9BE4-4A96-A3C1-C3DF62E9F344}"/>
    <cellStyle name="Normal 100 3 2 2 2" xfId="30233" xr:uid="{F97AC26E-71A5-46D4-B672-A1AD09E0349A}"/>
    <cellStyle name="Normal 100 3 2 3" xfId="22721" xr:uid="{A43712D1-DE13-4AD0-9648-BE14A6AF86A6}"/>
    <cellStyle name="Normal 100 3 3" xfId="10429" xr:uid="{C2600A9F-9E18-403A-A6F8-A191D3A884CF}"/>
    <cellStyle name="Normal 100 3 3 2" xfId="26633" xr:uid="{86B7233E-1040-471F-AEC8-9C4D6C731516}"/>
    <cellStyle name="Normal 100 3 4" xfId="18955" xr:uid="{3A94F6CB-4993-4393-B3C3-BE0D9035A55E}"/>
    <cellStyle name="Normal 100 4" xfId="3663" xr:uid="{49C77E0F-85ED-4166-927B-8ADCCE04EEF6}"/>
    <cellStyle name="Normal 100 4 2" xfId="7373" xr:uid="{97400FEA-23C1-4FC1-9FE2-BC244D5BEE95}"/>
    <cellStyle name="Normal 100 4 2 2" xfId="14882" xr:uid="{67C84231-86D0-4FE4-83F9-B5DC05898974}"/>
    <cellStyle name="Normal 100 4 2 2 2" xfId="31086" xr:uid="{BB9681AA-4847-4F66-A823-C9387299FC1E}"/>
    <cellStyle name="Normal 100 4 2 3" xfId="23577" xr:uid="{E9DE262A-DCE8-4A47-90AE-4933160BB6FE}"/>
    <cellStyle name="Normal 100 4 3" xfId="11274" xr:uid="{7BB2D237-6C87-447A-B1E4-53D49909D02C}"/>
    <cellStyle name="Normal 100 4 3 2" xfId="27478" xr:uid="{D85C33C8-9A38-4BDB-AC4D-C6FD598CFCA9}"/>
    <cellStyle name="Normal 100 4 4" xfId="19872" xr:uid="{4282D040-6E4D-4402-98CD-4B33147DF8D7}"/>
    <cellStyle name="Normal 100 5" xfId="4133" xr:uid="{AA86C412-FE9D-4A9C-86C6-F0CF6AA92506}"/>
    <cellStyle name="Normal 100 5 2" xfId="7803" xr:uid="{8AD81F41-7E90-417D-A524-726DF877B365}"/>
    <cellStyle name="Normal 100 5 2 2" xfId="15310" xr:uid="{EAD41D95-8D9F-411B-877F-01FF902A0049}"/>
    <cellStyle name="Normal 100 5 2 2 2" xfId="31514" xr:uid="{793D2A75-6FCF-4428-8939-4101A5AE7CB4}"/>
    <cellStyle name="Normal 100 5 2 3" xfId="24007" xr:uid="{FA24AA4E-5B03-43D2-B70A-61E82AAE336C}"/>
    <cellStyle name="Normal 100 5 3" xfId="11696" xr:uid="{EE0AC2C3-C172-4541-A9F5-CED937544090}"/>
    <cellStyle name="Normal 100 5 3 2" xfId="27900" xr:uid="{03D04113-95E3-47D1-AA8F-A0B36F9A037C}"/>
    <cellStyle name="Normal 100 5 4" xfId="20337" xr:uid="{961A836E-7DA9-4C5F-A380-3F932077FE47}"/>
    <cellStyle name="Normal 100 6" xfId="4558" xr:uid="{ADE5DD49-430E-4262-BE28-2E9CE3170E5A}"/>
    <cellStyle name="Normal 100 6 2" xfId="8228" xr:uid="{B52AD5A2-1E12-4CF7-A7B4-57A34D9670D9}"/>
    <cellStyle name="Normal 100 6 2 2" xfId="15735" xr:uid="{E49FFB27-DD0A-49DD-8E4B-FB2DC3070B4E}"/>
    <cellStyle name="Normal 100 6 2 2 2" xfId="31939" xr:uid="{88E3EB08-EBE0-41D8-BAF2-CA8F18C70D24}"/>
    <cellStyle name="Normal 100 6 2 3" xfId="24432" xr:uid="{81C48A26-7726-400C-8D96-0B8906C38561}"/>
    <cellStyle name="Normal 100 6 3" xfId="12121" xr:uid="{F9C345AB-0BF0-41CC-A14A-6D277233843F}"/>
    <cellStyle name="Normal 100 6 3 2" xfId="28325" xr:uid="{9A6FFBA0-B90E-4312-8B35-73106EB903CA}"/>
    <cellStyle name="Normal 100 6 4" xfId="20762" xr:uid="{39F73EE2-22E8-4D12-A75F-282768761D6D}"/>
    <cellStyle name="Normal 100 7" xfId="4985" xr:uid="{60A3A783-8A43-420A-BAEE-AFF963A86797}"/>
    <cellStyle name="Normal 100 7 2" xfId="8651" xr:uid="{5E844F96-2159-4A97-BE33-503FD08DCCC8}"/>
    <cellStyle name="Normal 100 7 2 2" xfId="16158" xr:uid="{93C82DB3-00AA-46A6-A2A2-5B8A202C8F34}"/>
    <cellStyle name="Normal 100 7 2 2 2" xfId="32362" xr:uid="{44DD3D97-017B-41D4-9EE4-E119530A4491}"/>
    <cellStyle name="Normal 100 7 2 3" xfId="24855" xr:uid="{43367EC1-834B-40B9-9BD2-ADDE750D2F03}"/>
    <cellStyle name="Normal 100 7 3" xfId="12543" xr:uid="{57CB0CAB-C1D1-4155-AFAA-3A26380D1C3B}"/>
    <cellStyle name="Normal 100 7 3 2" xfId="28747" xr:uid="{F767936D-687D-42C2-9610-ABE8542500A3}"/>
    <cellStyle name="Normal 100 7 4" xfId="21189" xr:uid="{EF130EED-D400-4D43-97B5-1B9E4041F8A7}"/>
    <cellStyle name="Normal 100 8" xfId="5656" xr:uid="{EB9A02F1-08CF-4280-90D6-DBA9A759EF4C}"/>
    <cellStyle name="Normal 100 8 2" xfId="13171" xr:uid="{775550C9-024A-4666-8CD5-FDF9707C9373}"/>
    <cellStyle name="Normal 100 8 2 2" xfId="29375" xr:uid="{20D7420F-F625-4B03-99FD-5BB28E32CD5C}"/>
    <cellStyle name="Normal 100 8 3" xfId="21860" xr:uid="{02872BBF-1355-475D-8C17-7244DBE4BE7F}"/>
    <cellStyle name="Normal 100 9" xfId="9584" xr:uid="{0455D537-522C-40A3-93DF-11176AFA486E}"/>
    <cellStyle name="Normal 100 9 2" xfId="25788" xr:uid="{8D503AEA-3BF0-4513-926B-CB72F20018E6}"/>
    <cellStyle name="Normal 101" xfId="1797" xr:uid="{D40F2739-6D93-4887-8918-53C3C2A4B3B3}"/>
    <cellStyle name="Normal 101 10" xfId="18108" xr:uid="{6B7CCCC3-18BB-4166-9EC8-F35933BD9DE7}"/>
    <cellStyle name="Normal 101 2" xfId="2312" xr:uid="{6E9F0D0C-8F42-47A7-8152-0F47193DD6CE}"/>
    <cellStyle name="Normal 101 2 2" xfId="3159" xr:uid="{1285AC65-35BA-4CA8-B26E-CB87470E1187}"/>
    <cellStyle name="Normal 101 2 2 2" xfId="6941" xr:uid="{1F105632-CC49-4C52-8250-B70B5E9A63D2}"/>
    <cellStyle name="Normal 101 2 2 2 2" xfId="14452" xr:uid="{1A25DAF2-D6C3-40EC-B48B-97E9DE77299C}"/>
    <cellStyle name="Normal 101 2 2 2 2 2" xfId="30656" xr:uid="{63E3A3BC-CA8D-4469-A160-11C4BE81B71C}"/>
    <cellStyle name="Normal 101 2 2 2 3" xfId="23145" xr:uid="{03619E82-85C6-4DCE-9081-232D4A46FB7B}"/>
    <cellStyle name="Normal 101 2 2 3" xfId="10852" xr:uid="{80E4D2B2-24BA-4F8F-B1CF-D0CDB8CF8F68}"/>
    <cellStyle name="Normal 101 2 2 3 2" xfId="27056" xr:uid="{9AB00BED-F08A-4C54-966C-5CF70672F4F2}"/>
    <cellStyle name="Normal 101 2 2 4" xfId="19379" xr:uid="{B98E8260-8DB4-44A7-9338-FA7F3D590BE5}"/>
    <cellStyle name="Normal 101 2 3" xfId="6096" xr:uid="{BE701E1B-341D-45BA-9B5B-8CB6E12343B2}"/>
    <cellStyle name="Normal 101 2 3 2" xfId="13608" xr:uid="{AADF8C2E-D021-4254-97C2-0B20503A7C4D}"/>
    <cellStyle name="Normal 101 2 3 2 2" xfId="29812" xr:uid="{33BFBA20-C24A-48BC-B6A9-09C02A034AD4}"/>
    <cellStyle name="Normal 101 2 3 3" xfId="22300" xr:uid="{3DDAF0D3-F2BF-4A77-B0D2-BEDD005A8521}"/>
    <cellStyle name="Normal 101 2 4" xfId="10008" xr:uid="{AC29ED32-E2B3-4AB1-A1FC-8B5DE29CD493}"/>
    <cellStyle name="Normal 101 2 4 2" xfId="26212" xr:uid="{73EA57A2-E732-4AD7-A4E3-0A0E79DCCB89}"/>
    <cellStyle name="Normal 101 2 5" xfId="18534" xr:uid="{CCDD2992-71D9-4D08-A9C2-C14DCBFF1948}"/>
    <cellStyle name="Normal 101 3" xfId="2734" xr:uid="{89B3A932-8DE4-44DD-BE5F-8512A0F10B54}"/>
    <cellStyle name="Normal 101 3 2" xfId="6518" xr:uid="{44CC8AEF-1A2C-4F8E-B522-F9741B85841B}"/>
    <cellStyle name="Normal 101 3 2 2" xfId="14030" xr:uid="{B556A0D9-3842-4C86-8693-6D358CCC7FD3}"/>
    <cellStyle name="Normal 101 3 2 2 2" xfId="30234" xr:uid="{1D0227E7-D02D-44C4-99B0-A4E71E84A19A}"/>
    <cellStyle name="Normal 101 3 2 3" xfId="22722" xr:uid="{947FB519-8F5F-4C58-80A3-94F0FDF093EF}"/>
    <cellStyle name="Normal 101 3 3" xfId="10430" xr:uid="{7F6B023D-895E-421C-8554-9C6B190A90EB}"/>
    <cellStyle name="Normal 101 3 3 2" xfId="26634" xr:uid="{096F91F5-F391-4A09-BEEB-15C4C48867EB}"/>
    <cellStyle name="Normal 101 3 4" xfId="18956" xr:uid="{80A2030C-00D1-48C6-8ABE-271DA8056786}"/>
    <cellStyle name="Normal 101 4" xfId="3664" xr:uid="{AF74EE76-9027-41A9-AE3A-0A137F3D3991}"/>
    <cellStyle name="Normal 101 4 2" xfId="7374" xr:uid="{DE1DCEAD-3545-4407-AEB3-E583ED0240F3}"/>
    <cellStyle name="Normal 101 4 2 2" xfId="14883" xr:uid="{0BA98978-0AEF-4BCA-9CF6-003142B5DF73}"/>
    <cellStyle name="Normal 101 4 2 2 2" xfId="31087" xr:uid="{82188386-E0BF-4A7A-BC7D-AAFCFDC31E4D}"/>
    <cellStyle name="Normal 101 4 2 3" xfId="23578" xr:uid="{ADE0B020-05E1-4765-8673-42E76B5E1F70}"/>
    <cellStyle name="Normal 101 4 3" xfId="11275" xr:uid="{115AABAE-B31F-467F-8E35-2B56045B1B4F}"/>
    <cellStyle name="Normal 101 4 3 2" xfId="27479" xr:uid="{B4E05D56-312A-4715-98FF-DBDF47C11544}"/>
    <cellStyle name="Normal 101 4 4" xfId="19873" xr:uid="{BEC3D39C-3153-4996-9FDE-FBA2BD27C79D}"/>
    <cellStyle name="Normal 101 5" xfId="4134" xr:uid="{9CEB039D-4AEC-4F16-8870-A5A63D33D365}"/>
    <cellStyle name="Normal 101 5 2" xfId="7804" xr:uid="{A84A39E1-5563-47AB-AB66-F13E683F58F1}"/>
    <cellStyle name="Normal 101 5 2 2" xfId="15311" xr:uid="{39A60953-E23F-4C28-B9A5-2CD5AA25A664}"/>
    <cellStyle name="Normal 101 5 2 2 2" xfId="31515" xr:uid="{13042141-65FF-4BCD-A7D4-8D3DA4990322}"/>
    <cellStyle name="Normal 101 5 2 3" xfId="24008" xr:uid="{5DEB4138-C76A-4069-B3C3-C36C36E5D54D}"/>
    <cellStyle name="Normal 101 5 3" xfId="11697" xr:uid="{662C2603-2ED8-43B5-BD19-2DBBBAF91361}"/>
    <cellStyle name="Normal 101 5 3 2" xfId="27901" xr:uid="{12D44CCE-D149-4284-91E6-7F989D1333C5}"/>
    <cellStyle name="Normal 101 5 4" xfId="20338" xr:uid="{AF761124-2607-49D2-864A-D28068196A6A}"/>
    <cellStyle name="Normal 101 6" xfId="4559" xr:uid="{BD50F65F-3333-49C7-B53D-FA1A1B086A89}"/>
    <cellStyle name="Normal 101 6 2" xfId="8229" xr:uid="{702D447E-88AB-48BC-BFF0-927634D704EE}"/>
    <cellStyle name="Normal 101 6 2 2" xfId="15736" xr:uid="{9C990280-00D9-4434-9959-0ACC67C401FE}"/>
    <cellStyle name="Normal 101 6 2 2 2" xfId="31940" xr:uid="{66A61AB7-EA84-4378-B7D1-BBD2EDDA7296}"/>
    <cellStyle name="Normal 101 6 2 3" xfId="24433" xr:uid="{354DEAA9-83BA-442F-B502-331690A49F9F}"/>
    <cellStyle name="Normal 101 6 3" xfId="12122" xr:uid="{FA6CAE6D-D704-4F25-9A6C-603337781D4D}"/>
    <cellStyle name="Normal 101 6 3 2" xfId="28326" xr:uid="{E0EA0C27-897F-4937-AA3B-F998F32C21E6}"/>
    <cellStyle name="Normal 101 6 4" xfId="20763" xr:uid="{E8B7B313-111A-413A-A112-705D2C3735DC}"/>
    <cellStyle name="Normal 101 7" xfId="4986" xr:uid="{FCF2F06D-043A-4125-BDCE-68FDF457A5EA}"/>
    <cellStyle name="Normal 101 7 2" xfId="8652" xr:uid="{D2C85C6C-5D1F-4013-82E8-62BBE522004D}"/>
    <cellStyle name="Normal 101 7 2 2" xfId="16159" xr:uid="{B63EE567-3AFB-46F1-BE74-F74A54412AE3}"/>
    <cellStyle name="Normal 101 7 2 2 2" xfId="32363" xr:uid="{688A8908-E343-4496-93D4-2825BCD75779}"/>
    <cellStyle name="Normal 101 7 2 3" xfId="24856" xr:uid="{353CF711-76B2-4046-B26A-D351224259DF}"/>
    <cellStyle name="Normal 101 7 3" xfId="12544" xr:uid="{5140B7EB-1B26-46AB-9971-221C3B26E5A9}"/>
    <cellStyle name="Normal 101 7 3 2" xfId="28748" xr:uid="{2B3E3ABD-C5F2-496A-ADA7-904DC000A157}"/>
    <cellStyle name="Normal 101 7 4" xfId="21190" xr:uid="{3C2ECE99-CAAE-4AC3-B7C2-CB0E830F2500}"/>
    <cellStyle name="Normal 101 8" xfId="5657" xr:uid="{A5DB9804-1BBA-44D4-AF8D-81564E090A95}"/>
    <cellStyle name="Normal 101 8 2" xfId="13172" xr:uid="{B5709621-7552-4655-BB5A-77C8FAEAFDC1}"/>
    <cellStyle name="Normal 101 8 2 2" xfId="29376" xr:uid="{0C223E18-67FE-47B8-84FA-2B134642DAFD}"/>
    <cellStyle name="Normal 101 8 3" xfId="21861" xr:uid="{CEF92764-A965-4F83-87CA-A2A893A35431}"/>
    <cellStyle name="Normal 101 9" xfId="9585" xr:uid="{9848864F-4691-4E26-ABBE-9353172FE4C0}"/>
    <cellStyle name="Normal 101 9 2" xfId="25789" xr:uid="{2DFC353D-1062-41D0-8CE1-864A9DB91CCC}"/>
    <cellStyle name="Normal 102" xfId="1820" xr:uid="{A5241F65-FA61-4DF9-B8C5-160E21E0A819}"/>
    <cellStyle name="Normal 102 10" xfId="18125" xr:uid="{48627C03-690D-41AC-9055-4D8D49200443}"/>
    <cellStyle name="Normal 102 2" xfId="2329" xr:uid="{9C9ADB38-C713-4041-AEDE-C694D9287F6F}"/>
    <cellStyle name="Normal 102 2 2" xfId="3176" xr:uid="{E4C081D3-4C0A-413D-A35F-6D41BCFEC7C2}"/>
    <cellStyle name="Normal 102 2 2 2" xfId="6958" xr:uid="{E2C84A31-F29D-4BA0-B21C-57B6795AE38D}"/>
    <cellStyle name="Normal 102 2 2 2 2" xfId="14469" xr:uid="{EBFB4034-AADF-4AD3-9953-7D4433E33BC2}"/>
    <cellStyle name="Normal 102 2 2 2 2 2" xfId="30673" xr:uid="{45391E36-EC09-43DC-867E-C9B7D107DDFD}"/>
    <cellStyle name="Normal 102 2 2 2 3" xfId="23162" xr:uid="{CAE0BB7F-E740-465B-A7E8-60C48DC1F576}"/>
    <cellStyle name="Normal 102 2 2 3" xfId="10869" xr:uid="{62EF1205-9E82-4920-A219-AF56C708D4DB}"/>
    <cellStyle name="Normal 102 2 2 3 2" xfId="27073" xr:uid="{BFDF54F9-3379-4DDF-8304-1A4037D7C461}"/>
    <cellStyle name="Normal 102 2 2 4" xfId="19396" xr:uid="{5D8B8F7A-E1DF-4926-9C2C-97745C655C94}"/>
    <cellStyle name="Normal 102 2 3" xfId="6113" xr:uid="{0BEAC340-AEB6-4280-8FAE-26EC4001D37C}"/>
    <cellStyle name="Normal 102 2 3 2" xfId="13625" xr:uid="{6E90F76F-C179-4DEE-A321-5A4D16F7697A}"/>
    <cellStyle name="Normal 102 2 3 2 2" xfId="29829" xr:uid="{7E5D9FA3-C802-4D17-9B45-4E2DB4CE4896}"/>
    <cellStyle name="Normal 102 2 3 3" xfId="22317" xr:uid="{C18A24AC-80DA-4BEC-9949-87434C48F004}"/>
    <cellStyle name="Normal 102 2 4" xfId="10025" xr:uid="{43B9F675-C1B9-43F6-94DE-FE6A9463C28D}"/>
    <cellStyle name="Normal 102 2 4 2" xfId="26229" xr:uid="{5D7A5743-9D13-4C9F-A3D2-DB0DDBD5DAEB}"/>
    <cellStyle name="Normal 102 2 5" xfId="18551" xr:uid="{E441BE09-1BEC-4FF4-BD3E-FBBAB0516E58}"/>
    <cellStyle name="Normal 102 3" xfId="2751" xr:uid="{0C280BE5-9508-4D66-886B-1E87AB94686F}"/>
    <cellStyle name="Normal 102 3 2" xfId="6535" xr:uid="{5D63FE15-2C11-4954-9CF1-BB4705196FC8}"/>
    <cellStyle name="Normal 102 3 2 2" xfId="14047" xr:uid="{39485067-687E-4728-9CAA-241EB40E03C8}"/>
    <cellStyle name="Normal 102 3 2 2 2" xfId="30251" xr:uid="{80138C20-E713-4CF5-8FDE-9BED5AC097DF}"/>
    <cellStyle name="Normal 102 3 2 3" xfId="22739" xr:uid="{645601AF-2D49-4767-80D3-58998240E13C}"/>
    <cellStyle name="Normal 102 3 3" xfId="10447" xr:uid="{F8034FA2-3485-4E0A-96AB-C29765EF730E}"/>
    <cellStyle name="Normal 102 3 3 2" xfId="26651" xr:uid="{EF5C2B25-934B-4B0F-AA39-F8923BA9634A}"/>
    <cellStyle name="Normal 102 3 4" xfId="18973" xr:uid="{30BDC523-319A-4922-B6E2-2A65FD14D466}"/>
    <cellStyle name="Normal 102 4" xfId="3682" xr:uid="{1C53892A-6634-4B64-9044-248934D5E696}"/>
    <cellStyle name="Normal 102 4 2" xfId="7392" xr:uid="{E3C283D2-3068-4A43-B477-DC7C889EF164}"/>
    <cellStyle name="Normal 102 4 2 2" xfId="14901" xr:uid="{9D65526E-7F07-4017-8E6F-4CA8FE8F6A5C}"/>
    <cellStyle name="Normal 102 4 2 2 2" xfId="31105" xr:uid="{8DD48B07-6DA2-4A31-B970-0EB70171D234}"/>
    <cellStyle name="Normal 102 4 2 3" xfId="23596" xr:uid="{8E4005D6-EC09-4475-8606-01A5E3092ED8}"/>
    <cellStyle name="Normal 102 4 3" xfId="11292" xr:uid="{F2650C94-343C-4B25-93FC-8682A1F931EA}"/>
    <cellStyle name="Normal 102 4 3 2" xfId="27496" xr:uid="{C4CCD9AC-D4F9-40A0-B29B-415DEE956284}"/>
    <cellStyle name="Normal 102 4 4" xfId="19891" xr:uid="{A063D8EB-AF57-4782-9EF0-74CD272301A1}"/>
    <cellStyle name="Normal 102 5" xfId="4151" xr:uid="{DA36B174-7E5F-405D-9ADE-6902241813CF}"/>
    <cellStyle name="Normal 102 5 2" xfId="7821" xr:uid="{3995FDF3-9D27-4AC6-B88E-5F6977F66CBD}"/>
    <cellStyle name="Normal 102 5 2 2" xfId="15328" xr:uid="{CF17D6C7-6271-4512-8C8E-34E1336A0DDA}"/>
    <cellStyle name="Normal 102 5 2 2 2" xfId="31532" xr:uid="{3BC028E9-FC84-492C-A354-B4FC82BAFAB5}"/>
    <cellStyle name="Normal 102 5 2 3" xfId="24025" xr:uid="{D78497AD-8B33-45B2-A83B-5C4E93902987}"/>
    <cellStyle name="Normal 102 5 3" xfId="11714" xr:uid="{DFB85E62-873E-4E22-9B09-F90988CF06B0}"/>
    <cellStyle name="Normal 102 5 3 2" xfId="27918" xr:uid="{4E3DB6D3-BCE3-4A8E-BA02-A40961D8589A}"/>
    <cellStyle name="Normal 102 5 4" xfId="20355" xr:uid="{A65B7310-6FE0-4644-8BCD-387A94F6FE56}"/>
    <cellStyle name="Normal 102 6" xfId="4576" xr:uid="{2EB7CBB1-CE35-4D4F-9164-8D1EC44BC4F4}"/>
    <cellStyle name="Normal 102 6 2" xfId="8246" xr:uid="{8E8017C0-8A5B-4513-B244-1504CB9EE521}"/>
    <cellStyle name="Normal 102 6 2 2" xfId="15753" xr:uid="{730FCE37-9B83-4965-B6F4-BDFC476C5F22}"/>
    <cellStyle name="Normal 102 6 2 2 2" xfId="31957" xr:uid="{96750C82-DCFD-459F-9D97-BAE7EDB69B45}"/>
    <cellStyle name="Normal 102 6 2 3" xfId="24450" xr:uid="{0D02AAE7-3CA3-458A-88E4-91B8B1155D16}"/>
    <cellStyle name="Normal 102 6 3" xfId="12139" xr:uid="{7A5D9339-F53F-4B83-AFBC-8EE8F9987827}"/>
    <cellStyle name="Normal 102 6 3 2" xfId="28343" xr:uid="{F619E687-DE43-45FF-9871-473065999B74}"/>
    <cellStyle name="Normal 102 6 4" xfId="20780" xr:uid="{1129312D-7AD7-4AAB-8406-492364D507FF}"/>
    <cellStyle name="Normal 102 7" xfId="5003" xr:uid="{72761E1D-D4F6-4F1B-96B9-DCBDDAEA015B}"/>
    <cellStyle name="Normal 102 7 2" xfId="8669" xr:uid="{BFF496F8-8D51-49E1-88F7-F1E7DB7E8583}"/>
    <cellStyle name="Normal 102 7 2 2" xfId="16176" xr:uid="{2E2E4DE8-F248-413E-B048-8EEB1D81C304}"/>
    <cellStyle name="Normal 102 7 2 2 2" xfId="32380" xr:uid="{802B277A-C655-40D1-AA96-E87339871479}"/>
    <cellStyle name="Normal 102 7 2 3" xfId="24873" xr:uid="{48FB3642-F114-49BE-85AF-98BC317E1D74}"/>
    <cellStyle name="Normal 102 7 3" xfId="12561" xr:uid="{00421981-CBC9-4924-ACC2-31F4B99B0661}"/>
    <cellStyle name="Normal 102 7 3 2" xfId="28765" xr:uid="{517B3F88-00C8-44B5-9E44-9A60E0A54CE5}"/>
    <cellStyle name="Normal 102 7 4" xfId="21207" xr:uid="{8DABA5E7-F208-4B3D-BE85-3669B8FBF75A}"/>
    <cellStyle name="Normal 102 8" xfId="5675" xr:uid="{12F75F34-361A-4ABE-A9D4-19628B1BE206}"/>
    <cellStyle name="Normal 102 8 2" xfId="13190" xr:uid="{41F8D123-6F7E-494F-9FE6-DB41E8C516F5}"/>
    <cellStyle name="Normal 102 8 2 2" xfId="29394" xr:uid="{99832531-00B2-4D86-8282-8E92E76A222B}"/>
    <cellStyle name="Normal 102 8 3" xfId="21879" xr:uid="{34B01684-9E76-4B7F-B25D-BFE396FD5FBC}"/>
    <cellStyle name="Normal 102 9" xfId="9602" xr:uid="{BA470B3D-C83D-4F12-9273-1E79C278498A}"/>
    <cellStyle name="Normal 102 9 2" xfId="25806" xr:uid="{56029FBE-42DF-4816-91CD-06751D6FD09E}"/>
    <cellStyle name="Normal 103" xfId="2033" xr:uid="{717FCE9A-9269-4462-8887-D769E878ED23}"/>
    <cellStyle name="Normal 103 10" xfId="18326" xr:uid="{B3E1FA79-E935-4750-881F-04244D210984}"/>
    <cellStyle name="Normal 103 2" xfId="2529" xr:uid="{244B4DC1-7CE1-4A54-9CBF-B9201C296B36}"/>
    <cellStyle name="Normal 103 2 2" xfId="3376" xr:uid="{5DD11C22-29AD-4932-A8BD-B9714C477205}"/>
    <cellStyle name="Normal 103 2 2 2" xfId="7158" xr:uid="{73E5903F-FE5C-4DA7-8006-156779F3191C}"/>
    <cellStyle name="Normal 103 2 2 2 2" xfId="14669" xr:uid="{8BCBB7E0-578A-4CE1-87AF-7DB5097FAF50}"/>
    <cellStyle name="Normal 103 2 2 2 2 2" xfId="30873" xr:uid="{C6AD4FDE-249F-4A2C-A989-42CE0BC25465}"/>
    <cellStyle name="Normal 103 2 2 2 3" xfId="23362" xr:uid="{17FB422D-9681-43CB-A5C8-30F07E935ECC}"/>
    <cellStyle name="Normal 103 2 2 3" xfId="11069" xr:uid="{03AB6D3F-0693-405E-B9AD-BD657F4BAAAF}"/>
    <cellStyle name="Normal 103 2 2 3 2" xfId="27273" xr:uid="{0787AB84-5DBD-40E4-ADC1-53292CD517A2}"/>
    <cellStyle name="Normal 103 2 2 4" xfId="19596" xr:uid="{F877FAFC-C0DE-4D20-8447-1C64B95676D6}"/>
    <cellStyle name="Normal 103 2 3" xfId="6313" xr:uid="{11CCB5AF-230F-4F13-8338-12C327A2BFA5}"/>
    <cellStyle name="Normal 103 2 3 2" xfId="13825" xr:uid="{49346414-3356-41E0-B0A8-FC5ECB74A987}"/>
    <cellStyle name="Normal 103 2 3 2 2" xfId="30029" xr:uid="{28A93B9D-8496-4189-BC2D-A1A3F7E1DF95}"/>
    <cellStyle name="Normal 103 2 3 3" xfId="22517" xr:uid="{41578925-229D-4183-9332-A6CA6F95D4FF}"/>
    <cellStyle name="Normal 103 2 4" xfId="10225" xr:uid="{4849ABEE-A1BD-40A3-8D45-1FF8D5DA6C69}"/>
    <cellStyle name="Normal 103 2 4 2" xfId="26429" xr:uid="{A10CB74E-D15F-4261-9FE4-4BF930AF65BD}"/>
    <cellStyle name="Normal 103 2 5" xfId="18751" xr:uid="{9F87FEB8-A1AC-4CF7-9B8C-782A9334E8CF}"/>
    <cellStyle name="Normal 103 3" xfId="2951" xr:uid="{7F5FEBEC-CCC8-452A-B5E9-04D03EC2934E}"/>
    <cellStyle name="Normal 103 3 2" xfId="6735" xr:uid="{3D6C38DD-718C-4C2B-89F1-FC6B84A0583E}"/>
    <cellStyle name="Normal 103 3 2 2" xfId="14247" xr:uid="{C969234F-10FC-4486-B06D-D4EAFCC3F314}"/>
    <cellStyle name="Normal 103 3 2 2 2" xfId="30451" xr:uid="{68B2E014-3041-48C5-9542-7145F5BBE2F3}"/>
    <cellStyle name="Normal 103 3 2 3" xfId="22939" xr:uid="{2F51BB5F-8D22-4A79-9A7E-87C051ADB647}"/>
    <cellStyle name="Normal 103 3 3" xfId="10647" xr:uid="{480F4332-3BD0-4EC5-A30F-3D31D0BFEBC9}"/>
    <cellStyle name="Normal 103 3 3 2" xfId="26851" xr:uid="{5F2166B8-C31B-4843-B10E-E6B336C3313F}"/>
    <cellStyle name="Normal 103 3 4" xfId="19173" xr:uid="{5356C00A-22A0-4241-9EE6-1992E79A3EF1}"/>
    <cellStyle name="Normal 103 4" xfId="3883" xr:uid="{33206C48-B74E-4B51-8A62-F9E28DA6F16D}"/>
    <cellStyle name="Normal 103 4 2" xfId="7592" xr:uid="{33721E9B-D217-4E58-A715-01EDF8B0CD88}"/>
    <cellStyle name="Normal 103 4 2 2" xfId="15101" xr:uid="{26D70193-6970-4A9E-8DE6-F126888276DE}"/>
    <cellStyle name="Normal 103 4 2 2 2" xfId="31305" xr:uid="{DD200683-343B-4ACE-B375-E036CE1CACF5}"/>
    <cellStyle name="Normal 103 4 2 3" xfId="23796" xr:uid="{12E07C45-6A23-408E-B474-D72596EC81D1}"/>
    <cellStyle name="Normal 103 4 3" xfId="11492" xr:uid="{25DA28E7-B456-43A3-A46F-E68097235397}"/>
    <cellStyle name="Normal 103 4 3 2" xfId="27696" xr:uid="{65FB26F9-D2B7-45DD-B1FF-4225FE1CEF4B}"/>
    <cellStyle name="Normal 103 4 4" xfId="20092" xr:uid="{CEB41733-19A0-4283-A88A-319796811EDC}"/>
    <cellStyle name="Normal 103 5" xfId="4351" xr:uid="{FC554564-A889-4F34-A932-20B17E2399DB}"/>
    <cellStyle name="Normal 103 5 2" xfId="8021" xr:uid="{0DF0AB75-17FD-4F20-992A-D0DD69C767B2}"/>
    <cellStyle name="Normal 103 5 2 2" xfId="15528" xr:uid="{460B07FC-62D3-4280-882B-F833B714C27B}"/>
    <cellStyle name="Normal 103 5 2 2 2" xfId="31732" xr:uid="{B8B09FB1-8525-4B9D-97C2-F65E84CB2B10}"/>
    <cellStyle name="Normal 103 5 2 3" xfId="24225" xr:uid="{787C94D1-6646-4707-9CF9-330E1535B0B9}"/>
    <cellStyle name="Normal 103 5 3" xfId="11914" xr:uid="{D0CB3B2C-FF91-48AF-97C2-1517263F83FB}"/>
    <cellStyle name="Normal 103 5 3 2" xfId="28118" xr:uid="{6001D0F6-B54D-4115-B3F8-419AFC2856FC}"/>
    <cellStyle name="Normal 103 5 4" xfId="20555" xr:uid="{45F8FCA7-32CB-44DE-AB08-FD1D85E3FE27}"/>
    <cellStyle name="Normal 103 6" xfId="4776" xr:uid="{AAEFF966-7510-40FF-A2FD-BFBBC5BB55A4}"/>
    <cellStyle name="Normal 103 6 2" xfId="8446" xr:uid="{36167F82-72D9-4296-9244-61343FED57D5}"/>
    <cellStyle name="Normal 103 6 2 2" xfId="15953" xr:uid="{3CD2DB1E-F1F1-44DF-A9E8-40072F0E1326}"/>
    <cellStyle name="Normal 103 6 2 2 2" xfId="32157" xr:uid="{8A4C9086-702B-4512-90E1-9FB5C3F89FBF}"/>
    <cellStyle name="Normal 103 6 2 3" xfId="24650" xr:uid="{E306F2E1-48C7-473F-ABCA-690FAE906674}"/>
    <cellStyle name="Normal 103 6 3" xfId="12339" xr:uid="{8087DE6F-30BF-44BE-80DE-1197FD9CDAC1}"/>
    <cellStyle name="Normal 103 6 3 2" xfId="28543" xr:uid="{9C602E07-5CA8-4BC4-8A94-01CACC6F03E3}"/>
    <cellStyle name="Normal 103 6 4" xfId="20980" xr:uid="{214B3730-9985-408D-AEFB-4C2B4B1836FD}"/>
    <cellStyle name="Normal 103 7" xfId="5204" xr:uid="{5126EF74-B7B0-4F00-8882-5CF4EEECAE25}"/>
    <cellStyle name="Normal 103 7 2" xfId="8869" xr:uid="{F172F7F6-8638-4E31-99C4-E58014AA9EDF}"/>
    <cellStyle name="Normal 103 7 2 2" xfId="16376" xr:uid="{7F400EBA-C8D2-4402-AC7E-81CB47436C25}"/>
    <cellStyle name="Normal 103 7 2 2 2" xfId="32580" xr:uid="{AEBE7435-0E3B-4E31-9A86-3A527DA49E29}"/>
    <cellStyle name="Normal 103 7 2 3" xfId="25073" xr:uid="{AAC561F8-9478-47E7-B7CD-95F55D008436}"/>
    <cellStyle name="Normal 103 7 3" xfId="12761" xr:uid="{258DDDA3-FEA9-41D7-829B-A189554997B6}"/>
    <cellStyle name="Normal 103 7 3 2" xfId="28965" xr:uid="{844D390F-E7F3-4DF5-BB16-A71EA4A0D7A4}"/>
    <cellStyle name="Normal 103 7 4" xfId="21408" xr:uid="{6DDD07AD-6B07-40CD-8439-9AAA5184FDEF}"/>
    <cellStyle name="Normal 103 8" xfId="5876" xr:uid="{2C22F1F0-4F76-4E8A-8774-7EAD3CA4F101}"/>
    <cellStyle name="Normal 103 8 2" xfId="13391" xr:uid="{F5490AD7-2B7D-4F85-A75E-C10A7F88CB70}"/>
    <cellStyle name="Normal 103 8 2 2" xfId="29595" xr:uid="{A8CF2110-CDCB-4D47-B4DE-0B31DF627B55}"/>
    <cellStyle name="Normal 103 8 3" xfId="22080" xr:uid="{EDC50948-8456-4A01-883A-2E633DD73318}"/>
    <cellStyle name="Normal 103 9" xfId="9802" xr:uid="{5BECA81C-6E49-4994-A102-6EAF2AD88FF8}"/>
    <cellStyle name="Normal 103 9 2" xfId="26006" xr:uid="{73B43266-F35A-42AE-A226-402BDA718DD4}"/>
    <cellStyle name="Normal 104" xfId="2034" xr:uid="{E28B45DE-B803-4E1D-BEBA-0ABBD0512B06}"/>
    <cellStyle name="Normal 104 2" xfId="3377" xr:uid="{1350F7F6-4153-4979-9F5D-558B455BD471}"/>
    <cellStyle name="Normal 104 3" xfId="2952" xr:uid="{BFDA6787-507A-44B9-87D3-075EFA84CE26}"/>
    <cellStyle name="Normal 105" xfId="2037" xr:uid="{ACD5C2DD-DD22-4301-B6D9-089416BB988C}"/>
    <cellStyle name="Normal 105 10" xfId="18327" xr:uid="{3A11C3C8-104F-4828-9187-1CF84AB3E658}"/>
    <cellStyle name="Normal 105 2" xfId="3378" xr:uid="{26023069-0BEC-44D7-858F-E29BFBC7E93C}"/>
    <cellStyle name="Normal 105 2 2" xfId="7159" xr:uid="{27E8109D-3769-4D04-9381-249B5BA8C2EE}"/>
    <cellStyle name="Normal 105 2 2 2" xfId="14670" xr:uid="{09A87764-EDDE-48AE-9583-AE066667BFCD}"/>
    <cellStyle name="Normal 105 2 2 2 2" xfId="30874" xr:uid="{5A2EC6F4-E9F1-470D-BE28-A6EC93B2F9A2}"/>
    <cellStyle name="Normal 105 2 2 3" xfId="23363" xr:uid="{2FE70352-C21F-4592-8653-673E9ED7DFC6}"/>
    <cellStyle name="Normal 105 2 3" xfId="11070" xr:uid="{631FA8C2-26D2-4703-B0FF-39AE98651945}"/>
    <cellStyle name="Normal 105 2 3 2" xfId="27274" xr:uid="{2774E575-4E3C-4069-AACF-D00A668784B7}"/>
    <cellStyle name="Normal 105 2 4" xfId="19597" xr:uid="{F25076B7-E97D-4D6D-BB40-C42DDECC213B}"/>
    <cellStyle name="Normal 105 3" xfId="2953" xr:uid="{31F6CD57-3BD5-4A35-98AF-CC547D27DD3A}"/>
    <cellStyle name="Normal 105 3 2" xfId="6737" xr:uid="{2E324E80-0BB9-4AE4-909E-450986D836B6}"/>
    <cellStyle name="Normal 105 3 2 2" xfId="14248" xr:uid="{1E5D019E-A7C8-4C1E-BC9D-D3A84230E06C}"/>
    <cellStyle name="Normal 105 3 2 2 2" xfId="30452" xr:uid="{878DA4E0-1548-4E97-AEE7-3C18BA348B09}"/>
    <cellStyle name="Normal 105 3 2 3" xfId="22941" xr:uid="{8DB778A3-AE21-4F45-88FA-B555AA5D7D86}"/>
    <cellStyle name="Normal 105 3 3" xfId="10648" xr:uid="{7F807503-FABE-4B8B-8D5A-84F6D8582E8E}"/>
    <cellStyle name="Normal 105 3 3 2" xfId="26852" xr:uid="{6A9BE79F-AB43-4887-BA22-74837659D3F4}"/>
    <cellStyle name="Normal 105 3 4" xfId="19174" xr:uid="{89ECA96A-5E20-459B-B7B1-15E42E085C0B}"/>
    <cellStyle name="Normal 105 4" xfId="3885" xr:uid="{92AD3FF2-C751-4E40-9A90-703C23C69AF0}"/>
    <cellStyle name="Normal 105 4 2" xfId="7594" xr:uid="{AC0B3554-C9ED-45E2-93E6-39E7B185C171}"/>
    <cellStyle name="Normal 105 4 2 2" xfId="15102" xr:uid="{60FD97E5-8096-4CF1-A2BF-147866D27DF8}"/>
    <cellStyle name="Normal 105 4 2 2 2" xfId="31306" xr:uid="{C9C7D20C-A366-4518-A6A3-1451EE9512D8}"/>
    <cellStyle name="Normal 105 4 2 3" xfId="23798" xr:uid="{BD10EEE8-48CD-4F21-A5C4-3F5601BC10AB}"/>
    <cellStyle name="Normal 105 4 3" xfId="11493" xr:uid="{DCE2ACBA-9946-4CB7-B15D-B34985C193D7}"/>
    <cellStyle name="Normal 105 4 3 2" xfId="27697" xr:uid="{551E7FBA-290C-41F1-82E4-E4A31F3F197D}"/>
    <cellStyle name="Normal 105 4 4" xfId="20094" xr:uid="{1875E0D5-AEF1-4B46-85CA-C17B0C729E19}"/>
    <cellStyle name="Normal 105 5" xfId="4352" xr:uid="{088001BB-8E43-4071-A528-F0A631A4AFB0}"/>
    <cellStyle name="Normal 105 5 2" xfId="8022" xr:uid="{8BAE5340-45C0-44CB-A492-3A251F058887}"/>
    <cellStyle name="Normal 105 5 2 2" xfId="15529" xr:uid="{34FCAFC5-C70F-4598-A2CA-A800F9C8A552}"/>
    <cellStyle name="Normal 105 5 2 2 2" xfId="31733" xr:uid="{6415FD81-DC7D-4A3C-A597-CC99B699FD53}"/>
    <cellStyle name="Normal 105 5 2 3" xfId="24226" xr:uid="{E2B6B0A3-79D9-4505-8C89-986B91C338F0}"/>
    <cellStyle name="Normal 105 5 3" xfId="11915" xr:uid="{AF35892E-C2DB-4F17-8477-160AD21DD486}"/>
    <cellStyle name="Normal 105 5 3 2" xfId="28119" xr:uid="{5E98F7A9-23AD-4C51-BB19-9F00A38BC8FB}"/>
    <cellStyle name="Normal 105 5 4" xfId="20556" xr:uid="{31FE2B67-B005-4070-82FA-4C658B96C73F}"/>
    <cellStyle name="Normal 105 6" xfId="4777" xr:uid="{72509CE7-1025-4989-AB20-C823EB37685E}"/>
    <cellStyle name="Normal 105 6 2" xfId="8447" xr:uid="{AFD4C7DD-EF80-4051-A447-772572911526}"/>
    <cellStyle name="Normal 105 6 2 2" xfId="15954" xr:uid="{55F006FA-24F5-4DF7-B840-E665DB0C4B77}"/>
    <cellStyle name="Normal 105 6 2 2 2" xfId="32158" xr:uid="{68F78C83-9156-440C-9D77-08505A83DF48}"/>
    <cellStyle name="Normal 105 6 2 3" xfId="24651" xr:uid="{CC7F1D36-A3DB-4500-A4DC-02B01681319C}"/>
    <cellStyle name="Normal 105 6 3" xfId="12340" xr:uid="{38CA4447-7382-49F2-AD48-39D0890A7979}"/>
    <cellStyle name="Normal 105 6 3 2" xfId="28544" xr:uid="{4A89AD5E-21EE-48E8-96EE-AB0480A1D630}"/>
    <cellStyle name="Normal 105 6 4" xfId="20981" xr:uid="{B40733F2-2358-4294-819E-070480D1E3EA}"/>
    <cellStyle name="Normal 105 7" xfId="5205" xr:uid="{CCDC8851-CDFF-4F9F-A9A1-A212E6ABDC67}"/>
    <cellStyle name="Normal 105 7 2" xfId="8870" xr:uid="{AC859507-4187-4C51-A0BD-7A2BDC55E1B3}"/>
    <cellStyle name="Normal 105 7 2 2" xfId="16377" xr:uid="{267DE42E-32C3-454D-8773-A710E8A84EEC}"/>
    <cellStyle name="Normal 105 7 2 2 2" xfId="32581" xr:uid="{74A4C5EF-00B0-4BFB-BE14-CD285D236617}"/>
    <cellStyle name="Normal 105 7 2 3" xfId="25074" xr:uid="{EC94D22B-A544-4C24-9628-581B1258E543}"/>
    <cellStyle name="Normal 105 7 3" xfId="12762" xr:uid="{938212C4-107F-459A-B41A-404BB50D0053}"/>
    <cellStyle name="Normal 105 7 3 2" xfId="28966" xr:uid="{A46F5170-A169-4FF4-8119-89670CCEB15D}"/>
    <cellStyle name="Normal 105 7 4" xfId="21409" xr:uid="{BA10BEBA-48C9-4131-96EE-5BA5C9C1F596}"/>
    <cellStyle name="Normal 105 8" xfId="5879" xr:uid="{812451C7-8A1C-4B2C-B47E-84FA30569EF4}"/>
    <cellStyle name="Normal 105 8 2" xfId="13394" xr:uid="{32B85022-175C-4BA7-9C2F-35E8839E87B8}"/>
    <cellStyle name="Normal 105 8 2 2" xfId="29598" xr:uid="{41C7D289-874F-4F34-AE3B-3D6717C340D6}"/>
    <cellStyle name="Normal 105 8 3" xfId="22083" xr:uid="{6B2CB2AF-8444-4C47-A7DE-D7FA29D3B53D}"/>
    <cellStyle name="Normal 105 9" xfId="9803" xr:uid="{FEE76FB9-EA2C-494D-9AB7-20FA27C39067}"/>
    <cellStyle name="Normal 105 9 2" xfId="26007" xr:uid="{7E0C8D1D-3D93-45B6-BC17-80197CCC44C8}"/>
    <cellStyle name="Normal 106" xfId="2041" xr:uid="{38EC58B5-54DA-4962-A9D8-67FBDE094BA9}"/>
    <cellStyle name="Normal 106 2" xfId="3380" xr:uid="{6CDD7450-E848-4BDF-8AEA-87929449537B}"/>
    <cellStyle name="Normal 106 2 2" xfId="15" xr:uid="{2519154E-3A8B-41B4-8647-B4FC57AEF219}"/>
    <cellStyle name="Normal 106 3" xfId="4353" xr:uid="{1CCEB69A-6080-4B3F-A3F1-9511A273D0D6}"/>
    <cellStyle name="Normal 106 3 2" xfId="8023" xr:uid="{099AEB31-E448-4C42-A41E-5370EC5A327D}"/>
    <cellStyle name="Normal 106 3 2 2" xfId="15530" xr:uid="{DD3B7ADF-792E-4DF1-9C32-D100E56A4B60}"/>
    <cellStyle name="Normal 106 3 2 2 2" xfId="31734" xr:uid="{CFCBCF94-D6FF-42FD-AF24-EA9707B750F9}"/>
    <cellStyle name="Normal 106 3 2 3" xfId="24227" xr:uid="{047F6B8C-AA28-4384-9D57-32AF284A1C6F}"/>
    <cellStyle name="Normal 106 3 3" xfId="11916" xr:uid="{C27C9BD7-613B-4E3B-BE66-1F4C302C64C4}"/>
    <cellStyle name="Normal 106 3 3 2" xfId="28120" xr:uid="{2161279E-2A1C-43E3-B587-AF25BC458B46}"/>
    <cellStyle name="Normal 106 3 4" xfId="20557" xr:uid="{006A7641-9AAD-4C3E-8DF5-818C56F88D16}"/>
    <cellStyle name="Normal 106 4" xfId="5881" xr:uid="{C4193E29-4B3B-4D9C-8019-904AC55B4C92}"/>
    <cellStyle name="Normal 106 4 2" xfId="13395" xr:uid="{6D380D8D-A0BB-4900-B96B-EAE1FCCB7489}"/>
    <cellStyle name="Normal 106 4 2 2" xfId="29599" xr:uid="{4D6F985C-0490-4436-AE48-A15A5731CE2B}"/>
    <cellStyle name="Normal 106 4 3" xfId="22085" xr:uid="{C05A9EA2-9692-4863-827A-1F29CEF391D6}"/>
    <cellStyle name="Normal 106 5" xfId="9804" xr:uid="{D6BB2638-B67B-4EFF-8698-4ECE4443425A}"/>
    <cellStyle name="Normal 106 5 2" xfId="26008" xr:uid="{5F254097-1743-48E4-BBE9-A14A7D5981B2}"/>
    <cellStyle name="Normal 106 6" xfId="18329" xr:uid="{17179195-4022-430C-B3B5-11CF3EFECED7}"/>
    <cellStyle name="Normal 107" xfId="2530" xr:uid="{79FD2D49-1631-4BB7-B898-A1E8790F44A1}"/>
    <cellStyle name="Normal 107 2" xfId="4355" xr:uid="{F85A6598-ACB4-4EF1-BF7B-02C8EE5147E7}"/>
    <cellStyle name="Normal 107 2 2" xfId="8025" xr:uid="{7C87B425-79C2-44FA-AB44-8BBBC45F3E07}"/>
    <cellStyle name="Normal 107 2 2 2" xfId="15532" xr:uid="{69789FA6-6E8B-4259-8A4F-E5F55A26C140}"/>
    <cellStyle name="Normal 107 2 2 2 2" xfId="31736" xr:uid="{986A1943-6DEB-4414-B64A-78FC344241CE}"/>
    <cellStyle name="Normal 107 2 2 3" xfId="24229" xr:uid="{43D3757A-83AE-4556-B9A9-73C13907C763}"/>
    <cellStyle name="Normal 107 2 3" xfId="11918" xr:uid="{CB267694-40F6-4F92-8203-89999AA1AE88}"/>
    <cellStyle name="Normal 107 2 3 2" xfId="28122" xr:uid="{40B4B842-FDE3-4EFB-9054-FE6D3BC31208}"/>
    <cellStyle name="Normal 107 2 4" xfId="20559" xr:uid="{EC0395A6-A223-49DD-B147-200D1FD9B74D}"/>
    <cellStyle name="Normal 107 3" xfId="6314" xr:uid="{5E4AFC6F-0E29-4D0A-B590-D7D52BEA3F1E}"/>
    <cellStyle name="Normal 107 3 2" xfId="13826" xr:uid="{8F1A37B2-EB01-42C9-B7D7-4C3FBFE0F70E}"/>
    <cellStyle name="Normal 107 3 2 2" xfId="30030" xr:uid="{1E4089AC-5B41-45D7-8539-8DD5E9BCE6ED}"/>
    <cellStyle name="Normal 107 3 3" xfId="22518" xr:uid="{4C707F5D-772D-4D47-A258-30D640CE3F2D}"/>
    <cellStyle name="Normal 107 4" xfId="10226" xr:uid="{18E6E541-22F4-4172-A0C9-F2753974014C}"/>
    <cellStyle name="Normal 107 4 2" xfId="26430" xr:uid="{1411490C-25CA-40A0-BEF9-2A094C5D7DD3}"/>
    <cellStyle name="Normal 107 5" xfId="18752" xr:uid="{141B0401-6D2A-4B3B-8185-18F8F3FC75D1}"/>
    <cellStyle name="Normal 108" xfId="3381" xr:uid="{70589B4F-046A-44A2-AF14-5AF43D30806B}"/>
    <cellStyle name="Normal 108 2" xfId="7160" xr:uid="{46D6677C-6351-41D6-A2FF-095675C59B45}"/>
    <cellStyle name="Normal 108 2 2" xfId="14671" xr:uid="{06AFA9ED-18E7-4EC0-B1BC-793C280BAB59}"/>
    <cellStyle name="Normal 108 2 2 2" xfId="30875" xr:uid="{36E1EE11-65FA-4A71-9730-91BDED511776}"/>
    <cellStyle name="Normal 108 2 3" xfId="23364" xr:uid="{13B594E4-434A-4AC4-B4BF-7FBADF586361}"/>
    <cellStyle name="Normal 108 3" xfId="11071" xr:uid="{82E2646F-6601-4602-84F5-9AFF91C12AB0}"/>
    <cellStyle name="Normal 108 3 2" xfId="27275" xr:uid="{C569B2D9-8586-471B-9C62-2DEC0BEA14B7}"/>
    <cellStyle name="Normal 108 4" xfId="19599" xr:uid="{9AB0BC35-7428-4064-8311-674B1F135363}"/>
    <cellStyle name="Normal 109" xfId="16823" xr:uid="{C4957A80-456F-496E-B95F-90301E8717D8}"/>
    <cellStyle name="Normal 109 2" xfId="17872" xr:uid="{571F153E-7EEA-45B1-A096-E9C9052F0E24}"/>
    <cellStyle name="Normal 109 3" xfId="17880" xr:uid="{8A0809D0-BA44-4E66-B23F-D91C000A45A7}"/>
    <cellStyle name="Normal 109 3 2" xfId="33952" xr:uid="{90F38215-2F75-47FE-B162-F6D832AB6F98}"/>
    <cellStyle name="Normal 11" xfId="299" xr:uid="{538521B1-FB6C-42D0-9F2A-66B84E598F29}"/>
    <cellStyle name="Normal 11 2" xfId="616" xr:uid="{1DF965F6-0622-441E-A397-FD38D5E1C51C}"/>
    <cellStyle name="Normal 11 2 2" xfId="1167" xr:uid="{A7386D7C-9707-48A2-93C6-B718E0367AAB}"/>
    <cellStyle name="Normal 11 3" xfId="1518" xr:uid="{B0F2927E-4C47-4C31-AC0D-C0469F8F6F6E}"/>
    <cellStyle name="Normal 11 4" xfId="730" xr:uid="{B3DFBAEF-80DB-4D85-9E92-BF72A603B24F}"/>
    <cellStyle name="Normal 110" xfId="33958" xr:uid="{2A07DB7D-979D-49F6-874F-D255B783B47A}"/>
    <cellStyle name="Normal 110 2" xfId="33961" xr:uid="{B3C80013-F7BB-49DC-9EEF-A4C1F731D9FE}"/>
    <cellStyle name="Normal 111" xfId="6" xr:uid="{A44E1059-CBD9-462B-8136-3C71F662A46E}"/>
    <cellStyle name="Normal 112" xfId="16822" xr:uid="{D2BDC6CA-E8A8-45A4-8718-7ACD3C416132}"/>
    <cellStyle name="Normal 113" xfId="4" xr:uid="{CD7FB76F-926A-40B4-9CCD-28C4D1759128}"/>
    <cellStyle name="Normal 12" xfId="300" xr:uid="{3DF8FA0C-A241-4471-A13C-F2E2CBE02192}"/>
    <cellStyle name="Normal 12 2" xfId="301" xr:uid="{49966B59-D933-4E65-95F8-DC2C149BD87B}"/>
    <cellStyle name="Normal 12 2 2" xfId="302" xr:uid="{8CF441B9-D7F1-4F5F-80B8-C78F1484210E}"/>
    <cellStyle name="Normal 12 2 2 2" xfId="619" xr:uid="{4656E6D9-D961-4EBC-BC74-FEFD34BB4F1F}"/>
    <cellStyle name="Normal 12 2 3" xfId="618" xr:uid="{C11BCDC0-2188-48C7-8397-17B533BC5955}"/>
    <cellStyle name="Normal 12 3" xfId="617" xr:uid="{661D574B-34C9-4E8B-AC57-6DD774EE8855}"/>
    <cellStyle name="Normal 12 3 2" xfId="1168" xr:uid="{C772D541-9410-4BD4-82C2-E5888AF7EF9D}"/>
    <cellStyle name="Normal 12 4" xfId="1519" xr:uid="{75C79532-433B-486F-B883-B28A9A8D0FC9}"/>
    <cellStyle name="Normal 13" xfId="303" xr:uid="{873131BD-904A-4048-8A2B-3D4034B709BC}"/>
    <cellStyle name="Normal 13 2" xfId="620" xr:uid="{13039BF4-447E-49EF-860F-DF8846B70872}"/>
    <cellStyle name="Normal 13 2 2" xfId="1170" xr:uid="{EDB1AD10-AFA5-4E27-A8D7-7CA95C93A1AA}"/>
    <cellStyle name="Normal 13 2 3" xfId="1068" xr:uid="{6DC5E35D-F8C5-49BD-8964-04FCB4A69AAC}"/>
    <cellStyle name="Normal 13 3" xfId="1169" xr:uid="{9BA30C6C-1A3E-4A87-8100-3136C9E51DF9}"/>
    <cellStyle name="Normal 13 4" xfId="1520" xr:uid="{02F35F57-4A47-4410-9A18-96ECEF68816E}"/>
    <cellStyle name="Normal 13 5" xfId="729" xr:uid="{63E3A168-9A52-4204-97CD-8E37F5CD8956}"/>
    <cellStyle name="Normal 14" xfId="304" xr:uid="{E19C5B03-9187-4B73-A46D-663E3BEC629D}"/>
    <cellStyle name="Normal 14 2" xfId="621" xr:uid="{B5296086-5465-42C6-8737-76F058F9D87A}"/>
    <cellStyle name="Normal 14 2 2" xfId="1171" xr:uid="{2A61D1EF-8A48-4B4A-B2C3-3A69386BF519}"/>
    <cellStyle name="Normal 14 3" xfId="1521" xr:uid="{875F6546-E392-4B65-A099-B5AF6D5F38EE}"/>
    <cellStyle name="Normal 14 4" xfId="728" xr:uid="{0B279F6F-DF06-4F33-9802-ABCF4C1D8C0D}"/>
    <cellStyle name="Normal 15" xfId="305" xr:uid="{DE16D52C-0017-4D83-A69E-36A19647966A}"/>
    <cellStyle name="Normal 15 2" xfId="622" xr:uid="{32105F9A-EB3E-4FF5-BB70-B1F49BF4A147}"/>
    <cellStyle name="Normal 15 2 2" xfId="1173" xr:uid="{F7294655-5136-43D2-9DCA-9AFEF18E1048}"/>
    <cellStyle name="Normal 15 2 3" xfId="1088" xr:uid="{F5963554-B4EC-4684-AC91-4BCC1B3C8BA4}"/>
    <cellStyle name="Normal 15 3" xfId="1172" xr:uid="{FCD9AB1A-8B6A-4E65-9C90-E2C5039DCB8F}"/>
    <cellStyle name="Normal 15 4" xfId="1522" xr:uid="{A47E5C92-64C3-41C4-823E-97F0C6B009AB}"/>
    <cellStyle name="Normal 15 5" xfId="727" xr:uid="{3F458670-6D34-4761-A392-2B4BDB4BA746}"/>
    <cellStyle name="Normal 16" xfId="306" xr:uid="{A18A2F86-FF31-4723-8C6D-E7C64CB56892}"/>
    <cellStyle name="Normal 16 2" xfId="623" xr:uid="{A460735F-AA52-4C5D-8001-A06F7124413A}"/>
    <cellStyle name="Normal 16 2 2" xfId="1175" xr:uid="{3543AAE8-AF84-414C-A591-4D086879F4E3}"/>
    <cellStyle name="Normal 16 2 3" xfId="1100" xr:uid="{3F088B4D-AD6F-45FD-AF9B-F58BBBEA52B8}"/>
    <cellStyle name="Normal 16 3" xfId="1127" xr:uid="{6672DA89-E4C7-4D67-8829-DF02F11333BE}"/>
    <cellStyle name="Normal 16 3 2" xfId="1176" xr:uid="{FFEAF173-36CA-45A0-B0C6-0386A38F013C}"/>
    <cellStyle name="Normal 16 4" xfId="1174" xr:uid="{7822EDF8-B236-4431-BE79-82182C9E7E0A}"/>
    <cellStyle name="Normal 16 5" xfId="726" xr:uid="{50D46625-59E9-45F7-9542-C1E82CD2302F}"/>
    <cellStyle name="Normal 17" xfId="307" xr:uid="{F8F9950C-67BE-45EB-AAF4-22A01873659F}"/>
    <cellStyle name="Normal 17 10" xfId="515" xr:uid="{2D8C47E6-BCD9-49B6-8B49-CAB4A79DFCCD}"/>
    <cellStyle name="Normal 17 10 10" xfId="5312" xr:uid="{F90FE3F8-7533-44CF-A638-44C186FF2431}"/>
    <cellStyle name="Normal 17 10 10 2" xfId="12861" xr:uid="{537AFB4A-DA81-44E7-ADC9-C3EC171C8415}"/>
    <cellStyle name="Normal 17 10 10 2 2" xfId="29065" xr:uid="{10481B9A-4EA0-425B-86DA-BF0F58C30229}"/>
    <cellStyle name="Normal 17 10 10 3" xfId="21516" xr:uid="{8151B862-949A-41E8-9967-51306218C7B6}"/>
    <cellStyle name="Normal 17 10 11" xfId="9427" xr:uid="{E5EFE2AA-C469-4B94-832C-3AD78CD01AB2}"/>
    <cellStyle name="Normal 17 10 11 2" xfId="25631" xr:uid="{B408A024-9EB6-42ED-A300-45828596D9D3}"/>
    <cellStyle name="Normal 17 10 12" xfId="17942" xr:uid="{81809DE9-F52D-4E51-9661-78C4E6D1DC2B}"/>
    <cellStyle name="Normal 17 10 2" xfId="586" xr:uid="{4816D902-7976-4201-95A6-6BA1964D2C8D}"/>
    <cellStyle name="Normal 17 10 2 10" xfId="9494" xr:uid="{C0B6FEAE-6857-4ACE-B578-FFE67E3CE9BF}"/>
    <cellStyle name="Normal 17 10 2 10 2" xfId="25698" xr:uid="{745990D0-64A1-43D4-BBDA-69B2D2F848BB}"/>
    <cellStyle name="Normal 17 10 2 11" xfId="18010" xr:uid="{CC31917E-0802-43CB-94C3-1A36FD99B70E}"/>
    <cellStyle name="Normal 17 10 2 2" xfId="1953" xr:uid="{E7A74754-EC7B-45D4-9F38-0DAE8F92A742}"/>
    <cellStyle name="Normal 17 10 2 2 10" xfId="18256" xr:uid="{63E60D22-EEFD-48B0-BD17-B3A1CBBB5791}"/>
    <cellStyle name="Normal 17 10 2 2 2" xfId="2459" xr:uid="{8246E0AA-9916-4C1F-BB05-00599B81F074}"/>
    <cellStyle name="Normal 17 10 2 2 2 2" xfId="3306" xr:uid="{E717BAD9-F01F-4215-8B0D-33F5656930E2}"/>
    <cellStyle name="Normal 17 10 2 2 2 2 2" xfId="7088" xr:uid="{41A3C176-6B24-4ABF-B071-DE258C87AD5C}"/>
    <cellStyle name="Normal 17 10 2 2 2 2 2 2" xfId="14599" xr:uid="{E4B6394B-6FD4-477A-A045-7F11F3C1BB86}"/>
    <cellStyle name="Normal 17 10 2 2 2 2 2 2 2" xfId="30803" xr:uid="{4F4B9684-04AF-4808-BCFB-0A205D95F476}"/>
    <cellStyle name="Normal 17 10 2 2 2 2 2 3" xfId="23292" xr:uid="{E36BE796-43BE-47E7-8C60-06DBC5DED13C}"/>
    <cellStyle name="Normal 17 10 2 2 2 2 3" xfId="10999" xr:uid="{E7013596-CA95-47F1-9474-FCC69DA658F0}"/>
    <cellStyle name="Normal 17 10 2 2 2 2 3 2" xfId="27203" xr:uid="{684785C9-1E4D-4D66-891C-D259A8EFECED}"/>
    <cellStyle name="Normal 17 10 2 2 2 2 4" xfId="19526" xr:uid="{9823654D-D1C4-4F95-8435-E5BEAE30504D}"/>
    <cellStyle name="Normal 17 10 2 2 2 3" xfId="6243" xr:uid="{BB12D200-8642-4FBE-833F-1F0545ED1C6E}"/>
    <cellStyle name="Normal 17 10 2 2 2 3 2" xfId="13755" xr:uid="{AEA7BC3E-6E11-460C-A7C1-960104B8579F}"/>
    <cellStyle name="Normal 17 10 2 2 2 3 2 2" xfId="29959" xr:uid="{5826306D-62E1-46CC-9C1F-44A8CF51FB7E}"/>
    <cellStyle name="Normal 17 10 2 2 2 3 3" xfId="22447" xr:uid="{EC790B17-3500-4D2C-B31C-80DA734AD3D0}"/>
    <cellStyle name="Normal 17 10 2 2 2 4" xfId="10155" xr:uid="{30AC26B9-9D28-4DAB-9189-CB2EDE57E8FE}"/>
    <cellStyle name="Normal 17 10 2 2 2 4 2" xfId="26359" xr:uid="{82EE6A62-347E-487A-A869-3D2BBD720562}"/>
    <cellStyle name="Normal 17 10 2 2 2 5" xfId="18681" xr:uid="{F49EA808-F615-47E1-9B85-85577CB1CC33}"/>
    <cellStyle name="Normal 17 10 2 2 3" xfId="2881" xr:uid="{896DDC94-1338-4088-8F8C-D6B96476E03F}"/>
    <cellStyle name="Normal 17 10 2 2 3 2" xfId="6665" xr:uid="{E5149B6B-877E-4E39-8F0A-3E127D4D55A8}"/>
    <cellStyle name="Normal 17 10 2 2 3 2 2" xfId="14177" xr:uid="{1C1E6221-57FB-41FA-A965-2F0C2C672207}"/>
    <cellStyle name="Normal 17 10 2 2 3 2 2 2" xfId="30381" xr:uid="{B6718B3A-FD62-430B-B38B-00507BA89A1E}"/>
    <cellStyle name="Normal 17 10 2 2 3 2 3" xfId="22869" xr:uid="{3CD0188F-D624-4093-8126-08EBCA5ECDC7}"/>
    <cellStyle name="Normal 17 10 2 2 3 3" xfId="10577" xr:uid="{F427000D-DC12-41AE-AA6D-6CCE5C84FAB9}"/>
    <cellStyle name="Normal 17 10 2 2 3 3 2" xfId="26781" xr:uid="{FDE722A3-470C-4C2D-B564-34A3DB60FC49}"/>
    <cellStyle name="Normal 17 10 2 2 3 4" xfId="19103" xr:uid="{F83064F2-7BBB-45DA-89DD-CF7A00FF265B}"/>
    <cellStyle name="Normal 17 10 2 2 4" xfId="3812" xr:uid="{136A88FC-13BD-458B-9A08-AB76B7098EC7}"/>
    <cellStyle name="Normal 17 10 2 2 4 2" xfId="7522" xr:uid="{40590ACB-6C57-4F5C-9384-30B5DEF22023}"/>
    <cellStyle name="Normal 17 10 2 2 4 2 2" xfId="15031" xr:uid="{1A496845-00C4-4188-A36D-6B94FA7C635C}"/>
    <cellStyle name="Normal 17 10 2 2 4 2 2 2" xfId="31235" xr:uid="{6B0A0D60-5CDA-4353-A3E9-E19B65F4B8FE}"/>
    <cellStyle name="Normal 17 10 2 2 4 2 3" xfId="23726" xr:uid="{CE70A9AF-D3D5-42C9-BF21-540EB3985B5D}"/>
    <cellStyle name="Normal 17 10 2 2 4 3" xfId="11422" xr:uid="{D6BF7B6D-AB19-4E4C-8604-068E3416D5F6}"/>
    <cellStyle name="Normal 17 10 2 2 4 3 2" xfId="27626" xr:uid="{57831F6E-B881-4D8C-AA3F-2C605578FA6F}"/>
    <cellStyle name="Normal 17 10 2 2 4 4" xfId="20021" xr:uid="{0694099B-263F-44E7-8C5A-E34EC7ED6DBE}"/>
    <cellStyle name="Normal 17 10 2 2 5" xfId="4281" xr:uid="{9EA3059A-21CE-4190-8054-DA4AAABC07AB}"/>
    <cellStyle name="Normal 17 10 2 2 5 2" xfId="7951" xr:uid="{35EA2B56-88CF-4F58-9C42-3E371C4AAC0B}"/>
    <cellStyle name="Normal 17 10 2 2 5 2 2" xfId="15458" xr:uid="{5BF19D1E-CEEA-4DF5-919C-5AFC0B7DDEBA}"/>
    <cellStyle name="Normal 17 10 2 2 5 2 2 2" xfId="31662" xr:uid="{B6C0D29E-4052-4985-9B9C-C0943311C67C}"/>
    <cellStyle name="Normal 17 10 2 2 5 2 3" xfId="24155" xr:uid="{F697E18E-A6D1-49FC-BB7E-7B9A4DCBAD8F}"/>
    <cellStyle name="Normal 17 10 2 2 5 3" xfId="11844" xr:uid="{050192CF-0D03-4AEC-8C2E-B8539FD40670}"/>
    <cellStyle name="Normal 17 10 2 2 5 3 2" xfId="28048" xr:uid="{22B31532-197F-409D-B2FE-AA792EBC563C}"/>
    <cellStyle name="Normal 17 10 2 2 5 4" xfId="20485" xr:uid="{D9A56C76-CC91-46B1-90FD-0D64F0AB146B}"/>
    <cellStyle name="Normal 17 10 2 2 6" xfId="4706" xr:uid="{6FAEFAEB-8866-4A80-964B-E750823D3713}"/>
    <cellStyle name="Normal 17 10 2 2 6 2" xfId="8376" xr:uid="{624CED96-BA09-4EBC-A4AA-67C0FE0D296F}"/>
    <cellStyle name="Normal 17 10 2 2 6 2 2" xfId="15883" xr:uid="{CB0C998B-5DE0-409F-A8B9-9A59C8BA74CA}"/>
    <cellStyle name="Normal 17 10 2 2 6 2 2 2" xfId="32087" xr:uid="{64A8D4AD-8CE1-4CFD-AF5B-13966071E497}"/>
    <cellStyle name="Normal 17 10 2 2 6 2 3" xfId="24580" xr:uid="{4B67B717-2E1F-483A-8098-48B9FAA50ED5}"/>
    <cellStyle name="Normal 17 10 2 2 6 3" xfId="12269" xr:uid="{F52A1FE6-BAAA-4E48-B12C-B4DA53AAA1F7}"/>
    <cellStyle name="Normal 17 10 2 2 6 3 2" xfId="28473" xr:uid="{90CEFDDF-8641-42D9-BE7D-11F27D9CDD60}"/>
    <cellStyle name="Normal 17 10 2 2 6 4" xfId="20910" xr:uid="{ECB41E6D-380F-41CD-BC14-D793DCD20B82}"/>
    <cellStyle name="Normal 17 10 2 2 7" xfId="5134" xr:uid="{C67629B6-5A84-4DC3-BAFC-2546D779CF0E}"/>
    <cellStyle name="Normal 17 10 2 2 7 2" xfId="8799" xr:uid="{6D9DEC9B-5879-49C1-A039-45A1E68E3AAB}"/>
    <cellStyle name="Normal 17 10 2 2 7 2 2" xfId="16306" xr:uid="{2E3D36D6-12BA-4C1F-99FF-6DC83DB56AA2}"/>
    <cellStyle name="Normal 17 10 2 2 7 2 2 2" xfId="32510" xr:uid="{D1A2ADBA-54E0-4C62-B022-D03FCE173E36}"/>
    <cellStyle name="Normal 17 10 2 2 7 2 3" xfId="25003" xr:uid="{97B37EA5-0232-45D2-800E-F57A9DDA889E}"/>
    <cellStyle name="Normal 17 10 2 2 7 3" xfId="12691" xr:uid="{67A8FE49-A741-47F6-9597-315E2609E804}"/>
    <cellStyle name="Normal 17 10 2 2 7 3 2" xfId="28895" xr:uid="{DA751152-4AB3-40AB-AEEC-F7849DD24D87}"/>
    <cellStyle name="Normal 17 10 2 2 7 4" xfId="21338" xr:uid="{6991B68B-2A51-4CAB-92B6-66F699038529}"/>
    <cellStyle name="Normal 17 10 2 2 8" xfId="5805" xr:uid="{F38C2EB9-5097-4718-880C-15E17C591980}"/>
    <cellStyle name="Normal 17 10 2 2 8 2" xfId="13320" xr:uid="{D131261B-9F65-4E23-A21F-CA14F558058C}"/>
    <cellStyle name="Normal 17 10 2 2 8 2 2" xfId="29524" xr:uid="{A49071C2-1336-49F5-8727-57C08DFF7E7A}"/>
    <cellStyle name="Normal 17 10 2 2 8 3" xfId="22009" xr:uid="{76FB9E90-9C53-4150-AD5E-A2BBDD0B188E}"/>
    <cellStyle name="Normal 17 10 2 2 9" xfId="9732" xr:uid="{1CA4497C-FB56-4DC6-9988-D507BC8C737C}"/>
    <cellStyle name="Normal 17 10 2 2 9 2" xfId="25936" xr:uid="{19569BAE-A0DE-41F9-A02B-7BDE48AC9A21}"/>
    <cellStyle name="Normal 17 10 2 3" xfId="2155" xr:uid="{E7C32202-C898-49C8-AB8F-1299B4D9D61F}"/>
    <cellStyle name="Normal 17 10 2 3 2" xfId="3068" xr:uid="{C77AFB50-C01B-4545-A98A-90F97B82D83F}"/>
    <cellStyle name="Normal 17 10 2 3 2 2" xfId="6850" xr:uid="{CE3A8B39-485D-4594-9C65-B8724B56082E}"/>
    <cellStyle name="Normal 17 10 2 3 2 2 2" xfId="14361" xr:uid="{91F50568-990C-4A35-BC64-4BC3F76F3129}"/>
    <cellStyle name="Normal 17 10 2 3 2 2 2 2" xfId="30565" xr:uid="{4BA71AB6-30DD-40E4-8245-A646434F1741}"/>
    <cellStyle name="Normal 17 10 2 3 2 2 3" xfId="23054" xr:uid="{F07D2389-F53C-4BE0-92B8-1F10073FC9AC}"/>
    <cellStyle name="Normal 17 10 2 3 2 3" xfId="10761" xr:uid="{5735D80E-AC27-4021-94C8-CBCB45AAE057}"/>
    <cellStyle name="Normal 17 10 2 3 2 3 2" xfId="26965" xr:uid="{A87E3785-3EED-4429-8768-9674C9C1E823}"/>
    <cellStyle name="Normal 17 10 2 3 2 4" xfId="19288" xr:uid="{8472E47A-0430-4BC8-941C-174DC80F1B99}"/>
    <cellStyle name="Normal 17 10 2 3 3" xfId="5994" xr:uid="{CE790328-0FCC-4D72-88E8-C6FB8AAF9A82}"/>
    <cellStyle name="Normal 17 10 2 3 3 2" xfId="13508" xr:uid="{56249993-B297-4192-89ED-204AEE163AA1}"/>
    <cellStyle name="Normal 17 10 2 3 3 2 2" xfId="29712" xr:uid="{11CC66F5-F21F-4F36-B488-7F7EFA77174B}"/>
    <cellStyle name="Normal 17 10 2 3 3 3" xfId="22198" xr:uid="{6932DBEB-E4BC-473D-B0CB-F96752B7D219}"/>
    <cellStyle name="Normal 17 10 2 3 4" xfId="9917" xr:uid="{DA1E3803-58EB-464A-A063-421A7B762470}"/>
    <cellStyle name="Normal 17 10 2 3 4 2" xfId="26121" xr:uid="{FAE54255-199D-466F-934D-21AD4BB05DAE}"/>
    <cellStyle name="Normal 17 10 2 3 5" xfId="18442" xr:uid="{93CE066F-8D73-4BF7-A275-9660CA2B3667}"/>
    <cellStyle name="Normal 17 10 2 4" xfId="2643" xr:uid="{779CD5D0-A9A9-4C9E-A3AB-C8C06A431DF5}"/>
    <cellStyle name="Normal 17 10 2 4 2" xfId="6427" xr:uid="{26EA6BDA-613B-4B8E-B435-59BA6957A293}"/>
    <cellStyle name="Normal 17 10 2 4 2 2" xfId="13939" xr:uid="{48F391CB-B7BE-46C4-AD38-913B33783FA4}"/>
    <cellStyle name="Normal 17 10 2 4 2 2 2" xfId="30143" xr:uid="{95F48EB1-3AEA-42B0-A66E-33A52D832615}"/>
    <cellStyle name="Normal 17 10 2 4 2 3" xfId="22631" xr:uid="{AAF98151-8301-40E1-B13F-86CE41DBE65B}"/>
    <cellStyle name="Normal 17 10 2 4 3" xfId="10339" xr:uid="{DCB0FD29-AE91-47B6-94EB-5A77F6AF46A3}"/>
    <cellStyle name="Normal 17 10 2 4 3 2" xfId="26543" xr:uid="{039336DA-BC79-43F2-B57C-56800824B34A}"/>
    <cellStyle name="Normal 17 10 2 4 4" xfId="18865" xr:uid="{030B5704-66B5-4E42-A277-FDA42109CF06}"/>
    <cellStyle name="Normal 17 10 2 5" xfId="3519" xr:uid="{0B5056CA-8D8E-4FE6-8E48-37CB14CC4281}"/>
    <cellStyle name="Normal 17 10 2 5 2" xfId="7277" xr:uid="{59058CFC-2111-41D5-B1F5-BBF6536A5FE2}"/>
    <cellStyle name="Normal 17 10 2 5 2 2" xfId="14787" xr:uid="{780BF95B-4867-4FB3-96BD-65D7557422F4}"/>
    <cellStyle name="Normal 17 10 2 5 2 2 2" xfId="30991" xr:uid="{80AAB780-9068-4CFA-86F6-CC3903D8A215}"/>
    <cellStyle name="Normal 17 10 2 5 2 3" xfId="23481" xr:uid="{AFFD97B4-2C19-48F5-B616-EEBA7F0F13A3}"/>
    <cellStyle name="Normal 17 10 2 5 3" xfId="11184" xr:uid="{E59C2497-9FF6-4F34-AF96-EC941BF7F6A4}"/>
    <cellStyle name="Normal 17 10 2 5 3 2" xfId="27388" xr:uid="{AD7A15AC-13A4-4B55-9CDE-D7FF5A835973}"/>
    <cellStyle name="Normal 17 10 2 5 4" xfId="19735" xr:uid="{5EE2B81A-4D3C-4F25-8ABE-43534542124D}"/>
    <cellStyle name="Normal 17 10 2 6" xfId="4043" xr:uid="{2F01FA51-E207-40BB-AD0A-C32F5819D436}"/>
    <cellStyle name="Normal 17 10 2 6 2" xfId="7713" xr:uid="{1655EA70-3F96-48A5-AA18-2F9938090498}"/>
    <cellStyle name="Normal 17 10 2 6 2 2" xfId="15220" xr:uid="{53C8BA16-3B15-4BA6-ACB4-400861AC871F}"/>
    <cellStyle name="Normal 17 10 2 6 2 2 2" xfId="31424" xr:uid="{D62C8495-4F9B-41A9-B656-5E11C181504A}"/>
    <cellStyle name="Normal 17 10 2 6 2 3" xfId="23917" xr:uid="{54CA1A67-F862-4C47-9AAE-2D51ABD520D8}"/>
    <cellStyle name="Normal 17 10 2 6 3" xfId="11606" xr:uid="{5FC74113-DE19-4B62-A9DF-80AAB7130DA7}"/>
    <cellStyle name="Normal 17 10 2 6 3 2" xfId="27810" xr:uid="{DFA3ECA3-DD65-414C-933C-51D7C62E5E6D}"/>
    <cellStyle name="Normal 17 10 2 6 4" xfId="20247" xr:uid="{AFA2981F-10A5-45AD-959C-3E812EC848F4}"/>
    <cellStyle name="Normal 17 10 2 7" xfId="4468" xr:uid="{250DBDF3-B257-467A-9E89-1F45A96AF446}"/>
    <cellStyle name="Normal 17 10 2 7 2" xfId="8138" xr:uid="{6EDA81E1-192C-4359-9B58-F6AA03372E02}"/>
    <cellStyle name="Normal 17 10 2 7 2 2" xfId="15645" xr:uid="{5C242AFC-7352-4CD5-9A1B-28CCFABC4B2E}"/>
    <cellStyle name="Normal 17 10 2 7 2 2 2" xfId="31849" xr:uid="{C4048587-0EE5-4A89-A2CF-3A783F077BBE}"/>
    <cellStyle name="Normal 17 10 2 7 2 3" xfId="24342" xr:uid="{92C0A253-2B48-4CB2-ADBD-A8F06FE6B217}"/>
    <cellStyle name="Normal 17 10 2 7 3" xfId="12031" xr:uid="{56DA03CC-18C2-4092-97C2-79A806379CB9}"/>
    <cellStyle name="Normal 17 10 2 7 3 2" xfId="28235" xr:uid="{4AB23B2A-2D3E-491B-A09D-21CEF64EF38C}"/>
    <cellStyle name="Normal 17 10 2 7 4" xfId="20672" xr:uid="{EE68CA1A-CF7D-49C6-B678-BF220F58FA88}"/>
    <cellStyle name="Normal 17 10 2 8" xfId="4893" xr:uid="{446034BE-3F9C-498C-980D-57F0151688F1}"/>
    <cellStyle name="Normal 17 10 2 8 2" xfId="8561" xr:uid="{A2AD8D21-E5BD-48E3-A85F-36C86389C8A4}"/>
    <cellStyle name="Normal 17 10 2 8 2 2" xfId="16068" xr:uid="{5A571150-6512-42B1-BB36-4EADE9279F76}"/>
    <cellStyle name="Normal 17 10 2 8 2 2 2" xfId="32272" xr:uid="{E464CC68-31E6-44F5-B152-2C9AE7FFD811}"/>
    <cellStyle name="Normal 17 10 2 8 2 3" xfId="24765" xr:uid="{7C514791-AF85-497C-A88F-A0888C23C782}"/>
    <cellStyle name="Normal 17 10 2 8 3" xfId="12453" xr:uid="{EF0A71E6-06BA-41AC-A8F9-72E602A98D83}"/>
    <cellStyle name="Normal 17 10 2 8 3 2" xfId="28657" xr:uid="{BFB4D2D6-2DCB-46B8-BE06-F8C8526A6C23}"/>
    <cellStyle name="Normal 17 10 2 8 4" xfId="21097" xr:uid="{C3ABC18B-99A2-4100-B333-3F5AC67E4835}"/>
    <cellStyle name="Normal 17 10 2 9" xfId="5379" xr:uid="{6D127C98-202E-4C50-AD24-2AD357DD7BDE}"/>
    <cellStyle name="Normal 17 10 2 9 2" xfId="12928" xr:uid="{A5655317-27DA-45B1-BA60-F09AD16693F2}"/>
    <cellStyle name="Normal 17 10 2 9 2 2" xfId="29132" xr:uid="{EB34C937-8249-46EE-B55E-2C355D30A163}"/>
    <cellStyle name="Normal 17 10 2 9 3" xfId="21583" xr:uid="{6EEA37A2-6EFE-48BB-A881-35207BB2D364}"/>
    <cellStyle name="Normal 17 10 3" xfId="1954" xr:uid="{374D09CE-6D2A-4980-B00A-6017B5AD5B7F}"/>
    <cellStyle name="Normal 17 10 3 10" xfId="18257" xr:uid="{BD5573F7-AC99-41E8-96AE-7DE811D2EB98}"/>
    <cellStyle name="Normal 17 10 3 2" xfId="2460" xr:uid="{C87EC01F-D9F7-45E0-A3A8-D15459DC9395}"/>
    <cellStyle name="Normal 17 10 3 2 2" xfId="3307" xr:uid="{0F3D212B-9B9B-48A9-BC54-048B5AC5005C}"/>
    <cellStyle name="Normal 17 10 3 2 2 2" xfId="7089" xr:uid="{388CAA06-0E22-4779-A846-6A64BA89B043}"/>
    <cellStyle name="Normal 17 10 3 2 2 2 2" xfId="14600" xr:uid="{ADAB2063-F907-4DA1-A37F-5F5412455B46}"/>
    <cellStyle name="Normal 17 10 3 2 2 2 2 2" xfId="30804" xr:uid="{7E95C0DF-AF18-43F4-947C-290627147516}"/>
    <cellStyle name="Normal 17 10 3 2 2 2 3" xfId="23293" xr:uid="{767DCE1D-16E5-4798-BBBB-68E57828A373}"/>
    <cellStyle name="Normal 17 10 3 2 2 3" xfId="11000" xr:uid="{7C684E58-434C-472D-A0B7-927A1A51756B}"/>
    <cellStyle name="Normal 17 10 3 2 2 3 2" xfId="27204" xr:uid="{93169233-7348-4340-B620-F48243184A2D}"/>
    <cellStyle name="Normal 17 10 3 2 2 4" xfId="19527" xr:uid="{84AA2C26-6F71-4B67-B0BC-ED3B05ACB123}"/>
    <cellStyle name="Normal 17 10 3 2 3" xfId="6244" xr:uid="{6BB013AB-16BD-4433-B2E4-3F4CB60DE60C}"/>
    <cellStyle name="Normal 17 10 3 2 3 2" xfId="13756" xr:uid="{FA8E275E-956D-450E-BDB7-E25F6E07E1EA}"/>
    <cellStyle name="Normal 17 10 3 2 3 2 2" xfId="29960" xr:uid="{703FC00C-3E1F-4CAD-9DEC-10A8667609B2}"/>
    <cellStyle name="Normal 17 10 3 2 3 3" xfId="22448" xr:uid="{FAB422DE-3026-405B-AD3E-67998A22F818}"/>
    <cellStyle name="Normal 17 10 3 2 4" xfId="10156" xr:uid="{7C9A39A8-8F45-49B5-B93F-28EDAAF0491E}"/>
    <cellStyle name="Normal 17 10 3 2 4 2" xfId="26360" xr:uid="{DCC9CBED-69C7-44F3-9950-19A7C2D90726}"/>
    <cellStyle name="Normal 17 10 3 2 5" xfId="18682" xr:uid="{35F7E167-7BF3-4FA0-86DC-42DC185D0BE5}"/>
    <cellStyle name="Normal 17 10 3 3" xfId="2882" xr:uid="{1A7B46F7-D28E-428F-9190-EFE92D4B5D81}"/>
    <cellStyle name="Normal 17 10 3 3 2" xfId="6666" xr:uid="{F3070681-DE34-48D2-9053-0578D3F67D47}"/>
    <cellStyle name="Normal 17 10 3 3 2 2" xfId="14178" xr:uid="{8C1BCD64-67DA-4B80-A2E0-4425294E0E07}"/>
    <cellStyle name="Normal 17 10 3 3 2 2 2" xfId="30382" xr:uid="{20D69E98-A46A-4899-9D00-4B2F4C341AD5}"/>
    <cellStyle name="Normal 17 10 3 3 2 3" xfId="22870" xr:uid="{DEF9E73A-377F-420B-8B0A-009F0C030AB0}"/>
    <cellStyle name="Normal 17 10 3 3 3" xfId="10578" xr:uid="{C1B18A71-220C-45EA-915E-D6FA41FF9BE4}"/>
    <cellStyle name="Normal 17 10 3 3 3 2" xfId="26782" xr:uid="{795CA5EF-7F54-4003-B58E-12BE8085EF68}"/>
    <cellStyle name="Normal 17 10 3 3 4" xfId="19104" xr:uid="{8FAA1CA4-7618-4A6A-A359-42919F020F4D}"/>
    <cellStyle name="Normal 17 10 3 4" xfId="3813" xr:uid="{CC3372A6-47F6-498F-8E7C-357F77C4185C}"/>
    <cellStyle name="Normal 17 10 3 4 2" xfId="7523" xr:uid="{EACC11BD-F804-4F1E-9EEB-1032914278CC}"/>
    <cellStyle name="Normal 17 10 3 4 2 2" xfId="15032" xr:uid="{133CEE7F-EFD3-4612-973F-8079A3B3A918}"/>
    <cellStyle name="Normal 17 10 3 4 2 2 2" xfId="31236" xr:uid="{683109EE-F6EA-4845-BD29-526743007DF2}"/>
    <cellStyle name="Normal 17 10 3 4 2 3" xfId="23727" xr:uid="{E90FDD4F-3FE7-41A1-B8B1-CB73883F4FC4}"/>
    <cellStyle name="Normal 17 10 3 4 3" xfId="11423" xr:uid="{6EE8EF85-FD8B-4D65-A270-3E071CE5063F}"/>
    <cellStyle name="Normal 17 10 3 4 3 2" xfId="27627" xr:uid="{8750A5C0-D4E0-481D-8E40-8520F302C913}"/>
    <cellStyle name="Normal 17 10 3 4 4" xfId="20022" xr:uid="{751EBFEE-86B0-410D-A8D0-E40DDE98CDB3}"/>
    <cellStyle name="Normal 17 10 3 5" xfId="4282" xr:uid="{841D302F-CB28-4789-A5D7-F0CF90591C67}"/>
    <cellStyle name="Normal 17 10 3 5 2" xfId="7952" xr:uid="{41E1CD90-6334-42CC-B9DD-654E05050F55}"/>
    <cellStyle name="Normal 17 10 3 5 2 2" xfId="15459" xr:uid="{3F07816E-068A-46C8-A5DB-D49750B5D6D2}"/>
    <cellStyle name="Normal 17 10 3 5 2 2 2" xfId="31663" xr:uid="{2DDAA67A-DD4E-462C-AB9B-B98B70E95802}"/>
    <cellStyle name="Normal 17 10 3 5 2 3" xfId="24156" xr:uid="{17879B32-4FBD-45C8-896E-27DB7CC55DB2}"/>
    <cellStyle name="Normal 17 10 3 5 3" xfId="11845" xr:uid="{2A38743B-CEDC-4EB3-BFC1-5D273321596F}"/>
    <cellStyle name="Normal 17 10 3 5 3 2" xfId="28049" xr:uid="{9844A465-6CB0-4BAE-9872-2CEC36D909F7}"/>
    <cellStyle name="Normal 17 10 3 5 4" xfId="20486" xr:uid="{49D8D453-22E9-4A4E-923F-AD343F56495C}"/>
    <cellStyle name="Normal 17 10 3 6" xfId="4707" xr:uid="{36E460AB-C608-4FAF-9C17-E605EAB542C4}"/>
    <cellStyle name="Normal 17 10 3 6 2" xfId="8377" xr:uid="{C46F4D1C-A267-4CE8-A59B-BC1F4D6D7DFC}"/>
    <cellStyle name="Normal 17 10 3 6 2 2" xfId="15884" xr:uid="{067CBFE9-CEBE-4A93-BD08-8274EA53F2D1}"/>
    <cellStyle name="Normal 17 10 3 6 2 2 2" xfId="32088" xr:uid="{CB7286D5-1E97-4F28-A6E4-5BCB2237AC2C}"/>
    <cellStyle name="Normal 17 10 3 6 2 3" xfId="24581" xr:uid="{BF67F22E-11ED-4249-A012-94BD27B9B365}"/>
    <cellStyle name="Normal 17 10 3 6 3" xfId="12270" xr:uid="{CCDB6924-2ADD-44AB-9828-83A5451CBC12}"/>
    <cellStyle name="Normal 17 10 3 6 3 2" xfId="28474" xr:uid="{1A97391F-EE64-4DF4-BD5B-AB4A7E9BC27A}"/>
    <cellStyle name="Normal 17 10 3 6 4" xfId="20911" xr:uid="{872C2172-974C-4D43-8706-DF64F0D0E930}"/>
    <cellStyle name="Normal 17 10 3 7" xfId="5135" xr:uid="{E6A4F664-D4CB-4741-B85A-009CA316D587}"/>
    <cellStyle name="Normal 17 10 3 7 2" xfId="8800" xr:uid="{FE3A55C6-E583-46D6-8E97-372D35149378}"/>
    <cellStyle name="Normal 17 10 3 7 2 2" xfId="16307" xr:uid="{5D501328-E0CA-4AAD-9A18-CF44CC994AA2}"/>
    <cellStyle name="Normal 17 10 3 7 2 2 2" xfId="32511" xr:uid="{85647AE6-0C96-40A3-ADBE-A8DDF1C18B49}"/>
    <cellStyle name="Normal 17 10 3 7 2 3" xfId="25004" xr:uid="{93102D9B-1CD6-4A76-BA37-9B71CBB0BFD8}"/>
    <cellStyle name="Normal 17 10 3 7 3" xfId="12692" xr:uid="{DE45D1E8-92E8-4049-A014-6EB4A2CDD8DE}"/>
    <cellStyle name="Normal 17 10 3 7 3 2" xfId="28896" xr:uid="{376F696B-8F98-4516-A77E-64C99BE0B9CD}"/>
    <cellStyle name="Normal 17 10 3 7 4" xfId="21339" xr:uid="{65B2DA8B-AB23-45FE-8940-91ED11B5D56D}"/>
    <cellStyle name="Normal 17 10 3 8" xfId="5806" xr:uid="{C9260E54-A669-4AE4-8027-8B891C43C7EF}"/>
    <cellStyle name="Normal 17 10 3 8 2" xfId="13321" xr:uid="{D69D47F4-E381-4627-8E1F-48A1681CB8AD}"/>
    <cellStyle name="Normal 17 10 3 8 2 2" xfId="29525" xr:uid="{86F18209-45A2-403E-ABB0-6E814B041F74}"/>
    <cellStyle name="Normal 17 10 3 8 3" xfId="22010" xr:uid="{B3A30630-87E2-44B6-ACC0-2A3C3719643E}"/>
    <cellStyle name="Normal 17 10 3 9" xfId="9733" xr:uid="{E159AB45-510C-422F-89B0-5616B8DD5B37}"/>
    <cellStyle name="Normal 17 10 3 9 2" xfId="25937" xr:uid="{946A6196-3F55-4EE8-AC2C-8D4758451697}"/>
    <cellStyle name="Normal 17 10 4" xfId="2088" xr:uid="{B721162A-AF17-45FC-9E8B-525D9386C9BB}"/>
    <cellStyle name="Normal 17 10 4 2" xfId="3001" xr:uid="{B90C5827-D0EF-497E-991E-10D8F85650C1}"/>
    <cellStyle name="Normal 17 10 4 2 2" xfId="6783" xr:uid="{1A0AF278-A3E9-4712-A7CE-E62A9FA701FF}"/>
    <cellStyle name="Normal 17 10 4 2 2 2" xfId="14294" xr:uid="{E75B8A52-4C67-4E80-A554-F404D6691CB7}"/>
    <cellStyle name="Normal 17 10 4 2 2 2 2" xfId="30498" xr:uid="{A225AEB3-5A0C-4332-AB32-41C1F06B2D32}"/>
    <cellStyle name="Normal 17 10 4 2 2 3" xfId="22987" xr:uid="{12F026F3-9E25-4B51-A316-933ABCF83A79}"/>
    <cellStyle name="Normal 17 10 4 2 3" xfId="10694" xr:uid="{DB5C9EFE-E9FC-4BEA-A752-56B140E83698}"/>
    <cellStyle name="Normal 17 10 4 2 3 2" xfId="26898" xr:uid="{2D184DC4-6584-4467-998D-1DEBA1991190}"/>
    <cellStyle name="Normal 17 10 4 2 4" xfId="19221" xr:uid="{6D2E02A8-8CA9-42A8-B89E-1387B772E59F}"/>
    <cellStyle name="Normal 17 10 4 3" xfId="5927" xr:uid="{362A92C0-86A0-4873-8094-070D10DCB8A5}"/>
    <cellStyle name="Normal 17 10 4 3 2" xfId="13441" xr:uid="{12ED30B6-7D44-49FF-851F-3BA297D16AD9}"/>
    <cellStyle name="Normal 17 10 4 3 2 2" xfId="29645" xr:uid="{13E13EA0-0592-496F-BBC9-41F75DF82995}"/>
    <cellStyle name="Normal 17 10 4 3 3" xfId="22131" xr:uid="{41588809-428B-4055-B88B-EE49AABC9DC8}"/>
    <cellStyle name="Normal 17 10 4 4" xfId="9850" xr:uid="{38975DA6-5214-4E36-87DC-5F303497B36C}"/>
    <cellStyle name="Normal 17 10 4 4 2" xfId="26054" xr:uid="{07523C0D-E2B5-4998-A56E-3BD6F555B332}"/>
    <cellStyle name="Normal 17 10 4 5" xfId="18375" xr:uid="{BCA30F94-B420-421B-9AE9-35EB07F34433}"/>
    <cellStyle name="Normal 17 10 5" xfId="2576" xr:uid="{123882AC-ACCF-44B1-B402-306475DFB736}"/>
    <cellStyle name="Normal 17 10 5 2" xfId="6360" xr:uid="{F2608609-6212-43A7-BCBB-0FEE23C48129}"/>
    <cellStyle name="Normal 17 10 5 2 2" xfId="13872" xr:uid="{06E6FAE9-83A3-49EC-99C4-6ED2C5454467}"/>
    <cellStyle name="Normal 17 10 5 2 2 2" xfId="30076" xr:uid="{9A961026-98E1-40A4-82DF-A02738D03128}"/>
    <cellStyle name="Normal 17 10 5 2 3" xfId="22564" xr:uid="{4AAC43B5-519C-4101-A8A8-9301C72E709A}"/>
    <cellStyle name="Normal 17 10 5 3" xfId="10272" xr:uid="{176F1096-05D7-46FE-B43B-A5564A289E4E}"/>
    <cellStyle name="Normal 17 10 5 3 2" xfId="26476" xr:uid="{39CE9B72-035E-4DCD-8D0F-8B1C10A94EC9}"/>
    <cellStyle name="Normal 17 10 5 4" xfId="18798" xr:uid="{43BA64B6-1CD7-4851-BF9B-FF8760A1D218}"/>
    <cellStyle name="Normal 17 10 6" xfId="3452" xr:uid="{670394B3-3F63-4B70-B5E8-643D8319B7BF}"/>
    <cellStyle name="Normal 17 10 6 2" xfId="7210" xr:uid="{DBCF9B1F-BC26-4B04-8675-FA40F86C8F16}"/>
    <cellStyle name="Normal 17 10 6 2 2" xfId="14720" xr:uid="{22253155-462F-44DB-8767-FF5823522F47}"/>
    <cellStyle name="Normal 17 10 6 2 2 2" xfId="30924" xr:uid="{5FBEDE58-2465-4F84-AC76-9B1DA79685D2}"/>
    <cellStyle name="Normal 17 10 6 2 3" xfId="23414" xr:uid="{077C2396-695E-420F-9ABB-6ECD4BA8E790}"/>
    <cellStyle name="Normal 17 10 6 3" xfId="11117" xr:uid="{21DC83F1-B43F-4B01-98D4-9F99A4C6D848}"/>
    <cellStyle name="Normal 17 10 6 3 2" xfId="27321" xr:uid="{27891512-FB93-4DA4-A802-B24E4A84BB88}"/>
    <cellStyle name="Normal 17 10 6 4" xfId="19668" xr:uid="{010B86E4-6F5C-4062-AC7A-FFBD4A1C72BB}"/>
    <cellStyle name="Normal 17 10 7" xfId="3976" xr:uid="{1E06959F-0821-49F4-B9FC-5B96055A3CA8}"/>
    <cellStyle name="Normal 17 10 7 2" xfId="7646" xr:uid="{6A08E96E-13AF-4669-80E1-C1A0CFE22CCB}"/>
    <cellStyle name="Normal 17 10 7 2 2" xfId="15153" xr:uid="{5DB44F69-6E88-41B0-88CF-458908C57016}"/>
    <cellStyle name="Normal 17 10 7 2 2 2" xfId="31357" xr:uid="{F2912659-F5F4-4169-978C-8D1FC83E89FF}"/>
    <cellStyle name="Normal 17 10 7 2 3" xfId="23850" xr:uid="{B47E626E-E500-400B-A64E-D1ECE53337D9}"/>
    <cellStyle name="Normal 17 10 7 3" xfId="11539" xr:uid="{6299CFED-5EC8-40F5-A255-D1941F8086D5}"/>
    <cellStyle name="Normal 17 10 7 3 2" xfId="27743" xr:uid="{13AC57D2-C2A6-4F0B-B1C8-DCE71911069E}"/>
    <cellStyle name="Normal 17 10 7 4" xfId="20180" xr:uid="{F702D9D2-16B7-4B9D-AF56-EFE8C8933F47}"/>
    <cellStyle name="Normal 17 10 8" xfId="4401" xr:uid="{3A57FF83-2F93-4A1E-831B-81B76E329990}"/>
    <cellStyle name="Normal 17 10 8 2" xfId="8071" xr:uid="{C0BF3D4B-AA35-414E-9BC2-55DA65A5E3C3}"/>
    <cellStyle name="Normal 17 10 8 2 2" xfId="15578" xr:uid="{B84FE4F4-D426-4697-B47C-ECF4A8311652}"/>
    <cellStyle name="Normal 17 10 8 2 2 2" xfId="31782" xr:uid="{E43B8EE2-C346-48B2-80AF-AB94B4A6ABAF}"/>
    <cellStyle name="Normal 17 10 8 2 3" xfId="24275" xr:uid="{E228705E-B16A-4C5A-8833-72D49CA2F603}"/>
    <cellStyle name="Normal 17 10 8 3" xfId="11964" xr:uid="{F1CB91F8-6AA5-47B4-905C-F16A574C8023}"/>
    <cellStyle name="Normal 17 10 8 3 2" xfId="28168" xr:uid="{E099A576-9845-44EE-98C3-71CC39251A7B}"/>
    <cellStyle name="Normal 17 10 8 4" xfId="20605" xr:uid="{5DCC9024-7FFB-4115-BCDE-97B51E1879C6}"/>
    <cellStyle name="Normal 17 10 9" xfId="4825" xr:uid="{58971C81-16B6-487B-BB3D-0F3C2CCD04B5}"/>
    <cellStyle name="Normal 17 10 9 2" xfId="8494" xr:uid="{A45AFDBF-4C47-4700-AED5-6136721F8CD3}"/>
    <cellStyle name="Normal 17 10 9 2 2" xfId="16001" xr:uid="{EC98390B-BFAE-4C59-B005-B2B627122E54}"/>
    <cellStyle name="Normal 17 10 9 2 2 2" xfId="32205" xr:uid="{69016FED-27B5-4E97-8C49-F00F7482AB7D}"/>
    <cellStyle name="Normal 17 10 9 2 3" xfId="24698" xr:uid="{C6EB4DAF-74FA-49E4-B156-A1DFD9A8D8FC}"/>
    <cellStyle name="Normal 17 10 9 3" xfId="12386" xr:uid="{3FDCD568-97CD-4FCA-8FFE-F2EBD9F4C7E6}"/>
    <cellStyle name="Normal 17 10 9 3 2" xfId="28590" xr:uid="{2CB113F7-A556-494A-B8E7-A2128634B01B}"/>
    <cellStyle name="Normal 17 10 9 4" xfId="21029" xr:uid="{3349E5C7-09DA-4740-839C-ABD8A20DD725}"/>
    <cellStyle name="Normal 17 11" xfId="537" xr:uid="{9044B04C-AA29-4D28-B2E4-10856FDAFE85}"/>
    <cellStyle name="Normal 17 11 10" xfId="9449" xr:uid="{0EFCA49B-FC94-4648-ACC4-3CA4205825F9}"/>
    <cellStyle name="Normal 17 11 10 2" xfId="25653" xr:uid="{BD8F41F5-E135-419C-BA3E-FA0713AEBDA7}"/>
    <cellStyle name="Normal 17 11 11" xfId="17964" xr:uid="{B5F897CF-C6F6-42F3-B127-2564ED0D340F}"/>
    <cellStyle name="Normal 17 11 2" xfId="1955" xr:uid="{9B60235F-2566-4DF7-BC90-05E89D369AFE}"/>
    <cellStyle name="Normal 17 11 2 10" xfId="18258" xr:uid="{E6DE7085-F163-45BA-AB0D-0AAC0FAD4353}"/>
    <cellStyle name="Normal 17 11 2 2" xfId="2461" xr:uid="{075B7333-C13D-4477-8C8D-C33A95DBB374}"/>
    <cellStyle name="Normal 17 11 2 2 2" xfId="3308" xr:uid="{CBE6F32F-AECB-4BDE-BE5F-D5250BE0D3A1}"/>
    <cellStyle name="Normal 17 11 2 2 2 2" xfId="7090" xr:uid="{46EE4197-54A1-4869-93A8-6738AB63F99C}"/>
    <cellStyle name="Normal 17 11 2 2 2 2 2" xfId="14601" xr:uid="{0A8E7EA0-A04D-4F5F-82CE-24B92685F34A}"/>
    <cellStyle name="Normal 17 11 2 2 2 2 2 2" xfId="30805" xr:uid="{5C44EE9E-CCCF-4BE7-A7FB-53ADE20C16AB}"/>
    <cellStyle name="Normal 17 11 2 2 2 2 3" xfId="23294" xr:uid="{34BE77B8-18EC-469B-B6BF-C0F74C2C122E}"/>
    <cellStyle name="Normal 17 11 2 2 2 3" xfId="11001" xr:uid="{C0CFE993-C8CA-44C4-B642-91F2B906A29C}"/>
    <cellStyle name="Normal 17 11 2 2 2 3 2" xfId="27205" xr:uid="{FFB1F7F5-CDB5-4657-9CCB-D0B57EC553A0}"/>
    <cellStyle name="Normal 17 11 2 2 2 4" xfId="19528" xr:uid="{B768F880-5952-4DC5-8181-B1972E71ED2F}"/>
    <cellStyle name="Normal 17 11 2 2 3" xfId="6245" xr:uid="{78405919-8156-48D9-904C-B492B753CC37}"/>
    <cellStyle name="Normal 17 11 2 2 3 2" xfId="13757" xr:uid="{D4CBF8C3-F7C7-496E-9DDA-D21EE295855C}"/>
    <cellStyle name="Normal 17 11 2 2 3 2 2" xfId="29961" xr:uid="{37BE1002-0A5B-4F28-BF6D-78613F0BEB63}"/>
    <cellStyle name="Normal 17 11 2 2 3 3" xfId="22449" xr:uid="{71B96328-D6CA-475E-A337-0891BB0799B4}"/>
    <cellStyle name="Normal 17 11 2 2 4" xfId="10157" xr:uid="{8C3958C9-5DA1-425E-945F-321F62C19760}"/>
    <cellStyle name="Normal 17 11 2 2 4 2" xfId="26361" xr:uid="{071B9A36-5D8E-4118-B5D7-A984AAE9E389}"/>
    <cellStyle name="Normal 17 11 2 2 5" xfId="18683" xr:uid="{09D2422E-F73E-4FE4-8AC7-1F0394B0A524}"/>
    <cellStyle name="Normal 17 11 2 3" xfId="2883" xr:uid="{E9D81A43-38C5-40FA-BFEE-39669E143AC7}"/>
    <cellStyle name="Normal 17 11 2 3 2" xfId="6667" xr:uid="{39774EEA-A82C-4D6A-A352-6286D90B7D6E}"/>
    <cellStyle name="Normal 17 11 2 3 2 2" xfId="14179" xr:uid="{81787C12-5DB1-4B97-B372-D4639E45B41A}"/>
    <cellStyle name="Normal 17 11 2 3 2 2 2" xfId="30383" xr:uid="{1DC619AA-C30F-42A1-BC78-891AF7ADDBEC}"/>
    <cellStyle name="Normal 17 11 2 3 2 3" xfId="22871" xr:uid="{678C56DF-8B16-4ECC-B451-A6191B55BD20}"/>
    <cellStyle name="Normal 17 11 2 3 3" xfId="10579" xr:uid="{5B1570F8-3E10-4E4B-BE93-9F7619DAA609}"/>
    <cellStyle name="Normal 17 11 2 3 3 2" xfId="26783" xr:uid="{4FB5A1B3-5B6F-4497-9ACF-F20028CD88FE}"/>
    <cellStyle name="Normal 17 11 2 3 4" xfId="19105" xr:uid="{3083FDEC-D281-43F3-A47E-66B89820CBE8}"/>
    <cellStyle name="Normal 17 11 2 4" xfId="3814" xr:uid="{25B99C2A-CCF0-4537-955F-31216BF61CD5}"/>
    <cellStyle name="Normal 17 11 2 4 2" xfId="7524" xr:uid="{CE8C3164-D4B4-4CEE-9990-58C2DCBE4B1D}"/>
    <cellStyle name="Normal 17 11 2 4 2 2" xfId="15033" xr:uid="{99D9E06F-1AD9-4040-B835-602C9709B445}"/>
    <cellStyle name="Normal 17 11 2 4 2 2 2" xfId="31237" xr:uid="{B4D1A013-663C-4B3C-A3B5-FD3FD327BDC4}"/>
    <cellStyle name="Normal 17 11 2 4 2 3" xfId="23728" xr:uid="{2AEF1074-587F-42F5-AB0E-F1EBB68728B0}"/>
    <cellStyle name="Normal 17 11 2 4 3" xfId="11424" xr:uid="{4BAC00E1-C4D5-4F71-88D8-2EF5C3BF495F}"/>
    <cellStyle name="Normal 17 11 2 4 3 2" xfId="27628" xr:uid="{4EB1D252-B00E-41F4-9121-2080E2BDA5CE}"/>
    <cellStyle name="Normal 17 11 2 4 4" xfId="20023" xr:uid="{4CE993C3-7654-41C3-B2D5-416D6A3B5269}"/>
    <cellStyle name="Normal 17 11 2 5" xfId="4283" xr:uid="{731AB326-B737-47E5-B09F-49AFF9FECF61}"/>
    <cellStyle name="Normal 17 11 2 5 2" xfId="7953" xr:uid="{BD557285-2ED5-4D03-AD87-AD63E810D31A}"/>
    <cellStyle name="Normal 17 11 2 5 2 2" xfId="15460" xr:uid="{B4852F87-8265-4160-86C0-67A15D184A4A}"/>
    <cellStyle name="Normal 17 11 2 5 2 2 2" xfId="31664" xr:uid="{D5780F9D-C542-4EBD-B587-3C02A356D1DD}"/>
    <cellStyle name="Normal 17 11 2 5 2 3" xfId="24157" xr:uid="{4627F4E9-1EB8-4AA1-A1EE-32C030F793AD}"/>
    <cellStyle name="Normal 17 11 2 5 3" xfId="11846" xr:uid="{AD16BE87-8C04-4AFC-944C-28002F7344FB}"/>
    <cellStyle name="Normal 17 11 2 5 3 2" xfId="28050" xr:uid="{1434D97D-85C9-432C-9B63-27EB004769D6}"/>
    <cellStyle name="Normal 17 11 2 5 4" xfId="20487" xr:uid="{3FF1B1CD-77A2-4805-BD23-DFFF914B1110}"/>
    <cellStyle name="Normal 17 11 2 6" xfId="4708" xr:uid="{9DEA61D6-4F9F-41E5-A7BB-5C69E6710C0B}"/>
    <cellStyle name="Normal 17 11 2 6 2" xfId="8378" xr:uid="{7237A641-60DB-453E-AF53-2092A691CE86}"/>
    <cellStyle name="Normal 17 11 2 6 2 2" xfId="15885" xr:uid="{03FECE87-BF2C-49C9-9D99-47E7F22163CC}"/>
    <cellStyle name="Normal 17 11 2 6 2 2 2" xfId="32089" xr:uid="{53EAF94B-EF8F-463C-A11B-F6CB1495E420}"/>
    <cellStyle name="Normal 17 11 2 6 2 3" xfId="24582" xr:uid="{CC0FEDA3-5A8D-458E-BDAA-CF562C4084E6}"/>
    <cellStyle name="Normal 17 11 2 6 3" xfId="12271" xr:uid="{C834B05C-43DB-4F4D-8D99-32276D3DBD75}"/>
    <cellStyle name="Normal 17 11 2 6 3 2" xfId="28475" xr:uid="{8E159962-E404-48F3-BB84-5A265E574D50}"/>
    <cellStyle name="Normal 17 11 2 6 4" xfId="20912" xr:uid="{B1ABDAEF-0D8D-41D6-A3DB-0A5987B1EF8A}"/>
    <cellStyle name="Normal 17 11 2 7" xfId="5136" xr:uid="{00EB2FC7-7AC6-459D-97B8-40E016455636}"/>
    <cellStyle name="Normal 17 11 2 7 2" xfId="8801" xr:uid="{E85049F3-62AB-4152-B649-5867C3081B09}"/>
    <cellStyle name="Normal 17 11 2 7 2 2" xfId="16308" xr:uid="{A768939D-70D1-4787-9DED-37FC2B4DB143}"/>
    <cellStyle name="Normal 17 11 2 7 2 2 2" xfId="32512" xr:uid="{A592B0E5-84E0-4812-B902-F1626177BC60}"/>
    <cellStyle name="Normal 17 11 2 7 2 3" xfId="25005" xr:uid="{D278D6DE-C8F1-4349-B3A6-E4EA27A8AD90}"/>
    <cellStyle name="Normal 17 11 2 7 3" xfId="12693" xr:uid="{5614B344-3E08-456A-A2AB-82EBF60AAA32}"/>
    <cellStyle name="Normal 17 11 2 7 3 2" xfId="28897" xr:uid="{A005B61A-BDF3-481B-AB23-FEFBE289930C}"/>
    <cellStyle name="Normal 17 11 2 7 4" xfId="21340" xr:uid="{FE0F5F21-98F5-4A93-929F-3B06685AB012}"/>
    <cellStyle name="Normal 17 11 2 8" xfId="5807" xr:uid="{47626630-0BD4-4530-989E-9001E53749C4}"/>
    <cellStyle name="Normal 17 11 2 8 2" xfId="13322" xr:uid="{4083EF42-4228-4458-9B9C-9B2F0C11E55B}"/>
    <cellStyle name="Normal 17 11 2 8 2 2" xfId="29526" xr:uid="{5C38C1B7-183E-4959-88A4-1669391EE60F}"/>
    <cellStyle name="Normal 17 11 2 8 3" xfId="22011" xr:uid="{3A2DC2DC-D26F-4F80-A6DA-56850D57AA6F}"/>
    <cellStyle name="Normal 17 11 2 9" xfId="9734" xr:uid="{C05EF703-4E8F-4460-AEAC-90A29FE3F086}"/>
    <cellStyle name="Normal 17 11 2 9 2" xfId="25938" xr:uid="{40755818-E81D-4E4A-9616-75163F03D199}"/>
    <cellStyle name="Normal 17 11 3" xfId="2110" xr:uid="{7ECB026A-2292-46E9-9C44-38BA2172ADE7}"/>
    <cellStyle name="Normal 17 11 3 2" xfId="3023" xr:uid="{F41A1CAB-7FC9-4B7D-B4A0-8C7B067403AA}"/>
    <cellStyle name="Normal 17 11 3 2 2" xfId="6805" xr:uid="{ABDA38AE-4989-4EE8-9FA3-386F9B1F2B9F}"/>
    <cellStyle name="Normal 17 11 3 2 2 2" xfId="14316" xr:uid="{D2D3FCE3-8EBE-42BF-BCAB-6852BCB4929E}"/>
    <cellStyle name="Normal 17 11 3 2 2 2 2" xfId="30520" xr:uid="{6C106984-2B16-4FFF-A8EC-03F3197878F3}"/>
    <cellStyle name="Normal 17 11 3 2 2 3" xfId="23009" xr:uid="{E1859264-3A74-442F-BD94-405E82BB553F}"/>
    <cellStyle name="Normal 17 11 3 2 3" xfId="10716" xr:uid="{0A5E6E12-9E4B-404B-9BC7-F9D4D8C31632}"/>
    <cellStyle name="Normal 17 11 3 2 3 2" xfId="26920" xr:uid="{D6214319-013B-49DF-8344-579427F0B53E}"/>
    <cellStyle name="Normal 17 11 3 2 4" xfId="19243" xr:uid="{91AC5968-1A30-409E-9416-B0B0D0A75890}"/>
    <cellStyle name="Normal 17 11 3 3" xfId="5949" xr:uid="{3D8E09FE-3272-4CD9-B988-5F4B759FCFBA}"/>
    <cellStyle name="Normal 17 11 3 3 2" xfId="13463" xr:uid="{DD25DDA0-B6E1-4B3E-A498-9A30B72C9DC3}"/>
    <cellStyle name="Normal 17 11 3 3 2 2" xfId="29667" xr:uid="{4ABB4EA4-D520-47A7-AD42-83EFB2B96C3F}"/>
    <cellStyle name="Normal 17 11 3 3 3" xfId="22153" xr:uid="{44210BD4-3C1A-4CFE-991B-B3E42C9A7AD3}"/>
    <cellStyle name="Normal 17 11 3 4" xfId="9872" xr:uid="{D563D306-D5AC-47B3-BC55-3A55BA63076A}"/>
    <cellStyle name="Normal 17 11 3 4 2" xfId="26076" xr:uid="{98B80921-5E03-49A7-A99B-DC383137C4C6}"/>
    <cellStyle name="Normal 17 11 3 5" xfId="18397" xr:uid="{371472FE-B498-4EC6-9830-CDC5B33464B8}"/>
    <cellStyle name="Normal 17 11 4" xfId="2598" xr:uid="{C9B94202-45A2-44D9-B988-0F099BB7ECAE}"/>
    <cellStyle name="Normal 17 11 4 2" xfId="6382" xr:uid="{44BB1111-1B08-4999-81CE-029505A5D4F9}"/>
    <cellStyle name="Normal 17 11 4 2 2" xfId="13894" xr:uid="{EF2A1800-709E-4BB7-8B3C-12150F9F237A}"/>
    <cellStyle name="Normal 17 11 4 2 2 2" xfId="30098" xr:uid="{C8E86E1F-87FC-41CC-99DF-7A98CA7D52C6}"/>
    <cellStyle name="Normal 17 11 4 2 3" xfId="22586" xr:uid="{8F44DCED-F92A-4471-A7FF-13CDDA97E453}"/>
    <cellStyle name="Normal 17 11 4 3" xfId="10294" xr:uid="{8678DE06-066C-4AC3-944B-1B18EAC518B4}"/>
    <cellStyle name="Normal 17 11 4 3 2" xfId="26498" xr:uid="{23CF02B8-FC20-4773-84EF-4A346207C92F}"/>
    <cellStyle name="Normal 17 11 4 4" xfId="18820" xr:uid="{7907D805-5CA0-41DB-913B-EC3D90602AA4}"/>
    <cellStyle name="Normal 17 11 5" xfId="3474" xr:uid="{79891483-0A7A-4213-AC97-51ADAB1BDBDE}"/>
    <cellStyle name="Normal 17 11 5 2" xfId="7232" xr:uid="{2B91C9BA-C8D8-4256-BB63-909A5204336E}"/>
    <cellStyle name="Normal 17 11 5 2 2" xfId="14742" xr:uid="{908426C2-D4DE-4719-AFA8-7F324BE4C12A}"/>
    <cellStyle name="Normal 17 11 5 2 2 2" xfId="30946" xr:uid="{718CB18F-668A-44DE-B008-37C8D24BF203}"/>
    <cellStyle name="Normal 17 11 5 2 3" xfId="23436" xr:uid="{BD1F0DEB-D661-44B8-B102-D84CA4F84330}"/>
    <cellStyle name="Normal 17 11 5 3" xfId="11139" xr:uid="{8352CFF7-9960-4806-9A18-4E897DFFCCCD}"/>
    <cellStyle name="Normal 17 11 5 3 2" xfId="27343" xr:uid="{6FE0FC5F-6770-43FE-AFDF-227D5207E13F}"/>
    <cellStyle name="Normal 17 11 5 4" xfId="19690" xr:uid="{27585988-DBA2-497A-BE3D-CFDAD81FCB03}"/>
    <cellStyle name="Normal 17 11 6" xfId="3998" xr:uid="{B3C3C56D-C00A-4FC3-89B5-EE24EBDFC0D7}"/>
    <cellStyle name="Normal 17 11 6 2" xfId="7668" xr:uid="{9005CAE0-CC85-48EA-B2A0-9607B739A209}"/>
    <cellStyle name="Normal 17 11 6 2 2" xfId="15175" xr:uid="{EA7E9AB0-D1D8-4786-AD8F-F64E28609DF7}"/>
    <cellStyle name="Normal 17 11 6 2 2 2" xfId="31379" xr:uid="{46ED2077-8C33-4291-8990-D391E21100F9}"/>
    <cellStyle name="Normal 17 11 6 2 3" xfId="23872" xr:uid="{63F5511E-39BA-4DC6-BE0B-5822D053C383}"/>
    <cellStyle name="Normal 17 11 6 3" xfId="11561" xr:uid="{E0794F05-4241-48C3-8C3B-F05335E23430}"/>
    <cellStyle name="Normal 17 11 6 3 2" xfId="27765" xr:uid="{DD6EE0A2-C3E0-41F5-BE40-557AB5509CD7}"/>
    <cellStyle name="Normal 17 11 6 4" xfId="20202" xr:uid="{5ED282F1-7373-497B-8685-787A8B88472E}"/>
    <cellStyle name="Normal 17 11 7" xfId="4423" xr:uid="{8815EB5A-D54A-4057-AC9F-47DF4C68CEFD}"/>
    <cellStyle name="Normal 17 11 7 2" xfId="8093" xr:uid="{AD509265-C60C-4245-A837-9E31381B3E4A}"/>
    <cellStyle name="Normal 17 11 7 2 2" xfId="15600" xr:uid="{EEBE7408-F507-46D7-9742-FC67040D2E7F}"/>
    <cellStyle name="Normal 17 11 7 2 2 2" xfId="31804" xr:uid="{A4396358-A268-445F-9411-9D03ED0074BA}"/>
    <cellStyle name="Normal 17 11 7 2 3" xfId="24297" xr:uid="{A07DC7C4-1F0E-4CF0-BAE7-B81682E45578}"/>
    <cellStyle name="Normal 17 11 7 3" xfId="11986" xr:uid="{86045C89-5385-4EB5-8292-C5EBC812A0AF}"/>
    <cellStyle name="Normal 17 11 7 3 2" xfId="28190" xr:uid="{340D090A-4FD6-4EED-B454-C975BE7E7477}"/>
    <cellStyle name="Normal 17 11 7 4" xfId="20627" xr:uid="{1C589D9C-845B-453A-AFE6-9386D49AF5FD}"/>
    <cellStyle name="Normal 17 11 8" xfId="4847" xr:uid="{C9D092B9-8BC1-4CBB-A04E-A0709D698B08}"/>
    <cellStyle name="Normal 17 11 8 2" xfId="8516" xr:uid="{E1BC1826-5A34-479E-AB61-039BF819B0F4}"/>
    <cellStyle name="Normal 17 11 8 2 2" xfId="16023" xr:uid="{3BBFE3B3-DEBE-47CC-8ABF-F4E0E7AFCDD8}"/>
    <cellStyle name="Normal 17 11 8 2 2 2" xfId="32227" xr:uid="{729D0B0C-B01A-4CD0-813D-5C5608E57247}"/>
    <cellStyle name="Normal 17 11 8 2 3" xfId="24720" xr:uid="{1F1BC8E9-0233-4F12-B043-C292514B37AE}"/>
    <cellStyle name="Normal 17 11 8 3" xfId="12408" xr:uid="{9A7B22EC-22C2-4062-BA87-C22B9B730DC4}"/>
    <cellStyle name="Normal 17 11 8 3 2" xfId="28612" xr:uid="{11F2C237-5FF5-4B30-92DE-327FEC6CFAF5}"/>
    <cellStyle name="Normal 17 11 8 4" xfId="21051" xr:uid="{800807BB-8B1F-406D-A3F9-19BABB123D62}"/>
    <cellStyle name="Normal 17 11 9" xfId="5334" xr:uid="{E737104D-671B-457F-9820-681E42F8B503}"/>
    <cellStyle name="Normal 17 11 9 2" xfId="12883" xr:uid="{1124290E-95C1-4BF4-99BF-44ED597BC587}"/>
    <cellStyle name="Normal 17 11 9 2 2" xfId="29087" xr:uid="{A2691BC0-1D85-4649-A1E5-4AB26CA3C3C9}"/>
    <cellStyle name="Normal 17 11 9 3" xfId="21538" xr:uid="{65ED3711-1AD2-4F6D-BCBA-8A85B11566A2}"/>
    <cellStyle name="Normal 17 12" xfId="609" xr:uid="{A244C4B0-DBC6-48A7-91EB-1FEFF6F7B5DD}"/>
    <cellStyle name="Normal 17 12 10" xfId="9516" xr:uid="{69863652-CB8B-44FE-9270-14812D62E758}"/>
    <cellStyle name="Normal 17 12 10 2" xfId="25720" xr:uid="{444168A2-227E-4B92-81A1-D8E432A063AA}"/>
    <cellStyle name="Normal 17 12 11" xfId="18033" xr:uid="{E193BCB3-6F4E-4713-8D61-327D8D8E799C}"/>
    <cellStyle name="Normal 17 12 2" xfId="1956" xr:uid="{3E9714D9-DF0E-424B-B61B-B795C72F1F84}"/>
    <cellStyle name="Normal 17 12 2 10" xfId="18259" xr:uid="{E4F5C6E6-E0B8-408B-AF4C-2504F1CD98B3}"/>
    <cellStyle name="Normal 17 12 2 2" xfId="2462" xr:uid="{678943EC-7022-428F-BEE7-33547BC80ED0}"/>
    <cellStyle name="Normal 17 12 2 2 2" xfId="3309" xr:uid="{5CF0A152-B038-44B9-BACD-502F2C2FF31A}"/>
    <cellStyle name="Normal 17 12 2 2 2 2" xfId="7091" xr:uid="{72B497C9-898F-429D-8666-B918A54ED9E9}"/>
    <cellStyle name="Normal 17 12 2 2 2 2 2" xfId="14602" xr:uid="{07DF0471-D280-4941-8F0C-92A635ABD6F9}"/>
    <cellStyle name="Normal 17 12 2 2 2 2 2 2" xfId="30806" xr:uid="{E4C6DC9E-7910-4677-9A6A-2F1B9EBBD429}"/>
    <cellStyle name="Normal 17 12 2 2 2 2 3" xfId="23295" xr:uid="{6A12FD66-C811-4AAE-BB2C-F4037A69A54E}"/>
    <cellStyle name="Normal 17 12 2 2 2 3" xfId="11002" xr:uid="{46CB835A-6F58-40DE-9CC5-FB28262F7D94}"/>
    <cellStyle name="Normal 17 12 2 2 2 3 2" xfId="27206" xr:uid="{D025D97E-3223-42DE-B83E-2042CAB75112}"/>
    <cellStyle name="Normal 17 12 2 2 2 4" xfId="19529" xr:uid="{F92A3976-349A-41C4-BF9A-3AE6EF20E6C0}"/>
    <cellStyle name="Normal 17 12 2 2 3" xfId="6246" xr:uid="{2CB7C566-9410-4AFC-B5F5-BFB4D116FD6F}"/>
    <cellStyle name="Normal 17 12 2 2 3 2" xfId="13758" xr:uid="{08A2BB79-32FF-440A-9DF3-6476037AFCFF}"/>
    <cellStyle name="Normal 17 12 2 2 3 2 2" xfId="29962" xr:uid="{E42A2B58-682A-4A53-9505-F41E0BCBADFA}"/>
    <cellStyle name="Normal 17 12 2 2 3 3" xfId="22450" xr:uid="{DE015701-05C5-42C4-8217-2FACC820BA90}"/>
    <cellStyle name="Normal 17 12 2 2 4" xfId="10158" xr:uid="{4378E27B-E958-4FB2-8FF0-25DBD2602057}"/>
    <cellStyle name="Normal 17 12 2 2 4 2" xfId="26362" xr:uid="{1EE601EC-3F20-42C8-9767-AFEAF1A0B980}"/>
    <cellStyle name="Normal 17 12 2 2 5" xfId="18684" xr:uid="{AF3240E5-D590-43E9-80B3-65B80EA76101}"/>
    <cellStyle name="Normal 17 12 2 3" xfId="2884" xr:uid="{7224E949-7CAD-454F-90E5-9AA05EDF5F63}"/>
    <cellStyle name="Normal 17 12 2 3 2" xfId="6668" xr:uid="{6642FDD9-2C81-4FED-8D00-5F00D761D296}"/>
    <cellStyle name="Normal 17 12 2 3 2 2" xfId="14180" xr:uid="{C35D5C43-288E-481B-B2BF-83FD704B0B91}"/>
    <cellStyle name="Normal 17 12 2 3 2 2 2" xfId="30384" xr:uid="{767C46D5-2721-4AC2-96F5-4AD7FC93E9E4}"/>
    <cellStyle name="Normal 17 12 2 3 2 3" xfId="22872" xr:uid="{4C2BBF7A-0D8F-4508-ADA7-6FA8C426BF0C}"/>
    <cellStyle name="Normal 17 12 2 3 3" xfId="10580" xr:uid="{C32ECE7A-1639-4E17-A083-A3B73E689774}"/>
    <cellStyle name="Normal 17 12 2 3 3 2" xfId="26784" xr:uid="{1A2F1D17-1AF7-4AC9-9E86-78A3528F602E}"/>
    <cellStyle name="Normal 17 12 2 3 4" xfId="19106" xr:uid="{4A3554CE-A054-446A-A8EF-7B9913872B80}"/>
    <cellStyle name="Normal 17 12 2 4" xfId="3815" xr:uid="{4147EE91-25C4-48E8-9078-1CC207DC7935}"/>
    <cellStyle name="Normal 17 12 2 4 2" xfId="7525" xr:uid="{BC4270DD-016C-4348-8309-18F3AB976AE5}"/>
    <cellStyle name="Normal 17 12 2 4 2 2" xfId="15034" xr:uid="{89F482DC-F576-4A6A-A42D-C54BF263A2A7}"/>
    <cellStyle name="Normal 17 12 2 4 2 2 2" xfId="31238" xr:uid="{3CACAB62-F38F-42AA-9877-BC537E84F891}"/>
    <cellStyle name="Normal 17 12 2 4 2 3" xfId="23729" xr:uid="{B1D14194-D0D8-4123-922B-CD262425E511}"/>
    <cellStyle name="Normal 17 12 2 4 3" xfId="11425" xr:uid="{9A814828-5940-41FF-BE6D-57F1F18654CF}"/>
    <cellStyle name="Normal 17 12 2 4 3 2" xfId="27629" xr:uid="{EEF9CA0C-FDF5-4B6E-86F3-52DD7D2F22A5}"/>
    <cellStyle name="Normal 17 12 2 4 4" xfId="20024" xr:uid="{9C2D1F0F-EC55-4F3F-B292-DDB8E79BB75C}"/>
    <cellStyle name="Normal 17 12 2 5" xfId="4284" xr:uid="{F6AEAAFC-63B7-4DA6-B363-B1BB1E19CF66}"/>
    <cellStyle name="Normal 17 12 2 5 2" xfId="7954" xr:uid="{C2EB6FDF-89E1-452D-847E-AF27FD0E1807}"/>
    <cellStyle name="Normal 17 12 2 5 2 2" xfId="15461" xr:uid="{67372F19-7F07-4F21-9E66-982E4C27049A}"/>
    <cellStyle name="Normal 17 12 2 5 2 2 2" xfId="31665" xr:uid="{162E52D1-C69C-4926-9949-C1C23A59813A}"/>
    <cellStyle name="Normal 17 12 2 5 2 3" xfId="24158" xr:uid="{B9AFCAD3-B822-4BBB-A1C1-E3656F78202C}"/>
    <cellStyle name="Normal 17 12 2 5 3" xfId="11847" xr:uid="{25C4341F-1685-4E89-A8EA-C53D0B74A4B9}"/>
    <cellStyle name="Normal 17 12 2 5 3 2" xfId="28051" xr:uid="{EA3EE4E7-ED53-448C-9C81-D2D67B421A48}"/>
    <cellStyle name="Normal 17 12 2 5 4" xfId="20488" xr:uid="{61DCD78F-727B-409D-BBA8-6E371CB52177}"/>
    <cellStyle name="Normal 17 12 2 6" xfId="4709" xr:uid="{2423CE3C-59A8-4CFE-9BB6-EC8CB737C611}"/>
    <cellStyle name="Normal 17 12 2 6 2" xfId="8379" xr:uid="{2F896EEA-FCC5-4C37-B611-FDBEDCCDE2D1}"/>
    <cellStyle name="Normal 17 12 2 6 2 2" xfId="15886" xr:uid="{714B032D-791F-486C-B675-7CEFB0E172EF}"/>
    <cellStyle name="Normal 17 12 2 6 2 2 2" xfId="32090" xr:uid="{DDF13092-72EA-48F4-ADDF-EC9289A6ED05}"/>
    <cellStyle name="Normal 17 12 2 6 2 3" xfId="24583" xr:uid="{ED73C897-0D0D-4B03-8BA9-7962A55FAB7E}"/>
    <cellStyle name="Normal 17 12 2 6 3" xfId="12272" xr:uid="{909D5ABF-2025-42D7-99C5-66DB49CE2355}"/>
    <cellStyle name="Normal 17 12 2 6 3 2" xfId="28476" xr:uid="{DFCD5D83-F1A8-4A44-9427-FE62597A6862}"/>
    <cellStyle name="Normal 17 12 2 6 4" xfId="20913" xr:uid="{1DF72DFE-3559-4AAE-8870-926BC5E8607B}"/>
    <cellStyle name="Normal 17 12 2 7" xfId="5137" xr:uid="{BA815046-704B-440D-AC57-5172B1E35161}"/>
    <cellStyle name="Normal 17 12 2 7 2" xfId="8802" xr:uid="{1744442D-7F79-4D0C-9A9D-A47478770462}"/>
    <cellStyle name="Normal 17 12 2 7 2 2" xfId="16309" xr:uid="{30394802-355F-4E25-AC29-ECBBAD7535A7}"/>
    <cellStyle name="Normal 17 12 2 7 2 2 2" xfId="32513" xr:uid="{3AC3E814-7800-4B6F-AA29-EC3A6C54B41A}"/>
    <cellStyle name="Normal 17 12 2 7 2 3" xfId="25006" xr:uid="{50AEDEC6-3BA1-434F-91DC-415821450F26}"/>
    <cellStyle name="Normal 17 12 2 7 3" xfId="12694" xr:uid="{CE947B63-DC76-45F0-83E0-2DDA83BF8F12}"/>
    <cellStyle name="Normal 17 12 2 7 3 2" xfId="28898" xr:uid="{742FB032-A69E-420F-A2F5-DCADC641F85E}"/>
    <cellStyle name="Normal 17 12 2 7 4" xfId="21341" xr:uid="{BD4746DB-5EED-4019-B47C-F0761650ABC0}"/>
    <cellStyle name="Normal 17 12 2 8" xfId="5808" xr:uid="{EC103FD9-B0AB-4CF3-820A-C581CCA8851D}"/>
    <cellStyle name="Normal 17 12 2 8 2" xfId="13323" xr:uid="{7AA25770-667E-486D-8B30-C026B9A2363A}"/>
    <cellStyle name="Normal 17 12 2 8 2 2" xfId="29527" xr:uid="{1DF973E0-0483-49EE-8C15-3DD3FEFFD234}"/>
    <cellStyle name="Normal 17 12 2 8 3" xfId="22012" xr:uid="{7B115884-A14D-40DF-9F4D-4E8AC344FF17}"/>
    <cellStyle name="Normal 17 12 2 9" xfId="9735" xr:uid="{1E4985D8-5B14-49CD-ADF6-D806CA3CB506}"/>
    <cellStyle name="Normal 17 12 2 9 2" xfId="25939" xr:uid="{57EB229D-9D79-4534-ABDB-C9293DE1117E}"/>
    <cellStyle name="Normal 17 12 3" xfId="2177" xr:uid="{EA6A5719-957B-4B55-841A-419EBE2EF44E}"/>
    <cellStyle name="Normal 17 12 3 2" xfId="3090" xr:uid="{993C6691-2DB2-4542-BA89-F24AB4D161ED}"/>
    <cellStyle name="Normal 17 12 3 2 2" xfId="6872" xr:uid="{905E5399-3128-4642-9E21-0940E1DD65DA}"/>
    <cellStyle name="Normal 17 12 3 2 2 2" xfId="14383" xr:uid="{4F60D6DE-1474-4CB8-AF89-34C8618B7F87}"/>
    <cellStyle name="Normal 17 12 3 2 2 2 2" xfId="30587" xr:uid="{F21EA009-A774-404E-9662-566332DDA462}"/>
    <cellStyle name="Normal 17 12 3 2 2 3" xfId="23076" xr:uid="{34DD2CEF-76F9-4F49-BB97-46D4857AFC32}"/>
    <cellStyle name="Normal 17 12 3 2 3" xfId="10783" xr:uid="{BA5D71F2-7C84-4CCA-9CB6-4F3BE4CA6608}"/>
    <cellStyle name="Normal 17 12 3 2 3 2" xfId="26987" xr:uid="{C8D5AC5B-3AB4-4E59-89BA-01EB53CA4266}"/>
    <cellStyle name="Normal 17 12 3 2 4" xfId="19310" xr:uid="{DEC9BC9E-933D-4729-9150-21B42DCF7427}"/>
    <cellStyle name="Normal 17 12 3 3" xfId="6016" xr:uid="{B24DF7E9-F4A1-43BD-B256-B8E728ED8D07}"/>
    <cellStyle name="Normal 17 12 3 3 2" xfId="13530" xr:uid="{A35F4B0D-2E30-4E3A-B5A1-B9378FDD103E}"/>
    <cellStyle name="Normal 17 12 3 3 2 2" xfId="29734" xr:uid="{E1D5E739-CAA7-48A8-99DB-97786604C3B5}"/>
    <cellStyle name="Normal 17 12 3 3 3" xfId="22220" xr:uid="{CE79B018-0397-4BDA-A5DD-14817B4519FC}"/>
    <cellStyle name="Normal 17 12 3 4" xfId="9939" xr:uid="{D920E72C-F9DF-40D3-9596-FD42EFD0C230}"/>
    <cellStyle name="Normal 17 12 3 4 2" xfId="26143" xr:uid="{0F30113D-B6D7-4E68-A5EB-4303EFEA1943}"/>
    <cellStyle name="Normal 17 12 3 5" xfId="18464" xr:uid="{C94F02BC-258B-430B-AE18-6DD0DE3B9D5D}"/>
    <cellStyle name="Normal 17 12 4" xfId="2665" xr:uid="{02CFED42-5A60-4C8A-8410-DDC5C2948182}"/>
    <cellStyle name="Normal 17 12 4 2" xfId="6449" xr:uid="{2DE5A3F0-F888-4CA4-8F9F-C44C9A5780BD}"/>
    <cellStyle name="Normal 17 12 4 2 2" xfId="13961" xr:uid="{82E9EAFF-0203-4206-A1D3-CBEAE3FAC3EB}"/>
    <cellStyle name="Normal 17 12 4 2 2 2" xfId="30165" xr:uid="{6584E4C2-8F55-4389-8889-8241C03E258B}"/>
    <cellStyle name="Normal 17 12 4 2 3" xfId="22653" xr:uid="{34E7413F-FB2D-4F63-A99F-9E4B2972B699}"/>
    <cellStyle name="Normal 17 12 4 3" xfId="10361" xr:uid="{4749C5E1-DD2E-4EB6-BCAA-00A222A69C61}"/>
    <cellStyle name="Normal 17 12 4 3 2" xfId="26565" xr:uid="{FBA2456E-ED8F-4071-A3F8-CA8B862F0629}"/>
    <cellStyle name="Normal 17 12 4 4" xfId="18887" xr:uid="{BAE67AE6-BFF0-45E4-AD04-1DDA5C24F10F}"/>
    <cellStyle name="Normal 17 12 5" xfId="3541" xr:uid="{87F98A49-BFA6-4217-BE9B-3B33960B8EA4}"/>
    <cellStyle name="Normal 17 12 5 2" xfId="7299" xr:uid="{6EBC3AB1-3779-4A04-9EAF-75992BC767DB}"/>
    <cellStyle name="Normal 17 12 5 2 2" xfId="14809" xr:uid="{8E5A8A9B-2BA5-4C4B-B14B-0AC062979F68}"/>
    <cellStyle name="Normal 17 12 5 2 2 2" xfId="31013" xr:uid="{17844414-8283-4572-AB37-AA6567560B4D}"/>
    <cellStyle name="Normal 17 12 5 2 3" xfId="23503" xr:uid="{6DFBED04-B094-408D-8DEA-470D4322CB8E}"/>
    <cellStyle name="Normal 17 12 5 3" xfId="11206" xr:uid="{501EB51B-8055-4998-9ED5-4AE15768E5A3}"/>
    <cellStyle name="Normal 17 12 5 3 2" xfId="27410" xr:uid="{A0142716-84F7-4BDF-BF8C-93ABBCF0C0E6}"/>
    <cellStyle name="Normal 17 12 5 4" xfId="19757" xr:uid="{4C354CE9-F57E-42A4-AAD0-561E1B1BDC90}"/>
    <cellStyle name="Normal 17 12 6" xfId="4065" xr:uid="{D10B5967-4934-4167-A3FB-B3DED8BA65A0}"/>
    <cellStyle name="Normal 17 12 6 2" xfId="7735" xr:uid="{C7CCF531-C809-4A96-9B9E-1814DA28FE20}"/>
    <cellStyle name="Normal 17 12 6 2 2" xfId="15242" xr:uid="{1C2946D4-E558-4D22-87C6-E84978E870F7}"/>
    <cellStyle name="Normal 17 12 6 2 2 2" xfId="31446" xr:uid="{F22F14BC-8370-4EB5-B222-1BD286AAD728}"/>
    <cellStyle name="Normal 17 12 6 2 3" xfId="23939" xr:uid="{FA7047DA-B59A-4D52-B09E-F914888120F0}"/>
    <cellStyle name="Normal 17 12 6 3" xfId="11628" xr:uid="{47A76FD8-969B-4548-8A79-2629006EF464}"/>
    <cellStyle name="Normal 17 12 6 3 2" xfId="27832" xr:uid="{BD0D488D-FCF9-454C-83E3-2326C1E8005A}"/>
    <cellStyle name="Normal 17 12 6 4" xfId="20269" xr:uid="{B7CD032A-821A-481C-8CDD-9EE2CFF0AEDB}"/>
    <cellStyle name="Normal 17 12 7" xfId="4490" xr:uid="{35CDE369-2E39-4328-93B1-2CAD2E8FBF84}"/>
    <cellStyle name="Normal 17 12 7 2" xfId="8160" xr:uid="{4D425AD9-ECBC-463B-8F59-022FC537D50F}"/>
    <cellStyle name="Normal 17 12 7 2 2" xfId="15667" xr:uid="{7BD87422-D6EB-492F-A458-8E3EF6D88657}"/>
    <cellStyle name="Normal 17 12 7 2 2 2" xfId="31871" xr:uid="{69ED7A24-F9B1-47C7-8452-FC15EAA8A2D0}"/>
    <cellStyle name="Normal 17 12 7 2 3" xfId="24364" xr:uid="{6E7E2FB3-E32E-437E-B41A-D48B57661639}"/>
    <cellStyle name="Normal 17 12 7 3" xfId="12053" xr:uid="{7ED03E8C-A766-4E90-9417-EF24674AE5C0}"/>
    <cellStyle name="Normal 17 12 7 3 2" xfId="28257" xr:uid="{E1D063E5-8265-4A76-ABE0-9C5A7D6B0035}"/>
    <cellStyle name="Normal 17 12 7 4" xfId="20694" xr:uid="{5A2635F6-E67F-4E8D-8CB4-40A219120DDA}"/>
    <cellStyle name="Normal 17 12 8" xfId="4915" xr:uid="{64B564AC-CC0C-417C-B3A0-065D952F09E5}"/>
    <cellStyle name="Normal 17 12 8 2" xfId="8583" xr:uid="{210865E1-7EF8-4A4D-A2B7-B64A5C570FFB}"/>
    <cellStyle name="Normal 17 12 8 2 2" xfId="16090" xr:uid="{A94485EC-4164-467F-95B7-97544CBBE562}"/>
    <cellStyle name="Normal 17 12 8 2 2 2" xfId="32294" xr:uid="{BBB5480F-901D-4142-9012-4604A7B58CF2}"/>
    <cellStyle name="Normal 17 12 8 2 3" xfId="24787" xr:uid="{8AC91212-41AC-40D7-95F5-5AA78DDF8271}"/>
    <cellStyle name="Normal 17 12 8 3" xfId="12475" xr:uid="{C52AEA00-02CF-4045-98E2-A52FD7322565}"/>
    <cellStyle name="Normal 17 12 8 3 2" xfId="28679" xr:uid="{0020AA5D-6198-4966-8ECB-CCA6CB7B62CE}"/>
    <cellStyle name="Normal 17 12 8 4" xfId="21119" xr:uid="{6219FE73-E813-46A3-B246-C1B7E0352BB7}"/>
    <cellStyle name="Normal 17 12 9" xfId="5401" xr:uid="{59150440-0F42-4ECD-8246-35D45DD0F72A}"/>
    <cellStyle name="Normal 17 12 9 2" xfId="12950" xr:uid="{85269488-F041-4A94-A1D4-EA6CCC0CA643}"/>
    <cellStyle name="Normal 17 12 9 2 2" xfId="29154" xr:uid="{34D71266-E2E4-42A8-A756-A164A2C0155C}"/>
    <cellStyle name="Normal 17 12 9 3" xfId="21605" xr:uid="{477DDD7F-F6CC-4B39-9E9D-45199D115E10}"/>
    <cellStyle name="Normal 17 13" xfId="624" xr:uid="{EB83CA1B-0602-4FA4-A4F5-947BAEA89574}"/>
    <cellStyle name="Normal 17 13 10" xfId="9517" xr:uid="{93B43DD7-EB6E-4BB9-B302-63662ACF214B}"/>
    <cellStyle name="Normal 17 13 10 2" xfId="25721" xr:uid="{5E1B83AD-97EF-4E17-8629-CA676EB45DC6}"/>
    <cellStyle name="Normal 17 13 11" xfId="18034" xr:uid="{6DA405FD-EEA8-4E78-814F-95A6C2EF15B3}"/>
    <cellStyle name="Normal 17 13 2" xfId="1957" xr:uid="{013A3134-C1FC-40D8-A371-CDDFDA45488F}"/>
    <cellStyle name="Normal 17 13 2 10" xfId="18260" xr:uid="{5A969FBD-A268-4926-86AC-B1E0256873DD}"/>
    <cellStyle name="Normal 17 13 2 2" xfId="2463" xr:uid="{1579AB54-A5B3-4913-B6C0-5D60B8E95396}"/>
    <cellStyle name="Normal 17 13 2 2 2" xfId="3310" xr:uid="{A32C757C-C832-4168-9D6F-E5723041E9D4}"/>
    <cellStyle name="Normal 17 13 2 2 2 2" xfId="7092" xr:uid="{ED282A1C-7CDB-4902-9592-AC44CCDC40A4}"/>
    <cellStyle name="Normal 17 13 2 2 2 2 2" xfId="14603" xr:uid="{312778EF-3CA4-44C2-91E8-1845ABC90927}"/>
    <cellStyle name="Normal 17 13 2 2 2 2 2 2" xfId="30807" xr:uid="{7907CB44-51EB-46D9-A4BC-608A857A20DC}"/>
    <cellStyle name="Normal 17 13 2 2 2 2 3" xfId="23296" xr:uid="{7EE09C7A-4B00-4F3D-8FD5-C25656D1B77C}"/>
    <cellStyle name="Normal 17 13 2 2 2 3" xfId="11003" xr:uid="{8C325F3D-DCD1-4736-A001-2F7958E21C61}"/>
    <cellStyle name="Normal 17 13 2 2 2 3 2" xfId="27207" xr:uid="{688BBE30-ED61-4CD1-B871-4345CED2AC04}"/>
    <cellStyle name="Normal 17 13 2 2 2 4" xfId="19530" xr:uid="{F39592ED-81B7-4715-8F08-B4B957572A17}"/>
    <cellStyle name="Normal 17 13 2 2 3" xfId="6247" xr:uid="{A607118C-A0EE-4B38-9D35-5BF03E943560}"/>
    <cellStyle name="Normal 17 13 2 2 3 2" xfId="13759" xr:uid="{B272F084-A491-4789-8389-310F46AC915C}"/>
    <cellStyle name="Normal 17 13 2 2 3 2 2" xfId="29963" xr:uid="{EC656C2F-1A26-4404-BCAE-7613FD824CD2}"/>
    <cellStyle name="Normal 17 13 2 2 3 3" xfId="22451" xr:uid="{82BD96F6-5425-4302-913C-1C7A713C4482}"/>
    <cellStyle name="Normal 17 13 2 2 4" xfId="10159" xr:uid="{F8F02006-C182-4E48-9E72-0FBD5AA8FD78}"/>
    <cellStyle name="Normal 17 13 2 2 4 2" xfId="26363" xr:uid="{9C038A73-3C6A-4AA5-9FAB-473541E8E8EE}"/>
    <cellStyle name="Normal 17 13 2 2 5" xfId="18685" xr:uid="{194E9CDC-A9A9-4A66-A370-46B9DCD7361D}"/>
    <cellStyle name="Normal 17 13 2 3" xfId="2885" xr:uid="{EF1D1725-0294-4207-8142-B66B12A28AD2}"/>
    <cellStyle name="Normal 17 13 2 3 2" xfId="6669" xr:uid="{437A2CB7-35FD-4E80-A05A-F49A5CEF3AD5}"/>
    <cellStyle name="Normal 17 13 2 3 2 2" xfId="14181" xr:uid="{FCB2D7BA-5697-4A68-8B94-7986B428AD15}"/>
    <cellStyle name="Normal 17 13 2 3 2 2 2" xfId="30385" xr:uid="{5943543D-C631-4FB5-9198-087D014096C4}"/>
    <cellStyle name="Normal 17 13 2 3 2 3" xfId="22873" xr:uid="{1863EF6D-7ED4-48FA-8644-621A1175B0F7}"/>
    <cellStyle name="Normal 17 13 2 3 3" xfId="10581" xr:uid="{F1574730-397B-420A-AD28-0B6E075C1B34}"/>
    <cellStyle name="Normal 17 13 2 3 3 2" xfId="26785" xr:uid="{EE830F9B-E26E-4230-B300-9C9893FBA44A}"/>
    <cellStyle name="Normal 17 13 2 3 4" xfId="19107" xr:uid="{4D8C3E81-97FE-4571-90DA-2A5496C6FC1E}"/>
    <cellStyle name="Normal 17 13 2 4" xfId="3816" xr:uid="{19606F27-C9CB-480D-8409-091F1174232A}"/>
    <cellStyle name="Normal 17 13 2 4 2" xfId="7526" xr:uid="{2567658F-975E-4C07-B057-C4C1139ADFA0}"/>
    <cellStyle name="Normal 17 13 2 4 2 2" xfId="15035" xr:uid="{5B887710-54D6-4E0D-8037-2DD33389DB4C}"/>
    <cellStyle name="Normal 17 13 2 4 2 2 2" xfId="31239" xr:uid="{8ABCA5D4-C993-4C91-A1FE-703896176B1F}"/>
    <cellStyle name="Normal 17 13 2 4 2 3" xfId="23730" xr:uid="{92F8621E-3DE3-474E-BF52-E9C51D8683FD}"/>
    <cellStyle name="Normal 17 13 2 4 3" xfId="11426" xr:uid="{7B16F6BF-C0FB-4924-9B6F-69B0E530EDEB}"/>
    <cellStyle name="Normal 17 13 2 4 3 2" xfId="27630" xr:uid="{357B3C51-8D48-48D8-9DDC-EB31C97C39E0}"/>
    <cellStyle name="Normal 17 13 2 4 4" xfId="20025" xr:uid="{645EBE72-B098-453E-98CF-7B6BD52977E6}"/>
    <cellStyle name="Normal 17 13 2 5" xfId="4285" xr:uid="{75A30BB1-90CE-4DFD-86C6-994AB7DC5A7D}"/>
    <cellStyle name="Normal 17 13 2 5 2" xfId="7955" xr:uid="{23BD91C3-238A-41CF-9879-5A3B38B2C67E}"/>
    <cellStyle name="Normal 17 13 2 5 2 2" xfId="15462" xr:uid="{88C6BF71-5C5B-408B-8A79-00B93E4B3CD6}"/>
    <cellStyle name="Normal 17 13 2 5 2 2 2" xfId="31666" xr:uid="{A30B184E-3460-4D25-85E6-F61B93A7B209}"/>
    <cellStyle name="Normal 17 13 2 5 2 3" xfId="24159" xr:uid="{68354BBE-059A-41D9-BB2D-437109A04174}"/>
    <cellStyle name="Normal 17 13 2 5 3" xfId="11848" xr:uid="{19E55D6F-7CC7-4E5B-8BF9-EF17690D8CFD}"/>
    <cellStyle name="Normal 17 13 2 5 3 2" xfId="28052" xr:uid="{DF2EEAC5-11E6-40B2-AC7F-60CE54A99138}"/>
    <cellStyle name="Normal 17 13 2 5 4" xfId="20489" xr:uid="{20C23576-5B88-498D-BED0-C58960F5CEF8}"/>
    <cellStyle name="Normal 17 13 2 6" xfId="4710" xr:uid="{53762BCC-671F-434D-96B0-2F5CC01DFD40}"/>
    <cellStyle name="Normal 17 13 2 6 2" xfId="8380" xr:uid="{AB0C41CB-77F3-4EE9-986C-B397AA047835}"/>
    <cellStyle name="Normal 17 13 2 6 2 2" xfId="15887" xr:uid="{64E52F6E-97BD-4894-A615-1A97D3900114}"/>
    <cellStyle name="Normal 17 13 2 6 2 2 2" xfId="32091" xr:uid="{4C845DF1-F9D1-47C1-90D2-7D7EF97F56EF}"/>
    <cellStyle name="Normal 17 13 2 6 2 3" xfId="24584" xr:uid="{47E0FA13-0C7B-4B42-8520-31C8D9B1897B}"/>
    <cellStyle name="Normal 17 13 2 6 3" xfId="12273" xr:uid="{1B117342-0C6D-4D0A-AEB0-877A48139B2B}"/>
    <cellStyle name="Normal 17 13 2 6 3 2" xfId="28477" xr:uid="{7C13F503-C080-4D8A-818F-DAE61D074735}"/>
    <cellStyle name="Normal 17 13 2 6 4" xfId="20914" xr:uid="{4AC898E7-F715-44A2-988A-54F4726E46E9}"/>
    <cellStyle name="Normal 17 13 2 7" xfId="5138" xr:uid="{8AB1648E-2405-4D6B-960E-78D80E16C987}"/>
    <cellStyle name="Normal 17 13 2 7 2" xfId="8803" xr:uid="{BEFBF31F-4074-4EDD-94B6-E2CB1D0D508D}"/>
    <cellStyle name="Normal 17 13 2 7 2 2" xfId="16310" xr:uid="{5940F0A6-34EC-4259-96CF-0CB7E320F10F}"/>
    <cellStyle name="Normal 17 13 2 7 2 2 2" xfId="32514" xr:uid="{B041CE99-3F8B-4BF2-A385-3DB6F23EE96D}"/>
    <cellStyle name="Normal 17 13 2 7 2 3" xfId="25007" xr:uid="{EEB0B57A-B12F-43E1-A2FB-00A202520ED0}"/>
    <cellStyle name="Normal 17 13 2 7 3" xfId="12695" xr:uid="{8BA8F692-50F3-42FD-A2DE-D55B44EB7740}"/>
    <cellStyle name="Normal 17 13 2 7 3 2" xfId="28899" xr:uid="{ED2B6F73-2DF4-4B29-BB5B-CC98FACCA23E}"/>
    <cellStyle name="Normal 17 13 2 7 4" xfId="21342" xr:uid="{1BD2EA62-2AA7-400A-8CEE-65A2987ED63B}"/>
    <cellStyle name="Normal 17 13 2 8" xfId="5809" xr:uid="{B5CFB32C-59B0-4161-A760-2A321C201AD6}"/>
    <cellStyle name="Normal 17 13 2 8 2" xfId="13324" xr:uid="{BA6245FF-451A-4467-BFCE-D68EDD32E7DE}"/>
    <cellStyle name="Normal 17 13 2 8 2 2" xfId="29528" xr:uid="{34E823CB-8BB0-44A8-A9DE-DE820379B30B}"/>
    <cellStyle name="Normal 17 13 2 8 3" xfId="22013" xr:uid="{A490E141-2868-4338-B477-1026D5AAADDE}"/>
    <cellStyle name="Normal 17 13 2 9" xfId="9736" xr:uid="{F2D95CBC-36F5-4E40-8FA9-C823ED933494}"/>
    <cellStyle name="Normal 17 13 2 9 2" xfId="25940" xr:uid="{B29B6721-5C7B-455A-BB75-A09798EDD249}"/>
    <cellStyle name="Normal 17 13 3" xfId="2178" xr:uid="{C828F4EC-6B3E-47B6-9871-422EB6C0899E}"/>
    <cellStyle name="Normal 17 13 3 2" xfId="3091" xr:uid="{6CFB7A46-556B-4923-B501-22AB6984DEED}"/>
    <cellStyle name="Normal 17 13 3 2 2" xfId="6873" xr:uid="{2705E0CF-A0BE-4005-A8CF-D3E1B15C0D41}"/>
    <cellStyle name="Normal 17 13 3 2 2 2" xfId="14384" xr:uid="{AF58F1FE-8079-40DB-B9CB-EFA38D6E7238}"/>
    <cellStyle name="Normal 17 13 3 2 2 2 2" xfId="30588" xr:uid="{D69908CA-CEEC-4278-99F5-F2B67C5E8067}"/>
    <cellStyle name="Normal 17 13 3 2 2 3" xfId="23077" xr:uid="{113C252C-7D55-4C24-BCEF-8E620577E36E}"/>
    <cellStyle name="Normal 17 13 3 2 3" xfId="10784" xr:uid="{93205D6B-4818-4D5B-B096-4227D024F5F5}"/>
    <cellStyle name="Normal 17 13 3 2 3 2" xfId="26988" xr:uid="{A8613907-E9D4-471A-A777-385694A64065}"/>
    <cellStyle name="Normal 17 13 3 2 4" xfId="19311" xr:uid="{27DC84C2-44F5-43CD-B447-FBA3E853A9BF}"/>
    <cellStyle name="Normal 17 13 3 3" xfId="6017" xr:uid="{3CE99BCF-3483-435B-AE64-034466900CC8}"/>
    <cellStyle name="Normal 17 13 3 3 2" xfId="13531" xr:uid="{4E65ECC3-7DE7-41CD-ADB7-93180EA41050}"/>
    <cellStyle name="Normal 17 13 3 3 2 2" xfId="29735" xr:uid="{293CC904-9DBF-4A58-8A14-DD09C395EEC4}"/>
    <cellStyle name="Normal 17 13 3 3 3" xfId="22221" xr:uid="{2986BBF6-E6DD-4F7F-843F-B626ECB7CC6B}"/>
    <cellStyle name="Normal 17 13 3 4" xfId="9940" xr:uid="{6D594471-6659-429A-A337-3D51FEBE9B35}"/>
    <cellStyle name="Normal 17 13 3 4 2" xfId="26144" xr:uid="{62F28653-A23E-4C8E-9EF5-31C3222F1D84}"/>
    <cellStyle name="Normal 17 13 3 5" xfId="18465" xr:uid="{6DEE3DF9-A308-4DF5-8DC1-F68B09591DBD}"/>
    <cellStyle name="Normal 17 13 4" xfId="2666" xr:uid="{D5A7B19F-0FFA-49CA-B86C-94B3CDC33571}"/>
    <cellStyle name="Normal 17 13 4 2" xfId="6450" xr:uid="{9B9E23C1-7CAE-4F15-9B84-52AF26D8CCD0}"/>
    <cellStyle name="Normal 17 13 4 2 2" xfId="13962" xr:uid="{C50E741D-7BFE-4A99-82D7-C3B6E024E339}"/>
    <cellStyle name="Normal 17 13 4 2 2 2" xfId="30166" xr:uid="{19BA8381-6C6F-45B0-86EB-CF422DC5E0B1}"/>
    <cellStyle name="Normal 17 13 4 2 3" xfId="22654" xr:uid="{406E0A9F-3505-4AB4-BD82-2782D029F127}"/>
    <cellStyle name="Normal 17 13 4 3" xfId="10362" xr:uid="{051F1BD4-937C-4A9E-829D-419F6832DB69}"/>
    <cellStyle name="Normal 17 13 4 3 2" xfId="26566" xr:uid="{12B28FE3-5BF6-4AFE-8AB6-A6AF7232E243}"/>
    <cellStyle name="Normal 17 13 4 4" xfId="18888" xr:uid="{C3D9980F-334F-4213-86F5-D75249747A9C}"/>
    <cellStyle name="Normal 17 13 5" xfId="3542" xr:uid="{90BE430E-C2E2-47CB-A992-E801D0A886F1}"/>
    <cellStyle name="Normal 17 13 5 2" xfId="7300" xr:uid="{1926D0C1-6DCC-405E-AD9C-B60CD99305A7}"/>
    <cellStyle name="Normal 17 13 5 2 2" xfId="14810" xr:uid="{A8576ADB-03F4-4081-867C-BC390371495F}"/>
    <cellStyle name="Normal 17 13 5 2 2 2" xfId="31014" xr:uid="{4B5B7F1B-4957-423D-93E9-56AE84A12449}"/>
    <cellStyle name="Normal 17 13 5 2 3" xfId="23504" xr:uid="{DE5E5DB4-4052-447D-98A0-E1F3F956BC91}"/>
    <cellStyle name="Normal 17 13 5 3" xfId="11207" xr:uid="{68489F28-0A05-43E8-8920-3DB68A0B4CEC}"/>
    <cellStyle name="Normal 17 13 5 3 2" xfId="27411" xr:uid="{CBF87A89-F968-444B-A901-FB9346B43F39}"/>
    <cellStyle name="Normal 17 13 5 4" xfId="19758" xr:uid="{DDECD097-6242-4071-BE2B-809D4B030775}"/>
    <cellStyle name="Normal 17 13 6" xfId="4066" xr:uid="{8E551D9C-F6F0-41E0-AAFF-09D38991F8FC}"/>
    <cellStyle name="Normal 17 13 6 2" xfId="7736" xr:uid="{E23A63E7-626B-42A1-AB70-A9531CCDEE3F}"/>
    <cellStyle name="Normal 17 13 6 2 2" xfId="15243" xr:uid="{366C5DAC-8B23-405B-9FBF-9B3A307F7ECB}"/>
    <cellStyle name="Normal 17 13 6 2 2 2" xfId="31447" xr:uid="{D1691691-5946-4086-84CB-565E55B91C3B}"/>
    <cellStyle name="Normal 17 13 6 2 3" xfId="23940" xr:uid="{18F79DF5-1A81-46D2-BFBA-A48A91A3A1F9}"/>
    <cellStyle name="Normal 17 13 6 3" xfId="11629" xr:uid="{912CE29F-BDE5-4B42-B0F2-928EBBC58FB9}"/>
    <cellStyle name="Normal 17 13 6 3 2" xfId="27833" xr:uid="{130303F3-C8C0-4C24-8CF6-5862398A5A6B}"/>
    <cellStyle name="Normal 17 13 6 4" xfId="20270" xr:uid="{C42E7932-CB38-47E9-BF6F-2BF6118A58E3}"/>
    <cellStyle name="Normal 17 13 7" xfId="4491" xr:uid="{411A620F-1E5E-474C-A7CC-3246F368579B}"/>
    <cellStyle name="Normal 17 13 7 2" xfId="8161" xr:uid="{09AB18F2-B9A9-49E3-A2ED-69C7A15557B3}"/>
    <cellStyle name="Normal 17 13 7 2 2" xfId="15668" xr:uid="{13E9E682-BF8E-48B6-B1BF-AE7BFA2B02CB}"/>
    <cellStyle name="Normal 17 13 7 2 2 2" xfId="31872" xr:uid="{9576A0E3-F197-48F4-ADE1-88C49484890E}"/>
    <cellStyle name="Normal 17 13 7 2 3" xfId="24365" xr:uid="{694489F3-1845-4154-A377-1AF48477784E}"/>
    <cellStyle name="Normal 17 13 7 3" xfId="12054" xr:uid="{50A84540-2F6E-48C4-9B4C-6B024F3D42E9}"/>
    <cellStyle name="Normal 17 13 7 3 2" xfId="28258" xr:uid="{62A3516C-DD5E-44A6-8BBD-BE09D8E33F08}"/>
    <cellStyle name="Normal 17 13 7 4" xfId="20695" xr:uid="{BA518C35-73E7-4D31-9CF7-E722D9F3F36E}"/>
    <cellStyle name="Normal 17 13 8" xfId="4916" xr:uid="{39655D51-303F-48D7-A5E9-5E006809C172}"/>
    <cellStyle name="Normal 17 13 8 2" xfId="8584" xr:uid="{D56900D3-4906-4D61-A6D2-88A5BC04FE56}"/>
    <cellStyle name="Normal 17 13 8 2 2" xfId="16091" xr:uid="{49C8A98E-98CA-47BC-AC52-813233C4CA0E}"/>
    <cellStyle name="Normal 17 13 8 2 2 2" xfId="32295" xr:uid="{CD5AADB4-AADB-4C82-ABB3-58C710ADBEAE}"/>
    <cellStyle name="Normal 17 13 8 2 3" xfId="24788" xr:uid="{E0638335-B7C8-4465-8851-038EDAA70DCA}"/>
    <cellStyle name="Normal 17 13 8 3" xfId="12476" xr:uid="{D51431CA-8002-4B43-94D3-670471E7B82B}"/>
    <cellStyle name="Normal 17 13 8 3 2" xfId="28680" xr:uid="{3C365BE0-B8A1-4261-AFD9-87B4B31BC4EF}"/>
    <cellStyle name="Normal 17 13 8 4" xfId="21120" xr:uid="{7CA1F7A3-86E5-432C-9CDA-B00A8A66CCC1}"/>
    <cellStyle name="Normal 17 13 9" xfId="5403" xr:uid="{B0BCE390-752F-458A-B08A-860DF3E33070}"/>
    <cellStyle name="Normal 17 13 9 2" xfId="12952" xr:uid="{947AA2F2-24F4-416A-9A43-FB2F92036FBA}"/>
    <cellStyle name="Normal 17 13 9 2 2" xfId="29156" xr:uid="{EC8CB663-723C-44F2-8E0B-8D6D2DB97E75}"/>
    <cellStyle name="Normal 17 13 9 3" xfId="21607" xr:uid="{64349B5C-674B-450E-8F73-AF79AC81DCA0}"/>
    <cellStyle name="Normal 17 14" xfId="663" xr:uid="{CBBB6C61-91A0-4366-9DE6-53102637382F}"/>
    <cellStyle name="Normal 17 14 10" xfId="9518" xr:uid="{2F282724-6650-484E-BCB5-2E5FB5714D08}"/>
    <cellStyle name="Normal 17 14 10 2" xfId="25722" xr:uid="{5A19F39D-B6EE-4AA6-BDB9-6D877E47C061}"/>
    <cellStyle name="Normal 17 14 11" xfId="18035" xr:uid="{533F3102-32FA-4C60-9B06-5A2E169D4F6A}"/>
    <cellStyle name="Normal 17 14 2" xfId="1958" xr:uid="{7DD096EB-83C7-40E9-A799-E1A7B9394A18}"/>
    <cellStyle name="Normal 17 14 2 10" xfId="18261" xr:uid="{1BE183AF-A6BF-4A28-A526-0EB9DBCB1D06}"/>
    <cellStyle name="Normal 17 14 2 2" xfId="2464" xr:uid="{E11AF1BA-EB70-4170-8A15-2F1CC8E4B3AC}"/>
    <cellStyle name="Normal 17 14 2 2 2" xfId="3311" xr:uid="{21B27E45-33DA-4826-9068-2B2832983EB3}"/>
    <cellStyle name="Normal 17 14 2 2 2 2" xfId="7093" xr:uid="{10D36C52-B69A-4D1D-8ACC-2E6A0A4DE5F5}"/>
    <cellStyle name="Normal 17 14 2 2 2 2 2" xfId="14604" xr:uid="{98671E56-CEEA-4EF3-B4D1-0169D6B2C6F0}"/>
    <cellStyle name="Normal 17 14 2 2 2 2 2 2" xfId="30808" xr:uid="{CE39F6F4-CB49-460E-B643-DD4215C71E14}"/>
    <cellStyle name="Normal 17 14 2 2 2 2 3" xfId="23297" xr:uid="{DBC90E64-E715-42CE-BE11-36ED85356282}"/>
    <cellStyle name="Normal 17 14 2 2 2 3" xfId="11004" xr:uid="{CEEBDFE3-4B37-4140-8F43-C2CC60AF441F}"/>
    <cellStyle name="Normal 17 14 2 2 2 3 2" xfId="27208" xr:uid="{D27D099D-4DE0-4AEB-B831-76DF7C85E93B}"/>
    <cellStyle name="Normal 17 14 2 2 2 4" xfId="19531" xr:uid="{9BD4E373-0C0A-4714-99C8-96F7C846EB66}"/>
    <cellStyle name="Normal 17 14 2 2 3" xfId="6248" xr:uid="{D1617F4B-2776-47BF-AC14-FFDEA7C9A518}"/>
    <cellStyle name="Normal 17 14 2 2 3 2" xfId="13760" xr:uid="{FAAD1BBA-1A31-4C6D-845D-1095837875CA}"/>
    <cellStyle name="Normal 17 14 2 2 3 2 2" xfId="29964" xr:uid="{87C46572-4397-4CAC-850B-BBFDE311CC45}"/>
    <cellStyle name="Normal 17 14 2 2 3 3" xfId="22452" xr:uid="{177FC360-9AC4-4158-9E10-0045C3E46B46}"/>
    <cellStyle name="Normal 17 14 2 2 4" xfId="10160" xr:uid="{BF7802A6-499E-4E4B-8524-6C7F699573DE}"/>
    <cellStyle name="Normal 17 14 2 2 4 2" xfId="26364" xr:uid="{AF9286AA-D2A6-4D14-908C-5FE5303DAD2D}"/>
    <cellStyle name="Normal 17 14 2 2 5" xfId="18686" xr:uid="{0A50BB00-6EA9-4F1C-B55F-BF4AE3929375}"/>
    <cellStyle name="Normal 17 14 2 3" xfId="2886" xr:uid="{25EC2C3C-93D9-427D-AA32-A98A4AEA2038}"/>
    <cellStyle name="Normal 17 14 2 3 2" xfId="6670" xr:uid="{864D2683-DF5A-440E-8EF7-774F2BDDCC39}"/>
    <cellStyle name="Normal 17 14 2 3 2 2" xfId="14182" xr:uid="{F94ED590-F8A9-48DC-868C-365C53B0377B}"/>
    <cellStyle name="Normal 17 14 2 3 2 2 2" xfId="30386" xr:uid="{F0AF50BD-60C3-4EC1-955A-99A9421BFDAF}"/>
    <cellStyle name="Normal 17 14 2 3 2 3" xfId="22874" xr:uid="{3B34B1C9-A6F1-43AE-B677-C95616337121}"/>
    <cellStyle name="Normal 17 14 2 3 3" xfId="10582" xr:uid="{347D6EB9-E031-4723-B4A2-7126C0B12F2D}"/>
    <cellStyle name="Normal 17 14 2 3 3 2" xfId="26786" xr:uid="{233CDDEB-0675-4730-9AA4-1C34A0B5D615}"/>
    <cellStyle name="Normal 17 14 2 3 4" xfId="19108" xr:uid="{D83030B2-4F64-4EDB-A3D6-04EBE5920C16}"/>
    <cellStyle name="Normal 17 14 2 4" xfId="3817" xr:uid="{E62DCCAA-CCC3-4081-B110-48DE382249C2}"/>
    <cellStyle name="Normal 17 14 2 4 2" xfId="7527" xr:uid="{B2974F7B-261F-44DF-822F-D7BB57089075}"/>
    <cellStyle name="Normal 17 14 2 4 2 2" xfId="15036" xr:uid="{3E131FD6-B369-4EEB-98D7-A4E687F9473F}"/>
    <cellStyle name="Normal 17 14 2 4 2 2 2" xfId="31240" xr:uid="{0F854E70-D7EC-4277-A251-AA387CDA1C45}"/>
    <cellStyle name="Normal 17 14 2 4 2 3" xfId="23731" xr:uid="{3BA3A0EC-4953-41F9-9587-41EB7C5AAA57}"/>
    <cellStyle name="Normal 17 14 2 4 3" xfId="11427" xr:uid="{8E1E3364-8CBD-4193-AF57-4E77EA86B8EB}"/>
    <cellStyle name="Normal 17 14 2 4 3 2" xfId="27631" xr:uid="{2F905EA5-8305-43F5-AB37-BD9C0E09CE3B}"/>
    <cellStyle name="Normal 17 14 2 4 4" xfId="20026" xr:uid="{31B753D9-2ADF-4A82-875F-BE89CA8CDC45}"/>
    <cellStyle name="Normal 17 14 2 5" xfId="4286" xr:uid="{305ABA4D-56D6-4C87-A139-B969DB255F14}"/>
    <cellStyle name="Normal 17 14 2 5 2" xfId="7956" xr:uid="{1EF239E7-CA2B-410C-AEE4-B82788500620}"/>
    <cellStyle name="Normal 17 14 2 5 2 2" xfId="15463" xr:uid="{0969B4A9-E700-4A7B-B2B2-3A2CDA3DC6E1}"/>
    <cellStyle name="Normal 17 14 2 5 2 2 2" xfId="31667" xr:uid="{5C1540D5-4C2D-4988-B49D-162FB656F7CA}"/>
    <cellStyle name="Normal 17 14 2 5 2 3" xfId="24160" xr:uid="{198B194C-8009-4EDC-8F60-53EF7735C4E5}"/>
    <cellStyle name="Normal 17 14 2 5 3" xfId="11849" xr:uid="{5005904D-56A4-4283-98F0-907CECC6E071}"/>
    <cellStyle name="Normal 17 14 2 5 3 2" xfId="28053" xr:uid="{3330FB52-2D4B-46A4-B633-A5BCF45D7C77}"/>
    <cellStyle name="Normal 17 14 2 5 4" xfId="20490" xr:uid="{B51F1FA7-789D-4F38-8D69-3C12EFAE0108}"/>
    <cellStyle name="Normal 17 14 2 6" xfId="4711" xr:uid="{2F16243E-F140-41B2-9963-059D814A2466}"/>
    <cellStyle name="Normal 17 14 2 6 2" xfId="8381" xr:uid="{6E5D446C-A7CA-41B9-A601-D8E9851C8B69}"/>
    <cellStyle name="Normal 17 14 2 6 2 2" xfId="15888" xr:uid="{420A2D52-191A-4DD7-874E-9F1990B09B27}"/>
    <cellStyle name="Normal 17 14 2 6 2 2 2" xfId="32092" xr:uid="{8ABAF382-8E11-4A93-8128-3CED9A530383}"/>
    <cellStyle name="Normal 17 14 2 6 2 3" xfId="24585" xr:uid="{27D5431F-9253-45BB-9D43-3B403CF00A9A}"/>
    <cellStyle name="Normal 17 14 2 6 3" xfId="12274" xr:uid="{CBE3B519-D3C8-449A-8E31-0B17D7802C35}"/>
    <cellStyle name="Normal 17 14 2 6 3 2" xfId="28478" xr:uid="{6F59CE8F-8481-47A0-95F3-544131E7E574}"/>
    <cellStyle name="Normal 17 14 2 6 4" xfId="20915" xr:uid="{C38D3958-87E7-487F-ADCC-EB19A5D5F8AA}"/>
    <cellStyle name="Normal 17 14 2 7" xfId="5139" xr:uid="{CA4963F8-BC9C-4082-AD58-AADDC7223E25}"/>
    <cellStyle name="Normal 17 14 2 7 2" xfId="8804" xr:uid="{5CB0E483-7E06-49F9-9FB7-B5E6F063529F}"/>
    <cellStyle name="Normal 17 14 2 7 2 2" xfId="16311" xr:uid="{0239C6D7-6EA5-4513-8A05-819867BBF3E2}"/>
    <cellStyle name="Normal 17 14 2 7 2 2 2" xfId="32515" xr:uid="{556A2C91-FD4D-43F9-B4A2-9D677593128B}"/>
    <cellStyle name="Normal 17 14 2 7 2 3" xfId="25008" xr:uid="{9F08A29A-7C56-482C-B807-2E6FBF82273B}"/>
    <cellStyle name="Normal 17 14 2 7 3" xfId="12696" xr:uid="{1C240482-6CED-4CCD-866F-0CAA866E315F}"/>
    <cellStyle name="Normal 17 14 2 7 3 2" xfId="28900" xr:uid="{042BA502-8D22-46EC-A3A1-21D279F8DF7A}"/>
    <cellStyle name="Normal 17 14 2 7 4" xfId="21343" xr:uid="{1485205D-69F0-4ADD-A0CC-9C46806CC34A}"/>
    <cellStyle name="Normal 17 14 2 8" xfId="5810" xr:uid="{EB9FA4CF-370E-4645-B6A4-7E8C36190C66}"/>
    <cellStyle name="Normal 17 14 2 8 2" xfId="13325" xr:uid="{F3CC3CE5-3561-4105-95AA-5413ED9A4760}"/>
    <cellStyle name="Normal 17 14 2 8 2 2" xfId="29529" xr:uid="{E47B9046-EDA5-411F-AF06-9415362A4D63}"/>
    <cellStyle name="Normal 17 14 2 8 3" xfId="22014" xr:uid="{B65BB353-87DA-4FA8-9F22-9AAFD65F193A}"/>
    <cellStyle name="Normal 17 14 2 9" xfId="9737" xr:uid="{64427F96-28E1-418D-AD00-B595D6719F4E}"/>
    <cellStyle name="Normal 17 14 2 9 2" xfId="25941" xr:uid="{23AC9901-4BB5-44BC-A829-959D33C777A5}"/>
    <cellStyle name="Normal 17 14 3" xfId="2180" xr:uid="{EF863584-7654-40E6-9F1F-A52AE67B537F}"/>
    <cellStyle name="Normal 17 14 3 2" xfId="3092" xr:uid="{2051931B-3E5F-48E6-8891-B13498B9A746}"/>
    <cellStyle name="Normal 17 14 3 2 2" xfId="6874" xr:uid="{D0AABBE2-8C33-4F1A-A1CE-BF489D949469}"/>
    <cellStyle name="Normal 17 14 3 2 2 2" xfId="14385" xr:uid="{6F8A542B-EE25-43F2-A0F2-F08E797ABFA0}"/>
    <cellStyle name="Normal 17 14 3 2 2 2 2" xfId="30589" xr:uid="{486079B8-B4F7-485D-99DF-4215055613B1}"/>
    <cellStyle name="Normal 17 14 3 2 2 3" xfId="23078" xr:uid="{C4C3BB2B-9A75-479C-B5C7-F60C905CCCE1}"/>
    <cellStyle name="Normal 17 14 3 2 3" xfId="10785" xr:uid="{74ACDB39-426D-4984-B8C1-89C8F3CFDA01}"/>
    <cellStyle name="Normal 17 14 3 2 3 2" xfId="26989" xr:uid="{50370020-0F15-4157-B6A4-089A97CFE2FD}"/>
    <cellStyle name="Normal 17 14 3 2 4" xfId="19312" xr:uid="{EDC0195B-8E41-486B-A67E-DD80FCF49569}"/>
    <cellStyle name="Normal 17 14 3 3" xfId="6018" xr:uid="{F770BF74-1EFF-42A2-A3E1-E955B15AD1CF}"/>
    <cellStyle name="Normal 17 14 3 3 2" xfId="13532" xr:uid="{585A6744-0961-4A7A-92A1-4EC8EEE69999}"/>
    <cellStyle name="Normal 17 14 3 3 2 2" xfId="29736" xr:uid="{221C05C3-1F5C-4C4B-B9C8-D7442652722D}"/>
    <cellStyle name="Normal 17 14 3 3 3" xfId="22222" xr:uid="{C1BC25EB-3A40-4402-A2F8-B7538F9B32AE}"/>
    <cellStyle name="Normal 17 14 3 4" xfId="9941" xr:uid="{239E5E87-4641-48ED-8E91-25FC95AD2C5B}"/>
    <cellStyle name="Normal 17 14 3 4 2" xfId="26145" xr:uid="{1ED16537-6164-4734-B0E3-DC274642FF3D}"/>
    <cellStyle name="Normal 17 14 3 5" xfId="18466" xr:uid="{887B5110-233A-4D7D-94B4-9B7DCB6F0824}"/>
    <cellStyle name="Normal 17 14 4" xfId="2667" xr:uid="{0D41A407-2C5E-49B6-9FE5-22EAE9D2BC6E}"/>
    <cellStyle name="Normal 17 14 4 2" xfId="6451" xr:uid="{964A9392-9E1A-4473-86A3-B5C4FC8C0A54}"/>
    <cellStyle name="Normal 17 14 4 2 2" xfId="13963" xr:uid="{49457905-22A1-48F5-99EF-2543A025A4D8}"/>
    <cellStyle name="Normal 17 14 4 2 2 2" xfId="30167" xr:uid="{5794A99F-70C0-4D6D-AD3E-85A6185930E0}"/>
    <cellStyle name="Normal 17 14 4 2 3" xfId="22655" xr:uid="{9B2E5E24-A247-4368-AC69-34134537CA87}"/>
    <cellStyle name="Normal 17 14 4 3" xfId="10363" xr:uid="{04405630-0B57-4975-A380-370A97B8714D}"/>
    <cellStyle name="Normal 17 14 4 3 2" xfId="26567" xr:uid="{FAC537C0-B673-4548-AD3F-A3DCC5827F21}"/>
    <cellStyle name="Normal 17 14 4 4" xfId="18889" xr:uid="{070CE58D-4F03-41AE-A006-B94D79412D86}"/>
    <cellStyle name="Normal 17 14 5" xfId="3546" xr:uid="{98870A7B-93A7-488E-A3B5-3DCFDC01B8FF}"/>
    <cellStyle name="Normal 17 14 5 2" xfId="7301" xr:uid="{9574EDC8-7E06-409A-87C8-5241F6EA7F97}"/>
    <cellStyle name="Normal 17 14 5 2 2" xfId="14811" xr:uid="{1A693636-C759-4F89-B140-E8AF116DFA14}"/>
    <cellStyle name="Normal 17 14 5 2 2 2" xfId="31015" xr:uid="{9E6B27CB-2977-4A78-AA7A-0FBEBEC9F89D}"/>
    <cellStyle name="Normal 17 14 5 2 3" xfId="23505" xr:uid="{B47EC86B-C7BD-444F-BDF6-9A4AB76383B5}"/>
    <cellStyle name="Normal 17 14 5 3" xfId="11208" xr:uid="{1AFBEDF8-E9E5-4374-B5AE-694201CE6977}"/>
    <cellStyle name="Normal 17 14 5 3 2" xfId="27412" xr:uid="{91F6B154-CC96-4C66-B500-76516FC33952}"/>
    <cellStyle name="Normal 17 14 5 4" xfId="19762" xr:uid="{3381B899-2067-4C2D-8C67-72C4F2D4E6E5}"/>
    <cellStyle name="Normal 17 14 6" xfId="4067" xr:uid="{4B8CC642-11D4-4BA9-980E-D842A241861B}"/>
    <cellStyle name="Normal 17 14 6 2" xfId="7737" xr:uid="{C38311FE-723A-47F2-BDB1-76834A343DFA}"/>
    <cellStyle name="Normal 17 14 6 2 2" xfId="15244" xr:uid="{0BEB8D5F-C688-41EF-865D-6B4F67396DAA}"/>
    <cellStyle name="Normal 17 14 6 2 2 2" xfId="31448" xr:uid="{AC7A47C7-E1F7-40C5-8A4A-913A921E6A0E}"/>
    <cellStyle name="Normal 17 14 6 2 3" xfId="23941" xr:uid="{677141CD-41E0-49F0-84FA-19FB66CDC5E2}"/>
    <cellStyle name="Normal 17 14 6 3" xfId="11630" xr:uid="{3B0C3FF2-F4CB-432B-8028-09AC2149102E}"/>
    <cellStyle name="Normal 17 14 6 3 2" xfId="27834" xr:uid="{47B0D1D1-39CE-481E-A8A5-F7DE6ABA1C46}"/>
    <cellStyle name="Normal 17 14 6 4" xfId="20271" xr:uid="{9C8B1822-4D19-4D8A-BF96-63B169A345A2}"/>
    <cellStyle name="Normal 17 14 7" xfId="4492" xr:uid="{2A4A0E8E-9C70-414F-8917-6D0F34217356}"/>
    <cellStyle name="Normal 17 14 7 2" xfId="8162" xr:uid="{DC88AB77-8462-4C99-B475-BA8AA2116FAD}"/>
    <cellStyle name="Normal 17 14 7 2 2" xfId="15669" xr:uid="{7CDEE747-1ED8-4EC1-9DBB-5C72A9D32D7F}"/>
    <cellStyle name="Normal 17 14 7 2 2 2" xfId="31873" xr:uid="{D4E010E4-AFAD-4FBB-9F7F-1C7732A26403}"/>
    <cellStyle name="Normal 17 14 7 2 3" xfId="24366" xr:uid="{2CB5FCB9-7C5C-4162-AA37-D0B1B4D7E6CE}"/>
    <cellStyle name="Normal 17 14 7 3" xfId="12055" xr:uid="{82B23A21-BE06-46F2-B77F-2063BA2F679F}"/>
    <cellStyle name="Normal 17 14 7 3 2" xfId="28259" xr:uid="{5DAB1670-3699-48E7-AF9F-534373AE66DD}"/>
    <cellStyle name="Normal 17 14 7 4" xfId="20696" xr:uid="{B7018F14-7A88-43E8-9798-20EAC0221BC8}"/>
    <cellStyle name="Normal 17 14 8" xfId="4917" xr:uid="{F4418357-3A91-447B-9B48-747689E15C01}"/>
    <cellStyle name="Normal 17 14 8 2" xfId="8585" xr:uid="{ABE29B51-AADE-432A-9514-8D0DDB230C15}"/>
    <cellStyle name="Normal 17 14 8 2 2" xfId="16092" xr:uid="{901ED265-D869-4C9D-9D34-4932FFCEDEEE}"/>
    <cellStyle name="Normal 17 14 8 2 2 2" xfId="32296" xr:uid="{3702F165-99A4-46CD-AF41-7A45A641BFBC}"/>
    <cellStyle name="Normal 17 14 8 2 3" xfId="24789" xr:uid="{EC220103-F475-4436-AC73-803DAA2C74B1}"/>
    <cellStyle name="Normal 17 14 8 3" xfId="12477" xr:uid="{0ABC1F00-983B-4CC5-BF70-5ECE05C2DF51}"/>
    <cellStyle name="Normal 17 14 8 3 2" xfId="28681" xr:uid="{B14721E8-30DB-4A23-B648-EBD1C776740B}"/>
    <cellStyle name="Normal 17 14 8 4" xfId="21121" xr:uid="{BB562C95-983E-4AA8-A65A-02ACA634D5E1}"/>
    <cellStyle name="Normal 17 14 9" xfId="5413" xr:uid="{E07774EC-283C-47D0-A078-8723662D3858}"/>
    <cellStyle name="Normal 17 14 9 2" xfId="12960" xr:uid="{834D82DF-BDEB-4E3D-8C44-E0998A0B3C73}"/>
    <cellStyle name="Normal 17 14 9 2 2" xfId="29164" xr:uid="{E5F04A62-C2E3-4FB2-A3A9-891261BF86B7}"/>
    <cellStyle name="Normal 17 14 9 3" xfId="21617" xr:uid="{DAC5B154-F2EE-4967-968E-F744C48A189F}"/>
    <cellStyle name="Normal 17 15" xfId="665" xr:uid="{01148A50-4455-4211-8FC5-0558B6A97D7D}"/>
    <cellStyle name="Normal 17 15 10" xfId="9519" xr:uid="{48B6AFA0-81A8-4D9F-A4C1-3309E96CA90D}"/>
    <cellStyle name="Normal 17 15 10 2" xfId="25723" xr:uid="{E72F0E24-146A-478A-825E-1CAD7C48D21D}"/>
    <cellStyle name="Normal 17 15 11" xfId="18037" xr:uid="{7EABC777-0A7B-4B19-9CA3-0A9B376D9B13}"/>
    <cellStyle name="Normal 17 15 2" xfId="1959" xr:uid="{EFF0F756-E062-41FF-9835-8C303AC3252A}"/>
    <cellStyle name="Normal 17 15 2 10" xfId="18262" xr:uid="{2895DB62-2BA4-4C70-8984-73C3762B3B97}"/>
    <cellStyle name="Normal 17 15 2 2" xfId="2465" xr:uid="{791D5A6D-9B51-4993-9B09-D138526ACC80}"/>
    <cellStyle name="Normal 17 15 2 2 2" xfId="3312" xr:uid="{2E3201A7-4193-4595-B650-6738B49EE151}"/>
    <cellStyle name="Normal 17 15 2 2 2 2" xfId="7094" xr:uid="{E0760550-5310-45C1-8DD9-D4F68C9C66E4}"/>
    <cellStyle name="Normal 17 15 2 2 2 2 2" xfId="14605" xr:uid="{5EBD3C7B-DC54-4E0F-9B5A-6C7A2363BE64}"/>
    <cellStyle name="Normal 17 15 2 2 2 2 2 2" xfId="30809" xr:uid="{E4ED67D0-0AD9-4351-B83D-AAA11B2C804E}"/>
    <cellStyle name="Normal 17 15 2 2 2 2 3" xfId="23298" xr:uid="{3D59CF46-9255-444F-AA17-F4C624D25009}"/>
    <cellStyle name="Normal 17 15 2 2 2 3" xfId="11005" xr:uid="{1DDE4006-3119-431D-9C28-7B3B8AA192C5}"/>
    <cellStyle name="Normal 17 15 2 2 2 3 2" xfId="27209" xr:uid="{F90A8CA1-1CA4-4460-9C6E-CF68F4136AB2}"/>
    <cellStyle name="Normal 17 15 2 2 2 4" xfId="19532" xr:uid="{71DD334F-784F-45E6-B409-3E5F80E704CA}"/>
    <cellStyle name="Normal 17 15 2 2 3" xfId="6249" xr:uid="{4230C049-2A37-40E7-AE53-AE435FC64FD8}"/>
    <cellStyle name="Normal 17 15 2 2 3 2" xfId="13761" xr:uid="{598999B0-25F9-40C1-9034-6F24EFFB4C1B}"/>
    <cellStyle name="Normal 17 15 2 2 3 2 2" xfId="29965" xr:uid="{81D63663-18B5-4E17-9760-7C8A4553DFBF}"/>
    <cellStyle name="Normal 17 15 2 2 3 3" xfId="22453" xr:uid="{DC2C2650-5727-4DAE-BB13-FE2EAB6D4FFD}"/>
    <cellStyle name="Normal 17 15 2 2 4" xfId="10161" xr:uid="{EEA1D7BD-5555-4616-BC41-E552547AC6BA}"/>
    <cellStyle name="Normal 17 15 2 2 4 2" xfId="26365" xr:uid="{12F3E081-7BB4-4BFF-A01B-8B93C09AAE49}"/>
    <cellStyle name="Normal 17 15 2 2 5" xfId="18687" xr:uid="{2AE8444C-0C24-4C72-8450-21FC5C5C5019}"/>
    <cellStyle name="Normal 17 15 2 3" xfId="2887" xr:uid="{73A1383E-8494-42AE-825F-EA681BE9D57C}"/>
    <cellStyle name="Normal 17 15 2 3 2" xfId="6671" xr:uid="{FA0BE75D-BB51-4091-9413-F257040484B3}"/>
    <cellStyle name="Normal 17 15 2 3 2 2" xfId="14183" xr:uid="{E3B6A497-8F1D-418E-9575-A1118AFB8A17}"/>
    <cellStyle name="Normal 17 15 2 3 2 2 2" xfId="30387" xr:uid="{C472E5A4-355A-48CE-B449-1FC5469520C6}"/>
    <cellStyle name="Normal 17 15 2 3 2 3" xfId="22875" xr:uid="{69FB8DB5-5893-4516-94C6-C6650716C046}"/>
    <cellStyle name="Normal 17 15 2 3 3" xfId="10583" xr:uid="{E40B807B-AD65-4E68-B23D-B2FC88B9AD50}"/>
    <cellStyle name="Normal 17 15 2 3 3 2" xfId="26787" xr:uid="{2C727BF2-AA38-471C-BA23-CDF9BCEDF641}"/>
    <cellStyle name="Normal 17 15 2 3 4" xfId="19109" xr:uid="{F8B4515D-542F-4E51-813A-907D173D8191}"/>
    <cellStyle name="Normal 17 15 2 4" xfId="3818" xr:uid="{43675C19-E774-4A1F-B4BE-9BE411332C3E}"/>
    <cellStyle name="Normal 17 15 2 4 2" xfId="7528" xr:uid="{4776B723-013F-4687-955C-0F37DA256C7D}"/>
    <cellStyle name="Normal 17 15 2 4 2 2" xfId="15037" xr:uid="{149B6C7C-6266-482C-96F7-81E0DCF0810F}"/>
    <cellStyle name="Normal 17 15 2 4 2 2 2" xfId="31241" xr:uid="{6DA93FEC-3D4A-47A5-AD31-9D2E09EE9C06}"/>
    <cellStyle name="Normal 17 15 2 4 2 3" xfId="23732" xr:uid="{26B83D2F-CC21-4AD1-B9A4-AB2B597F6184}"/>
    <cellStyle name="Normal 17 15 2 4 3" xfId="11428" xr:uid="{8BC4651A-FBD3-42D1-8E48-CCBFDC31EFD7}"/>
    <cellStyle name="Normal 17 15 2 4 3 2" xfId="27632" xr:uid="{C49EE1F6-3941-4DAE-9B96-789153985D3A}"/>
    <cellStyle name="Normal 17 15 2 4 4" xfId="20027" xr:uid="{C59D55EC-BF1E-439A-9B4A-3D8266702788}"/>
    <cellStyle name="Normal 17 15 2 5" xfId="4287" xr:uid="{34FCB446-A217-47AD-A2C0-8BAA2E402A14}"/>
    <cellStyle name="Normal 17 15 2 5 2" xfId="7957" xr:uid="{0BA04D5F-EAAA-4194-BD5D-258BC01F461F}"/>
    <cellStyle name="Normal 17 15 2 5 2 2" xfId="15464" xr:uid="{A1FDA5E0-1783-4B27-B4C2-5C33CF0136E9}"/>
    <cellStyle name="Normal 17 15 2 5 2 2 2" xfId="31668" xr:uid="{A76CECA4-D424-43DE-8617-87E03A46A7B9}"/>
    <cellStyle name="Normal 17 15 2 5 2 3" xfId="24161" xr:uid="{059C3EA0-2692-4D5B-B5C9-C7517D3A2C73}"/>
    <cellStyle name="Normal 17 15 2 5 3" xfId="11850" xr:uid="{C83786C4-749E-4A44-8A53-855DA3258277}"/>
    <cellStyle name="Normal 17 15 2 5 3 2" xfId="28054" xr:uid="{48844271-A706-4824-A8F7-F4CC444AD49A}"/>
    <cellStyle name="Normal 17 15 2 5 4" xfId="20491" xr:uid="{65F3DDD2-9614-48D4-85ED-D852D5B6A036}"/>
    <cellStyle name="Normal 17 15 2 6" xfId="4712" xr:uid="{C4E17CFF-5706-4F19-8F26-0A5CE9F3EEA2}"/>
    <cellStyle name="Normal 17 15 2 6 2" xfId="8382" xr:uid="{E3AE7BD7-C045-4A59-9682-14DE45B254D0}"/>
    <cellStyle name="Normal 17 15 2 6 2 2" xfId="15889" xr:uid="{F38E0638-E726-49D7-BA77-806FBBDB377B}"/>
    <cellStyle name="Normal 17 15 2 6 2 2 2" xfId="32093" xr:uid="{42579194-BCE3-451D-B434-EBC420668884}"/>
    <cellStyle name="Normal 17 15 2 6 2 3" xfId="24586" xr:uid="{D77FC3C5-A4DA-4359-8E1C-C70D9B62AE9C}"/>
    <cellStyle name="Normal 17 15 2 6 3" xfId="12275" xr:uid="{CD88D1CE-0A37-4550-A00A-703EEB8F3949}"/>
    <cellStyle name="Normal 17 15 2 6 3 2" xfId="28479" xr:uid="{A384B40A-99F7-4E1D-9E97-B4A3B789BEBB}"/>
    <cellStyle name="Normal 17 15 2 6 4" xfId="20916" xr:uid="{C274D9B7-2417-4276-810B-A871283240D8}"/>
    <cellStyle name="Normal 17 15 2 7" xfId="5140" xr:uid="{4CD92DDE-BF8C-46E7-A140-D569CD35ED00}"/>
    <cellStyle name="Normal 17 15 2 7 2" xfId="8805" xr:uid="{1F576415-31B1-418D-A877-D8C3A7EE019C}"/>
    <cellStyle name="Normal 17 15 2 7 2 2" xfId="16312" xr:uid="{58ED9953-6127-453F-A40A-930173C25B88}"/>
    <cellStyle name="Normal 17 15 2 7 2 2 2" xfId="32516" xr:uid="{0CE746E8-0B83-485C-9F53-1941B55917BD}"/>
    <cellStyle name="Normal 17 15 2 7 2 3" xfId="25009" xr:uid="{FA3D3994-DD02-487E-A97F-5AFF8120DE6D}"/>
    <cellStyle name="Normal 17 15 2 7 3" xfId="12697" xr:uid="{AE7597E1-495D-4A13-ABCC-AEFA390DDEC0}"/>
    <cellStyle name="Normal 17 15 2 7 3 2" xfId="28901" xr:uid="{A1B1427C-9F6B-4CEE-86AE-6654D6438CD4}"/>
    <cellStyle name="Normal 17 15 2 7 4" xfId="21344" xr:uid="{96929237-8A2E-4C25-8FB0-360651D8C8B7}"/>
    <cellStyle name="Normal 17 15 2 8" xfId="5811" xr:uid="{E4DBC961-5BB3-45F9-BB3B-4E05384E2379}"/>
    <cellStyle name="Normal 17 15 2 8 2" xfId="13326" xr:uid="{109B2BE5-6D81-4E45-8A7F-0A18397A1E8A}"/>
    <cellStyle name="Normal 17 15 2 8 2 2" xfId="29530" xr:uid="{B5D41DAA-9CD5-414A-AECD-9303B4356C8D}"/>
    <cellStyle name="Normal 17 15 2 8 3" xfId="22015" xr:uid="{766573B9-7AEC-4A6C-B0C0-CE9DCD96D790}"/>
    <cellStyle name="Normal 17 15 2 9" xfId="9738" xr:uid="{D9462870-288C-4DBC-8A03-38CB1E8F02FC}"/>
    <cellStyle name="Normal 17 15 2 9 2" xfId="25942" xr:uid="{80DEF21A-EEC6-4178-BDEB-E25E96036406}"/>
    <cellStyle name="Normal 17 15 3" xfId="2182" xr:uid="{0938D26F-F9A0-43D6-87FC-7139AF532678}"/>
    <cellStyle name="Normal 17 15 3 2" xfId="3093" xr:uid="{F40760A9-F025-4DDD-A57B-25BE2AF0AD55}"/>
    <cellStyle name="Normal 17 15 3 2 2" xfId="6875" xr:uid="{35BAA6FB-29B7-4A6A-AB16-F1503C097665}"/>
    <cellStyle name="Normal 17 15 3 2 2 2" xfId="14386" xr:uid="{3CEFD0DE-0FF1-4E47-A37C-91E73F346AF7}"/>
    <cellStyle name="Normal 17 15 3 2 2 2 2" xfId="30590" xr:uid="{4610E78A-B9F5-4984-A6E6-0A275F8057F0}"/>
    <cellStyle name="Normal 17 15 3 2 2 3" xfId="23079" xr:uid="{982EC093-CD69-4866-B90B-15F4FEC8722B}"/>
    <cellStyle name="Normal 17 15 3 2 3" xfId="10786" xr:uid="{C6DDD7C4-DED6-47E6-ADC0-EDF392821C7A}"/>
    <cellStyle name="Normal 17 15 3 2 3 2" xfId="26990" xr:uid="{8072B25A-0C42-4F3A-82B4-9A6AC3A46E1F}"/>
    <cellStyle name="Normal 17 15 3 2 4" xfId="19313" xr:uid="{8068C56E-169C-433B-9703-A235EECD64C3}"/>
    <cellStyle name="Normal 17 15 3 3" xfId="6019" xr:uid="{973A5C6B-D7A0-4FEA-912B-6BF721695B72}"/>
    <cellStyle name="Normal 17 15 3 3 2" xfId="13533" xr:uid="{B0A98BCC-68C5-4B9C-B62D-E0350C794668}"/>
    <cellStyle name="Normal 17 15 3 3 2 2" xfId="29737" xr:uid="{E57AC02A-B9E7-4946-AC21-A5C9DF3CDBF1}"/>
    <cellStyle name="Normal 17 15 3 3 3" xfId="22223" xr:uid="{08F44EF2-BE44-4A4F-B9A7-83B91C4CC4A6}"/>
    <cellStyle name="Normal 17 15 3 4" xfId="9942" xr:uid="{22C74E86-0636-4853-8D26-0D0694324900}"/>
    <cellStyle name="Normal 17 15 3 4 2" xfId="26146" xr:uid="{1D42DFCD-395E-43DC-8511-E22E8F07EB63}"/>
    <cellStyle name="Normal 17 15 3 5" xfId="18468" xr:uid="{0E574C0F-19AA-499E-8E94-1B8F4A0E5D35}"/>
    <cellStyle name="Normal 17 15 4" xfId="2668" xr:uid="{3F7D2637-3941-40EA-8672-D1D00B597296}"/>
    <cellStyle name="Normal 17 15 4 2" xfId="6452" xr:uid="{43FDB32E-3023-4E6B-9D98-679D163C0B77}"/>
    <cellStyle name="Normal 17 15 4 2 2" xfId="13964" xr:uid="{40E2F02D-C3F5-4D0E-B6AD-E98D3B47FB07}"/>
    <cellStyle name="Normal 17 15 4 2 2 2" xfId="30168" xr:uid="{78AC84FC-12F3-4422-A388-A9B54FA6F3DF}"/>
    <cellStyle name="Normal 17 15 4 2 3" xfId="22656" xr:uid="{507EFF94-42FF-4ACF-9A24-EC3F7FBF70A0}"/>
    <cellStyle name="Normal 17 15 4 3" xfId="10364" xr:uid="{85DDF9DD-883F-4B29-8083-E72E59A76CED}"/>
    <cellStyle name="Normal 17 15 4 3 2" xfId="26568" xr:uid="{C35E6257-A524-4E84-93E0-ED1E14C96B1D}"/>
    <cellStyle name="Normal 17 15 4 4" xfId="18890" xr:uid="{580AEFBB-88F9-403C-B2A9-7A726888379A}"/>
    <cellStyle name="Normal 17 15 5" xfId="3547" xr:uid="{EF8E2D49-3828-42BA-888D-D0B64312470C}"/>
    <cellStyle name="Normal 17 15 5 2" xfId="7302" xr:uid="{7D517487-2BF6-44E3-9B15-3A8B867DF7C5}"/>
    <cellStyle name="Normal 17 15 5 2 2" xfId="14812" xr:uid="{5EBB0D8B-93F0-4E95-AFD6-C843816C9997}"/>
    <cellStyle name="Normal 17 15 5 2 2 2" xfId="31016" xr:uid="{C720D335-0F63-4DCD-8C83-F7FF90897A5F}"/>
    <cellStyle name="Normal 17 15 5 2 3" xfId="23506" xr:uid="{3004F659-914E-4C5D-BBED-719D1E64763F}"/>
    <cellStyle name="Normal 17 15 5 3" xfId="11209" xr:uid="{9DE41246-196B-4E3E-B1BC-8C3F6D8C7728}"/>
    <cellStyle name="Normal 17 15 5 3 2" xfId="27413" xr:uid="{E2296D99-2107-409E-A24E-50242594B343}"/>
    <cellStyle name="Normal 17 15 5 4" xfId="19763" xr:uid="{DFE40B8E-6854-4439-A319-2E62AABBF158}"/>
    <cellStyle name="Normal 17 15 6" xfId="4068" xr:uid="{60E1BB52-CFE9-4340-8052-EA02B950C95D}"/>
    <cellStyle name="Normal 17 15 6 2" xfId="7738" xr:uid="{4FB1CBEE-B7B5-476E-9617-756F1510A24E}"/>
    <cellStyle name="Normal 17 15 6 2 2" xfId="15245" xr:uid="{EF77C020-D5B6-4737-8E81-DC6F7D7469DF}"/>
    <cellStyle name="Normal 17 15 6 2 2 2" xfId="31449" xr:uid="{1D5C6D3C-0971-4238-B0D0-E2D4C861D598}"/>
    <cellStyle name="Normal 17 15 6 2 3" xfId="23942" xr:uid="{5DC16654-E281-48DE-A901-221AEAA7331B}"/>
    <cellStyle name="Normal 17 15 6 3" xfId="11631" xr:uid="{22231443-FCF0-42D5-AE7E-AB900296A317}"/>
    <cellStyle name="Normal 17 15 6 3 2" xfId="27835" xr:uid="{CF4EDA01-CCD1-4C58-991C-4A6E3C38BBBF}"/>
    <cellStyle name="Normal 17 15 6 4" xfId="20272" xr:uid="{324A34D1-E521-410F-81DB-CA1617E4E048}"/>
    <cellStyle name="Normal 17 15 7" xfId="4493" xr:uid="{20DA2BF2-C7FC-49CE-BD94-A8331C22C5EA}"/>
    <cellStyle name="Normal 17 15 7 2" xfId="8163" xr:uid="{A9A86ECA-DD88-41DD-BFC8-160E37CE5D2B}"/>
    <cellStyle name="Normal 17 15 7 2 2" xfId="15670" xr:uid="{515EF127-E0AD-4D8C-9E3D-70DA1E9497B6}"/>
    <cellStyle name="Normal 17 15 7 2 2 2" xfId="31874" xr:uid="{8E2AFF6A-F394-4142-B1B5-E7CFDEAE157C}"/>
    <cellStyle name="Normal 17 15 7 2 3" xfId="24367" xr:uid="{E659D4CE-7BF5-436A-8ECC-613BA12F0FFA}"/>
    <cellStyle name="Normal 17 15 7 3" xfId="12056" xr:uid="{49812C53-407A-42D0-A538-6FD0C8E13D45}"/>
    <cellStyle name="Normal 17 15 7 3 2" xfId="28260" xr:uid="{FD130D02-4216-41CC-90BC-23033A0C05FE}"/>
    <cellStyle name="Normal 17 15 7 4" xfId="20697" xr:uid="{024E69A2-4791-4CAC-B941-6DDD01FB4BC5}"/>
    <cellStyle name="Normal 17 15 8" xfId="4919" xr:uid="{85D01D58-525F-4DF7-BACA-714DABFA1ABD}"/>
    <cellStyle name="Normal 17 15 8 2" xfId="8586" xr:uid="{CAD347A9-6849-47E6-AC12-245AAC81061D}"/>
    <cellStyle name="Normal 17 15 8 2 2" xfId="16093" xr:uid="{AEC30210-3606-471D-AA7B-2D1F1FE502C4}"/>
    <cellStyle name="Normal 17 15 8 2 2 2" xfId="32297" xr:uid="{C7E4A28A-7009-4A2C-97B0-7D2AF628652C}"/>
    <cellStyle name="Normal 17 15 8 2 3" xfId="24790" xr:uid="{465EFC55-03CB-46F3-BCC4-469AA33AF4C0}"/>
    <cellStyle name="Normal 17 15 8 3" xfId="12478" xr:uid="{5082325D-C876-4E03-AAE7-A9598508A899}"/>
    <cellStyle name="Normal 17 15 8 3 2" xfId="28682" xr:uid="{F82C6690-52F9-47C1-85F5-E9A5050E973E}"/>
    <cellStyle name="Normal 17 15 8 4" xfId="21123" xr:uid="{B906418A-D4AF-4724-8AA7-9C389EEDC6CA}"/>
    <cellStyle name="Normal 17 15 9" xfId="5414" xr:uid="{A0EEE476-AFF2-4DF8-8C3C-C79BF857AE17}"/>
    <cellStyle name="Normal 17 15 9 2" xfId="12961" xr:uid="{C78C7A12-D7CC-4E45-A948-DA7EF59FA78F}"/>
    <cellStyle name="Normal 17 15 9 2 2" xfId="29165" xr:uid="{AFAF447B-7369-49EB-95E6-134CDBB0BEC3}"/>
    <cellStyle name="Normal 17 15 9 3" xfId="21618" xr:uid="{3CF7ABE9-FBA6-4D86-82AD-60CBEBCF3D2F}"/>
    <cellStyle name="Normal 17 16" xfId="667" xr:uid="{08FD2586-4ACF-47DC-B7A8-96FCF62EDF7D}"/>
    <cellStyle name="Normal 17 16 10" xfId="9520" xr:uid="{9602E9CC-AC9E-4204-AD9B-1BDFA9B9EE1B}"/>
    <cellStyle name="Normal 17 16 10 2" xfId="25724" xr:uid="{DD55F6B6-922D-4D39-A16B-9B04757116E5}"/>
    <cellStyle name="Normal 17 16 11" xfId="18038" xr:uid="{A81DD079-47F8-4C8C-80B3-86CC61EB945B}"/>
    <cellStyle name="Normal 17 16 2" xfId="1960" xr:uid="{4F4DE701-799A-4577-A802-ADC779A7A457}"/>
    <cellStyle name="Normal 17 16 2 10" xfId="18263" xr:uid="{93606262-D559-4FFC-B9AA-AFEEF507E9BB}"/>
    <cellStyle name="Normal 17 16 2 2" xfId="2466" xr:uid="{F01D9D8A-778F-4972-87AB-FB7F9E0D98F1}"/>
    <cellStyle name="Normal 17 16 2 2 2" xfId="3313" xr:uid="{5D24EF02-013E-40B6-B801-519AF3D97AB6}"/>
    <cellStyle name="Normal 17 16 2 2 2 2" xfId="7095" xr:uid="{0D0B53BF-12AC-4C53-BB2C-60525964D2D4}"/>
    <cellStyle name="Normal 17 16 2 2 2 2 2" xfId="14606" xr:uid="{DC12B6B8-0A5D-417F-8FFE-C3D2ECEE7908}"/>
    <cellStyle name="Normal 17 16 2 2 2 2 2 2" xfId="30810" xr:uid="{798D015B-3BDF-438A-BC7B-8C2F6531EDB7}"/>
    <cellStyle name="Normal 17 16 2 2 2 2 3" xfId="23299" xr:uid="{A2904BE7-CB52-4FF7-9077-D899C873DBDB}"/>
    <cellStyle name="Normal 17 16 2 2 2 3" xfId="11006" xr:uid="{CB1CACB9-BFB8-4E3C-9F0B-8259C7D9717A}"/>
    <cellStyle name="Normal 17 16 2 2 2 3 2" xfId="27210" xr:uid="{A5988F3A-CCC0-4327-ACAD-6F9E4369F2FF}"/>
    <cellStyle name="Normal 17 16 2 2 2 4" xfId="19533" xr:uid="{F6EEAAB7-14B1-49AA-BFA8-B51C717C5EE8}"/>
    <cellStyle name="Normal 17 16 2 2 3" xfId="6250" xr:uid="{854B49F2-6373-41E0-A6F5-8C5D01D7CF28}"/>
    <cellStyle name="Normal 17 16 2 2 3 2" xfId="13762" xr:uid="{BBAE15FB-D267-48BB-9F91-78857DC74FC8}"/>
    <cellStyle name="Normal 17 16 2 2 3 2 2" xfId="29966" xr:uid="{A2099335-FBFE-45C3-9035-0BCF4D3BE08A}"/>
    <cellStyle name="Normal 17 16 2 2 3 3" xfId="22454" xr:uid="{039F5A27-C7EA-4857-A0E1-EE763AE4BAE2}"/>
    <cellStyle name="Normal 17 16 2 2 4" xfId="10162" xr:uid="{93DF7E96-562E-41A6-A759-56AFD8699FCD}"/>
    <cellStyle name="Normal 17 16 2 2 4 2" xfId="26366" xr:uid="{59A7D040-9611-443A-9F30-8F001112131B}"/>
    <cellStyle name="Normal 17 16 2 2 5" xfId="18688" xr:uid="{CE88E2FF-05F7-4BAC-8DCE-B3E9F7086D99}"/>
    <cellStyle name="Normal 17 16 2 3" xfId="2888" xr:uid="{F4BC1C2D-24AA-4A3A-8C5B-3E782E72B466}"/>
    <cellStyle name="Normal 17 16 2 3 2" xfId="6672" xr:uid="{D9812DC5-5EAC-4A25-9FBD-4E9B95BA57AD}"/>
    <cellStyle name="Normal 17 16 2 3 2 2" xfId="14184" xr:uid="{BB30F6AE-2DB4-452E-95D8-2C330713BE8C}"/>
    <cellStyle name="Normal 17 16 2 3 2 2 2" xfId="30388" xr:uid="{286691F2-BAA7-42A1-A519-0818BCF7377D}"/>
    <cellStyle name="Normal 17 16 2 3 2 3" xfId="22876" xr:uid="{7AC602B3-7401-4E03-9963-1D203255EE4B}"/>
    <cellStyle name="Normal 17 16 2 3 3" xfId="10584" xr:uid="{881D16DB-B3AF-4236-B07F-56E2A960E19F}"/>
    <cellStyle name="Normal 17 16 2 3 3 2" xfId="26788" xr:uid="{3CF2283A-D19A-452F-BD23-045AA4874580}"/>
    <cellStyle name="Normal 17 16 2 3 4" xfId="19110" xr:uid="{3B70D4B5-DAC1-466D-A2C5-86915768FF42}"/>
    <cellStyle name="Normal 17 16 2 4" xfId="3819" xr:uid="{A51C0EE8-20DA-4B04-8328-7ACBA48D11F0}"/>
    <cellStyle name="Normal 17 16 2 4 2" xfId="7529" xr:uid="{566E5B6E-A42D-42BB-859E-7DDF456F980A}"/>
    <cellStyle name="Normal 17 16 2 4 2 2" xfId="15038" xr:uid="{2DB7DE17-1A8C-48DD-9E7F-6C5057159EB2}"/>
    <cellStyle name="Normal 17 16 2 4 2 2 2" xfId="31242" xr:uid="{9D57D1ED-9560-4ED3-92F0-2F62977AB059}"/>
    <cellStyle name="Normal 17 16 2 4 2 3" xfId="23733" xr:uid="{7C0754E7-A310-40C2-9DD9-8B460970B47A}"/>
    <cellStyle name="Normal 17 16 2 4 3" xfId="11429" xr:uid="{549F6802-D753-43FB-BB1D-90718DFF2778}"/>
    <cellStyle name="Normal 17 16 2 4 3 2" xfId="27633" xr:uid="{3EBA3D27-4315-479D-98D1-A781F6609E81}"/>
    <cellStyle name="Normal 17 16 2 4 4" xfId="20028" xr:uid="{E29D01A4-891E-4A71-8D8B-A8A3286F284E}"/>
    <cellStyle name="Normal 17 16 2 5" xfId="4288" xr:uid="{4DE63691-DFD7-474A-ABBA-48C38BD62AF7}"/>
    <cellStyle name="Normal 17 16 2 5 2" xfId="7958" xr:uid="{A38C6477-0B89-4AE7-B104-92BE48D20784}"/>
    <cellStyle name="Normal 17 16 2 5 2 2" xfId="15465" xr:uid="{93EE329E-4492-4C6A-B48F-A77D09FA2ED7}"/>
    <cellStyle name="Normal 17 16 2 5 2 2 2" xfId="31669" xr:uid="{EF3EA9B6-981D-49F6-A4F9-91AB754C0AE6}"/>
    <cellStyle name="Normal 17 16 2 5 2 3" xfId="24162" xr:uid="{FD0070F6-09B3-4DBA-BC92-A419B3C1F8FB}"/>
    <cellStyle name="Normal 17 16 2 5 3" xfId="11851" xr:uid="{CEE02805-C7FB-46A3-A99D-4448CE3B19D1}"/>
    <cellStyle name="Normal 17 16 2 5 3 2" xfId="28055" xr:uid="{2975AD72-888E-49BC-BCB9-CE37AD8219E7}"/>
    <cellStyle name="Normal 17 16 2 5 4" xfId="20492" xr:uid="{3C0A617C-339E-4912-9E6C-2C263629D218}"/>
    <cellStyle name="Normal 17 16 2 6" xfId="4713" xr:uid="{9A79EF77-2F2B-4EDC-A775-FC53ABBE4840}"/>
    <cellStyle name="Normal 17 16 2 6 2" xfId="8383" xr:uid="{9A214516-3E34-41CC-A350-7D99CD5BAF83}"/>
    <cellStyle name="Normal 17 16 2 6 2 2" xfId="15890" xr:uid="{B40920D9-DE8C-4EE2-B2EB-447EF0E0653A}"/>
    <cellStyle name="Normal 17 16 2 6 2 2 2" xfId="32094" xr:uid="{5D15E1DC-79BE-4426-85E0-FE40778F136C}"/>
    <cellStyle name="Normal 17 16 2 6 2 3" xfId="24587" xr:uid="{63DD8DEB-BB56-4211-9EEA-CDC396D69387}"/>
    <cellStyle name="Normal 17 16 2 6 3" xfId="12276" xr:uid="{6A41CDF9-F4D5-43CA-8617-A1BBD630B636}"/>
    <cellStyle name="Normal 17 16 2 6 3 2" xfId="28480" xr:uid="{F2AFA2DF-C256-415F-9122-1D813A2F8ADC}"/>
    <cellStyle name="Normal 17 16 2 6 4" xfId="20917" xr:uid="{80F56412-FB08-488F-AC0B-CC31D4D2F374}"/>
    <cellStyle name="Normal 17 16 2 7" xfId="5141" xr:uid="{D34DBD91-F8D3-40C0-B93B-9EAE4FF11BBC}"/>
    <cellStyle name="Normal 17 16 2 7 2" xfId="8806" xr:uid="{5B5AF79B-0D57-4467-A61E-478C679CE03C}"/>
    <cellStyle name="Normal 17 16 2 7 2 2" xfId="16313" xr:uid="{6D570D41-3C20-470A-8A31-78D2D2530E14}"/>
    <cellStyle name="Normal 17 16 2 7 2 2 2" xfId="32517" xr:uid="{4BE3731C-C57D-446A-A395-7084CFD35AB3}"/>
    <cellStyle name="Normal 17 16 2 7 2 3" xfId="25010" xr:uid="{C76D5A5A-39BE-4710-86D9-EF4D5EB15E6D}"/>
    <cellStyle name="Normal 17 16 2 7 3" xfId="12698" xr:uid="{D527F988-AD47-4E17-882E-C848E5F55102}"/>
    <cellStyle name="Normal 17 16 2 7 3 2" xfId="28902" xr:uid="{05E953DC-EAE8-4899-A95C-FD6B53BF35CD}"/>
    <cellStyle name="Normal 17 16 2 7 4" xfId="21345" xr:uid="{5B6ABB87-EF31-49FA-B725-141F494B4F97}"/>
    <cellStyle name="Normal 17 16 2 8" xfId="5812" xr:uid="{F80A90A8-7BD1-4F5B-B51C-CEF06E65A99B}"/>
    <cellStyle name="Normal 17 16 2 8 2" xfId="13327" xr:uid="{051AA97A-D4ED-46AF-90A7-E948E6C7CB11}"/>
    <cellStyle name="Normal 17 16 2 8 2 2" xfId="29531" xr:uid="{CF01D795-B75B-4868-B3A9-C216F3605E36}"/>
    <cellStyle name="Normal 17 16 2 8 3" xfId="22016" xr:uid="{E82EB3D8-CC9B-44C4-82CE-54259E5C7D97}"/>
    <cellStyle name="Normal 17 16 2 9" xfId="9739" xr:uid="{AD5EF151-5A8D-4FC7-98FB-B82EDEAEFB80}"/>
    <cellStyle name="Normal 17 16 2 9 2" xfId="25943" xr:uid="{86EA828C-4977-4A0E-BC90-D987B78098C8}"/>
    <cellStyle name="Normal 17 16 3" xfId="2183" xr:uid="{9E768B49-50F2-4AED-B2EF-B4F343F262F4}"/>
    <cellStyle name="Normal 17 16 3 2" xfId="3094" xr:uid="{441DBE00-B230-41B2-841D-82A93E377EAA}"/>
    <cellStyle name="Normal 17 16 3 2 2" xfId="6876" xr:uid="{DDAD4759-D77E-40DA-B210-12E6E39994E9}"/>
    <cellStyle name="Normal 17 16 3 2 2 2" xfId="14387" xr:uid="{D347A85A-F121-43D0-A351-4BBCE5F08359}"/>
    <cellStyle name="Normal 17 16 3 2 2 2 2" xfId="30591" xr:uid="{70033649-EB71-47A2-95E5-CF2C321387E7}"/>
    <cellStyle name="Normal 17 16 3 2 2 3" xfId="23080" xr:uid="{35CFAF29-9F61-4BA9-A4A2-47E25DCDBD4A}"/>
    <cellStyle name="Normal 17 16 3 2 3" xfId="10787" xr:uid="{6E32A6B7-D370-4F56-8373-5844745F0819}"/>
    <cellStyle name="Normal 17 16 3 2 3 2" xfId="26991" xr:uid="{2D567B78-FFFD-4B5A-8A83-4DCFD3610E5B}"/>
    <cellStyle name="Normal 17 16 3 2 4" xfId="19314" xr:uid="{42CDAA50-9749-428E-AEBE-D79C3792DDA1}"/>
    <cellStyle name="Normal 17 16 3 3" xfId="6020" xr:uid="{863FD9D4-BA06-4E79-ADBF-AE83749EF846}"/>
    <cellStyle name="Normal 17 16 3 3 2" xfId="13534" xr:uid="{425F56FB-A469-4415-8E1D-41B234286B9D}"/>
    <cellStyle name="Normal 17 16 3 3 2 2" xfId="29738" xr:uid="{4D198519-8958-4FEC-B5B5-0DA5AE82FCFE}"/>
    <cellStyle name="Normal 17 16 3 3 3" xfId="22224" xr:uid="{720A480D-D104-43F0-909E-7F4DD60EE6CD}"/>
    <cellStyle name="Normal 17 16 3 4" xfId="9943" xr:uid="{ADC40D44-F9A3-480B-8ABE-0BE0C676B585}"/>
    <cellStyle name="Normal 17 16 3 4 2" xfId="26147" xr:uid="{FFA5A6CD-BB30-463D-B7BE-4EE0EEBED176}"/>
    <cellStyle name="Normal 17 16 3 5" xfId="18469" xr:uid="{38315A37-56F0-4EC5-8FFB-633E35300FE6}"/>
    <cellStyle name="Normal 17 16 4" xfId="2669" xr:uid="{3EAFB8C4-F8B5-4F4B-B028-DB468580842A}"/>
    <cellStyle name="Normal 17 16 4 2" xfId="6453" xr:uid="{09EA2D43-9BB9-4B13-834B-B73ACB623146}"/>
    <cellStyle name="Normal 17 16 4 2 2" xfId="13965" xr:uid="{87B50133-F34E-4B2F-ACD3-96B833B2C53F}"/>
    <cellStyle name="Normal 17 16 4 2 2 2" xfId="30169" xr:uid="{F894ABD0-351E-4516-A523-863945A4D9F6}"/>
    <cellStyle name="Normal 17 16 4 2 3" xfId="22657" xr:uid="{CF5BD329-7F40-41CB-862D-7C1015F2F702}"/>
    <cellStyle name="Normal 17 16 4 3" xfId="10365" xr:uid="{ADD9EC18-8B03-41D9-A6A7-A926B3DCC99F}"/>
    <cellStyle name="Normal 17 16 4 3 2" xfId="26569" xr:uid="{3B857552-2867-40AF-AE01-5FE6C86B2E21}"/>
    <cellStyle name="Normal 17 16 4 4" xfId="18891" xr:uid="{8E3DC073-82CD-47CE-89AA-169137E3E0F0}"/>
    <cellStyle name="Normal 17 16 5" xfId="3548" xr:uid="{587FEBDD-20D4-4049-BC90-11729C893C69}"/>
    <cellStyle name="Normal 17 16 5 2" xfId="7303" xr:uid="{A9536401-0E49-478F-AE33-8EC74427CDC6}"/>
    <cellStyle name="Normal 17 16 5 2 2" xfId="14813" xr:uid="{F793A4CE-171B-4452-880D-8F5676D4DBA2}"/>
    <cellStyle name="Normal 17 16 5 2 2 2" xfId="31017" xr:uid="{717FBDC4-600C-4DC9-A2F9-E1BDC5B5D971}"/>
    <cellStyle name="Normal 17 16 5 2 3" xfId="23507" xr:uid="{26694708-6B59-4E1E-B078-12995ECE1EBD}"/>
    <cellStyle name="Normal 17 16 5 3" xfId="11210" xr:uid="{49EA7215-F1A3-490A-A127-6CC05524B13C}"/>
    <cellStyle name="Normal 17 16 5 3 2" xfId="27414" xr:uid="{0A4DB968-5DD2-4D6C-81DE-767292B662BD}"/>
    <cellStyle name="Normal 17 16 5 4" xfId="19764" xr:uid="{9DC4184F-F04E-4116-A21C-A56757F761BE}"/>
    <cellStyle name="Normal 17 16 6" xfId="4069" xr:uid="{C1B0CBD0-C596-470C-9FC5-5EDEC08AB54E}"/>
    <cellStyle name="Normal 17 16 6 2" xfId="7739" xr:uid="{058D6E88-5293-4FBF-BB7A-B4856EF439EE}"/>
    <cellStyle name="Normal 17 16 6 2 2" xfId="15246" xr:uid="{EA9CDB09-52EF-4E86-9B3D-38453EE2CEDF}"/>
    <cellStyle name="Normal 17 16 6 2 2 2" xfId="31450" xr:uid="{E23345EE-6F6E-4326-8626-49F141405675}"/>
    <cellStyle name="Normal 17 16 6 2 3" xfId="23943" xr:uid="{8914EAE4-82B5-4E79-8DDA-205CDFAF3859}"/>
    <cellStyle name="Normal 17 16 6 3" xfId="11632" xr:uid="{35F16FC2-5E29-4164-9C0E-A7639BCED519}"/>
    <cellStyle name="Normal 17 16 6 3 2" xfId="27836" xr:uid="{30E113B3-C879-4C42-A6C1-8B2CE69DD346}"/>
    <cellStyle name="Normal 17 16 6 4" xfId="20273" xr:uid="{E8D86039-F91B-4A7D-BDEE-C871A7248334}"/>
    <cellStyle name="Normal 17 16 7" xfId="4494" xr:uid="{A7D1055E-350D-4E1A-BC21-CAB297BA5243}"/>
    <cellStyle name="Normal 17 16 7 2" xfId="8164" xr:uid="{725896BD-DED0-4EFA-ACD1-78F405E5FDFE}"/>
    <cellStyle name="Normal 17 16 7 2 2" xfId="15671" xr:uid="{EAE4AEC6-80FD-4FDE-AFE0-BD28B5E39A73}"/>
    <cellStyle name="Normal 17 16 7 2 2 2" xfId="31875" xr:uid="{A3F1D2A4-7DD3-4743-A457-C6B8AF9508FA}"/>
    <cellStyle name="Normal 17 16 7 2 3" xfId="24368" xr:uid="{3CC58A69-416B-4401-9636-1657A66830FA}"/>
    <cellStyle name="Normal 17 16 7 3" xfId="12057" xr:uid="{B6991FF2-DD01-4817-8246-46EF35F82477}"/>
    <cellStyle name="Normal 17 16 7 3 2" xfId="28261" xr:uid="{54427D73-010A-453A-BCFA-EEE4300E5182}"/>
    <cellStyle name="Normal 17 16 7 4" xfId="20698" xr:uid="{786C6EFD-CDA0-48D1-9DB1-57CC69875CF6}"/>
    <cellStyle name="Normal 17 16 8" xfId="4920" xr:uid="{4F41D16B-3A50-41A8-9B6E-F3204788B281}"/>
    <cellStyle name="Normal 17 16 8 2" xfId="8587" xr:uid="{09AEC0C1-AF6A-403E-A736-CD660BD22136}"/>
    <cellStyle name="Normal 17 16 8 2 2" xfId="16094" xr:uid="{A9854A29-5E60-44A8-BE22-649B84DA12C9}"/>
    <cellStyle name="Normal 17 16 8 2 2 2" xfId="32298" xr:uid="{EC8E6C1D-7516-4745-AF43-49ADFB37AE02}"/>
    <cellStyle name="Normal 17 16 8 2 3" xfId="24791" xr:uid="{0BF0A0E5-1B81-40E9-A0EA-E2406CA15809}"/>
    <cellStyle name="Normal 17 16 8 3" xfId="12479" xr:uid="{E0921D58-25C6-4504-B9B8-6D9B48E456D0}"/>
    <cellStyle name="Normal 17 16 8 3 2" xfId="28683" xr:uid="{D4DFA345-2346-4F8F-8EE3-1A870EE0D7B0}"/>
    <cellStyle name="Normal 17 16 8 4" xfId="21124" xr:uid="{3D5761DB-9632-4112-B6AC-ABAF7D1EE628}"/>
    <cellStyle name="Normal 17 16 9" xfId="5415" xr:uid="{D1464EF0-EB71-4347-9EC3-6C81E898482C}"/>
    <cellStyle name="Normal 17 16 9 2" xfId="12962" xr:uid="{E0524DF7-49F6-42F0-8D23-90B205186BB1}"/>
    <cellStyle name="Normal 17 16 9 2 2" xfId="29166" xr:uid="{250FFBAF-F525-445A-BD53-5D6D398759B1}"/>
    <cellStyle name="Normal 17 16 9 3" xfId="21619" xr:uid="{806B4EA3-EE5F-44BA-9EF9-49F822184919}"/>
    <cellStyle name="Normal 17 17" xfId="668" xr:uid="{193112FC-9589-4078-9DC1-A9B85FE61E63}"/>
    <cellStyle name="Normal 17 17 10" xfId="9521" xr:uid="{8317FABC-EAC9-434D-8906-780D63E7B223}"/>
    <cellStyle name="Normal 17 17 10 2" xfId="25725" xr:uid="{B6FAAB46-D5B0-4C20-A123-392D903FF69A}"/>
    <cellStyle name="Normal 17 17 11" xfId="18039" xr:uid="{E1F18AB0-1E15-4C08-9D5B-26E535F26BD3}"/>
    <cellStyle name="Normal 17 17 2" xfId="1794" xr:uid="{93F311A2-F3B9-49A5-B7B0-580EC458BC3C}"/>
    <cellStyle name="Normal 17 17 2 10" xfId="18106" xr:uid="{12FAF181-441B-431A-8873-8FEE9334F9B7}"/>
    <cellStyle name="Normal 17 17 2 2" xfId="2310" xr:uid="{9914538C-C51E-4AD1-816E-BDB76A498E24}"/>
    <cellStyle name="Normal 17 17 2 2 2" xfId="3157" xr:uid="{7E60A672-2FFB-4F51-A4BA-9A40ADE63B7B}"/>
    <cellStyle name="Normal 17 17 2 2 2 2" xfId="6939" xr:uid="{5A981439-9BAA-4F8A-B212-45A426D6EBAB}"/>
    <cellStyle name="Normal 17 17 2 2 2 2 2" xfId="14450" xr:uid="{876D0025-DFA0-4CDC-8BD2-0A5C5EC4C175}"/>
    <cellStyle name="Normal 17 17 2 2 2 2 2 2" xfId="30654" xr:uid="{CFE42DC5-4884-4042-8509-30E1B616140F}"/>
    <cellStyle name="Normal 17 17 2 2 2 2 3" xfId="23143" xr:uid="{96C37BF8-261E-485A-A87F-ACA9CFE98BB7}"/>
    <cellStyle name="Normal 17 17 2 2 2 3" xfId="10850" xr:uid="{7A2A2426-1331-486C-A4F1-AC61D81A5CC1}"/>
    <cellStyle name="Normal 17 17 2 2 2 3 2" xfId="27054" xr:uid="{A309F797-1AD1-4A77-955F-2A482B3E5E78}"/>
    <cellStyle name="Normal 17 17 2 2 2 4" xfId="19377" xr:uid="{42F465F4-1E13-4338-BE1D-793777B7592E}"/>
    <cellStyle name="Normal 17 17 2 2 3" xfId="6094" xr:uid="{C59A43EC-BCAD-42EB-B1DF-9452EFD98729}"/>
    <cellStyle name="Normal 17 17 2 2 3 2" xfId="13606" xr:uid="{2A4DFC11-A77F-4FF2-9EFA-9A8F2C84B96E}"/>
    <cellStyle name="Normal 17 17 2 2 3 2 2" xfId="29810" xr:uid="{9F4D23FF-A96E-4DCE-A849-F14C3F53FE49}"/>
    <cellStyle name="Normal 17 17 2 2 3 3" xfId="22298" xr:uid="{315D18E9-F9B8-41B0-A32C-31E546BB3F05}"/>
    <cellStyle name="Normal 17 17 2 2 4" xfId="10006" xr:uid="{C073CB4C-4099-4B2D-9817-95BB71D40266}"/>
    <cellStyle name="Normal 17 17 2 2 4 2" xfId="26210" xr:uid="{321443E1-4A0F-48E0-81B9-E5C64F731416}"/>
    <cellStyle name="Normal 17 17 2 2 5" xfId="18532" xr:uid="{E0A766C6-B9FC-4C64-8A3C-F372C70B4857}"/>
    <cellStyle name="Normal 17 17 2 3" xfId="2732" xr:uid="{8606C383-7BC7-4944-954D-17A2EF9B338B}"/>
    <cellStyle name="Normal 17 17 2 3 2" xfId="6516" xr:uid="{C6241F5B-0B08-4098-A356-D0BDB4AD2052}"/>
    <cellStyle name="Normal 17 17 2 3 2 2" xfId="14028" xr:uid="{8B285F27-CD01-4BF4-9471-4454D349B14A}"/>
    <cellStyle name="Normal 17 17 2 3 2 2 2" xfId="30232" xr:uid="{227A3678-01F4-4203-9C67-23D78480568D}"/>
    <cellStyle name="Normal 17 17 2 3 2 3" xfId="22720" xr:uid="{7222DEEF-1451-4E51-9FC8-01923859DB89}"/>
    <cellStyle name="Normal 17 17 2 3 3" xfId="10428" xr:uid="{BACA9106-342C-4613-83DB-69C0F2FBFCB1}"/>
    <cellStyle name="Normal 17 17 2 3 3 2" xfId="26632" xr:uid="{DDF32732-50DD-4CBF-A948-DC3A4F61A9EC}"/>
    <cellStyle name="Normal 17 17 2 3 4" xfId="18954" xr:uid="{CB8089CF-56D4-4606-BEEF-6BBF3FAC6EA6}"/>
    <cellStyle name="Normal 17 17 2 4" xfId="3662" xr:uid="{47ECD56A-DCDE-4B4D-928B-3680D3F0D988}"/>
    <cellStyle name="Normal 17 17 2 4 2" xfId="7372" xr:uid="{5D4EBABB-0665-4FBC-88E1-6B55A470C9A2}"/>
    <cellStyle name="Normal 17 17 2 4 2 2" xfId="14881" xr:uid="{8118A8B6-3889-4A09-A6C6-A8B9AD9BE76B}"/>
    <cellStyle name="Normal 17 17 2 4 2 2 2" xfId="31085" xr:uid="{F515D252-1A7A-45B4-8D0F-74FDDC3F2976}"/>
    <cellStyle name="Normal 17 17 2 4 2 3" xfId="23576" xr:uid="{CF79C34F-AB35-49E9-84A1-B21F821DBF13}"/>
    <cellStyle name="Normal 17 17 2 4 3" xfId="11273" xr:uid="{91C0E8E1-A970-4155-A512-31C7180B6DC7}"/>
    <cellStyle name="Normal 17 17 2 4 3 2" xfId="27477" xr:uid="{B9943C71-1619-42CF-958E-C4F7277CD0F0}"/>
    <cellStyle name="Normal 17 17 2 4 4" xfId="19871" xr:uid="{A0876447-B192-4FAB-9FAC-76E139F79EC2}"/>
    <cellStyle name="Normal 17 17 2 5" xfId="4132" xr:uid="{95E54E5E-4A1F-4DAD-885C-5AD914DEB4AA}"/>
    <cellStyle name="Normal 17 17 2 5 2" xfId="7802" xr:uid="{373B7AC9-86BE-44B3-9180-DF5E29A64B70}"/>
    <cellStyle name="Normal 17 17 2 5 2 2" xfId="15309" xr:uid="{11FD1561-3101-48FC-A77D-BBF81C6A07FF}"/>
    <cellStyle name="Normal 17 17 2 5 2 2 2" xfId="31513" xr:uid="{1BC1CB19-1152-49D7-80C9-7233E6C3AA4E}"/>
    <cellStyle name="Normal 17 17 2 5 2 3" xfId="24006" xr:uid="{2C0E23C2-251D-4970-AD8E-05226C49F881}"/>
    <cellStyle name="Normal 17 17 2 5 3" xfId="11695" xr:uid="{11B43A89-1018-48D7-8E87-1BC7EF5D035F}"/>
    <cellStyle name="Normal 17 17 2 5 3 2" xfId="27899" xr:uid="{BDD4109C-D30B-4E07-8247-5796C9CC69E5}"/>
    <cellStyle name="Normal 17 17 2 5 4" xfId="20336" xr:uid="{D7BAAF6F-F4C0-4C67-88F7-CAFA401EB5FA}"/>
    <cellStyle name="Normal 17 17 2 6" xfId="4557" xr:uid="{6D18FC88-E958-4163-8A3C-1194E5EB0F45}"/>
    <cellStyle name="Normal 17 17 2 6 2" xfId="8227" xr:uid="{BF064749-881B-4B7D-B237-496A0C75E324}"/>
    <cellStyle name="Normal 17 17 2 6 2 2" xfId="15734" xr:uid="{CEAC663E-935C-48FD-B573-3D05E2501BCD}"/>
    <cellStyle name="Normal 17 17 2 6 2 2 2" xfId="31938" xr:uid="{2E4589BD-58DA-4566-AFD0-06D2F6D62231}"/>
    <cellStyle name="Normal 17 17 2 6 2 3" xfId="24431" xr:uid="{8CCF148E-FBA6-410E-8BAE-43193C910D1D}"/>
    <cellStyle name="Normal 17 17 2 6 3" xfId="12120" xr:uid="{5B86E833-9A6B-423A-94F2-610F790BA894}"/>
    <cellStyle name="Normal 17 17 2 6 3 2" xfId="28324" xr:uid="{8B14899D-2A66-45EE-A68A-4EFE13894FFC}"/>
    <cellStyle name="Normal 17 17 2 6 4" xfId="20761" xr:uid="{D32F0868-F6F3-4971-9A80-5EAE79A32CAD}"/>
    <cellStyle name="Normal 17 17 2 7" xfId="4984" xr:uid="{6EA39B71-8F15-4418-9C55-6710BE30ACE9}"/>
    <cellStyle name="Normal 17 17 2 7 2" xfId="8650" xr:uid="{9D405DBC-ECFA-4278-B1FE-21FB0960F411}"/>
    <cellStyle name="Normal 17 17 2 7 2 2" xfId="16157" xr:uid="{64C2AAEE-0450-46F9-A296-BC0361C7F759}"/>
    <cellStyle name="Normal 17 17 2 7 2 2 2" xfId="32361" xr:uid="{F541F892-1DC5-4BE4-BA75-6DD82DCB9D2B}"/>
    <cellStyle name="Normal 17 17 2 7 2 3" xfId="24854" xr:uid="{45F06A0C-66CA-4980-9400-EC40912D6DE5}"/>
    <cellStyle name="Normal 17 17 2 7 3" xfId="12542" xr:uid="{234E8122-6031-4AA6-AC9F-2E50310EDFC1}"/>
    <cellStyle name="Normal 17 17 2 7 3 2" xfId="28746" xr:uid="{E407C8F0-A056-450D-892E-40FF6A5D4675}"/>
    <cellStyle name="Normal 17 17 2 7 4" xfId="21188" xr:uid="{5D559A21-B6A8-405A-8180-C69FA24714D7}"/>
    <cellStyle name="Normal 17 17 2 8" xfId="5655" xr:uid="{F70EB52F-A361-46CA-A47D-8808520DEE78}"/>
    <cellStyle name="Normal 17 17 2 8 2" xfId="13170" xr:uid="{9CB4CC72-5DB4-492D-BDF6-AE8DC38B685B}"/>
    <cellStyle name="Normal 17 17 2 8 2 2" xfId="29374" xr:uid="{6503421F-95F5-4B77-B7CD-4229E89A8FB8}"/>
    <cellStyle name="Normal 17 17 2 8 3" xfId="21859" xr:uid="{1D48AFD8-005A-42D2-8F48-04FFC5E369E3}"/>
    <cellStyle name="Normal 17 17 2 9" xfId="9583" xr:uid="{53DFE94F-EF25-4434-9BEA-06EC3A1B9CAF}"/>
    <cellStyle name="Normal 17 17 2 9 2" xfId="25787" xr:uid="{EF95F4D8-19D6-4D75-B90F-0197924EAD8A}"/>
    <cellStyle name="Normal 17 17 3" xfId="2184" xr:uid="{A4C6DCA2-7775-42E5-9895-0D7A1CC242BB}"/>
    <cellStyle name="Normal 17 17 3 2" xfId="3095" xr:uid="{E3CF3B8B-60D0-4EE6-8C96-9AD6034B7DC0}"/>
    <cellStyle name="Normal 17 17 3 2 2" xfId="6877" xr:uid="{AB95532E-62B3-49EC-AE8C-A41BB5031EFD}"/>
    <cellStyle name="Normal 17 17 3 2 2 2" xfId="14388" xr:uid="{7DC2A892-E8D2-47B2-B187-2763FC69967F}"/>
    <cellStyle name="Normal 17 17 3 2 2 2 2" xfId="30592" xr:uid="{55A750C3-F20D-44E3-899E-93FE014DFD7A}"/>
    <cellStyle name="Normal 17 17 3 2 2 3" xfId="23081" xr:uid="{94211EF2-D661-40A4-B5E4-1031B42F56AF}"/>
    <cellStyle name="Normal 17 17 3 2 3" xfId="10788" xr:uid="{84104144-2C81-44CD-B5D2-C8E0436016B8}"/>
    <cellStyle name="Normal 17 17 3 2 3 2" xfId="26992" xr:uid="{08B8031C-FB61-493D-BD46-A66D956FC05F}"/>
    <cellStyle name="Normal 17 17 3 2 4" xfId="19315" xr:uid="{42EA878C-3C1D-4773-B3DB-28526FC29056}"/>
    <cellStyle name="Normal 17 17 3 3" xfId="6021" xr:uid="{D8205E19-19E0-407B-AD7E-84F055060BCE}"/>
    <cellStyle name="Normal 17 17 3 3 2" xfId="13535" xr:uid="{451336E7-A953-4BF8-9604-9DEC693488ED}"/>
    <cellStyle name="Normal 17 17 3 3 2 2" xfId="29739" xr:uid="{53B44F0F-2127-4FEE-A380-D02413AD2963}"/>
    <cellStyle name="Normal 17 17 3 3 3" xfId="22225" xr:uid="{ADAECC10-221A-4304-880B-871A7B58C2D0}"/>
    <cellStyle name="Normal 17 17 3 4" xfId="9944" xr:uid="{4E6691F8-DC82-4831-B68A-B89B101CE582}"/>
    <cellStyle name="Normal 17 17 3 4 2" xfId="26148" xr:uid="{D4B7E5CD-0E28-479F-B2B9-A936FDF74F7C}"/>
    <cellStyle name="Normal 17 17 3 5" xfId="18470" xr:uid="{0E60D9C8-21C6-4C0A-82A9-C05D51D407B5}"/>
    <cellStyle name="Normal 17 17 4" xfId="2670" xr:uid="{976F8F45-2D59-4724-BF5E-9163666C0DA3}"/>
    <cellStyle name="Normal 17 17 4 2" xfId="6454" xr:uid="{F252953A-514B-44B4-9A38-911FEC7CFFCD}"/>
    <cellStyle name="Normal 17 17 4 2 2" xfId="13966" xr:uid="{F3542DC3-BBB0-4809-98F2-1D023D6671AC}"/>
    <cellStyle name="Normal 17 17 4 2 2 2" xfId="30170" xr:uid="{50F74BB6-D527-4278-B09F-60BC7005F2D4}"/>
    <cellStyle name="Normal 17 17 4 2 3" xfId="22658" xr:uid="{836F23E6-8140-4853-8B3B-93FBBFE207E3}"/>
    <cellStyle name="Normal 17 17 4 3" xfId="10366" xr:uid="{98D35B31-531B-4F52-AA6B-D13A95486C7D}"/>
    <cellStyle name="Normal 17 17 4 3 2" xfId="26570" xr:uid="{D9E21A1B-7DEA-4A66-9E03-A409E2E905ED}"/>
    <cellStyle name="Normal 17 17 4 4" xfId="18892" xr:uid="{AD37FF61-1D21-43F3-BCFE-A3AE3C48C632}"/>
    <cellStyle name="Normal 17 17 5" xfId="3549" xr:uid="{C0E0C6D1-1198-442F-B967-0A1BC6EA2A42}"/>
    <cellStyle name="Normal 17 17 5 2" xfId="7304" xr:uid="{E314E8D7-1C74-429C-8A3F-D8EFD8C1094D}"/>
    <cellStyle name="Normal 17 17 5 2 2" xfId="14814" xr:uid="{590025D5-D0BD-48F2-B5C6-F6AAE86A3164}"/>
    <cellStyle name="Normal 17 17 5 2 2 2" xfId="31018" xr:uid="{068315FD-7F93-4249-9178-22BA5DD4FEF2}"/>
    <cellStyle name="Normal 17 17 5 2 3" xfId="23508" xr:uid="{A065DA92-ED00-43AE-8E74-A150BF45B280}"/>
    <cellStyle name="Normal 17 17 5 3" xfId="11211" xr:uid="{3D2F460C-C1BE-41CE-8226-5DCFF1E503D0}"/>
    <cellStyle name="Normal 17 17 5 3 2" xfId="27415" xr:uid="{7775E4E7-E5D0-4830-87CE-CACDA2FF440C}"/>
    <cellStyle name="Normal 17 17 5 4" xfId="19765" xr:uid="{C41446B1-7130-4613-A6BD-E5F400FDEAF7}"/>
    <cellStyle name="Normal 17 17 6" xfId="4070" xr:uid="{9294F46F-05C3-40FB-AED6-BC461E0DD321}"/>
    <cellStyle name="Normal 17 17 6 2" xfId="7740" xr:uid="{42F3F690-A33C-43F5-A71A-79431BFDC4A5}"/>
    <cellStyle name="Normal 17 17 6 2 2" xfId="15247" xr:uid="{16EDF7FE-2F67-4135-8B09-7952A059F43A}"/>
    <cellStyle name="Normal 17 17 6 2 2 2" xfId="31451" xr:uid="{BC774B3A-18A8-4D08-8BB8-418C2CACC31E}"/>
    <cellStyle name="Normal 17 17 6 2 3" xfId="23944" xr:uid="{B94FE05A-5FD5-41F1-8AAB-F36825E4E5FA}"/>
    <cellStyle name="Normal 17 17 6 3" xfId="11633" xr:uid="{A67AD7BC-B105-4D68-BDE3-63BD72505F44}"/>
    <cellStyle name="Normal 17 17 6 3 2" xfId="27837" xr:uid="{281E14D5-FC8E-4C75-813D-9C799F5A5942}"/>
    <cellStyle name="Normal 17 17 6 4" xfId="20274" xr:uid="{33B07C7F-9ABE-4DC4-8391-C70D4FFB25B1}"/>
    <cellStyle name="Normal 17 17 7" xfId="4495" xr:uid="{D28437A6-A9AA-4C60-98E4-2DA5BF9ECD9B}"/>
    <cellStyle name="Normal 17 17 7 2" xfId="8165" xr:uid="{3700498D-F8C7-4EDD-8114-E79A74AE7E9C}"/>
    <cellStyle name="Normal 17 17 7 2 2" xfId="15672" xr:uid="{5E10698C-7C21-4BC9-B4C2-EA1DB37C6D0E}"/>
    <cellStyle name="Normal 17 17 7 2 2 2" xfId="31876" xr:uid="{4A21BF2E-CBCE-4959-8AEB-44C5F24784DB}"/>
    <cellStyle name="Normal 17 17 7 2 3" xfId="24369" xr:uid="{228A8981-7274-43CA-83D5-B11875F5E028}"/>
    <cellStyle name="Normal 17 17 7 3" xfId="12058" xr:uid="{1F658F93-FDD5-446F-91C5-593ECE54DD3F}"/>
    <cellStyle name="Normal 17 17 7 3 2" xfId="28262" xr:uid="{9AB1CE8A-71F5-4167-863C-A12F72F971A6}"/>
    <cellStyle name="Normal 17 17 7 4" xfId="20699" xr:uid="{DA66BDD8-45E2-49C6-9183-D1FE1FE7EBA4}"/>
    <cellStyle name="Normal 17 17 8" xfId="4921" xr:uid="{D428AC9F-B3D1-4B72-A36D-A4F417E06515}"/>
    <cellStyle name="Normal 17 17 8 2" xfId="8588" xr:uid="{68943FF6-23E5-4D00-8FE1-663BFE0A6533}"/>
    <cellStyle name="Normal 17 17 8 2 2" xfId="16095" xr:uid="{E2DAE590-D05D-4B57-B37B-4DCA4A76A0FD}"/>
    <cellStyle name="Normal 17 17 8 2 2 2" xfId="32299" xr:uid="{B7D0CE90-2715-43BB-8F57-8D9B7F322C12}"/>
    <cellStyle name="Normal 17 17 8 2 3" xfId="24792" xr:uid="{A13C0681-3B85-441E-BC96-FD7077F686E1}"/>
    <cellStyle name="Normal 17 17 8 3" xfId="12480" xr:uid="{DAD68C16-C767-46DB-AF14-38B6061C09E8}"/>
    <cellStyle name="Normal 17 17 8 3 2" xfId="28684" xr:uid="{2CB9F411-588B-40FE-BEFF-2575EC612C7A}"/>
    <cellStyle name="Normal 17 17 8 4" xfId="21125" xr:uid="{6C20100F-C9C0-422A-9E04-CE6D36F99CED}"/>
    <cellStyle name="Normal 17 17 9" xfId="5416" xr:uid="{249E9498-BEA8-4D95-8239-2BA4795E7535}"/>
    <cellStyle name="Normal 17 17 9 2" xfId="12963" xr:uid="{4DC1A066-21AB-4022-AC87-D2D924C02526}"/>
    <cellStyle name="Normal 17 17 9 2 2" xfId="29167" xr:uid="{C9DEA40E-6661-4C86-BC59-A9AFD975C472}"/>
    <cellStyle name="Normal 17 17 9 3" xfId="21620" xr:uid="{7847B35B-FD7A-4C27-A268-C808C6FCAF7A}"/>
    <cellStyle name="Normal 17 18" xfId="671" xr:uid="{04F275CB-C685-49C1-B277-CADC07378DA8}"/>
    <cellStyle name="Normal 17 18 10" xfId="9522" xr:uid="{A81C22F7-B2BF-4EE3-8BFD-491C8A024D2D}"/>
    <cellStyle name="Normal 17 18 10 2" xfId="25726" xr:uid="{5BDF8B47-C86F-4FC8-9843-5062F4363B85}"/>
    <cellStyle name="Normal 17 18 11" xfId="18040" xr:uid="{DD3AE53F-7E2D-4560-9509-1CFD12D0DACA}"/>
    <cellStyle name="Normal 17 18 2" xfId="1961" xr:uid="{62389E00-3889-40D8-B09A-F591BB82B99C}"/>
    <cellStyle name="Normal 17 18 2 10" xfId="18264" xr:uid="{7A073B69-6FA3-4AB9-B380-204E56D61BD1}"/>
    <cellStyle name="Normal 17 18 2 2" xfId="2467" xr:uid="{B9DA409D-FC51-4C50-BA88-C4493DC31E12}"/>
    <cellStyle name="Normal 17 18 2 2 2" xfId="3314" xr:uid="{E8D06917-E181-40F8-89A2-BD891AF6AD94}"/>
    <cellStyle name="Normal 17 18 2 2 2 2" xfId="7096" xr:uid="{24896287-6DE0-44D9-806F-FA47CF405935}"/>
    <cellStyle name="Normal 17 18 2 2 2 2 2" xfId="14607" xr:uid="{26239C59-E590-4383-8116-AFE485CCA650}"/>
    <cellStyle name="Normal 17 18 2 2 2 2 2 2" xfId="30811" xr:uid="{44FEFAD4-848F-44C8-A75D-607BE7363AB2}"/>
    <cellStyle name="Normal 17 18 2 2 2 2 3" xfId="23300" xr:uid="{A2C5EEC5-072B-406D-8339-9EE9132FAA6F}"/>
    <cellStyle name="Normal 17 18 2 2 2 3" xfId="11007" xr:uid="{0CBF707F-A4B1-40B8-B0C3-945D9EED499A}"/>
    <cellStyle name="Normal 17 18 2 2 2 3 2" xfId="27211" xr:uid="{243F0EF6-A606-4C29-A657-DB8E4ECAB56A}"/>
    <cellStyle name="Normal 17 18 2 2 2 4" xfId="19534" xr:uid="{C1980712-AD22-4BD6-8AE8-CC8400129B36}"/>
    <cellStyle name="Normal 17 18 2 2 3" xfId="6251" xr:uid="{03E89839-8B4C-4DF0-90AF-145F4FD207F0}"/>
    <cellStyle name="Normal 17 18 2 2 3 2" xfId="13763" xr:uid="{AEA81D55-55CE-4DC9-A6CC-BD3ADBD368FE}"/>
    <cellStyle name="Normal 17 18 2 2 3 2 2" xfId="29967" xr:uid="{A14209FC-AA93-4CCC-BA6B-22FA95E649D3}"/>
    <cellStyle name="Normal 17 18 2 2 3 3" xfId="22455" xr:uid="{301217F4-B84A-4A7B-B987-527BCF653276}"/>
    <cellStyle name="Normal 17 18 2 2 4" xfId="10163" xr:uid="{C9691175-733E-4134-92B8-349CDAE7FC8E}"/>
    <cellStyle name="Normal 17 18 2 2 4 2" xfId="26367" xr:uid="{C96EDCB5-AE67-4AD0-BACC-3C18152DA254}"/>
    <cellStyle name="Normal 17 18 2 2 5" xfId="18689" xr:uid="{E55212BE-0DEE-4DEE-9E82-5D193CD40796}"/>
    <cellStyle name="Normal 17 18 2 3" xfId="2889" xr:uid="{5D6CA2FB-7F09-4C78-B59E-046C9F35FF59}"/>
    <cellStyle name="Normal 17 18 2 3 2" xfId="6673" xr:uid="{44DD611C-401F-44A3-B9AC-A92F29FECBAD}"/>
    <cellStyle name="Normal 17 18 2 3 2 2" xfId="14185" xr:uid="{F70F3F7A-C25B-4E7D-9E22-07DE895341A1}"/>
    <cellStyle name="Normal 17 18 2 3 2 2 2" xfId="30389" xr:uid="{792D8764-7032-4DFF-9351-C2562E13E430}"/>
    <cellStyle name="Normal 17 18 2 3 2 3" xfId="22877" xr:uid="{58B90610-1582-4EFF-8532-AD805202E92D}"/>
    <cellStyle name="Normal 17 18 2 3 3" xfId="10585" xr:uid="{6B672B20-57DF-430F-823A-A1CFEA0DD615}"/>
    <cellStyle name="Normal 17 18 2 3 3 2" xfId="26789" xr:uid="{A09F9A07-4C62-49DE-8E28-B17DE5DC73FE}"/>
    <cellStyle name="Normal 17 18 2 3 4" xfId="19111" xr:uid="{7411FA90-DB27-4F23-B430-5ECD5A747A97}"/>
    <cellStyle name="Normal 17 18 2 4" xfId="3820" xr:uid="{73E3CF8B-CAD8-4471-87EF-F1F782C435E1}"/>
    <cellStyle name="Normal 17 18 2 4 2" xfId="7530" xr:uid="{AF54E206-4AC4-49AE-B4B3-CA43E0A8511D}"/>
    <cellStyle name="Normal 17 18 2 4 2 2" xfId="15039" xr:uid="{60B964B0-94F9-4FBA-8688-03D87D8CA50D}"/>
    <cellStyle name="Normal 17 18 2 4 2 2 2" xfId="31243" xr:uid="{FBBAF148-6B1D-420A-97D1-BD9455604F53}"/>
    <cellStyle name="Normal 17 18 2 4 2 3" xfId="23734" xr:uid="{9FE2BB99-DFDF-4AA2-9CEF-700354DEEBD2}"/>
    <cellStyle name="Normal 17 18 2 4 3" xfId="11430" xr:uid="{F967DE4A-27BD-485B-8279-AD55ACF290D0}"/>
    <cellStyle name="Normal 17 18 2 4 3 2" xfId="27634" xr:uid="{35F658A5-3CEB-4CD0-91E9-4E2FF3298F9D}"/>
    <cellStyle name="Normal 17 18 2 4 4" xfId="20029" xr:uid="{71D3DEA7-3533-4E4E-83B5-88495329E3B7}"/>
    <cellStyle name="Normal 17 18 2 5" xfId="4289" xr:uid="{F1BA8447-D4AA-420C-8905-FBC0CE3E6622}"/>
    <cellStyle name="Normal 17 18 2 5 2" xfId="7959" xr:uid="{1F4C4113-46DD-4163-8D82-A6C648606927}"/>
    <cellStyle name="Normal 17 18 2 5 2 2" xfId="15466" xr:uid="{DB65479D-D6B8-4E97-94EC-5F4D40449DFF}"/>
    <cellStyle name="Normal 17 18 2 5 2 2 2" xfId="31670" xr:uid="{6E644E37-0F8D-4663-906A-B74C897BA5E9}"/>
    <cellStyle name="Normal 17 18 2 5 2 3" xfId="24163" xr:uid="{3AF353F1-7E09-42C5-B0DC-320A9B9DA66D}"/>
    <cellStyle name="Normal 17 18 2 5 3" xfId="11852" xr:uid="{C631A92B-BCA2-4C68-95EF-C2AB84D7D014}"/>
    <cellStyle name="Normal 17 18 2 5 3 2" xfId="28056" xr:uid="{0A101025-01C5-4973-9CD2-9C9FB5826ACB}"/>
    <cellStyle name="Normal 17 18 2 5 4" xfId="20493" xr:uid="{C3313400-560B-42A5-9271-CF188092AB9A}"/>
    <cellStyle name="Normal 17 18 2 6" xfId="4714" xr:uid="{778DFA12-09A7-486D-BF03-BD1B1A2D1B7F}"/>
    <cellStyle name="Normal 17 18 2 6 2" xfId="8384" xr:uid="{C31D871A-03E8-48B6-A2E3-7771A113409F}"/>
    <cellStyle name="Normal 17 18 2 6 2 2" xfId="15891" xr:uid="{F26A4C17-38DC-45C9-B2F6-D0F4C2F95A23}"/>
    <cellStyle name="Normal 17 18 2 6 2 2 2" xfId="32095" xr:uid="{AFE9DA0E-CE17-4257-B219-D3FE131C8E2D}"/>
    <cellStyle name="Normal 17 18 2 6 2 3" xfId="24588" xr:uid="{64D1CE08-A561-414A-B6CE-2B30FB599A4B}"/>
    <cellStyle name="Normal 17 18 2 6 3" xfId="12277" xr:uid="{BF27035A-78C2-44AA-A45C-9B550E6486DB}"/>
    <cellStyle name="Normal 17 18 2 6 3 2" xfId="28481" xr:uid="{BF2FA16A-E1DF-48B9-AD77-8B92699891E1}"/>
    <cellStyle name="Normal 17 18 2 6 4" xfId="20918" xr:uid="{5E9581C0-7B82-4DE3-9ED2-BCE5C66DD04E}"/>
    <cellStyle name="Normal 17 18 2 7" xfId="5142" xr:uid="{6F3105D6-AE61-4320-8654-A85F6B4FD23F}"/>
    <cellStyle name="Normal 17 18 2 7 2" xfId="8807" xr:uid="{36F87360-CECD-4D91-98F1-A3DEE3A10CEF}"/>
    <cellStyle name="Normal 17 18 2 7 2 2" xfId="16314" xr:uid="{FE326AC8-89B9-43FE-8DAA-FE30BDAE3410}"/>
    <cellStyle name="Normal 17 18 2 7 2 2 2" xfId="32518" xr:uid="{CEE56E0B-E3CD-425C-86BE-3436C626E104}"/>
    <cellStyle name="Normal 17 18 2 7 2 3" xfId="25011" xr:uid="{19498A38-A471-422B-861F-A9DD9B0516FA}"/>
    <cellStyle name="Normal 17 18 2 7 3" xfId="12699" xr:uid="{0D596A88-96B3-445E-82A5-9D36A2FAEC82}"/>
    <cellStyle name="Normal 17 18 2 7 3 2" xfId="28903" xr:uid="{B53E7A3F-8DB4-4374-BF0B-C74A617EF6E5}"/>
    <cellStyle name="Normal 17 18 2 7 4" xfId="21346" xr:uid="{177AAA06-0EAF-4769-907B-1B0867092608}"/>
    <cellStyle name="Normal 17 18 2 8" xfId="5813" xr:uid="{6AE689A1-0F97-4E8A-A8DC-81A5C2DAA345}"/>
    <cellStyle name="Normal 17 18 2 8 2" xfId="13328" xr:uid="{C2EEDA29-341F-4141-B363-370615B5B993}"/>
    <cellStyle name="Normal 17 18 2 8 2 2" xfId="29532" xr:uid="{71E8FEF7-CCC2-4B10-9836-9F4E4934ACC4}"/>
    <cellStyle name="Normal 17 18 2 8 3" xfId="22017" xr:uid="{28027939-3FEE-4A1D-962B-6D48DBAD4290}"/>
    <cellStyle name="Normal 17 18 2 9" xfId="9740" xr:uid="{438E060A-F708-47C7-AE59-F62F761B288C}"/>
    <cellStyle name="Normal 17 18 2 9 2" xfId="25944" xr:uid="{EA691F41-E6D4-49E2-8801-F7488564E8E1}"/>
    <cellStyle name="Normal 17 18 3" xfId="2185" xr:uid="{E6551666-832E-4FD3-A4B4-0494D8321BCE}"/>
    <cellStyle name="Normal 17 18 3 2" xfId="3096" xr:uid="{8A4742D0-5DDB-4AE0-8D88-11738605A861}"/>
    <cellStyle name="Normal 17 18 3 2 2" xfId="6878" xr:uid="{72CE5B3A-ECF5-4D19-9259-D3F3D5BC5723}"/>
    <cellStyle name="Normal 17 18 3 2 2 2" xfId="14389" xr:uid="{9BDD2070-C512-48A3-830D-1EFA02964D09}"/>
    <cellStyle name="Normal 17 18 3 2 2 2 2" xfId="30593" xr:uid="{7B501556-6563-4226-B865-1E0E55111CA1}"/>
    <cellStyle name="Normal 17 18 3 2 2 3" xfId="23082" xr:uid="{57ACC92F-69A8-4556-9AA9-AD0801991BFA}"/>
    <cellStyle name="Normal 17 18 3 2 3" xfId="10789" xr:uid="{4E0E242F-450C-408C-BB83-E2C0CCDDC179}"/>
    <cellStyle name="Normal 17 18 3 2 3 2" xfId="26993" xr:uid="{264AA437-BBC2-4891-B926-8DAC4C41B289}"/>
    <cellStyle name="Normal 17 18 3 2 4" xfId="19316" xr:uid="{C99A41B7-DEFC-4A6D-8302-763D1235992C}"/>
    <cellStyle name="Normal 17 18 3 3" xfId="6022" xr:uid="{026A1660-F5AF-4E00-BC16-1E9D28D3BB2C}"/>
    <cellStyle name="Normal 17 18 3 3 2" xfId="13536" xr:uid="{DC3E2EF7-7969-43C8-8962-6FDF0BC8E93A}"/>
    <cellStyle name="Normal 17 18 3 3 2 2" xfId="29740" xr:uid="{E040361E-4BBC-45DE-847B-62AEE96CE258}"/>
    <cellStyle name="Normal 17 18 3 3 3" xfId="22226" xr:uid="{5F81DB70-FDC2-4DAB-BEE2-E260AFDEEBCE}"/>
    <cellStyle name="Normal 17 18 3 4" xfId="9945" xr:uid="{65A19BBF-6217-4068-8A83-7070347C4ABA}"/>
    <cellStyle name="Normal 17 18 3 4 2" xfId="26149" xr:uid="{F24EB1E3-4804-4CD6-9012-BBA8E3E5A531}"/>
    <cellStyle name="Normal 17 18 3 5" xfId="18471" xr:uid="{140FD531-80A7-4299-82F2-4C79AA1614B5}"/>
    <cellStyle name="Normal 17 18 4" xfId="2671" xr:uid="{7257A7EA-C2D2-47CA-BAC3-4FE62018D6CF}"/>
    <cellStyle name="Normal 17 18 4 2" xfId="6455" xr:uid="{2B5CF003-C08D-4AF0-8510-9F7B2A9A4460}"/>
    <cellStyle name="Normal 17 18 4 2 2" xfId="13967" xr:uid="{02AC2226-F213-4C4F-BB97-179B03DC0B83}"/>
    <cellStyle name="Normal 17 18 4 2 2 2" xfId="30171" xr:uid="{4F7F4C7B-47C0-4691-9F53-22310096A1C8}"/>
    <cellStyle name="Normal 17 18 4 2 3" xfId="22659" xr:uid="{15728DAE-2E28-475F-AEC5-3C572DA43542}"/>
    <cellStyle name="Normal 17 18 4 3" xfId="10367" xr:uid="{3E08CD1E-E4C6-43C1-8868-9E5A5ADD1D47}"/>
    <cellStyle name="Normal 17 18 4 3 2" xfId="26571" xr:uid="{762006CC-B285-46C6-9EA7-FE371619D3B4}"/>
    <cellStyle name="Normal 17 18 4 4" xfId="18893" xr:uid="{400FCD4E-D697-40EA-83A7-CB9514FFC8AA}"/>
    <cellStyle name="Normal 17 18 5" xfId="3550" xr:uid="{89CE7908-D69B-4568-95BA-C363B6FE3CE2}"/>
    <cellStyle name="Normal 17 18 5 2" xfId="7305" xr:uid="{BC1CD933-CF2F-4A3E-B9EA-6C2D0BA28351}"/>
    <cellStyle name="Normal 17 18 5 2 2" xfId="14815" xr:uid="{41E61F4A-E423-404E-BA7F-021D42C8A72D}"/>
    <cellStyle name="Normal 17 18 5 2 2 2" xfId="31019" xr:uid="{409F73F0-53BE-4F4C-A7EE-7AF0608E4075}"/>
    <cellStyle name="Normal 17 18 5 2 3" xfId="23509" xr:uid="{82E86ABF-3150-4C61-A6D8-DA090191F8F4}"/>
    <cellStyle name="Normal 17 18 5 3" xfId="11212" xr:uid="{C6997CD4-5A1A-4491-800B-E7E1C533A70D}"/>
    <cellStyle name="Normal 17 18 5 3 2" xfId="27416" xr:uid="{1E878852-F3DE-4340-9DA6-379AF91CBB3E}"/>
    <cellStyle name="Normal 17 18 5 4" xfId="19766" xr:uid="{26FB93E6-C12E-49D9-8928-CD568506A96F}"/>
    <cellStyle name="Normal 17 18 6" xfId="4071" xr:uid="{872E8FDA-F166-4ED2-8B14-94E8E06C7AED}"/>
    <cellStyle name="Normal 17 18 6 2" xfId="7741" xr:uid="{2A8DD230-D743-44E1-B279-4EF2B1AD47B3}"/>
    <cellStyle name="Normal 17 18 6 2 2" xfId="15248" xr:uid="{E4F92AB9-1830-4C2C-97CD-865D5A67F258}"/>
    <cellStyle name="Normal 17 18 6 2 2 2" xfId="31452" xr:uid="{1A4EE8C5-5278-4168-9AF6-23A9DF6D0CAD}"/>
    <cellStyle name="Normal 17 18 6 2 3" xfId="23945" xr:uid="{0D67CFF7-0DAF-4533-A58B-EC3D1CD1CA3E}"/>
    <cellStyle name="Normal 17 18 6 3" xfId="11634" xr:uid="{318B5CD4-283A-41D2-BD76-3B3F761563EE}"/>
    <cellStyle name="Normal 17 18 6 3 2" xfId="27838" xr:uid="{4BC46E33-6104-414C-9E54-527FF1030F98}"/>
    <cellStyle name="Normal 17 18 6 4" xfId="20275" xr:uid="{220B1790-45D8-4691-AAE4-A70E2ED57A11}"/>
    <cellStyle name="Normal 17 18 7" xfId="4496" xr:uid="{77C104C7-30B2-46DE-A423-67AB8494FF6E}"/>
    <cellStyle name="Normal 17 18 7 2" xfId="8166" xr:uid="{18EDF8C7-082A-43ED-B645-F9F48B0352A6}"/>
    <cellStyle name="Normal 17 18 7 2 2" xfId="15673" xr:uid="{C3C3BE20-DB50-4F94-B3A9-6A454A830799}"/>
    <cellStyle name="Normal 17 18 7 2 2 2" xfId="31877" xr:uid="{C193CDC5-8C08-4EF9-88D4-2EC90BC23522}"/>
    <cellStyle name="Normal 17 18 7 2 3" xfId="24370" xr:uid="{327F438D-3271-4839-8503-9F2870D2DC42}"/>
    <cellStyle name="Normal 17 18 7 3" xfId="12059" xr:uid="{C5433821-B238-4FE9-A02E-B150A87ABC6C}"/>
    <cellStyle name="Normal 17 18 7 3 2" xfId="28263" xr:uid="{149D10B9-EB66-4FA3-94F6-FF6EFBFD417A}"/>
    <cellStyle name="Normal 17 18 7 4" xfId="20700" xr:uid="{AE51CCF4-F326-4B3C-80C2-965E35D5D9E4}"/>
    <cellStyle name="Normal 17 18 8" xfId="4922" xr:uid="{34C97851-2D13-4F9B-8AF8-82789EEDD8C8}"/>
    <cellStyle name="Normal 17 18 8 2" xfId="8589" xr:uid="{806AF8C5-704B-4ED4-B69D-3CD0824D829A}"/>
    <cellStyle name="Normal 17 18 8 2 2" xfId="16096" xr:uid="{4004B4F3-0942-4548-81B1-CEB9D01B58C5}"/>
    <cellStyle name="Normal 17 18 8 2 2 2" xfId="32300" xr:uid="{E090AF80-76E8-4FD2-9301-94EF275433C2}"/>
    <cellStyle name="Normal 17 18 8 2 3" xfId="24793" xr:uid="{8B291D05-4B1C-4DEB-88AF-700D82FA10DB}"/>
    <cellStyle name="Normal 17 18 8 3" xfId="12481" xr:uid="{D45BDEFB-5FC9-406B-BF72-8DDE6D819653}"/>
    <cellStyle name="Normal 17 18 8 3 2" xfId="28685" xr:uid="{8E7F8AF7-1C8F-429A-AE92-9DDF250FBBFB}"/>
    <cellStyle name="Normal 17 18 8 4" xfId="21126" xr:uid="{1947B9EF-D46D-4406-B870-796B627760B5}"/>
    <cellStyle name="Normal 17 18 9" xfId="5417" xr:uid="{CE903CA4-340B-4E4F-A91C-9C0A2C3CEDCE}"/>
    <cellStyle name="Normal 17 18 9 2" xfId="12964" xr:uid="{517D31EE-15AD-47EB-98FB-B0D829F36814}"/>
    <cellStyle name="Normal 17 18 9 2 2" xfId="29168" xr:uid="{B093781E-CD39-47EB-80AE-5F58F205CB95}"/>
    <cellStyle name="Normal 17 18 9 3" xfId="21621" xr:uid="{C1EC3B5F-E0CA-466E-A0A7-576590C9DAE5}"/>
    <cellStyle name="Normal 17 19" xfId="672" xr:uid="{B1EB430E-76CF-4F7D-BB8D-A7A8D97655FD}"/>
    <cellStyle name="Normal 17 19 10" xfId="9523" xr:uid="{6E9F9305-946E-4403-86B0-CBE325343017}"/>
    <cellStyle name="Normal 17 19 10 2" xfId="25727" xr:uid="{FBB50C7F-ED2F-4B3F-BB86-BE93BE2E6498}"/>
    <cellStyle name="Normal 17 19 11" xfId="18041" xr:uid="{8E655BEC-B0BB-404B-87F8-1F07F28A0A2D}"/>
    <cellStyle name="Normal 17 19 2" xfId="1962" xr:uid="{68D6CEA6-BE0F-4065-AEB1-9B73D0EE0ABC}"/>
    <cellStyle name="Normal 17 19 2 10" xfId="18265" xr:uid="{3DCD25A6-B7D9-4E59-A3BC-F525C244BD6F}"/>
    <cellStyle name="Normal 17 19 2 2" xfId="2468" xr:uid="{653F3E98-41E9-4646-92C7-300229789F6B}"/>
    <cellStyle name="Normal 17 19 2 2 2" xfId="3315" xr:uid="{CBCDA17B-8084-40EC-ACFA-66C051A00849}"/>
    <cellStyle name="Normal 17 19 2 2 2 2" xfId="7097" xr:uid="{0A4A3538-3695-413C-BA21-80C8087823B5}"/>
    <cellStyle name="Normal 17 19 2 2 2 2 2" xfId="14608" xr:uid="{E27F2591-DD0A-43EF-91A5-D03B5C54C298}"/>
    <cellStyle name="Normal 17 19 2 2 2 2 2 2" xfId="30812" xr:uid="{850E969B-3E9F-4FD6-BD3B-DD6A892EEB75}"/>
    <cellStyle name="Normal 17 19 2 2 2 2 3" xfId="23301" xr:uid="{5F854653-1008-4C8A-8A1C-69F4A5270659}"/>
    <cellStyle name="Normal 17 19 2 2 2 3" xfId="11008" xr:uid="{80BD5D62-47DB-4814-8EEE-64B2875EF604}"/>
    <cellStyle name="Normal 17 19 2 2 2 3 2" xfId="27212" xr:uid="{9571C73B-D449-4DEE-92FE-1AB77EF57476}"/>
    <cellStyle name="Normal 17 19 2 2 2 4" xfId="19535" xr:uid="{8BFF08CD-A497-48ED-BA70-89B1C455B0B3}"/>
    <cellStyle name="Normal 17 19 2 2 3" xfId="6252" xr:uid="{7C5B4423-1F27-44AE-95E2-53298C6812BE}"/>
    <cellStyle name="Normal 17 19 2 2 3 2" xfId="13764" xr:uid="{034E3570-99F4-4DA5-A620-6CD2E2092C68}"/>
    <cellStyle name="Normal 17 19 2 2 3 2 2" xfId="29968" xr:uid="{799A3B58-B1B8-4819-A17C-3EAD94163EEF}"/>
    <cellStyle name="Normal 17 19 2 2 3 3" xfId="22456" xr:uid="{C6E8F6FE-5682-48B8-BA69-4147AA83A1C8}"/>
    <cellStyle name="Normal 17 19 2 2 4" xfId="10164" xr:uid="{708F3433-B17B-4504-8152-9B97241DFF06}"/>
    <cellStyle name="Normal 17 19 2 2 4 2" xfId="26368" xr:uid="{A3097694-D830-4564-BC17-0667F6CBFCDA}"/>
    <cellStyle name="Normal 17 19 2 2 5" xfId="18690" xr:uid="{A2ABFDE6-2BA0-4226-9683-0BA14F13BDAF}"/>
    <cellStyle name="Normal 17 19 2 3" xfId="2890" xr:uid="{F45D9966-BEDC-44F9-8617-996609626BDA}"/>
    <cellStyle name="Normal 17 19 2 3 2" xfId="6674" xr:uid="{7C0EA07F-E6F1-433F-B23B-DF1AFFBE14C2}"/>
    <cellStyle name="Normal 17 19 2 3 2 2" xfId="14186" xr:uid="{3B5C5F92-CBF7-4868-8E3A-1099715D10F6}"/>
    <cellStyle name="Normal 17 19 2 3 2 2 2" xfId="30390" xr:uid="{89EBAF89-FC8F-4ACA-9E74-FAC54251F2D9}"/>
    <cellStyle name="Normal 17 19 2 3 2 3" xfId="22878" xr:uid="{2EDBEF46-D2C7-4343-9772-BB7BA9C33C07}"/>
    <cellStyle name="Normal 17 19 2 3 3" xfId="10586" xr:uid="{5EA9394D-4642-4DE1-8CCD-D1D902B1D2E7}"/>
    <cellStyle name="Normal 17 19 2 3 3 2" xfId="26790" xr:uid="{75B4C87F-9C9C-4E18-B864-F42B8E85006E}"/>
    <cellStyle name="Normal 17 19 2 3 4" xfId="19112" xr:uid="{F7D30E85-6DDC-4F95-A9E8-E27C9396C958}"/>
    <cellStyle name="Normal 17 19 2 4" xfId="3821" xr:uid="{B8483E6F-13DF-48EA-AA43-71F6BBB1B9E3}"/>
    <cellStyle name="Normal 17 19 2 4 2" xfId="7531" xr:uid="{8C2D4EB8-BEBA-4588-9187-BA2DD1EAA20E}"/>
    <cellStyle name="Normal 17 19 2 4 2 2" xfId="15040" xr:uid="{8092D4DA-9110-4077-A24D-E6B1BF2599A6}"/>
    <cellStyle name="Normal 17 19 2 4 2 2 2" xfId="31244" xr:uid="{1516ED90-39BD-415C-987D-3118AC0BE8F5}"/>
    <cellStyle name="Normal 17 19 2 4 2 3" xfId="23735" xr:uid="{30F2ECD4-39DC-4884-9560-82523AC877E9}"/>
    <cellStyle name="Normal 17 19 2 4 3" xfId="11431" xr:uid="{CB40D591-D93C-442D-87DC-DA05D5D61A8F}"/>
    <cellStyle name="Normal 17 19 2 4 3 2" xfId="27635" xr:uid="{7E1FA8B3-1AAD-4540-8A8C-5FA049F5E61E}"/>
    <cellStyle name="Normal 17 19 2 4 4" xfId="20030" xr:uid="{C1FD9847-754E-4D95-889A-0F7347F91390}"/>
    <cellStyle name="Normal 17 19 2 5" xfId="4290" xr:uid="{49AE437D-6447-4381-B2F6-07653714251C}"/>
    <cellStyle name="Normal 17 19 2 5 2" xfId="7960" xr:uid="{1785083B-BEB9-40BB-A14D-03B63988AB19}"/>
    <cellStyle name="Normal 17 19 2 5 2 2" xfId="15467" xr:uid="{46211913-F7B4-42B8-BF0C-6C15C1B8747C}"/>
    <cellStyle name="Normal 17 19 2 5 2 2 2" xfId="31671" xr:uid="{6AE1A69E-598E-4721-8699-87257B89E36E}"/>
    <cellStyle name="Normal 17 19 2 5 2 3" xfId="24164" xr:uid="{8F24E78D-77F4-424C-9AB5-2C597AA19E94}"/>
    <cellStyle name="Normal 17 19 2 5 3" xfId="11853" xr:uid="{6EB87E17-2DFB-4220-B086-246D0B3206D7}"/>
    <cellStyle name="Normal 17 19 2 5 3 2" xfId="28057" xr:uid="{93B26734-E4E8-48B1-98C9-E9380E6FC2E2}"/>
    <cellStyle name="Normal 17 19 2 5 4" xfId="20494" xr:uid="{04542AE9-1632-470D-AD7C-347E641952AE}"/>
    <cellStyle name="Normal 17 19 2 6" xfId="4715" xr:uid="{AD8EE40F-6FFF-4BDF-922F-0E99E9E7DC5C}"/>
    <cellStyle name="Normal 17 19 2 6 2" xfId="8385" xr:uid="{7DF0E909-3529-45DE-B607-080668CDCAC7}"/>
    <cellStyle name="Normal 17 19 2 6 2 2" xfId="15892" xr:uid="{882A97B8-11E6-4452-9243-E70B25F3BC3D}"/>
    <cellStyle name="Normal 17 19 2 6 2 2 2" xfId="32096" xr:uid="{8A5E5E61-FD16-4567-9C87-21F19FD71AF5}"/>
    <cellStyle name="Normal 17 19 2 6 2 3" xfId="24589" xr:uid="{BF19CF4B-7B7C-4051-A832-CAA80D6C5915}"/>
    <cellStyle name="Normal 17 19 2 6 3" xfId="12278" xr:uid="{D84109E5-0EAD-462D-A627-6CD6536CD1D3}"/>
    <cellStyle name="Normal 17 19 2 6 3 2" xfId="28482" xr:uid="{05F78D98-8828-42C2-8461-B54A730A1848}"/>
    <cellStyle name="Normal 17 19 2 6 4" xfId="20919" xr:uid="{5FE66C42-EA38-4158-9336-E2EC58194DA3}"/>
    <cellStyle name="Normal 17 19 2 7" xfId="5143" xr:uid="{E8C2D9F2-5B81-4466-8B81-9B09D5DB5A45}"/>
    <cellStyle name="Normal 17 19 2 7 2" xfId="8808" xr:uid="{5E40D2A6-741D-4D85-959E-D25A98BC9D1F}"/>
    <cellStyle name="Normal 17 19 2 7 2 2" xfId="16315" xr:uid="{DA520479-A60B-4DAD-9F56-E0A2BB40EB88}"/>
    <cellStyle name="Normal 17 19 2 7 2 2 2" xfId="32519" xr:uid="{933BCA32-4375-49AC-A5B3-B700D510A26C}"/>
    <cellStyle name="Normal 17 19 2 7 2 3" xfId="25012" xr:uid="{787DC3C0-EABE-4587-B640-8E6827218F7D}"/>
    <cellStyle name="Normal 17 19 2 7 3" xfId="12700" xr:uid="{13491CF0-3761-4AE8-8A7C-CE7DB86B5BCE}"/>
    <cellStyle name="Normal 17 19 2 7 3 2" xfId="28904" xr:uid="{D2933A8F-904D-4A23-AFC0-4CB8C8D6C361}"/>
    <cellStyle name="Normal 17 19 2 7 4" xfId="21347" xr:uid="{0A3ABD9B-D82C-46B6-8B96-E856DAA87A56}"/>
    <cellStyle name="Normal 17 19 2 8" xfId="5814" xr:uid="{E1F8FE19-595D-4726-BBFC-B263484ED1EF}"/>
    <cellStyle name="Normal 17 19 2 8 2" xfId="13329" xr:uid="{5CB92C51-D9A9-49DB-8182-F32A4F7C227D}"/>
    <cellStyle name="Normal 17 19 2 8 2 2" xfId="29533" xr:uid="{FC99F0CA-90AB-4DB5-A029-63E9ECA25F88}"/>
    <cellStyle name="Normal 17 19 2 8 3" xfId="22018" xr:uid="{E84D6C90-0A5B-4725-AA5C-F28D8B0F640F}"/>
    <cellStyle name="Normal 17 19 2 9" xfId="9741" xr:uid="{28109550-CAA6-41C4-8DD2-A7B26D03DAF9}"/>
    <cellStyle name="Normal 17 19 2 9 2" xfId="25945" xr:uid="{25D09EFB-0F45-4BAC-A6BF-E1FF72325E93}"/>
    <cellStyle name="Normal 17 19 3" xfId="2186" xr:uid="{E6C03994-3F01-405F-BCE8-39AED0F181F6}"/>
    <cellStyle name="Normal 17 19 3 2" xfId="3097" xr:uid="{5B2201C8-87C4-4AA1-B7FA-222525CFC7A6}"/>
    <cellStyle name="Normal 17 19 3 2 2" xfId="6879" xr:uid="{04F00419-0D6C-4152-95CA-3D95770AC328}"/>
    <cellStyle name="Normal 17 19 3 2 2 2" xfId="14390" xr:uid="{BFC70C7D-F6E7-4B83-83D0-30CC8E057C1B}"/>
    <cellStyle name="Normal 17 19 3 2 2 2 2" xfId="30594" xr:uid="{48EABB5D-FF4B-4330-99CF-F24DD60E28CE}"/>
    <cellStyle name="Normal 17 19 3 2 2 3" xfId="23083" xr:uid="{6793502A-F0B5-4639-BF72-C9D54066FCD9}"/>
    <cellStyle name="Normal 17 19 3 2 3" xfId="10790" xr:uid="{2108516A-851A-4B9D-8D5C-BA4D5AE2AAE0}"/>
    <cellStyle name="Normal 17 19 3 2 3 2" xfId="26994" xr:uid="{7A4E3125-4681-4D17-BF13-6CFE3BAA6A25}"/>
    <cellStyle name="Normal 17 19 3 2 4" xfId="19317" xr:uid="{3EA6862A-BFBF-4385-9A5A-4ECAE2C45170}"/>
    <cellStyle name="Normal 17 19 3 3" xfId="6023" xr:uid="{06260A6F-48D9-4308-9319-359953B843DC}"/>
    <cellStyle name="Normal 17 19 3 3 2" xfId="13537" xr:uid="{C805EFAA-EAA7-44DD-B0BE-2804765928EA}"/>
    <cellStyle name="Normal 17 19 3 3 2 2" xfId="29741" xr:uid="{F3BAC01B-F3B6-4D18-B721-C4491600D485}"/>
    <cellStyle name="Normal 17 19 3 3 3" xfId="22227" xr:uid="{2DC08191-C203-41A6-885B-2556CE54283A}"/>
    <cellStyle name="Normal 17 19 3 4" xfId="9946" xr:uid="{9995F473-70F8-4E75-87BC-C696E88B99B8}"/>
    <cellStyle name="Normal 17 19 3 4 2" xfId="26150" xr:uid="{B22A76AF-EBA4-4A84-803C-798D2145D440}"/>
    <cellStyle name="Normal 17 19 3 5" xfId="18472" xr:uid="{E4CA8BDE-FAA5-4742-8546-509659E718A0}"/>
    <cellStyle name="Normal 17 19 4" xfId="2672" xr:uid="{E7750FBD-9D3E-439B-97E0-61FF8AFA75B3}"/>
    <cellStyle name="Normal 17 19 4 2" xfId="6456" xr:uid="{A93BB65F-41DF-463B-8689-2A1066480A21}"/>
    <cellStyle name="Normal 17 19 4 2 2" xfId="13968" xr:uid="{B34C833C-9D31-4325-9617-8DB0D38556A4}"/>
    <cellStyle name="Normal 17 19 4 2 2 2" xfId="30172" xr:uid="{FD7DD197-0B26-47D5-81DF-C20EF2F33F02}"/>
    <cellStyle name="Normal 17 19 4 2 3" xfId="22660" xr:uid="{E29D20E3-F253-44BF-8C5A-513B671101DC}"/>
    <cellStyle name="Normal 17 19 4 3" xfId="10368" xr:uid="{E48CB069-3B63-4AF8-ACBA-506D3A02CB99}"/>
    <cellStyle name="Normal 17 19 4 3 2" xfId="26572" xr:uid="{BE559016-4D75-4A39-83AB-8EDB60FAC1E4}"/>
    <cellStyle name="Normal 17 19 4 4" xfId="18894" xr:uid="{E8D2FB37-BF10-4E1A-8562-2CB6BA93D716}"/>
    <cellStyle name="Normal 17 19 5" xfId="3551" xr:uid="{91057872-1723-4F1F-8E62-25E616EE82FA}"/>
    <cellStyle name="Normal 17 19 5 2" xfId="7306" xr:uid="{5F139D3E-8A08-4949-88E0-D0AB500F3AE4}"/>
    <cellStyle name="Normal 17 19 5 2 2" xfId="14816" xr:uid="{BC06E7FB-4C80-4192-86DA-CCF0D4E99EF3}"/>
    <cellStyle name="Normal 17 19 5 2 2 2" xfId="31020" xr:uid="{32ECB704-1487-4B21-976F-2B85CB167904}"/>
    <cellStyle name="Normal 17 19 5 2 3" xfId="23510" xr:uid="{F0C52A8F-11C0-4FE3-BEA3-1277BE0B4302}"/>
    <cellStyle name="Normal 17 19 5 3" xfId="11213" xr:uid="{5E42895B-7AFA-433F-A193-5C2B403F3497}"/>
    <cellStyle name="Normal 17 19 5 3 2" xfId="27417" xr:uid="{6EF5DA01-1575-43A0-9455-6EDBCEA8DF96}"/>
    <cellStyle name="Normal 17 19 5 4" xfId="19767" xr:uid="{D4316436-E73E-4B40-8661-53E348D171EE}"/>
    <cellStyle name="Normal 17 19 6" xfId="4072" xr:uid="{1E7CFB1D-9DA7-4710-A6D9-62F69A2401F7}"/>
    <cellStyle name="Normal 17 19 6 2" xfId="7742" xr:uid="{DD6447F3-B162-452B-8497-36277E68D89F}"/>
    <cellStyle name="Normal 17 19 6 2 2" xfId="15249" xr:uid="{862BF5E0-8AB1-4A5D-B7F1-F0D1C08F4C7D}"/>
    <cellStyle name="Normal 17 19 6 2 2 2" xfId="31453" xr:uid="{FFE7487F-D895-4ED1-BF71-6E77F1E731D2}"/>
    <cellStyle name="Normal 17 19 6 2 3" xfId="23946" xr:uid="{2B2A2589-B8D0-4779-86C0-74C34EFD4031}"/>
    <cellStyle name="Normal 17 19 6 3" xfId="11635" xr:uid="{E48CA686-1C7A-462C-B930-B255458F67B8}"/>
    <cellStyle name="Normal 17 19 6 3 2" xfId="27839" xr:uid="{E7F75D92-9B56-4003-AFB9-3E82928B60B3}"/>
    <cellStyle name="Normal 17 19 6 4" xfId="20276" xr:uid="{1C3ADB52-47B2-430F-B00D-1C4F7279F2D1}"/>
    <cellStyle name="Normal 17 19 7" xfId="4497" xr:uid="{E9E56B54-44E4-4B32-B889-AF06DDEB2BB7}"/>
    <cellStyle name="Normal 17 19 7 2" xfId="8167" xr:uid="{C83E3014-1CAD-4B52-A502-AF2140D314EC}"/>
    <cellStyle name="Normal 17 19 7 2 2" xfId="15674" xr:uid="{21D97408-F600-401F-8E52-BFF500BB7610}"/>
    <cellStyle name="Normal 17 19 7 2 2 2" xfId="31878" xr:uid="{D7EA7F15-2ABD-427F-9577-E98B79B4B375}"/>
    <cellStyle name="Normal 17 19 7 2 3" xfId="24371" xr:uid="{0E66123C-4FB9-4FD4-AEF0-CDC132CF7150}"/>
    <cellStyle name="Normal 17 19 7 3" xfId="12060" xr:uid="{9FAE799B-8A1A-4698-9028-5E438FB3942C}"/>
    <cellStyle name="Normal 17 19 7 3 2" xfId="28264" xr:uid="{1461CE7D-B56E-4626-BF22-9E474305E083}"/>
    <cellStyle name="Normal 17 19 7 4" xfId="20701" xr:uid="{950595BB-2CA6-4A21-BAF1-108BDFF77C81}"/>
    <cellStyle name="Normal 17 19 8" xfId="4923" xr:uid="{65804262-44AD-4EFC-BE2A-35666F3C91C2}"/>
    <cellStyle name="Normal 17 19 8 2" xfId="8590" xr:uid="{086F60D5-A0A4-4192-8A42-4B15C4884F8F}"/>
    <cellStyle name="Normal 17 19 8 2 2" xfId="16097" xr:uid="{3FD94639-BB58-4EFE-A139-77746385079C}"/>
    <cellStyle name="Normal 17 19 8 2 2 2" xfId="32301" xr:uid="{99796B71-7845-4091-A6B8-EDAACD072311}"/>
    <cellStyle name="Normal 17 19 8 2 3" xfId="24794" xr:uid="{3AE140AB-9B94-40F6-BF32-E3CFB53A5AB1}"/>
    <cellStyle name="Normal 17 19 8 3" xfId="12482" xr:uid="{20A58D89-2704-4339-A5DE-20F27979CA5B}"/>
    <cellStyle name="Normal 17 19 8 3 2" xfId="28686" xr:uid="{75CB7D01-69AF-4056-87C9-036D9401B631}"/>
    <cellStyle name="Normal 17 19 8 4" xfId="21127" xr:uid="{90FF2A06-74E8-43E0-B80B-F7C6AEFB9546}"/>
    <cellStyle name="Normal 17 19 9" xfId="5418" xr:uid="{05FE3A5A-BEB3-4131-8110-E7165E6BAA74}"/>
    <cellStyle name="Normal 17 19 9 2" xfId="12965" xr:uid="{A751AB58-DF83-4226-85B6-F8A8E6A611FF}"/>
    <cellStyle name="Normal 17 19 9 2 2" xfId="29169" xr:uid="{375209AA-579E-4E2C-98C0-0CA0EED38AB1}"/>
    <cellStyle name="Normal 17 19 9 3" xfId="21622" xr:uid="{EA51AB1D-E1A1-4097-B187-AFBE8C397953}"/>
    <cellStyle name="Normal 17 2" xfId="389" xr:uid="{548D711E-C99C-4E6D-83EA-EA6929944E75}"/>
    <cellStyle name="Normal 17 2 10" xfId="3404" xr:uid="{2C88277D-459A-423E-80BE-90544E3E4047}"/>
    <cellStyle name="Normal 17 2 10 2" xfId="7166" xr:uid="{9BBED054-37F5-4A50-B02D-5F58DED47F6E}"/>
    <cellStyle name="Normal 17 2 10 2 2" xfId="14677" xr:uid="{755CE2FA-E35F-4A27-9F69-3B6A73C2C09B}"/>
    <cellStyle name="Normal 17 2 10 2 2 2" xfId="30881" xr:uid="{917838B5-33B3-4AE2-B23A-E78618DCA4BD}"/>
    <cellStyle name="Normal 17 2 10 2 3" xfId="23370" xr:uid="{9F730DF9-8FE4-4AA6-8CDB-D83FC72F94FD}"/>
    <cellStyle name="Normal 17 2 10 3" xfId="11074" xr:uid="{1FB8C0A6-33B4-43CA-9CDC-9C8411F91569}"/>
    <cellStyle name="Normal 17 2 10 3 2" xfId="27278" xr:uid="{C67B99A8-5E01-471F-B967-33DF9FDBADDA}"/>
    <cellStyle name="Normal 17 2 10 4" xfId="19620" xr:uid="{617C3186-09C4-434F-85FF-C46060396426}"/>
    <cellStyle name="Normal 17 2 11" xfId="3933" xr:uid="{8E5B768D-EB22-444C-A076-BFDB3C71B736}"/>
    <cellStyle name="Normal 17 2 11 2" xfId="7603" xr:uid="{F31EA567-0E76-4C61-BB85-A457F088A4D7}"/>
    <cellStyle name="Normal 17 2 11 2 2" xfId="15110" xr:uid="{5F83794D-3F4B-44B2-85A3-AEF7765A8DC5}"/>
    <cellStyle name="Normal 17 2 11 2 2 2" xfId="31314" xr:uid="{8C7F098B-F25B-4EA0-9283-3DE73FB9A8FF}"/>
    <cellStyle name="Normal 17 2 11 2 3" xfId="23807" xr:uid="{8DD8894E-954E-473F-8C74-4D3527D5A894}"/>
    <cellStyle name="Normal 17 2 11 3" xfId="11496" xr:uid="{A083D2DA-F8FF-4E05-A06C-BE9B98613253}"/>
    <cellStyle name="Normal 17 2 11 3 2" xfId="27700" xr:uid="{8DDCE52E-DBD9-492A-9255-E8E08218A28B}"/>
    <cellStyle name="Normal 17 2 11 4" xfId="20137" xr:uid="{366D31B0-ECE1-43A8-ACF1-C44C1E85E3B9}"/>
    <cellStyle name="Normal 17 2 12" xfId="4358" xr:uid="{4CAB062D-43C2-4FA6-AB4C-DC48986ED199}"/>
    <cellStyle name="Normal 17 2 12 2" xfId="8028" xr:uid="{1CCC9DA1-BA6C-4826-BA0A-4BB7569A4179}"/>
    <cellStyle name="Normal 17 2 12 2 2" xfId="15535" xr:uid="{965D9315-EF73-4D03-A4E3-2514393D4669}"/>
    <cellStyle name="Normal 17 2 12 2 2 2" xfId="31739" xr:uid="{F9F94F6E-4D33-4D04-B894-6C454F1B9868}"/>
    <cellStyle name="Normal 17 2 12 2 3" xfId="24232" xr:uid="{C3F82780-7BA8-421A-AF2C-478CA927299E}"/>
    <cellStyle name="Normal 17 2 12 3" xfId="11921" xr:uid="{C026C2F2-5BDA-42CB-A935-A296C3501BC1}"/>
    <cellStyle name="Normal 17 2 12 3 2" xfId="28125" xr:uid="{C5AFE8B0-8237-429B-A1DE-9EEEA8D7CA10}"/>
    <cellStyle name="Normal 17 2 12 4" xfId="20562" xr:uid="{AE2C966A-F71E-4104-B9B6-A261DE48FF84}"/>
    <cellStyle name="Normal 17 2 13" xfId="4780" xr:uid="{4F936D00-D907-46F1-B008-041EDFF9BB75}"/>
    <cellStyle name="Normal 17 2 13 2" xfId="8450" xr:uid="{C0B4951A-F514-4E4C-BEF1-9DAAEF28FC44}"/>
    <cellStyle name="Normal 17 2 13 2 2" xfId="15957" xr:uid="{E81EAD2C-8E76-48E5-91EF-0B986D629D91}"/>
    <cellStyle name="Normal 17 2 13 2 2 2" xfId="32161" xr:uid="{AB3E6C24-69CF-41E6-B176-4F1DDF451A16}"/>
    <cellStyle name="Normal 17 2 13 2 3" xfId="24654" xr:uid="{B41E77C5-D33B-45A2-802A-EBE2010B3ABC}"/>
    <cellStyle name="Normal 17 2 13 3" xfId="12343" xr:uid="{9049EAC3-CFE0-4CF9-8B1F-9549836870A2}"/>
    <cellStyle name="Normal 17 2 13 3 2" xfId="28547" xr:uid="{3FB11C3A-E791-4B96-9562-728D72A8ED17}"/>
    <cellStyle name="Normal 17 2 13 4" xfId="20984" xr:uid="{9A52266C-0425-4244-8F6A-540119B85E5A}"/>
    <cellStyle name="Normal 17 2 14" xfId="5257" xr:uid="{3EF50972-7792-4624-9244-DC8220CF29A3}"/>
    <cellStyle name="Normal 17 2 14 2" xfId="12806" xr:uid="{3933676B-41B5-4C68-821C-01C8BA027561}"/>
    <cellStyle name="Normal 17 2 14 2 2" xfId="29010" xr:uid="{4BE0B18E-CF16-4125-9400-09DCCB227367}"/>
    <cellStyle name="Normal 17 2 14 3" xfId="21461" xr:uid="{E9C24B47-B12B-4FD8-8EC5-1AE5093FC2B3}"/>
    <cellStyle name="Normal 17 2 15" xfId="9384" xr:uid="{4B5540E9-6063-449A-B3C8-138DDD75A0DA}"/>
    <cellStyle name="Normal 17 2 15 2" xfId="25588" xr:uid="{B72D4967-353B-456D-9EE8-91C0720EF7E7}"/>
    <cellStyle name="Normal 17 2 16" xfId="17897" xr:uid="{77009708-9DE0-45BC-A9B9-171A3CDA32DA}"/>
    <cellStyle name="Normal 17 2 2" xfId="444" xr:uid="{6AF160F1-0E26-4B0B-B2C3-24836E30D8B4}"/>
    <cellStyle name="Normal 17 2 2 10" xfId="4361" xr:uid="{82D1DEFD-CFB2-4A50-945D-3A02F2023BB3}"/>
    <cellStyle name="Normal 17 2 2 10 2" xfId="8031" xr:uid="{A1AF31AB-D1EA-40F3-9583-4A1D740EA53B}"/>
    <cellStyle name="Normal 17 2 2 10 2 2" xfId="15538" xr:uid="{B55F86C7-BC80-45D7-B85B-0C8CB96C77D2}"/>
    <cellStyle name="Normal 17 2 2 10 2 2 2" xfId="31742" xr:uid="{DD83E6E9-8FF7-48D5-BE4D-0C829A263DFB}"/>
    <cellStyle name="Normal 17 2 2 10 2 3" xfId="24235" xr:uid="{BD51A65D-F6AD-4CFB-97EF-2C4176A239E9}"/>
    <cellStyle name="Normal 17 2 2 10 3" xfId="11924" xr:uid="{8497875D-99B2-4CE8-ADF6-160DED50ED98}"/>
    <cellStyle name="Normal 17 2 2 10 3 2" xfId="28128" xr:uid="{B9F00DE0-DF41-4D53-A4EF-85B0C8833A34}"/>
    <cellStyle name="Normal 17 2 2 10 4" xfId="20565" xr:uid="{FA4B9419-2342-4EB7-99E3-BCDC3C838BA0}"/>
    <cellStyle name="Normal 17 2 2 11" xfId="4784" xr:uid="{3302B5BA-31D9-4648-BBF3-284326FEE5B9}"/>
    <cellStyle name="Normal 17 2 2 11 2" xfId="8453" xr:uid="{33CF8B17-79ED-4438-BA15-91D319E6D15F}"/>
    <cellStyle name="Normal 17 2 2 11 2 2" xfId="15960" xr:uid="{32D10FEE-B996-49A0-89CF-EF04290C7E6A}"/>
    <cellStyle name="Normal 17 2 2 11 2 2 2" xfId="32164" xr:uid="{1FB95FAC-1779-4E50-AD19-F5C21A10684B}"/>
    <cellStyle name="Normal 17 2 2 11 2 3" xfId="24657" xr:uid="{BF744387-B561-4892-A263-948DA04D8FEA}"/>
    <cellStyle name="Normal 17 2 2 11 3" xfId="12346" xr:uid="{8349ED1E-B2F6-45A8-87C1-5D2AE13DE51B}"/>
    <cellStyle name="Normal 17 2 2 11 3 2" xfId="28550" xr:uid="{68F886BB-A01A-46AB-BC5C-E62E58B7E6EC}"/>
    <cellStyle name="Normal 17 2 2 11 4" xfId="20988" xr:uid="{0D79927E-0592-4533-8891-23B92800751A}"/>
    <cellStyle name="Normal 17 2 2 12" xfId="5269" xr:uid="{68F05E03-C396-4EE5-9683-05A987A27193}"/>
    <cellStyle name="Normal 17 2 2 12 2" xfId="12818" xr:uid="{74AD6E51-6776-4149-B022-025F6DADCAB3}"/>
    <cellStyle name="Normal 17 2 2 12 2 2" xfId="29022" xr:uid="{F1DD02AE-28D5-4D43-A0A3-EBD4D134CFE8}"/>
    <cellStyle name="Normal 17 2 2 12 3" xfId="21473" xr:uid="{DC2106E7-9409-43A9-A68E-3547EC57D608}"/>
    <cellStyle name="Normal 17 2 2 13" xfId="9387" xr:uid="{1E16B6DA-5D3A-493C-9D05-D7ADACDD109F}"/>
    <cellStyle name="Normal 17 2 2 13 2" xfId="25591" xr:uid="{0F115331-5C7D-4ED3-BA7B-FAEF4F8D1822}"/>
    <cellStyle name="Normal 17 2 2 14" xfId="17901" xr:uid="{CE7CD095-0A2D-4D5F-9E1A-8B847381712E}"/>
    <cellStyle name="Normal 17 2 2 2" xfId="497" xr:uid="{7989F0AB-C743-4A83-B3ED-62527A38D005}"/>
    <cellStyle name="Normal 17 2 2 2 10" xfId="5294" xr:uid="{9FF108C8-F4E4-4314-8F7C-A966191BD01D}"/>
    <cellStyle name="Normal 17 2 2 2 10 2" xfId="12843" xr:uid="{3C292529-76CB-4A8A-8390-969101D25E92}"/>
    <cellStyle name="Normal 17 2 2 2 10 2 2" xfId="29047" xr:uid="{E292AA65-73EF-428B-91FC-1EE83EE839ED}"/>
    <cellStyle name="Normal 17 2 2 2 10 3" xfId="21498" xr:uid="{806D5316-2483-48B8-8604-D0311E7E699B}"/>
    <cellStyle name="Normal 17 2 2 2 11" xfId="9409" xr:uid="{23A7BCBD-5611-4FC3-9834-645B582F6DF2}"/>
    <cellStyle name="Normal 17 2 2 2 11 2" xfId="25613" xr:uid="{D56F5DBE-F421-4569-9289-C0A45E79B55D}"/>
    <cellStyle name="Normal 17 2 2 2 12" xfId="17924" xr:uid="{B8C835FD-4B1E-426F-A3DD-3080139D3A89}"/>
    <cellStyle name="Normal 17 2 2 2 2" xfId="568" xr:uid="{ADE0E38F-65DF-420C-B8C0-8226F103917B}"/>
    <cellStyle name="Normal 17 2 2 2 2 10" xfId="9476" xr:uid="{0AE62110-F1D1-4117-B797-0914D98D2CDB}"/>
    <cellStyle name="Normal 17 2 2 2 2 10 2" xfId="25680" xr:uid="{44F4171C-0F1D-411F-BCF8-B49564943C2E}"/>
    <cellStyle name="Normal 17 2 2 2 2 11" xfId="17992" xr:uid="{EBAC8AB0-6F60-402F-BEEA-E04A624FE677}"/>
    <cellStyle name="Normal 17 2 2 2 2 2" xfId="1963" xr:uid="{D524198B-BBE4-4232-AAC6-DB6500B148C8}"/>
    <cellStyle name="Normal 17 2 2 2 2 2 10" xfId="18266" xr:uid="{759E8B85-561B-4F9F-BF9E-F4E0BB8FF3AE}"/>
    <cellStyle name="Normal 17 2 2 2 2 2 2" xfId="2469" xr:uid="{2C2B4FBA-D08A-4AEB-878A-7C6BA1CD882F}"/>
    <cellStyle name="Normal 17 2 2 2 2 2 2 2" xfId="3316" xr:uid="{6C69D9A0-5EEF-4B9E-9F34-61FAA0455601}"/>
    <cellStyle name="Normal 17 2 2 2 2 2 2 2 2" xfId="7098" xr:uid="{549BA64D-C333-40BA-A038-3962AC8DE835}"/>
    <cellStyle name="Normal 17 2 2 2 2 2 2 2 2 2" xfId="14609" xr:uid="{74B2F957-2488-4080-A946-329CE7925A78}"/>
    <cellStyle name="Normal 17 2 2 2 2 2 2 2 2 2 2" xfId="30813" xr:uid="{0B9D5AA4-24DC-4A9C-B4B5-F1C19C5268B5}"/>
    <cellStyle name="Normal 17 2 2 2 2 2 2 2 2 3" xfId="23302" xr:uid="{299E6EFA-A6D6-4897-B4CA-AE993C4A9D56}"/>
    <cellStyle name="Normal 17 2 2 2 2 2 2 2 3" xfId="11009" xr:uid="{F5E6EE44-34CE-4EA8-A80F-350D16EFF642}"/>
    <cellStyle name="Normal 17 2 2 2 2 2 2 2 3 2" xfId="27213" xr:uid="{C9614855-32C6-42D4-9743-673988B5ACFB}"/>
    <cellStyle name="Normal 17 2 2 2 2 2 2 2 4" xfId="19536" xr:uid="{10C4F837-AE06-468B-9291-26FB254609C3}"/>
    <cellStyle name="Normal 17 2 2 2 2 2 2 3" xfId="6253" xr:uid="{3073E758-9031-4748-B97A-535F55EE8AC4}"/>
    <cellStyle name="Normal 17 2 2 2 2 2 2 3 2" xfId="13765" xr:uid="{FC06393B-D4C8-48D9-BADE-E9C6C03FD414}"/>
    <cellStyle name="Normal 17 2 2 2 2 2 2 3 2 2" xfId="29969" xr:uid="{6CC03EEB-2983-4DB5-85DB-85C9521B71B3}"/>
    <cellStyle name="Normal 17 2 2 2 2 2 2 3 3" xfId="22457" xr:uid="{D6C88698-7A9A-4D77-A50E-5C221FFC39E4}"/>
    <cellStyle name="Normal 17 2 2 2 2 2 2 4" xfId="10165" xr:uid="{8026ABCB-B4B2-45F0-8EB5-D88FF9893033}"/>
    <cellStyle name="Normal 17 2 2 2 2 2 2 4 2" xfId="26369" xr:uid="{A963D004-C986-42E5-91AA-8FA639745716}"/>
    <cellStyle name="Normal 17 2 2 2 2 2 2 5" xfId="18691" xr:uid="{48C6D157-2DBC-4B00-AB66-4799DD254BDD}"/>
    <cellStyle name="Normal 17 2 2 2 2 2 3" xfId="2891" xr:uid="{5E506CD4-671C-4000-8283-6946458EAD72}"/>
    <cellStyle name="Normal 17 2 2 2 2 2 3 2" xfId="6675" xr:uid="{961456FC-F254-417C-AAE5-35111579149E}"/>
    <cellStyle name="Normal 17 2 2 2 2 2 3 2 2" xfId="14187" xr:uid="{07B578CB-E12B-4C4E-8526-96DD57771C19}"/>
    <cellStyle name="Normal 17 2 2 2 2 2 3 2 2 2" xfId="30391" xr:uid="{B4A601E1-DC3F-4DD8-9162-FE424545BE70}"/>
    <cellStyle name="Normal 17 2 2 2 2 2 3 2 3" xfId="22879" xr:uid="{473A4661-C1A8-4D24-8578-C147FD1CD53D}"/>
    <cellStyle name="Normal 17 2 2 2 2 2 3 3" xfId="10587" xr:uid="{12D1B088-EB19-4589-AB6B-AC75536D8DA3}"/>
    <cellStyle name="Normal 17 2 2 2 2 2 3 3 2" xfId="26791" xr:uid="{EEDEFC81-406D-4249-B0EC-7C16E6F65835}"/>
    <cellStyle name="Normal 17 2 2 2 2 2 3 4" xfId="19113" xr:uid="{C2115CC9-F654-4DEB-93EC-4398C6B042DC}"/>
    <cellStyle name="Normal 17 2 2 2 2 2 4" xfId="3822" xr:uid="{0B81C7B2-A78F-44C2-A942-BADDDB500146}"/>
    <cellStyle name="Normal 17 2 2 2 2 2 4 2" xfId="7532" xr:uid="{87D543A4-B6F4-4CB1-9F10-89EC2A73A909}"/>
    <cellStyle name="Normal 17 2 2 2 2 2 4 2 2" xfId="15041" xr:uid="{ABC19D09-CAAB-49D2-A074-E658AE0F9D1A}"/>
    <cellStyle name="Normal 17 2 2 2 2 2 4 2 2 2" xfId="31245" xr:uid="{C2499669-8AF2-4590-9D6B-634C196544AD}"/>
    <cellStyle name="Normal 17 2 2 2 2 2 4 2 3" xfId="23736" xr:uid="{8200DD06-B835-4976-9D09-563E26809F7D}"/>
    <cellStyle name="Normal 17 2 2 2 2 2 4 3" xfId="11432" xr:uid="{3CE01F36-C2D2-494F-A06F-DDF351A882E5}"/>
    <cellStyle name="Normal 17 2 2 2 2 2 4 3 2" xfId="27636" xr:uid="{D95CA016-117F-4FEA-B6B5-5DD8F47EADCE}"/>
    <cellStyle name="Normal 17 2 2 2 2 2 4 4" xfId="20031" xr:uid="{18B1BA0F-F2B3-4D07-8F74-77A00FB0F409}"/>
    <cellStyle name="Normal 17 2 2 2 2 2 5" xfId="4291" xr:uid="{3909FD0A-D66B-4DDF-B869-7C4ED68BF1DF}"/>
    <cellStyle name="Normal 17 2 2 2 2 2 5 2" xfId="7961" xr:uid="{0AA87C70-F31A-416B-AE00-01943D7CB83A}"/>
    <cellStyle name="Normal 17 2 2 2 2 2 5 2 2" xfId="15468" xr:uid="{DDB00C66-9E11-4745-9F0E-1A3ABA38A755}"/>
    <cellStyle name="Normal 17 2 2 2 2 2 5 2 2 2" xfId="31672" xr:uid="{94AE0F51-811E-4334-8015-1BF2389CA3A1}"/>
    <cellStyle name="Normal 17 2 2 2 2 2 5 2 3" xfId="24165" xr:uid="{F21D94C9-D1A8-4DAB-9346-3462740CFA37}"/>
    <cellStyle name="Normal 17 2 2 2 2 2 5 3" xfId="11854" xr:uid="{489810FA-310E-4494-97DB-87A9D24A592A}"/>
    <cellStyle name="Normal 17 2 2 2 2 2 5 3 2" xfId="28058" xr:uid="{23264C43-39A2-4CA7-A9E5-4204E1E133DC}"/>
    <cellStyle name="Normal 17 2 2 2 2 2 5 4" xfId="20495" xr:uid="{96EB4CB4-7402-4F71-9B07-F782A3A94235}"/>
    <cellStyle name="Normal 17 2 2 2 2 2 6" xfId="4716" xr:uid="{E901CAA1-C212-4D4E-B893-D54F571FD5BB}"/>
    <cellStyle name="Normal 17 2 2 2 2 2 6 2" xfId="8386" xr:uid="{4BB176EB-99BF-47CD-8A8C-80980D5429D9}"/>
    <cellStyle name="Normal 17 2 2 2 2 2 6 2 2" xfId="15893" xr:uid="{5241DBAD-66DA-4F69-BF70-45DD5D85A60F}"/>
    <cellStyle name="Normal 17 2 2 2 2 2 6 2 2 2" xfId="32097" xr:uid="{30336E18-1B6D-4450-AFB8-F7E8804C8427}"/>
    <cellStyle name="Normal 17 2 2 2 2 2 6 2 3" xfId="24590" xr:uid="{B3298848-0678-4CB9-9B79-7D6FA1FE2BF9}"/>
    <cellStyle name="Normal 17 2 2 2 2 2 6 3" xfId="12279" xr:uid="{AC9888BF-85CF-4A68-B9F9-8E5E2B03363A}"/>
    <cellStyle name="Normal 17 2 2 2 2 2 6 3 2" xfId="28483" xr:uid="{77561E12-E10E-4E77-ADA2-B19748756DBA}"/>
    <cellStyle name="Normal 17 2 2 2 2 2 6 4" xfId="20920" xr:uid="{2FA736AA-EA3C-4830-AD74-E3B3955CF57D}"/>
    <cellStyle name="Normal 17 2 2 2 2 2 7" xfId="5144" xr:uid="{29DCBD21-916D-40D7-9170-030BE9326D16}"/>
    <cellStyle name="Normal 17 2 2 2 2 2 7 2" xfId="8809" xr:uid="{A01E450C-7B1A-402C-B540-C16948A775FB}"/>
    <cellStyle name="Normal 17 2 2 2 2 2 7 2 2" xfId="16316" xr:uid="{AA59F60B-5BE4-4D6C-9AFD-6E353DAF7525}"/>
    <cellStyle name="Normal 17 2 2 2 2 2 7 2 2 2" xfId="32520" xr:uid="{97C5B229-6D1A-4190-9E7F-3750B3761701}"/>
    <cellStyle name="Normal 17 2 2 2 2 2 7 2 3" xfId="25013" xr:uid="{12DE05D4-9CB7-482F-880C-6128243DAEDF}"/>
    <cellStyle name="Normal 17 2 2 2 2 2 7 3" xfId="12701" xr:uid="{B1E55A06-AD1C-4645-AC86-DBC86998C205}"/>
    <cellStyle name="Normal 17 2 2 2 2 2 7 3 2" xfId="28905" xr:uid="{B87FE788-494B-41F8-AFDE-43C770D468A8}"/>
    <cellStyle name="Normal 17 2 2 2 2 2 7 4" xfId="21348" xr:uid="{14B0AF25-BE62-4A93-BAA9-0F4AD79DB7C8}"/>
    <cellStyle name="Normal 17 2 2 2 2 2 8" xfId="5815" xr:uid="{2D467924-D932-4939-A8CE-0EB8A7F93D64}"/>
    <cellStyle name="Normal 17 2 2 2 2 2 8 2" xfId="13330" xr:uid="{01563325-3A6D-4D09-A767-2136D4B62122}"/>
    <cellStyle name="Normal 17 2 2 2 2 2 8 2 2" xfId="29534" xr:uid="{6F94C6E0-06CA-4B8B-A440-3F7A5A64FF64}"/>
    <cellStyle name="Normal 17 2 2 2 2 2 8 3" xfId="22019" xr:uid="{138ED80A-6917-4234-B398-3565159E94DD}"/>
    <cellStyle name="Normal 17 2 2 2 2 2 9" xfId="9742" xr:uid="{FF67FB84-40F9-4B1F-9772-A7D2ED6E3B64}"/>
    <cellStyle name="Normal 17 2 2 2 2 2 9 2" xfId="25946" xr:uid="{137A3BDA-C8A0-4BBF-AF3F-A701280BEE36}"/>
    <cellStyle name="Normal 17 2 2 2 2 3" xfId="2137" xr:uid="{36DA7D65-DD2A-4435-9E30-BCE8116B17B7}"/>
    <cellStyle name="Normal 17 2 2 2 2 3 2" xfId="3050" xr:uid="{12F5E66A-BE28-4F73-A7EB-C7A3978CD79F}"/>
    <cellStyle name="Normal 17 2 2 2 2 3 2 2" xfId="6832" xr:uid="{DA978FDD-4235-4B2C-98CC-4052D15DF95B}"/>
    <cellStyle name="Normal 17 2 2 2 2 3 2 2 2" xfId="14343" xr:uid="{E9805621-1883-4097-8423-F22AADFCD692}"/>
    <cellStyle name="Normal 17 2 2 2 2 3 2 2 2 2" xfId="30547" xr:uid="{5274DE87-CB00-4BD9-9978-1CC662139F93}"/>
    <cellStyle name="Normal 17 2 2 2 2 3 2 2 3" xfId="23036" xr:uid="{38AE85A6-994C-42FA-8EC8-44CBDC2B1979}"/>
    <cellStyle name="Normal 17 2 2 2 2 3 2 3" xfId="10743" xr:uid="{23C7FCE9-03DE-47E3-8C47-BB9620EA2697}"/>
    <cellStyle name="Normal 17 2 2 2 2 3 2 3 2" xfId="26947" xr:uid="{7823226C-62F8-4B8D-ADEB-384D05E8E8A2}"/>
    <cellStyle name="Normal 17 2 2 2 2 3 2 4" xfId="19270" xr:uid="{2E7CA68E-9BD2-4DD1-8D7B-E86A554C2FBE}"/>
    <cellStyle name="Normal 17 2 2 2 2 3 3" xfId="5976" xr:uid="{7F2B92DE-FEA8-4662-9F4B-666401BDB06B}"/>
    <cellStyle name="Normal 17 2 2 2 2 3 3 2" xfId="13490" xr:uid="{8CBA1D8F-39BC-42BE-813B-D3597E2D27D5}"/>
    <cellStyle name="Normal 17 2 2 2 2 3 3 2 2" xfId="29694" xr:uid="{7F5945F6-54C6-48DF-A818-B7A28C5B6C27}"/>
    <cellStyle name="Normal 17 2 2 2 2 3 3 3" xfId="22180" xr:uid="{8FA6356E-0593-4884-B75D-F7F336F197E4}"/>
    <cellStyle name="Normal 17 2 2 2 2 3 4" xfId="9899" xr:uid="{3BC62384-6CAB-43D5-BCDD-21328FF43361}"/>
    <cellStyle name="Normal 17 2 2 2 2 3 4 2" xfId="26103" xr:uid="{B0903680-CBFE-47DE-A4CB-CE705A89CA01}"/>
    <cellStyle name="Normal 17 2 2 2 2 3 5" xfId="18424" xr:uid="{28656061-2992-4B4F-B846-4C910B777473}"/>
    <cellStyle name="Normal 17 2 2 2 2 4" xfId="2625" xr:uid="{29AE83CA-C3C8-4FE3-9B0D-07261A7F1618}"/>
    <cellStyle name="Normal 17 2 2 2 2 4 2" xfId="6409" xr:uid="{63373554-FA78-42AD-9368-00AAE5F28970}"/>
    <cellStyle name="Normal 17 2 2 2 2 4 2 2" xfId="13921" xr:uid="{7C13DF46-CCCE-4752-8F15-0B7F56FDE284}"/>
    <cellStyle name="Normal 17 2 2 2 2 4 2 2 2" xfId="30125" xr:uid="{1EB05FE6-E8EC-4CE0-89C7-6270BA903558}"/>
    <cellStyle name="Normal 17 2 2 2 2 4 2 3" xfId="22613" xr:uid="{E9D6417D-B03D-4948-BB86-D7D65375F936}"/>
    <cellStyle name="Normal 17 2 2 2 2 4 3" xfId="10321" xr:uid="{A9FF111A-6BE6-4C9A-A0C0-2C4BE4FC337D}"/>
    <cellStyle name="Normal 17 2 2 2 2 4 3 2" xfId="26525" xr:uid="{9AB964A5-1C85-4481-BDDB-FDAE714145F8}"/>
    <cellStyle name="Normal 17 2 2 2 2 4 4" xfId="18847" xr:uid="{88B39E49-4758-4E61-82D6-721F61172CD7}"/>
    <cellStyle name="Normal 17 2 2 2 2 5" xfId="3501" xr:uid="{32EC2523-D59E-4B12-ADBF-D7D7AE79FDAC}"/>
    <cellStyle name="Normal 17 2 2 2 2 5 2" xfId="7259" xr:uid="{1F19A565-0DBC-4949-8D94-B0F79CE87EB9}"/>
    <cellStyle name="Normal 17 2 2 2 2 5 2 2" xfId="14769" xr:uid="{7494DCA5-07BD-44A9-9CA9-0A3AC77E80C0}"/>
    <cellStyle name="Normal 17 2 2 2 2 5 2 2 2" xfId="30973" xr:uid="{A2606D9E-AF2B-4DAD-84CA-6E25CD1DF018}"/>
    <cellStyle name="Normal 17 2 2 2 2 5 2 3" xfId="23463" xr:uid="{1AB7D83A-E3F0-4078-BD25-4263839072C2}"/>
    <cellStyle name="Normal 17 2 2 2 2 5 3" xfId="11166" xr:uid="{97E5E6F3-D3A1-4A9B-BC8F-DBD73271BC82}"/>
    <cellStyle name="Normal 17 2 2 2 2 5 3 2" xfId="27370" xr:uid="{17F7D081-CA7E-4881-AD1B-9C5272B483F3}"/>
    <cellStyle name="Normal 17 2 2 2 2 5 4" xfId="19717" xr:uid="{2E77BB2B-5777-45FD-9069-346DB2D16E5F}"/>
    <cellStyle name="Normal 17 2 2 2 2 6" xfId="4025" xr:uid="{942F346A-5F71-4B4D-8362-53AD2DEF9C4B}"/>
    <cellStyle name="Normal 17 2 2 2 2 6 2" xfId="7695" xr:uid="{92FAF590-E799-4DDF-AC70-83826908AE87}"/>
    <cellStyle name="Normal 17 2 2 2 2 6 2 2" xfId="15202" xr:uid="{9E24DD4C-EA5A-47AB-8681-D1E8FA7C308D}"/>
    <cellStyle name="Normal 17 2 2 2 2 6 2 2 2" xfId="31406" xr:uid="{52583385-AC7D-46E7-8E42-C4C31578A6E6}"/>
    <cellStyle name="Normal 17 2 2 2 2 6 2 3" xfId="23899" xr:uid="{770163D4-1242-4E7E-91AD-A4705A03057D}"/>
    <cellStyle name="Normal 17 2 2 2 2 6 3" xfId="11588" xr:uid="{F99FEF48-7E80-41DE-9B4E-2BBBF4D4DDE7}"/>
    <cellStyle name="Normal 17 2 2 2 2 6 3 2" xfId="27792" xr:uid="{659E5C05-9C67-4079-808F-95972356B0F0}"/>
    <cellStyle name="Normal 17 2 2 2 2 6 4" xfId="20229" xr:uid="{95F0BDAB-D483-4A10-B857-757320F92AC7}"/>
    <cellStyle name="Normal 17 2 2 2 2 7" xfId="4450" xr:uid="{1CE75A97-67BD-49EB-AC71-A6AA368B5697}"/>
    <cellStyle name="Normal 17 2 2 2 2 7 2" xfId="8120" xr:uid="{1991A75C-A161-4BCA-A776-D3366E352FA3}"/>
    <cellStyle name="Normal 17 2 2 2 2 7 2 2" xfId="15627" xr:uid="{87BF10E9-2A17-464C-B4F2-A23F10B75D4D}"/>
    <cellStyle name="Normal 17 2 2 2 2 7 2 2 2" xfId="31831" xr:uid="{0253EF96-07C0-4604-8026-6684FD929F02}"/>
    <cellStyle name="Normal 17 2 2 2 2 7 2 3" xfId="24324" xr:uid="{EB6345B3-A740-4C79-AE36-A9C7A5C7B3AC}"/>
    <cellStyle name="Normal 17 2 2 2 2 7 3" xfId="12013" xr:uid="{155B6DEB-F82A-4372-ACF4-882F54BA3529}"/>
    <cellStyle name="Normal 17 2 2 2 2 7 3 2" xfId="28217" xr:uid="{22A340B6-FBB0-464E-AD25-9576C3C20240}"/>
    <cellStyle name="Normal 17 2 2 2 2 7 4" xfId="20654" xr:uid="{D9F7E693-1501-4784-B11F-AF68AC1149DD}"/>
    <cellStyle name="Normal 17 2 2 2 2 8" xfId="4875" xr:uid="{276F73EB-9132-4928-943F-B67838F5D873}"/>
    <cellStyle name="Normal 17 2 2 2 2 8 2" xfId="8543" xr:uid="{DED72CB1-E465-4989-8E95-38B4CD5656DE}"/>
    <cellStyle name="Normal 17 2 2 2 2 8 2 2" xfId="16050" xr:uid="{0893975F-3005-45D8-95E8-F51CD7367D44}"/>
    <cellStyle name="Normal 17 2 2 2 2 8 2 2 2" xfId="32254" xr:uid="{5861D295-0ACB-40C8-8728-2399BCD36E4C}"/>
    <cellStyle name="Normal 17 2 2 2 2 8 2 3" xfId="24747" xr:uid="{9AD42AE9-8567-42DE-9A7E-9ABD0160ABC2}"/>
    <cellStyle name="Normal 17 2 2 2 2 8 3" xfId="12435" xr:uid="{985A0773-4184-4CD0-A998-0C65636F33AA}"/>
    <cellStyle name="Normal 17 2 2 2 2 8 3 2" xfId="28639" xr:uid="{43FA4322-CAFF-4ADF-AD01-CB2111329B4E}"/>
    <cellStyle name="Normal 17 2 2 2 2 8 4" xfId="21079" xr:uid="{AFF9CAC9-6664-40BB-B445-621C90681F7D}"/>
    <cellStyle name="Normal 17 2 2 2 2 9" xfId="5361" xr:uid="{C56A6819-D54C-4312-B26D-C1CF7186BBBE}"/>
    <cellStyle name="Normal 17 2 2 2 2 9 2" xfId="12910" xr:uid="{FEDC3C8F-D48E-4A2A-8B85-69EEB4CD780C}"/>
    <cellStyle name="Normal 17 2 2 2 2 9 2 2" xfId="29114" xr:uid="{99AF6B98-6D9F-4CDC-B5F0-058E220BB2FC}"/>
    <cellStyle name="Normal 17 2 2 2 2 9 3" xfId="21565" xr:uid="{69346D4C-DC04-4A7C-9124-3EE085E4550D}"/>
    <cellStyle name="Normal 17 2 2 2 3" xfId="1964" xr:uid="{AA2C0AFC-31DC-47DA-BDB7-4E73D19B1195}"/>
    <cellStyle name="Normal 17 2 2 2 3 10" xfId="18267" xr:uid="{CA4C10C4-F70D-4842-A254-62A699BDEF3E}"/>
    <cellStyle name="Normal 17 2 2 2 3 2" xfId="2470" xr:uid="{CEA780B3-08FE-4409-8095-4E3AF96DB301}"/>
    <cellStyle name="Normal 17 2 2 2 3 2 2" xfId="3317" xr:uid="{A614F53C-9D63-4A42-BCAC-342F3B5E8DB0}"/>
    <cellStyle name="Normal 17 2 2 2 3 2 2 2" xfId="7099" xr:uid="{7C5A2311-E7AA-4844-8544-2A818511D3C6}"/>
    <cellStyle name="Normal 17 2 2 2 3 2 2 2 2" xfId="14610" xr:uid="{EC4F17CE-5C3E-4A3F-877D-21E9DC4F9544}"/>
    <cellStyle name="Normal 17 2 2 2 3 2 2 2 2 2" xfId="30814" xr:uid="{39DCC98B-2262-4EE3-9D08-4CE3F903EF67}"/>
    <cellStyle name="Normal 17 2 2 2 3 2 2 2 3" xfId="23303" xr:uid="{06FC9148-489D-462A-8C7E-A7F51014E763}"/>
    <cellStyle name="Normal 17 2 2 2 3 2 2 3" xfId="11010" xr:uid="{F7BC7B98-AB27-42AB-A82E-35389F3AA270}"/>
    <cellStyle name="Normal 17 2 2 2 3 2 2 3 2" xfId="27214" xr:uid="{6BB4A12B-EF82-4160-BC34-5A49BFF837BF}"/>
    <cellStyle name="Normal 17 2 2 2 3 2 2 4" xfId="19537" xr:uid="{6F10F42B-0763-4D84-8CE3-D34972D5F4DD}"/>
    <cellStyle name="Normal 17 2 2 2 3 2 3" xfId="6254" xr:uid="{9FC069FF-8F0D-477D-AA65-5A095A3C8E1D}"/>
    <cellStyle name="Normal 17 2 2 2 3 2 3 2" xfId="13766" xr:uid="{DC1FC036-7EF8-425B-87B2-7A5F1D0B63F0}"/>
    <cellStyle name="Normal 17 2 2 2 3 2 3 2 2" xfId="29970" xr:uid="{87BFBA69-1B8C-40B9-A51F-20DF1C40B5BE}"/>
    <cellStyle name="Normal 17 2 2 2 3 2 3 3" xfId="22458" xr:uid="{B32E99B9-311E-47EE-880E-EFB1526BA517}"/>
    <cellStyle name="Normal 17 2 2 2 3 2 4" xfId="10166" xr:uid="{A29531D5-19C3-4F1F-ADC2-83ABEB2E3A59}"/>
    <cellStyle name="Normal 17 2 2 2 3 2 4 2" xfId="26370" xr:uid="{AC9EAD59-EE0C-49F7-AA2A-BEC149BE302E}"/>
    <cellStyle name="Normal 17 2 2 2 3 2 5" xfId="18692" xr:uid="{8427FDC3-3004-4B26-96BA-B280E51B3D85}"/>
    <cellStyle name="Normal 17 2 2 2 3 3" xfId="2892" xr:uid="{BD16C468-ED5C-4D32-9D11-991E4910689F}"/>
    <cellStyle name="Normal 17 2 2 2 3 3 2" xfId="6676" xr:uid="{1BF80DCE-AC93-42E0-91CA-D3DD59FFAC47}"/>
    <cellStyle name="Normal 17 2 2 2 3 3 2 2" xfId="14188" xr:uid="{0AA39953-1E03-4A54-85F3-65BB158830BE}"/>
    <cellStyle name="Normal 17 2 2 2 3 3 2 2 2" xfId="30392" xr:uid="{9C263295-265E-4C9A-9FF5-F5345E6B5D00}"/>
    <cellStyle name="Normal 17 2 2 2 3 3 2 3" xfId="22880" xr:uid="{6C43F6F2-1968-4904-8A8F-C1743BA4D5EA}"/>
    <cellStyle name="Normal 17 2 2 2 3 3 3" xfId="10588" xr:uid="{D773598F-198F-4335-8847-6B7AAFFE2EB0}"/>
    <cellStyle name="Normal 17 2 2 2 3 3 3 2" xfId="26792" xr:uid="{6C189B5F-9E46-4738-A8B2-617B1F132DEF}"/>
    <cellStyle name="Normal 17 2 2 2 3 3 4" xfId="19114" xr:uid="{1F643293-CD6B-4FD4-A8AF-919CC26E1887}"/>
    <cellStyle name="Normal 17 2 2 2 3 4" xfId="3823" xr:uid="{1216A972-E499-44D7-86AE-0B475B8E83FF}"/>
    <cellStyle name="Normal 17 2 2 2 3 4 2" xfId="7533" xr:uid="{8D12AE64-B5B3-4477-9639-3BC904157E5F}"/>
    <cellStyle name="Normal 17 2 2 2 3 4 2 2" xfId="15042" xr:uid="{6DF07CDF-381C-4AA5-85F8-27D92BFA1AF2}"/>
    <cellStyle name="Normal 17 2 2 2 3 4 2 2 2" xfId="31246" xr:uid="{33D71233-F5E2-4560-9918-499FD1570462}"/>
    <cellStyle name="Normal 17 2 2 2 3 4 2 3" xfId="23737" xr:uid="{175A4249-1899-438F-BBCC-179117303E79}"/>
    <cellStyle name="Normal 17 2 2 2 3 4 3" xfId="11433" xr:uid="{9B1AE4F9-7998-4801-967F-7B34297E29AC}"/>
    <cellStyle name="Normal 17 2 2 2 3 4 3 2" xfId="27637" xr:uid="{2E693A73-F864-49F4-BD28-FA51B799297C}"/>
    <cellStyle name="Normal 17 2 2 2 3 4 4" xfId="20032" xr:uid="{7801009A-69F5-4EAA-B2D4-57F1A916E007}"/>
    <cellStyle name="Normal 17 2 2 2 3 5" xfId="4292" xr:uid="{621ECB0D-4099-49FE-AB9A-9439A288455C}"/>
    <cellStyle name="Normal 17 2 2 2 3 5 2" xfId="7962" xr:uid="{DF4E7F81-79F2-4D8C-8345-48E79D5BA9F8}"/>
    <cellStyle name="Normal 17 2 2 2 3 5 2 2" xfId="15469" xr:uid="{79954FAB-1A25-4E42-8B96-BDDD306400D1}"/>
    <cellStyle name="Normal 17 2 2 2 3 5 2 2 2" xfId="31673" xr:uid="{3BECFF8E-FC7F-4568-82F1-4FCC5A1302A9}"/>
    <cellStyle name="Normal 17 2 2 2 3 5 2 3" xfId="24166" xr:uid="{E337CC51-2641-4A5B-9194-89835B65BED5}"/>
    <cellStyle name="Normal 17 2 2 2 3 5 3" xfId="11855" xr:uid="{2B111E58-5F56-4904-AC0E-3CF3D6C99550}"/>
    <cellStyle name="Normal 17 2 2 2 3 5 3 2" xfId="28059" xr:uid="{56B8D21F-2A04-49E9-988B-82111C859FB5}"/>
    <cellStyle name="Normal 17 2 2 2 3 5 4" xfId="20496" xr:uid="{0F388543-42F9-4FA0-A84F-FD781955CB57}"/>
    <cellStyle name="Normal 17 2 2 2 3 6" xfId="4717" xr:uid="{D7F748C4-05B8-49D3-82C7-38D58C855683}"/>
    <cellStyle name="Normal 17 2 2 2 3 6 2" xfId="8387" xr:uid="{12424EDC-E229-4B46-89BD-5AD0CCDC4674}"/>
    <cellStyle name="Normal 17 2 2 2 3 6 2 2" xfId="15894" xr:uid="{DC489300-8CF7-4E5C-B041-7893F4B1482E}"/>
    <cellStyle name="Normal 17 2 2 2 3 6 2 2 2" xfId="32098" xr:uid="{04FA516E-5008-4CF8-B29C-B362342EE202}"/>
    <cellStyle name="Normal 17 2 2 2 3 6 2 3" xfId="24591" xr:uid="{9F158B54-CF1B-44A9-ACCD-73ADF0247FDF}"/>
    <cellStyle name="Normal 17 2 2 2 3 6 3" xfId="12280" xr:uid="{1918D25D-0B59-4842-93E5-CDC596F0B97A}"/>
    <cellStyle name="Normal 17 2 2 2 3 6 3 2" xfId="28484" xr:uid="{D39C3AF7-8DC1-444C-B952-948B0F6EADD4}"/>
    <cellStyle name="Normal 17 2 2 2 3 6 4" xfId="20921" xr:uid="{EC605DF8-9F61-401B-A294-F892B1171085}"/>
    <cellStyle name="Normal 17 2 2 2 3 7" xfId="5145" xr:uid="{7C7A928A-73CE-4458-93BE-EE404530AC3D}"/>
    <cellStyle name="Normal 17 2 2 2 3 7 2" xfId="8810" xr:uid="{AD0D70C5-CA03-4039-9757-D0EF19D549EC}"/>
    <cellStyle name="Normal 17 2 2 2 3 7 2 2" xfId="16317" xr:uid="{F88F189C-38C6-4833-A0F9-617F86BF4E51}"/>
    <cellStyle name="Normal 17 2 2 2 3 7 2 2 2" xfId="32521" xr:uid="{D144E885-98A4-44BA-8F93-24147A9E32B8}"/>
    <cellStyle name="Normal 17 2 2 2 3 7 2 3" xfId="25014" xr:uid="{9C1B78F3-DA97-4780-A143-E81E39FCB860}"/>
    <cellStyle name="Normal 17 2 2 2 3 7 3" xfId="12702" xr:uid="{E95CD469-0BA8-405F-996D-952A4D600D46}"/>
    <cellStyle name="Normal 17 2 2 2 3 7 3 2" xfId="28906" xr:uid="{635314A1-B27A-4E5F-9A7A-79AAE0C94CC7}"/>
    <cellStyle name="Normal 17 2 2 2 3 7 4" xfId="21349" xr:uid="{AE6246B5-DCB1-4732-A603-EE855EA216F6}"/>
    <cellStyle name="Normal 17 2 2 2 3 8" xfId="5816" xr:uid="{C63617F6-B5F1-423A-A064-C9DDF81D9BB9}"/>
    <cellStyle name="Normal 17 2 2 2 3 8 2" xfId="13331" xr:uid="{4E683DB3-3E66-4A02-A49F-AC761F7D6FB0}"/>
    <cellStyle name="Normal 17 2 2 2 3 8 2 2" xfId="29535" xr:uid="{84634B1D-DADE-49B0-BDD0-49281E420CA6}"/>
    <cellStyle name="Normal 17 2 2 2 3 8 3" xfId="22020" xr:uid="{21E652BF-C1F2-4329-9E41-DC407BAE3D3E}"/>
    <cellStyle name="Normal 17 2 2 2 3 9" xfId="9743" xr:uid="{7838A5AE-7FC9-4807-8ADC-272447B60BB6}"/>
    <cellStyle name="Normal 17 2 2 2 3 9 2" xfId="25947" xr:uid="{184D7A17-E70C-4D86-967E-7F3BD112E7A8}"/>
    <cellStyle name="Normal 17 2 2 2 4" xfId="2070" xr:uid="{8512C473-BAA5-4515-9E5F-1F520B11FDBE}"/>
    <cellStyle name="Normal 17 2 2 2 4 2" xfId="2983" xr:uid="{34C5FAAB-666B-4F51-9A59-D76EDE412E6F}"/>
    <cellStyle name="Normal 17 2 2 2 4 2 2" xfId="6765" xr:uid="{1D7EA054-7383-497C-A6A3-D689CA0EB5BD}"/>
    <cellStyle name="Normal 17 2 2 2 4 2 2 2" xfId="14276" xr:uid="{A73323F7-1CAA-4C71-8501-97D8AE4F7D62}"/>
    <cellStyle name="Normal 17 2 2 2 4 2 2 2 2" xfId="30480" xr:uid="{E2B9A0E6-2266-4874-AA4A-9D4C0CB3E467}"/>
    <cellStyle name="Normal 17 2 2 2 4 2 2 3" xfId="22969" xr:uid="{C38FEEE6-EFFF-46E9-9077-FB92CD7F9AD5}"/>
    <cellStyle name="Normal 17 2 2 2 4 2 3" xfId="10676" xr:uid="{254DB5A7-5064-490D-9915-35A575B75151}"/>
    <cellStyle name="Normal 17 2 2 2 4 2 3 2" xfId="26880" xr:uid="{F27FEF48-5CDB-42DD-AA35-A47728197EC0}"/>
    <cellStyle name="Normal 17 2 2 2 4 2 4" xfId="19203" xr:uid="{10761990-C0C1-4563-9DC6-D67C9F333839}"/>
    <cellStyle name="Normal 17 2 2 2 4 3" xfId="5909" xr:uid="{5E9B415A-F2BB-4281-8470-AC9373F85AF0}"/>
    <cellStyle name="Normal 17 2 2 2 4 3 2" xfId="13423" xr:uid="{FC62476B-5613-4C44-9120-132D5878F0BB}"/>
    <cellStyle name="Normal 17 2 2 2 4 3 2 2" xfId="29627" xr:uid="{C9802411-1105-40C4-8245-E9D960B1970B}"/>
    <cellStyle name="Normal 17 2 2 2 4 3 3" xfId="22113" xr:uid="{AE5D7D6C-F497-488D-B3DB-A79FBCBE1871}"/>
    <cellStyle name="Normal 17 2 2 2 4 4" xfId="9832" xr:uid="{EC434EE9-9B31-41C8-82D7-9733B1925C40}"/>
    <cellStyle name="Normal 17 2 2 2 4 4 2" xfId="26036" xr:uid="{C564BA41-DA23-4B59-ADF0-6F0410C8509C}"/>
    <cellStyle name="Normal 17 2 2 2 4 5" xfId="18357" xr:uid="{84A99A3B-203A-4336-BC1E-FBF3C26EF2A1}"/>
    <cellStyle name="Normal 17 2 2 2 5" xfId="2558" xr:uid="{1ECB5A36-9359-4652-A00D-69A975BD0705}"/>
    <cellStyle name="Normal 17 2 2 2 5 2" xfId="6342" xr:uid="{508CAAAD-C6C7-43BC-ABC5-80B5FE03847C}"/>
    <cellStyle name="Normal 17 2 2 2 5 2 2" xfId="13854" xr:uid="{F30F3C2F-1202-475B-B825-5C30B58A13DA}"/>
    <cellStyle name="Normal 17 2 2 2 5 2 2 2" xfId="30058" xr:uid="{4EA68345-2971-4BFB-B3D7-1613DAC1CB1A}"/>
    <cellStyle name="Normal 17 2 2 2 5 2 3" xfId="22546" xr:uid="{CE5C634C-5820-4E78-B44E-2D1F06139DD8}"/>
    <cellStyle name="Normal 17 2 2 2 5 3" xfId="10254" xr:uid="{13694B78-299F-4D4B-9F57-E9ADEF75AC56}"/>
    <cellStyle name="Normal 17 2 2 2 5 3 2" xfId="26458" xr:uid="{A027A915-2401-4DDF-9A65-6BB10D125F06}"/>
    <cellStyle name="Normal 17 2 2 2 5 4" xfId="18780" xr:uid="{669DB8AD-490D-4147-A880-F255D9412ACF}"/>
    <cellStyle name="Normal 17 2 2 2 6" xfId="3434" xr:uid="{5AF8AB03-FE98-4D04-B791-7F8C91AFFB25}"/>
    <cellStyle name="Normal 17 2 2 2 6 2" xfId="7192" xr:uid="{D56EF173-D1CF-40EE-A04E-16186F93F2CE}"/>
    <cellStyle name="Normal 17 2 2 2 6 2 2" xfId="14702" xr:uid="{107C9FC4-223B-4777-8E41-B815A86E1F38}"/>
    <cellStyle name="Normal 17 2 2 2 6 2 2 2" xfId="30906" xr:uid="{AB1D5ADA-BCA6-4BC5-B9D2-E9C9E1736C81}"/>
    <cellStyle name="Normal 17 2 2 2 6 2 3" xfId="23396" xr:uid="{65939DD4-1279-4862-914D-B7BAE47D5F04}"/>
    <cellStyle name="Normal 17 2 2 2 6 3" xfId="11099" xr:uid="{94162327-CFB7-4EBC-AC0B-FFC10A5EDFAE}"/>
    <cellStyle name="Normal 17 2 2 2 6 3 2" xfId="27303" xr:uid="{1E51C3BA-BF39-44F7-BEAB-9CE7C1BF7EC2}"/>
    <cellStyle name="Normal 17 2 2 2 6 4" xfId="19650" xr:uid="{4532D07B-2738-43F0-B273-3D33FA6CBD80}"/>
    <cellStyle name="Normal 17 2 2 2 7" xfId="3958" xr:uid="{42A004DA-9422-4E35-AB15-02A1FC198D22}"/>
    <cellStyle name="Normal 17 2 2 2 7 2" xfId="7628" xr:uid="{7FAE20BC-01BC-44F2-9D38-BE616E4AA62F}"/>
    <cellStyle name="Normal 17 2 2 2 7 2 2" xfId="15135" xr:uid="{7B1C21EE-853B-49B8-A837-E3B89383AE96}"/>
    <cellStyle name="Normal 17 2 2 2 7 2 2 2" xfId="31339" xr:uid="{83D36067-25E3-4763-ADD7-CABAF686BA7B}"/>
    <cellStyle name="Normal 17 2 2 2 7 2 3" xfId="23832" xr:uid="{164F8C9A-3D1B-4F02-84DC-014E7995D651}"/>
    <cellStyle name="Normal 17 2 2 2 7 3" xfId="11521" xr:uid="{DE1BBA42-141D-4974-BEF9-A8A5A025F40A}"/>
    <cellStyle name="Normal 17 2 2 2 7 3 2" xfId="27725" xr:uid="{6A0FE181-D6C2-465A-BF83-D515A8747EC7}"/>
    <cellStyle name="Normal 17 2 2 2 7 4" xfId="20162" xr:uid="{0552DEDD-7940-4998-A9EA-1B55DA503290}"/>
    <cellStyle name="Normal 17 2 2 2 8" xfId="4383" xr:uid="{B6777027-47B1-48BD-A311-F1AC4F30A2F9}"/>
    <cellStyle name="Normal 17 2 2 2 8 2" xfId="8053" xr:uid="{06467FB0-2E4B-4ACF-8E9F-6FD71EE75055}"/>
    <cellStyle name="Normal 17 2 2 2 8 2 2" xfId="15560" xr:uid="{BB715130-4DA1-4F03-8587-F4E6D93A6B14}"/>
    <cellStyle name="Normal 17 2 2 2 8 2 2 2" xfId="31764" xr:uid="{8A8924EB-C7C1-434B-9D86-2490E5EE4C01}"/>
    <cellStyle name="Normal 17 2 2 2 8 2 3" xfId="24257" xr:uid="{A9BF17E3-74AF-465C-BB5B-A6E406EBE09F}"/>
    <cellStyle name="Normal 17 2 2 2 8 3" xfId="11946" xr:uid="{A0221AD8-B80D-4B61-B502-1428A54B37BB}"/>
    <cellStyle name="Normal 17 2 2 2 8 3 2" xfId="28150" xr:uid="{C3CFE558-F796-4E04-BCB4-F99948B02E74}"/>
    <cellStyle name="Normal 17 2 2 2 8 4" xfId="20587" xr:uid="{36C2BDBA-88F2-4DED-8B45-76AEB94A2228}"/>
    <cellStyle name="Normal 17 2 2 2 9" xfId="4807" xr:uid="{A7DBB721-5661-4050-B756-469A345E774A}"/>
    <cellStyle name="Normal 17 2 2 2 9 2" xfId="8476" xr:uid="{36ADFB0F-5862-4B04-B5EF-5FA1928BD6EE}"/>
    <cellStyle name="Normal 17 2 2 2 9 2 2" xfId="15983" xr:uid="{1C8C5FBF-E4BC-43E5-8CCB-5746B9641F41}"/>
    <cellStyle name="Normal 17 2 2 2 9 2 2 2" xfId="32187" xr:uid="{9B22B791-BBA5-4683-979B-77F499DCB6D5}"/>
    <cellStyle name="Normal 17 2 2 2 9 2 3" xfId="24680" xr:uid="{7B226FE6-79CD-4468-A0E2-C49A61581F7E}"/>
    <cellStyle name="Normal 17 2 2 2 9 3" xfId="12368" xr:uid="{2DE0E6E1-CF07-44E9-A58E-107522A3DB97}"/>
    <cellStyle name="Normal 17 2 2 2 9 3 2" xfId="28572" xr:uid="{52BC1F93-5BD5-4C9F-911A-9BBE7E16547B}"/>
    <cellStyle name="Normal 17 2 2 2 9 4" xfId="21011" xr:uid="{68EE4E17-4D8A-48A1-B6A7-D73564ED6561}"/>
    <cellStyle name="Normal 17 2 2 3" xfId="519" xr:uid="{AF3D7993-2617-4925-A90B-089E1A6CA9CA}"/>
    <cellStyle name="Normal 17 2 2 3 10" xfId="5316" xr:uid="{7FC342CB-EBCA-4201-A540-7DC63C52C700}"/>
    <cellStyle name="Normal 17 2 2 3 10 2" xfId="12865" xr:uid="{2C372695-1001-4341-8F5B-59C65ACE4713}"/>
    <cellStyle name="Normal 17 2 2 3 10 2 2" xfId="29069" xr:uid="{0638EC31-1F5A-4397-802A-8A20338FCA97}"/>
    <cellStyle name="Normal 17 2 2 3 10 3" xfId="21520" xr:uid="{5CEA2066-05FD-4DA3-8B54-732A1473AEFF}"/>
    <cellStyle name="Normal 17 2 2 3 11" xfId="9431" xr:uid="{B3BF812A-DB1F-4724-A77A-44F07B977B87}"/>
    <cellStyle name="Normal 17 2 2 3 11 2" xfId="25635" xr:uid="{0F2286AA-44DF-4C3E-B3F4-34049BDA7131}"/>
    <cellStyle name="Normal 17 2 2 3 12" xfId="17946" xr:uid="{1897C708-821D-4401-BD5C-38AFD2A95E73}"/>
    <cellStyle name="Normal 17 2 2 3 2" xfId="590" xr:uid="{FBE9D369-4240-42A3-AA0E-75F935F0A4BF}"/>
    <cellStyle name="Normal 17 2 2 3 2 10" xfId="9498" xr:uid="{D216664F-D8E4-4314-A4F1-2BCE3B376A5F}"/>
    <cellStyle name="Normal 17 2 2 3 2 10 2" xfId="25702" xr:uid="{E82D5D5C-DC26-4C4E-AE89-5BFCC588D87E}"/>
    <cellStyle name="Normal 17 2 2 3 2 11" xfId="18014" xr:uid="{B653CC9D-83C5-4AA4-8CC8-6AF9A708764A}"/>
    <cellStyle name="Normal 17 2 2 3 2 2" xfId="1965" xr:uid="{A7A48F68-4E72-4A5E-9578-C5AA0125EB0E}"/>
    <cellStyle name="Normal 17 2 2 3 2 2 10" xfId="18268" xr:uid="{15A4CA67-A70E-4646-B1F0-B668651351F5}"/>
    <cellStyle name="Normal 17 2 2 3 2 2 2" xfId="2471" xr:uid="{6716D743-8577-4373-BCBF-44DD4DD2EE44}"/>
    <cellStyle name="Normal 17 2 2 3 2 2 2 2" xfId="3318" xr:uid="{EA58B7B7-2324-456D-82A6-B3F730181798}"/>
    <cellStyle name="Normal 17 2 2 3 2 2 2 2 2" xfId="7100" xr:uid="{B63E2CB3-E6D3-4FE5-A46A-CFA60C2C6360}"/>
    <cellStyle name="Normal 17 2 2 3 2 2 2 2 2 2" xfId="14611" xr:uid="{FF4EF807-1D44-4AE1-9010-98F7A0DB5BBC}"/>
    <cellStyle name="Normal 17 2 2 3 2 2 2 2 2 2 2" xfId="30815" xr:uid="{3CB6EEA9-1ED8-4E9F-B821-1F02C3260A5A}"/>
    <cellStyle name="Normal 17 2 2 3 2 2 2 2 2 3" xfId="23304" xr:uid="{D56E58BD-BDE7-4BA6-A04C-70F40CBC3D2F}"/>
    <cellStyle name="Normal 17 2 2 3 2 2 2 2 3" xfId="11011" xr:uid="{ED76F6A4-B693-47B1-B799-14BAC561FC1E}"/>
    <cellStyle name="Normal 17 2 2 3 2 2 2 2 3 2" xfId="27215" xr:uid="{965DD281-B6DD-44C6-90ED-B1C293BCFAE9}"/>
    <cellStyle name="Normal 17 2 2 3 2 2 2 2 4" xfId="19538" xr:uid="{667174EE-5FEC-4689-A24A-D4E07CB803E3}"/>
    <cellStyle name="Normal 17 2 2 3 2 2 2 3" xfId="6255" xr:uid="{97AC7C3B-6ED5-4A65-9517-E79DADACACD6}"/>
    <cellStyle name="Normal 17 2 2 3 2 2 2 3 2" xfId="13767" xr:uid="{DC3AB2F5-12DC-44F6-9EC8-480BC2F338BD}"/>
    <cellStyle name="Normal 17 2 2 3 2 2 2 3 2 2" xfId="29971" xr:uid="{40B553FD-CC31-4EC1-B707-E78450B309B6}"/>
    <cellStyle name="Normal 17 2 2 3 2 2 2 3 3" xfId="22459" xr:uid="{41DE869F-10F9-448C-8656-FC74DD7BA523}"/>
    <cellStyle name="Normal 17 2 2 3 2 2 2 4" xfId="10167" xr:uid="{775864D2-88F9-4D63-AD55-2F1226C88230}"/>
    <cellStyle name="Normal 17 2 2 3 2 2 2 4 2" xfId="26371" xr:uid="{6343FB44-4AA7-4524-91D3-42CEB2763F31}"/>
    <cellStyle name="Normal 17 2 2 3 2 2 2 5" xfId="18693" xr:uid="{AAB45FD1-46B6-421A-B9AD-51B5868E07EB}"/>
    <cellStyle name="Normal 17 2 2 3 2 2 3" xfId="2893" xr:uid="{4565EB0C-4736-49D2-B16F-BB4EDABFD5BF}"/>
    <cellStyle name="Normal 17 2 2 3 2 2 3 2" xfId="6677" xr:uid="{A17149EA-98BB-4DDF-9242-110BA3E3CF94}"/>
    <cellStyle name="Normal 17 2 2 3 2 2 3 2 2" xfId="14189" xr:uid="{4A7EF88D-6D19-40F3-A64C-4F7A4B94D756}"/>
    <cellStyle name="Normal 17 2 2 3 2 2 3 2 2 2" xfId="30393" xr:uid="{D12B2B90-65E2-4282-9F71-4C8B30833486}"/>
    <cellStyle name="Normal 17 2 2 3 2 2 3 2 3" xfId="22881" xr:uid="{941B9EE8-89BF-4311-A656-091412D2C0B3}"/>
    <cellStyle name="Normal 17 2 2 3 2 2 3 3" xfId="10589" xr:uid="{D647B9BF-3596-46EA-ACAF-C3CD83126EC3}"/>
    <cellStyle name="Normal 17 2 2 3 2 2 3 3 2" xfId="26793" xr:uid="{71FAB945-3E03-49A5-906B-238C938FA656}"/>
    <cellStyle name="Normal 17 2 2 3 2 2 3 4" xfId="19115" xr:uid="{1BAC3201-03CB-4FDB-B60B-A50E50625A37}"/>
    <cellStyle name="Normal 17 2 2 3 2 2 4" xfId="3824" xr:uid="{9C549696-5488-47A3-BC81-0502B4FDF6A5}"/>
    <cellStyle name="Normal 17 2 2 3 2 2 4 2" xfId="7534" xr:uid="{D6292C37-C188-4BF4-B592-7481B48A4769}"/>
    <cellStyle name="Normal 17 2 2 3 2 2 4 2 2" xfId="15043" xr:uid="{3F3C6B33-44AD-4A9F-A915-6A6219D076FB}"/>
    <cellStyle name="Normal 17 2 2 3 2 2 4 2 2 2" xfId="31247" xr:uid="{F8BCFF0F-E572-49A8-AB8C-DE8706463158}"/>
    <cellStyle name="Normal 17 2 2 3 2 2 4 2 3" xfId="23738" xr:uid="{A945A1E0-180B-4350-AF3B-6E86FC0E3E93}"/>
    <cellStyle name="Normal 17 2 2 3 2 2 4 3" xfId="11434" xr:uid="{BAF00773-004A-4FC5-AC58-5BD709DDD1FB}"/>
    <cellStyle name="Normal 17 2 2 3 2 2 4 3 2" xfId="27638" xr:uid="{40B525F4-94F6-4D9E-BFFC-16DF85560675}"/>
    <cellStyle name="Normal 17 2 2 3 2 2 4 4" xfId="20033" xr:uid="{8DFEAD1D-AB26-474C-8979-72A2E6CFC0E6}"/>
    <cellStyle name="Normal 17 2 2 3 2 2 5" xfId="4293" xr:uid="{FC93A799-2F76-450E-B0C6-C96B12B9C6C6}"/>
    <cellStyle name="Normal 17 2 2 3 2 2 5 2" xfId="7963" xr:uid="{4C7BC6FB-CC6F-4C6E-B310-DB6BBF9012CD}"/>
    <cellStyle name="Normal 17 2 2 3 2 2 5 2 2" xfId="15470" xr:uid="{17332C87-89C3-4EC7-A820-1200FE0C3151}"/>
    <cellStyle name="Normal 17 2 2 3 2 2 5 2 2 2" xfId="31674" xr:uid="{4BF7161E-FCF6-4E17-9138-7FDE2E7B2B1D}"/>
    <cellStyle name="Normal 17 2 2 3 2 2 5 2 3" xfId="24167" xr:uid="{6F7EDBD7-F6EA-41F4-B4F3-A1F46661610C}"/>
    <cellStyle name="Normal 17 2 2 3 2 2 5 3" xfId="11856" xr:uid="{DBF14990-924E-4F2E-BA19-BAE9288BFA81}"/>
    <cellStyle name="Normal 17 2 2 3 2 2 5 3 2" xfId="28060" xr:uid="{5FBCA614-2887-4D04-B159-55C9F75673E2}"/>
    <cellStyle name="Normal 17 2 2 3 2 2 5 4" xfId="20497" xr:uid="{536FE223-70B6-4F22-A0DC-35E420753FF0}"/>
    <cellStyle name="Normal 17 2 2 3 2 2 6" xfId="4718" xr:uid="{AF03B7A5-1B3C-4E96-BDEA-294812680D08}"/>
    <cellStyle name="Normal 17 2 2 3 2 2 6 2" xfId="8388" xr:uid="{4DFE2FD0-A344-444C-97AB-820BAC1C8817}"/>
    <cellStyle name="Normal 17 2 2 3 2 2 6 2 2" xfId="15895" xr:uid="{44614B09-5671-46F7-92CB-11F09618D5D9}"/>
    <cellStyle name="Normal 17 2 2 3 2 2 6 2 2 2" xfId="32099" xr:uid="{2DF22796-5CEA-44F5-AAF2-4D76269DA3AB}"/>
    <cellStyle name="Normal 17 2 2 3 2 2 6 2 3" xfId="24592" xr:uid="{B3FCDD33-70F6-4774-A450-B7CF0249D88A}"/>
    <cellStyle name="Normal 17 2 2 3 2 2 6 3" xfId="12281" xr:uid="{A495C888-F219-4AE3-B02C-37436C5EB937}"/>
    <cellStyle name="Normal 17 2 2 3 2 2 6 3 2" xfId="28485" xr:uid="{A3C24622-0F6E-43DE-BB4A-CD2D4B6D0718}"/>
    <cellStyle name="Normal 17 2 2 3 2 2 6 4" xfId="20922" xr:uid="{D68418DA-18C9-4A19-9A90-677E0A3B88F2}"/>
    <cellStyle name="Normal 17 2 2 3 2 2 7" xfId="5146" xr:uid="{113CCBFB-6B65-4D56-B236-B4DBF8958D64}"/>
    <cellStyle name="Normal 17 2 2 3 2 2 7 2" xfId="8811" xr:uid="{77366BF6-AD3B-41E7-A36F-26CB4E0C6294}"/>
    <cellStyle name="Normal 17 2 2 3 2 2 7 2 2" xfId="16318" xr:uid="{DF47AE7A-A81A-4874-A389-3CF295790A26}"/>
    <cellStyle name="Normal 17 2 2 3 2 2 7 2 2 2" xfId="32522" xr:uid="{D30A914E-E246-4546-A573-850BCC217960}"/>
    <cellStyle name="Normal 17 2 2 3 2 2 7 2 3" xfId="25015" xr:uid="{6804AF6E-1835-4EA8-855B-90E96063D5DA}"/>
    <cellStyle name="Normal 17 2 2 3 2 2 7 3" xfId="12703" xr:uid="{46D533A0-8BE8-4169-9C05-895A05C974F6}"/>
    <cellStyle name="Normal 17 2 2 3 2 2 7 3 2" xfId="28907" xr:uid="{82AC29FE-450D-4B6A-83A5-21EA5C8D61C4}"/>
    <cellStyle name="Normal 17 2 2 3 2 2 7 4" xfId="21350" xr:uid="{F11B82AA-08F7-4342-A0EC-A9F796F454BD}"/>
    <cellStyle name="Normal 17 2 2 3 2 2 8" xfId="5817" xr:uid="{61151520-F215-4A3E-89B8-881C46321AB5}"/>
    <cellStyle name="Normal 17 2 2 3 2 2 8 2" xfId="13332" xr:uid="{0D3EC259-3A4C-4318-9F4F-BC38267247A2}"/>
    <cellStyle name="Normal 17 2 2 3 2 2 8 2 2" xfId="29536" xr:uid="{FD2B917F-31DF-46EE-9518-F2F1391E8C64}"/>
    <cellStyle name="Normal 17 2 2 3 2 2 8 3" xfId="22021" xr:uid="{8BA9BA1E-7DF9-4706-9D21-31710FD128D0}"/>
    <cellStyle name="Normal 17 2 2 3 2 2 9" xfId="9744" xr:uid="{C50FEF86-54D6-49AE-AB41-1A3A883298B3}"/>
    <cellStyle name="Normal 17 2 2 3 2 2 9 2" xfId="25948" xr:uid="{77087C65-3860-4DBC-A296-EBA54CBCF5BC}"/>
    <cellStyle name="Normal 17 2 2 3 2 3" xfId="2159" xr:uid="{867394EE-4259-48EC-8413-FA167D7CAFEA}"/>
    <cellStyle name="Normal 17 2 2 3 2 3 2" xfId="3072" xr:uid="{98E9A473-7AD7-494A-AFB2-FE50D5B798A3}"/>
    <cellStyle name="Normal 17 2 2 3 2 3 2 2" xfId="6854" xr:uid="{2293D2DD-539E-433D-96F3-14F7201C535B}"/>
    <cellStyle name="Normal 17 2 2 3 2 3 2 2 2" xfId="14365" xr:uid="{9F1064EA-7416-4A38-8136-F71081009E97}"/>
    <cellStyle name="Normal 17 2 2 3 2 3 2 2 2 2" xfId="30569" xr:uid="{4882BF93-C49C-438F-B90B-3C9C26C67489}"/>
    <cellStyle name="Normal 17 2 2 3 2 3 2 2 3" xfId="23058" xr:uid="{7FB6F4E0-B1AC-410C-B4AC-7C532E8D8B6C}"/>
    <cellStyle name="Normal 17 2 2 3 2 3 2 3" xfId="10765" xr:uid="{5DB66DCD-FA10-494D-9C12-BB9462644A6C}"/>
    <cellStyle name="Normal 17 2 2 3 2 3 2 3 2" xfId="26969" xr:uid="{D8A00310-C9EA-4BD9-A0E8-DFC2302CC6E7}"/>
    <cellStyle name="Normal 17 2 2 3 2 3 2 4" xfId="19292" xr:uid="{BA7975CF-DE72-4D5A-99B3-658BF0CFA159}"/>
    <cellStyle name="Normal 17 2 2 3 2 3 3" xfId="5998" xr:uid="{4768323C-05AE-416D-AF00-AE5177AF21BE}"/>
    <cellStyle name="Normal 17 2 2 3 2 3 3 2" xfId="13512" xr:uid="{AE2526A2-4950-4293-8723-DB6546C96FDA}"/>
    <cellStyle name="Normal 17 2 2 3 2 3 3 2 2" xfId="29716" xr:uid="{E55D333F-16AB-4794-9915-BF6E08667F86}"/>
    <cellStyle name="Normal 17 2 2 3 2 3 3 3" xfId="22202" xr:uid="{EE885466-E6CA-4A46-AF2B-52E1E7CC8F63}"/>
    <cellStyle name="Normal 17 2 2 3 2 3 4" xfId="9921" xr:uid="{AB7F1B17-65D6-49BC-8D48-A36EC3F5DC9C}"/>
    <cellStyle name="Normal 17 2 2 3 2 3 4 2" xfId="26125" xr:uid="{32FD4FFF-35EC-4DB4-BE06-4DE0B8609D91}"/>
    <cellStyle name="Normal 17 2 2 3 2 3 5" xfId="18446" xr:uid="{978F77BC-4887-4743-98E5-5CB5DA208890}"/>
    <cellStyle name="Normal 17 2 2 3 2 4" xfId="2647" xr:uid="{89F7D0D7-A571-4856-BB50-3449654705CC}"/>
    <cellStyle name="Normal 17 2 2 3 2 4 2" xfId="6431" xr:uid="{583DB8A9-E99E-4EAB-AD6A-CD0354F674AB}"/>
    <cellStyle name="Normal 17 2 2 3 2 4 2 2" xfId="13943" xr:uid="{E16A7409-DD4D-4F74-94CB-6C8BA51D26BE}"/>
    <cellStyle name="Normal 17 2 2 3 2 4 2 2 2" xfId="30147" xr:uid="{C4A36485-0D40-4762-B540-B393C959B723}"/>
    <cellStyle name="Normal 17 2 2 3 2 4 2 3" xfId="22635" xr:uid="{E86F901F-E345-493B-A566-C5679565BD8C}"/>
    <cellStyle name="Normal 17 2 2 3 2 4 3" xfId="10343" xr:uid="{2DDD55EE-3249-48A0-86F5-BA87049BE591}"/>
    <cellStyle name="Normal 17 2 2 3 2 4 3 2" xfId="26547" xr:uid="{C402C4C9-6A27-4786-BCDC-DD4AB061038E}"/>
    <cellStyle name="Normal 17 2 2 3 2 4 4" xfId="18869" xr:uid="{9E023281-F891-427A-8B6C-F1D65E2F6461}"/>
    <cellStyle name="Normal 17 2 2 3 2 5" xfId="3523" xr:uid="{9692003A-2885-4E81-BB5B-846ACE787852}"/>
    <cellStyle name="Normal 17 2 2 3 2 5 2" xfId="7281" xr:uid="{A87BA1F1-12DF-4FE0-BE24-6F5F26891F5D}"/>
    <cellStyle name="Normal 17 2 2 3 2 5 2 2" xfId="14791" xr:uid="{8B8E5099-00C1-4EF4-90CB-F64EC0A48DBB}"/>
    <cellStyle name="Normal 17 2 2 3 2 5 2 2 2" xfId="30995" xr:uid="{3A0B66FD-22FC-489F-81E5-6E0BF1E23067}"/>
    <cellStyle name="Normal 17 2 2 3 2 5 2 3" xfId="23485" xr:uid="{FF7A2CBC-6429-4E11-ACEC-331E8ED24019}"/>
    <cellStyle name="Normal 17 2 2 3 2 5 3" xfId="11188" xr:uid="{DD0C55DC-602F-45DA-A185-2B3E33F93545}"/>
    <cellStyle name="Normal 17 2 2 3 2 5 3 2" xfId="27392" xr:uid="{4B2D532F-CC91-45F1-81E9-A3BBA0BAC83A}"/>
    <cellStyle name="Normal 17 2 2 3 2 5 4" xfId="19739" xr:uid="{42D4F269-0770-4B91-9968-20E8BC85C552}"/>
    <cellStyle name="Normal 17 2 2 3 2 6" xfId="4047" xr:uid="{71FF3A4A-4CA4-4B89-AA4F-C7F50B81CBC0}"/>
    <cellStyle name="Normal 17 2 2 3 2 6 2" xfId="7717" xr:uid="{7C94AFEF-75DB-467C-8C46-E26DA7E7C66C}"/>
    <cellStyle name="Normal 17 2 2 3 2 6 2 2" xfId="15224" xr:uid="{0035AE79-4128-4523-B9F2-195344EAE052}"/>
    <cellStyle name="Normal 17 2 2 3 2 6 2 2 2" xfId="31428" xr:uid="{6FF58A57-C62A-4450-A1DC-481F3BA3D247}"/>
    <cellStyle name="Normal 17 2 2 3 2 6 2 3" xfId="23921" xr:uid="{9F0F4248-24B5-4628-89DF-A79596F8B8D2}"/>
    <cellStyle name="Normal 17 2 2 3 2 6 3" xfId="11610" xr:uid="{7854D403-B0ED-42E3-A3D0-ED2195913760}"/>
    <cellStyle name="Normal 17 2 2 3 2 6 3 2" xfId="27814" xr:uid="{70898F4A-F6E1-4B2B-9B12-C686D8CD95B1}"/>
    <cellStyle name="Normal 17 2 2 3 2 6 4" xfId="20251" xr:uid="{1A33AED6-294D-4E1E-B18B-C505ACC5E018}"/>
    <cellStyle name="Normal 17 2 2 3 2 7" xfId="4472" xr:uid="{AB6280ED-10D6-445F-9EFD-2FFA911DB678}"/>
    <cellStyle name="Normal 17 2 2 3 2 7 2" xfId="8142" xr:uid="{51DC7334-0648-4258-AAA0-BC003ABBE884}"/>
    <cellStyle name="Normal 17 2 2 3 2 7 2 2" xfId="15649" xr:uid="{C41BCF45-49F4-4A05-8D91-F243C8E73182}"/>
    <cellStyle name="Normal 17 2 2 3 2 7 2 2 2" xfId="31853" xr:uid="{ED3E2FA2-56CC-49D1-B528-54FDB298DCBF}"/>
    <cellStyle name="Normal 17 2 2 3 2 7 2 3" xfId="24346" xr:uid="{8F72C769-DEFF-4D57-A7DE-9A7E7D6C41D5}"/>
    <cellStyle name="Normal 17 2 2 3 2 7 3" xfId="12035" xr:uid="{38D4AD11-4C8B-44EE-9051-963DFA2AB218}"/>
    <cellStyle name="Normal 17 2 2 3 2 7 3 2" xfId="28239" xr:uid="{B4644092-F13E-4D1F-8E51-2783E5C38BE7}"/>
    <cellStyle name="Normal 17 2 2 3 2 7 4" xfId="20676" xr:uid="{135D4E7C-29FD-41FF-9C30-B378A37B187A}"/>
    <cellStyle name="Normal 17 2 2 3 2 8" xfId="4897" xr:uid="{1D14A3E7-755E-44CE-8560-4E33E4663FB3}"/>
    <cellStyle name="Normal 17 2 2 3 2 8 2" xfId="8565" xr:uid="{328DD357-8BA3-49EC-B2AD-6279B4392EFC}"/>
    <cellStyle name="Normal 17 2 2 3 2 8 2 2" xfId="16072" xr:uid="{EF9D3067-99B7-4EA0-B82A-53B7551A42D5}"/>
    <cellStyle name="Normal 17 2 2 3 2 8 2 2 2" xfId="32276" xr:uid="{5439858C-1786-4238-ACDD-B75659B742D2}"/>
    <cellStyle name="Normal 17 2 2 3 2 8 2 3" xfId="24769" xr:uid="{58438049-CA9F-4732-A0DC-102B773AFC3F}"/>
    <cellStyle name="Normal 17 2 2 3 2 8 3" xfId="12457" xr:uid="{A012AB49-CEFF-4CA6-AF7C-F6693BFC8EBA}"/>
    <cellStyle name="Normal 17 2 2 3 2 8 3 2" xfId="28661" xr:uid="{A4E4AC87-C692-4257-A0CF-E434F7FC7941}"/>
    <cellStyle name="Normal 17 2 2 3 2 8 4" xfId="21101" xr:uid="{3BC9926A-5AA2-4E59-B4F8-7281AFB36D4B}"/>
    <cellStyle name="Normal 17 2 2 3 2 9" xfId="5383" xr:uid="{59354231-8071-46A3-BC32-5194BA64721B}"/>
    <cellStyle name="Normal 17 2 2 3 2 9 2" xfId="12932" xr:uid="{D820DA6D-9EBC-42CA-8E0C-F92DD06CA23A}"/>
    <cellStyle name="Normal 17 2 2 3 2 9 2 2" xfId="29136" xr:uid="{3CEFF86E-7116-463A-AA6C-45453C832BB1}"/>
    <cellStyle name="Normal 17 2 2 3 2 9 3" xfId="21587" xr:uid="{C3DF57CF-976E-4960-B0D9-B29A8E1FC68A}"/>
    <cellStyle name="Normal 17 2 2 3 3" xfId="1966" xr:uid="{7D72B5DD-4D24-4E07-8C67-AA881D684BB9}"/>
    <cellStyle name="Normal 17 2 2 3 3 10" xfId="18269" xr:uid="{7CE657B8-040A-4A1E-BD04-3EC945662D3A}"/>
    <cellStyle name="Normal 17 2 2 3 3 2" xfId="2472" xr:uid="{75DE68FD-02E9-49E5-9F2F-CDEB5CED6002}"/>
    <cellStyle name="Normal 17 2 2 3 3 2 2" xfId="3319" xr:uid="{E37AD2BB-DA15-4772-B44B-CD2505747E6F}"/>
    <cellStyle name="Normal 17 2 2 3 3 2 2 2" xfId="7101" xr:uid="{400D1BE9-BA30-4F05-AA03-5B179C26DB1F}"/>
    <cellStyle name="Normal 17 2 2 3 3 2 2 2 2" xfId="14612" xr:uid="{B5E90B32-A129-4139-BEF0-10C2CDFC230C}"/>
    <cellStyle name="Normal 17 2 2 3 3 2 2 2 2 2" xfId="30816" xr:uid="{A517A8A3-D385-42FE-888C-21E451423187}"/>
    <cellStyle name="Normal 17 2 2 3 3 2 2 2 3" xfId="23305" xr:uid="{6F24B061-DB4B-498E-A423-E72031EEC979}"/>
    <cellStyle name="Normal 17 2 2 3 3 2 2 3" xfId="11012" xr:uid="{9E09BDF0-4803-4A88-A498-149EA060A197}"/>
    <cellStyle name="Normal 17 2 2 3 3 2 2 3 2" xfId="27216" xr:uid="{D0EC82D2-5BD6-4899-8E79-225B6E5C9C5D}"/>
    <cellStyle name="Normal 17 2 2 3 3 2 2 4" xfId="19539" xr:uid="{B87826DE-82CF-4FC1-91FB-3A7E71DD1CDA}"/>
    <cellStyle name="Normal 17 2 2 3 3 2 3" xfId="6256" xr:uid="{C63D4F38-C920-425D-B404-1FDFC4F87B2B}"/>
    <cellStyle name="Normal 17 2 2 3 3 2 3 2" xfId="13768" xr:uid="{43A2B5B2-5AE9-4CE3-8B74-8419B8C979FE}"/>
    <cellStyle name="Normal 17 2 2 3 3 2 3 2 2" xfId="29972" xr:uid="{5D7209B8-CCCD-4B2D-AAA5-9375B458C8E5}"/>
    <cellStyle name="Normal 17 2 2 3 3 2 3 3" xfId="22460" xr:uid="{98F956FD-1BAD-46F1-B6C1-E5DB42115F6B}"/>
    <cellStyle name="Normal 17 2 2 3 3 2 4" xfId="10168" xr:uid="{3873403C-0E11-4918-B4EC-86AFAF57D47F}"/>
    <cellStyle name="Normal 17 2 2 3 3 2 4 2" xfId="26372" xr:uid="{5B1AE2F7-6451-4613-8C28-EE2C437628B9}"/>
    <cellStyle name="Normal 17 2 2 3 3 2 5" xfId="18694" xr:uid="{707BCCC9-CFBD-4C80-98EB-E9B9CD407364}"/>
    <cellStyle name="Normal 17 2 2 3 3 3" xfId="2894" xr:uid="{507637C7-0C76-4095-97FD-411BBA70CCCC}"/>
    <cellStyle name="Normal 17 2 2 3 3 3 2" xfId="6678" xr:uid="{D637E7BD-8702-4C08-8134-089E85F2D7D1}"/>
    <cellStyle name="Normal 17 2 2 3 3 3 2 2" xfId="14190" xr:uid="{B3EA95CE-300D-4E6B-8FF4-0D0A9E98527F}"/>
    <cellStyle name="Normal 17 2 2 3 3 3 2 2 2" xfId="30394" xr:uid="{9128B980-25C0-44EE-817A-8BB5E3F31259}"/>
    <cellStyle name="Normal 17 2 2 3 3 3 2 3" xfId="22882" xr:uid="{962688D8-93FF-4477-A7CF-2DB3B2282AC8}"/>
    <cellStyle name="Normal 17 2 2 3 3 3 3" xfId="10590" xr:uid="{96B80907-543E-458C-A1A9-36B776F2D345}"/>
    <cellStyle name="Normal 17 2 2 3 3 3 3 2" xfId="26794" xr:uid="{D11638CA-1103-404D-80E5-64BBC071B7BA}"/>
    <cellStyle name="Normal 17 2 2 3 3 3 4" xfId="19116" xr:uid="{595F550B-9320-4285-9C26-DB59DD5F4D39}"/>
    <cellStyle name="Normal 17 2 2 3 3 4" xfId="3825" xr:uid="{9DA58186-1D1E-4F49-9375-AE1FC36FFC45}"/>
    <cellStyle name="Normal 17 2 2 3 3 4 2" xfId="7535" xr:uid="{656F38C9-A0DC-4B37-84FD-59820311587F}"/>
    <cellStyle name="Normal 17 2 2 3 3 4 2 2" xfId="15044" xr:uid="{A6230B0D-0A8A-4F5F-8D7F-104CE8BE9A6C}"/>
    <cellStyle name="Normal 17 2 2 3 3 4 2 2 2" xfId="31248" xr:uid="{BD1DA7C9-8C5F-4143-8D91-97A90FD4D8D8}"/>
    <cellStyle name="Normal 17 2 2 3 3 4 2 3" xfId="23739" xr:uid="{AE90FFBA-7EFE-4C58-BD21-01C05FD4DCC8}"/>
    <cellStyle name="Normal 17 2 2 3 3 4 3" xfId="11435" xr:uid="{ACD1EF48-B1D7-4074-A02A-072D1D432E72}"/>
    <cellStyle name="Normal 17 2 2 3 3 4 3 2" xfId="27639" xr:uid="{5C6B59E1-379C-4578-BFF9-7A912FFBBDA0}"/>
    <cellStyle name="Normal 17 2 2 3 3 4 4" xfId="20034" xr:uid="{AFF58038-7975-4D68-88F0-34C6CBF73FDE}"/>
    <cellStyle name="Normal 17 2 2 3 3 5" xfId="4294" xr:uid="{093C733B-F390-4277-8306-F19EE7BB3BFA}"/>
    <cellStyle name="Normal 17 2 2 3 3 5 2" xfId="7964" xr:uid="{D6DF0223-6375-4C25-A5CB-2EDB7663F2B8}"/>
    <cellStyle name="Normal 17 2 2 3 3 5 2 2" xfId="15471" xr:uid="{57DBE408-6B9C-4F36-ADCC-BB620E47E60A}"/>
    <cellStyle name="Normal 17 2 2 3 3 5 2 2 2" xfId="31675" xr:uid="{5DDB6216-934B-4D29-AF2B-E743A4FB495A}"/>
    <cellStyle name="Normal 17 2 2 3 3 5 2 3" xfId="24168" xr:uid="{1BDE9240-EAE2-41B9-A1A7-11BBC922101E}"/>
    <cellStyle name="Normal 17 2 2 3 3 5 3" xfId="11857" xr:uid="{2EDCE9DC-AE9A-43C1-9DE5-38A1A831A50D}"/>
    <cellStyle name="Normal 17 2 2 3 3 5 3 2" xfId="28061" xr:uid="{8DB48B96-4351-4876-AC5A-7D5602336FDF}"/>
    <cellStyle name="Normal 17 2 2 3 3 5 4" xfId="20498" xr:uid="{E41C4F93-C56E-4747-8935-EA95D640A1E9}"/>
    <cellStyle name="Normal 17 2 2 3 3 6" xfId="4719" xr:uid="{EE33425D-DC19-4361-8DA4-702144A32AB9}"/>
    <cellStyle name="Normal 17 2 2 3 3 6 2" xfId="8389" xr:uid="{6812BB32-3444-4A11-8BF4-C251E682F624}"/>
    <cellStyle name="Normal 17 2 2 3 3 6 2 2" xfId="15896" xr:uid="{09A1F980-C736-464C-A1F6-A15A7CBB9B3C}"/>
    <cellStyle name="Normal 17 2 2 3 3 6 2 2 2" xfId="32100" xr:uid="{2D420C1B-C848-46ED-9764-C456D716FA8D}"/>
    <cellStyle name="Normal 17 2 2 3 3 6 2 3" xfId="24593" xr:uid="{4C5F6D36-9439-4E01-A193-9472DE7FE40C}"/>
    <cellStyle name="Normal 17 2 2 3 3 6 3" xfId="12282" xr:uid="{C42F8C85-890A-4165-87B7-E0E03470AF7F}"/>
    <cellStyle name="Normal 17 2 2 3 3 6 3 2" xfId="28486" xr:uid="{94DC30AF-F141-4994-9195-EEE45CE0A10B}"/>
    <cellStyle name="Normal 17 2 2 3 3 6 4" xfId="20923" xr:uid="{03EA2DAA-C7B5-4E4D-A89F-2B8C24249874}"/>
    <cellStyle name="Normal 17 2 2 3 3 7" xfId="5147" xr:uid="{C585FE9A-55AF-40D2-AB19-8431B1D7BF97}"/>
    <cellStyle name="Normal 17 2 2 3 3 7 2" xfId="8812" xr:uid="{C4EA4EB7-C051-4E2A-8AFF-05D130C592C2}"/>
    <cellStyle name="Normal 17 2 2 3 3 7 2 2" xfId="16319" xr:uid="{4CCB5A03-F2AF-4AB3-8EC3-CD98BC1D688E}"/>
    <cellStyle name="Normal 17 2 2 3 3 7 2 2 2" xfId="32523" xr:uid="{2728BA3D-6E51-4601-B8C3-7A9186198CCB}"/>
    <cellStyle name="Normal 17 2 2 3 3 7 2 3" xfId="25016" xr:uid="{0A1D0CCB-0612-4837-9B22-37FEB2B34735}"/>
    <cellStyle name="Normal 17 2 2 3 3 7 3" xfId="12704" xr:uid="{D73033A5-6D97-4746-8A93-2C1E28048CA8}"/>
    <cellStyle name="Normal 17 2 2 3 3 7 3 2" xfId="28908" xr:uid="{B949780F-9C64-4DC6-BB4E-914B61FEA659}"/>
    <cellStyle name="Normal 17 2 2 3 3 7 4" xfId="21351" xr:uid="{2E98C6E7-52AB-4EE5-9C3B-A0BF5022B85C}"/>
    <cellStyle name="Normal 17 2 2 3 3 8" xfId="5818" xr:uid="{F66BB73C-591D-465D-A7FD-35E469754E7D}"/>
    <cellStyle name="Normal 17 2 2 3 3 8 2" xfId="13333" xr:uid="{EDACB401-22C4-419D-A508-81D2A4505A46}"/>
    <cellStyle name="Normal 17 2 2 3 3 8 2 2" xfId="29537" xr:uid="{D10D5875-631B-4A03-A159-9A7B008A0808}"/>
    <cellStyle name="Normal 17 2 2 3 3 8 3" xfId="22022" xr:uid="{EE3903FA-A918-4A6E-A551-694E522B2D65}"/>
    <cellStyle name="Normal 17 2 2 3 3 9" xfId="9745" xr:uid="{3731821E-8F4C-4DBA-874C-51E4C5694F6B}"/>
    <cellStyle name="Normal 17 2 2 3 3 9 2" xfId="25949" xr:uid="{E9590DF3-0639-4CD2-9662-DB577B84E0CD}"/>
    <cellStyle name="Normal 17 2 2 3 4" xfId="2092" xr:uid="{2B944886-150C-4503-86A5-E5E44B89877C}"/>
    <cellStyle name="Normal 17 2 2 3 4 2" xfId="3005" xr:uid="{A63328F4-C4B8-4BFF-985F-C0E7BFDFB1DD}"/>
    <cellStyle name="Normal 17 2 2 3 4 2 2" xfId="6787" xr:uid="{0B8AB206-1B9A-4156-BBE5-9F271A92A82C}"/>
    <cellStyle name="Normal 17 2 2 3 4 2 2 2" xfId="14298" xr:uid="{1D84F56C-C1F0-47FD-AF44-87FA5ED5E6A8}"/>
    <cellStyle name="Normal 17 2 2 3 4 2 2 2 2" xfId="30502" xr:uid="{A8865611-FEF9-4250-BF51-8FB78425BC06}"/>
    <cellStyle name="Normal 17 2 2 3 4 2 2 3" xfId="22991" xr:uid="{1F00F2DD-9350-4CD3-8647-0A68CC18BBF7}"/>
    <cellStyle name="Normal 17 2 2 3 4 2 3" xfId="10698" xr:uid="{306364D4-64E9-4885-AF0B-76AD13CC87AB}"/>
    <cellStyle name="Normal 17 2 2 3 4 2 3 2" xfId="26902" xr:uid="{DD142063-A5DA-41BE-A544-0406E3FF6AE9}"/>
    <cellStyle name="Normal 17 2 2 3 4 2 4" xfId="19225" xr:uid="{0904E493-4E2B-413B-8F77-FB81D8ECF47C}"/>
    <cellStyle name="Normal 17 2 2 3 4 3" xfId="5931" xr:uid="{EE593773-E9FE-408F-8D2B-54FF8C78F51A}"/>
    <cellStyle name="Normal 17 2 2 3 4 3 2" xfId="13445" xr:uid="{DEF78CE0-6AA2-4C01-888C-C435EC452FF2}"/>
    <cellStyle name="Normal 17 2 2 3 4 3 2 2" xfId="29649" xr:uid="{E3598E37-7370-4A7E-951B-FEDBB9C20B14}"/>
    <cellStyle name="Normal 17 2 2 3 4 3 3" xfId="22135" xr:uid="{2455B863-C010-4127-857C-0E3A6FF3E648}"/>
    <cellStyle name="Normal 17 2 2 3 4 4" xfId="9854" xr:uid="{A5D154D5-ADAA-4D6F-BE8C-F5E855A19262}"/>
    <cellStyle name="Normal 17 2 2 3 4 4 2" xfId="26058" xr:uid="{7EE2B7C6-471D-4DCF-A447-D9BF5640C557}"/>
    <cellStyle name="Normal 17 2 2 3 4 5" xfId="18379" xr:uid="{2A2571BC-398A-4C08-89CB-E0B35F581C89}"/>
    <cellStyle name="Normal 17 2 2 3 5" xfId="2580" xr:uid="{A3C4F3A6-B9DF-45A0-8D2F-346550E52DEF}"/>
    <cellStyle name="Normal 17 2 2 3 5 2" xfId="6364" xr:uid="{4BCB423C-1532-47DE-B4AA-BE5864EB97C3}"/>
    <cellStyle name="Normal 17 2 2 3 5 2 2" xfId="13876" xr:uid="{16C6C508-E513-4068-8312-D0FEB69FA464}"/>
    <cellStyle name="Normal 17 2 2 3 5 2 2 2" xfId="30080" xr:uid="{93D7AC70-41DE-4CFD-9398-4A23F8521D45}"/>
    <cellStyle name="Normal 17 2 2 3 5 2 3" xfId="22568" xr:uid="{13AA02F5-2254-47C0-965C-74475E6999D5}"/>
    <cellStyle name="Normal 17 2 2 3 5 3" xfId="10276" xr:uid="{4A3CF9EE-BEB3-41A9-9200-094E1FC58556}"/>
    <cellStyle name="Normal 17 2 2 3 5 3 2" xfId="26480" xr:uid="{5910B619-F31A-40AD-B506-FE3F283F1035}"/>
    <cellStyle name="Normal 17 2 2 3 5 4" xfId="18802" xr:uid="{F587129A-1065-44CE-941D-1579FA9FDF81}"/>
    <cellStyle name="Normal 17 2 2 3 6" xfId="3456" xr:uid="{3DB8D0F4-1A4D-420E-A891-E55C8C3FEBF9}"/>
    <cellStyle name="Normal 17 2 2 3 6 2" xfId="7214" xr:uid="{D19AA6B5-921F-4CB2-885D-24763795405F}"/>
    <cellStyle name="Normal 17 2 2 3 6 2 2" xfId="14724" xr:uid="{A48044A8-318A-429F-AEC6-F898AEDECCAD}"/>
    <cellStyle name="Normal 17 2 2 3 6 2 2 2" xfId="30928" xr:uid="{EA2F9936-1E68-4A60-B98B-18B7108C0D0A}"/>
    <cellStyle name="Normal 17 2 2 3 6 2 3" xfId="23418" xr:uid="{2F1E56D2-79E0-4852-A0BC-DCA0C298D90E}"/>
    <cellStyle name="Normal 17 2 2 3 6 3" xfId="11121" xr:uid="{80AD0EE6-ED19-40C7-8CF9-46CABB140FC9}"/>
    <cellStyle name="Normal 17 2 2 3 6 3 2" xfId="27325" xr:uid="{A88D52F3-B23B-48C1-B88B-8F9AFABBD986}"/>
    <cellStyle name="Normal 17 2 2 3 6 4" xfId="19672" xr:uid="{64CA7873-5C12-44AF-9CDB-DDE2A1B91BDE}"/>
    <cellStyle name="Normal 17 2 2 3 7" xfId="3980" xr:uid="{7481DBC9-14DD-490B-BADC-7ABC72058F94}"/>
    <cellStyle name="Normal 17 2 2 3 7 2" xfId="7650" xr:uid="{7895ABFF-EDD3-4A05-B067-445DEBB3C78F}"/>
    <cellStyle name="Normal 17 2 2 3 7 2 2" xfId="15157" xr:uid="{114F2989-8A68-4468-9822-39BD39DF430B}"/>
    <cellStyle name="Normal 17 2 2 3 7 2 2 2" xfId="31361" xr:uid="{32D223B3-0116-40E1-954A-76B579599E6F}"/>
    <cellStyle name="Normal 17 2 2 3 7 2 3" xfId="23854" xr:uid="{3B6FA744-4948-478D-99B3-ED601B9650FA}"/>
    <cellStyle name="Normal 17 2 2 3 7 3" xfId="11543" xr:uid="{BE236117-DDC4-4066-A0A7-B21350F0138B}"/>
    <cellStyle name="Normal 17 2 2 3 7 3 2" xfId="27747" xr:uid="{E3529CCF-CA8B-4914-89CE-103EA8818770}"/>
    <cellStyle name="Normal 17 2 2 3 7 4" xfId="20184" xr:uid="{29AA490E-43C8-4E17-B280-CCC46781F43A}"/>
    <cellStyle name="Normal 17 2 2 3 8" xfId="4405" xr:uid="{9F95094D-A15E-4816-B7A1-B9B7BE793FFF}"/>
    <cellStyle name="Normal 17 2 2 3 8 2" xfId="8075" xr:uid="{97EAA01F-ABDC-47F4-B336-1E94D261873C}"/>
    <cellStyle name="Normal 17 2 2 3 8 2 2" xfId="15582" xr:uid="{A438519A-838D-4C6D-8501-F3FA232C3F38}"/>
    <cellStyle name="Normal 17 2 2 3 8 2 2 2" xfId="31786" xr:uid="{F835B29A-4F43-44FC-BD67-54C4B47A6498}"/>
    <cellStyle name="Normal 17 2 2 3 8 2 3" xfId="24279" xr:uid="{C94D34B3-4433-452D-A07A-23A6705BEFB8}"/>
    <cellStyle name="Normal 17 2 2 3 8 3" xfId="11968" xr:uid="{EFA7A5C2-8113-4E6D-A645-0AE24140AEA5}"/>
    <cellStyle name="Normal 17 2 2 3 8 3 2" xfId="28172" xr:uid="{F23A05AA-38F9-4CC5-8E7C-BF33A3DE0879}"/>
    <cellStyle name="Normal 17 2 2 3 8 4" xfId="20609" xr:uid="{9C59E956-07B7-41B7-B120-B6BAB3996321}"/>
    <cellStyle name="Normal 17 2 2 3 9" xfId="4829" xr:uid="{E0D4901A-3BC6-4213-83D0-E9362D4D75FB}"/>
    <cellStyle name="Normal 17 2 2 3 9 2" xfId="8498" xr:uid="{7F9C1AD2-61A0-469C-879C-0C006B8D0BEF}"/>
    <cellStyle name="Normal 17 2 2 3 9 2 2" xfId="16005" xr:uid="{6E3931CE-7720-4E6C-BB22-8355DF06E57F}"/>
    <cellStyle name="Normal 17 2 2 3 9 2 2 2" xfId="32209" xr:uid="{489E17B8-784F-4A47-98C5-F09285DE596F}"/>
    <cellStyle name="Normal 17 2 2 3 9 2 3" xfId="24702" xr:uid="{18EA72E5-F34D-4F2F-B490-06B0D1E6CE7F}"/>
    <cellStyle name="Normal 17 2 2 3 9 3" xfId="12390" xr:uid="{A55A6B24-8DD5-4E5E-99A5-4305251CD86E}"/>
    <cellStyle name="Normal 17 2 2 3 9 3 2" xfId="28594" xr:uid="{763E0214-D4B8-4C11-A5B7-E36629A731DD}"/>
    <cellStyle name="Normal 17 2 2 3 9 4" xfId="21033" xr:uid="{43CF3520-05D5-4E32-B9A4-A20F33BE9F39}"/>
    <cellStyle name="Normal 17 2 2 4" xfId="546" xr:uid="{78AF5D81-04D4-4E15-8376-A001550A34E1}"/>
    <cellStyle name="Normal 17 2 2 4 10" xfId="9454" xr:uid="{F5131D64-E1D8-49A2-B56E-5D02A1BE7FC7}"/>
    <cellStyle name="Normal 17 2 2 4 10 2" xfId="25658" xr:uid="{7D631ED6-E37F-4DB5-ABC6-F31E2D4969A3}"/>
    <cellStyle name="Normal 17 2 2 4 11" xfId="17970" xr:uid="{9FF20ADF-1190-478D-A86D-8B4E9E4F8B69}"/>
    <cellStyle name="Normal 17 2 2 4 2" xfId="1967" xr:uid="{A18E3DCD-9B21-4B83-ABC4-6E71C860EF19}"/>
    <cellStyle name="Normal 17 2 2 4 2 10" xfId="18270" xr:uid="{DB0C5A14-4417-4D20-95CB-1F5C74B78FAB}"/>
    <cellStyle name="Normal 17 2 2 4 2 2" xfId="2473" xr:uid="{A28F836F-D735-4CBE-B28F-A1E299B07D69}"/>
    <cellStyle name="Normal 17 2 2 4 2 2 2" xfId="3320" xr:uid="{C3F2B7CE-A769-486D-9887-A292335989F2}"/>
    <cellStyle name="Normal 17 2 2 4 2 2 2 2" xfId="7102" xr:uid="{67CF6FA4-867A-428D-A3CA-6408CF9A4EDA}"/>
    <cellStyle name="Normal 17 2 2 4 2 2 2 2 2" xfId="14613" xr:uid="{B044C684-52A6-495B-AAC8-2486E705124B}"/>
    <cellStyle name="Normal 17 2 2 4 2 2 2 2 2 2" xfId="30817" xr:uid="{F91044D9-5618-4554-A195-2FA676ADC5C4}"/>
    <cellStyle name="Normal 17 2 2 4 2 2 2 2 3" xfId="23306" xr:uid="{365E7B5E-4B31-4A23-B197-774E6BD9A128}"/>
    <cellStyle name="Normal 17 2 2 4 2 2 2 3" xfId="11013" xr:uid="{6765E781-3A19-4313-B8CC-CCAC6A7E52ED}"/>
    <cellStyle name="Normal 17 2 2 4 2 2 2 3 2" xfId="27217" xr:uid="{A2611909-E523-4214-946E-95291671850A}"/>
    <cellStyle name="Normal 17 2 2 4 2 2 2 4" xfId="19540" xr:uid="{ECD7F4BC-C884-40D7-AA5C-83946A5A7A0A}"/>
    <cellStyle name="Normal 17 2 2 4 2 2 3" xfId="6257" xr:uid="{C24DBE1A-4079-4CA0-9165-F7679B00D39F}"/>
    <cellStyle name="Normal 17 2 2 4 2 2 3 2" xfId="13769" xr:uid="{F3A4B473-9867-4D19-B783-1900D3DD89C8}"/>
    <cellStyle name="Normal 17 2 2 4 2 2 3 2 2" xfId="29973" xr:uid="{1E325E4B-9334-4DA9-9B16-86BBD5569EE4}"/>
    <cellStyle name="Normal 17 2 2 4 2 2 3 3" xfId="22461" xr:uid="{C0CDD873-5591-4117-B5EE-6326D412C463}"/>
    <cellStyle name="Normal 17 2 2 4 2 2 4" xfId="10169" xr:uid="{8FEF422B-D555-49D8-9B53-6D609BA679EA}"/>
    <cellStyle name="Normal 17 2 2 4 2 2 4 2" xfId="26373" xr:uid="{F906945F-070D-4CDA-9E8B-8DF424A278B2}"/>
    <cellStyle name="Normal 17 2 2 4 2 2 5" xfId="18695" xr:uid="{F4BDDCCA-EA43-4456-A092-0A31C00B742E}"/>
    <cellStyle name="Normal 17 2 2 4 2 3" xfId="2895" xr:uid="{465CE969-F9C8-42F3-A7FC-741F52BC292A}"/>
    <cellStyle name="Normal 17 2 2 4 2 3 2" xfId="6679" xr:uid="{0293A55E-7F39-4A88-86BA-57F06014608D}"/>
    <cellStyle name="Normal 17 2 2 4 2 3 2 2" xfId="14191" xr:uid="{D5241322-8131-4C48-A660-5D71817B3046}"/>
    <cellStyle name="Normal 17 2 2 4 2 3 2 2 2" xfId="30395" xr:uid="{59AC10BA-997C-48A3-8C4A-185403DA252A}"/>
    <cellStyle name="Normal 17 2 2 4 2 3 2 3" xfId="22883" xr:uid="{758E1CA0-6155-4B38-BC35-D1D434D7E90E}"/>
    <cellStyle name="Normal 17 2 2 4 2 3 3" xfId="10591" xr:uid="{33E33306-398D-40B7-93F1-B365A6E5B26B}"/>
    <cellStyle name="Normal 17 2 2 4 2 3 3 2" xfId="26795" xr:uid="{FB5E18FE-1BC2-464E-9597-71F60B07FA9F}"/>
    <cellStyle name="Normal 17 2 2 4 2 3 4" xfId="19117" xr:uid="{17F1D00F-69F2-4294-B03E-AAD9E08461AD}"/>
    <cellStyle name="Normal 17 2 2 4 2 4" xfId="3826" xr:uid="{2ECA8F07-A543-40F6-A046-EF95C81F2463}"/>
    <cellStyle name="Normal 17 2 2 4 2 4 2" xfId="7536" xr:uid="{5E431716-802B-4767-9817-18DF5A492F44}"/>
    <cellStyle name="Normal 17 2 2 4 2 4 2 2" xfId="15045" xr:uid="{81AD972C-17BA-4860-BDBA-BD94B144E0B8}"/>
    <cellStyle name="Normal 17 2 2 4 2 4 2 2 2" xfId="31249" xr:uid="{0F4D1E4C-7024-4D65-8593-4B1270E835E9}"/>
    <cellStyle name="Normal 17 2 2 4 2 4 2 3" xfId="23740" xr:uid="{9C2A120A-945B-4FC3-91B5-4A8229CB1386}"/>
    <cellStyle name="Normal 17 2 2 4 2 4 3" xfId="11436" xr:uid="{F1B805BC-99D6-482B-A708-768039578706}"/>
    <cellStyle name="Normal 17 2 2 4 2 4 3 2" xfId="27640" xr:uid="{F4241A07-9846-4F6C-9DEC-0CA6FC893547}"/>
    <cellStyle name="Normal 17 2 2 4 2 4 4" xfId="20035" xr:uid="{6205439D-533A-4763-A9B7-56471BE1F559}"/>
    <cellStyle name="Normal 17 2 2 4 2 5" xfId="4295" xr:uid="{886854AB-4704-4FB7-BD5D-8726FBE89FD2}"/>
    <cellStyle name="Normal 17 2 2 4 2 5 2" xfId="7965" xr:uid="{A0515BA2-8DD6-4645-9F4F-9C1A7481DD2E}"/>
    <cellStyle name="Normal 17 2 2 4 2 5 2 2" xfId="15472" xr:uid="{85772A41-C45F-4F0E-9685-EB7007A8B6E2}"/>
    <cellStyle name="Normal 17 2 2 4 2 5 2 2 2" xfId="31676" xr:uid="{9AB84231-76C5-4986-9530-526BABC630BC}"/>
    <cellStyle name="Normal 17 2 2 4 2 5 2 3" xfId="24169" xr:uid="{A7009385-BDE1-4217-AA36-AA0291031AC6}"/>
    <cellStyle name="Normal 17 2 2 4 2 5 3" xfId="11858" xr:uid="{8DFC4A74-85CC-4A8B-98DF-90A851345708}"/>
    <cellStyle name="Normal 17 2 2 4 2 5 3 2" xfId="28062" xr:uid="{9E1236FC-E0CA-4251-8F79-26C87D4D28D5}"/>
    <cellStyle name="Normal 17 2 2 4 2 5 4" xfId="20499" xr:uid="{4B84EE6A-C1BA-4C36-8A33-5D9831992043}"/>
    <cellStyle name="Normal 17 2 2 4 2 6" xfId="4720" xr:uid="{12541F3D-DD08-4C66-8403-B04F963621FC}"/>
    <cellStyle name="Normal 17 2 2 4 2 6 2" xfId="8390" xr:uid="{EA1A2F1F-1587-48A4-883B-0668FB958BB3}"/>
    <cellStyle name="Normal 17 2 2 4 2 6 2 2" xfId="15897" xr:uid="{0BF8D763-3F0B-4DB5-B193-42699DEA75B3}"/>
    <cellStyle name="Normal 17 2 2 4 2 6 2 2 2" xfId="32101" xr:uid="{F35F3694-A786-49BA-B7E2-D6BA7F101F18}"/>
    <cellStyle name="Normal 17 2 2 4 2 6 2 3" xfId="24594" xr:uid="{D763E897-4E4C-481C-8759-8BA345FBD8DA}"/>
    <cellStyle name="Normal 17 2 2 4 2 6 3" xfId="12283" xr:uid="{C2AC2A3F-999E-4830-AE7B-E28C9713AA53}"/>
    <cellStyle name="Normal 17 2 2 4 2 6 3 2" xfId="28487" xr:uid="{95E28050-5E7E-4C0C-9F47-E874EE01CA3F}"/>
    <cellStyle name="Normal 17 2 2 4 2 6 4" xfId="20924" xr:uid="{17D1788D-F7DA-4FE3-869D-9BD4870325EE}"/>
    <cellStyle name="Normal 17 2 2 4 2 7" xfId="5148" xr:uid="{C7E10E24-098B-40CE-84CC-BA4AA016B8AD}"/>
    <cellStyle name="Normal 17 2 2 4 2 7 2" xfId="8813" xr:uid="{09FF7D44-D427-44D3-BF78-720CF07B1D77}"/>
    <cellStyle name="Normal 17 2 2 4 2 7 2 2" xfId="16320" xr:uid="{1983FB49-A8C3-44E7-9992-1C6F876A9EB0}"/>
    <cellStyle name="Normal 17 2 2 4 2 7 2 2 2" xfId="32524" xr:uid="{224344E2-8E8F-4737-9F17-8911C6A534BA}"/>
    <cellStyle name="Normal 17 2 2 4 2 7 2 3" xfId="25017" xr:uid="{CDBEC4FC-B321-43FB-BA89-59648057EA0C}"/>
    <cellStyle name="Normal 17 2 2 4 2 7 3" xfId="12705" xr:uid="{5B226574-CE67-4CDD-A87C-3961D581F0E9}"/>
    <cellStyle name="Normal 17 2 2 4 2 7 3 2" xfId="28909" xr:uid="{41D57141-D276-41E2-B931-263561E0B9F5}"/>
    <cellStyle name="Normal 17 2 2 4 2 7 4" xfId="21352" xr:uid="{45504DBD-5E3F-4D3A-B6EA-98C0E5C9DAD6}"/>
    <cellStyle name="Normal 17 2 2 4 2 8" xfId="5819" xr:uid="{3803548B-7C2D-4AD8-A76A-253162214507}"/>
    <cellStyle name="Normal 17 2 2 4 2 8 2" xfId="13334" xr:uid="{4A22F64C-AA8B-471B-96EF-06419B368CBB}"/>
    <cellStyle name="Normal 17 2 2 4 2 8 2 2" xfId="29538" xr:uid="{41FA5C9A-6B54-4284-9F41-863CFC7F3630}"/>
    <cellStyle name="Normal 17 2 2 4 2 8 3" xfId="22023" xr:uid="{64C6F894-9669-4516-8B46-D1455B52B255}"/>
    <cellStyle name="Normal 17 2 2 4 2 9" xfId="9746" xr:uid="{F196B5A7-D259-4976-A555-E19BDDB4DE3D}"/>
    <cellStyle name="Normal 17 2 2 4 2 9 2" xfId="25950" xr:uid="{1AE22BD0-35E6-4611-99CA-A9E0901E9CBA}"/>
    <cellStyle name="Normal 17 2 2 4 3" xfId="2115" xr:uid="{03375407-8051-4857-92C1-936C9CB3BF5D}"/>
    <cellStyle name="Normal 17 2 2 4 3 2" xfId="3028" xr:uid="{7ABD37CC-58BF-49EA-8086-A5A8332EAF86}"/>
    <cellStyle name="Normal 17 2 2 4 3 2 2" xfId="6810" xr:uid="{3BA7ABDD-B8D0-4F66-A755-E4BC3A4AE35A}"/>
    <cellStyle name="Normal 17 2 2 4 3 2 2 2" xfId="14321" xr:uid="{4E075EFC-D19E-4811-837A-FD9B968A385D}"/>
    <cellStyle name="Normal 17 2 2 4 3 2 2 2 2" xfId="30525" xr:uid="{701D87A2-40CB-4E6C-B199-AFED2A772DA0}"/>
    <cellStyle name="Normal 17 2 2 4 3 2 2 3" xfId="23014" xr:uid="{01FDA6A2-AE3E-47CD-957A-6F9428290248}"/>
    <cellStyle name="Normal 17 2 2 4 3 2 3" xfId="10721" xr:uid="{21D3A44D-83E8-456E-B0FC-3F27A8DB7CD5}"/>
    <cellStyle name="Normal 17 2 2 4 3 2 3 2" xfId="26925" xr:uid="{795B9825-059C-4B76-9463-D3FA2E314B00}"/>
    <cellStyle name="Normal 17 2 2 4 3 2 4" xfId="19248" xr:uid="{C6DC0A55-88F2-4A38-83EE-91B8E2CDF383}"/>
    <cellStyle name="Normal 17 2 2 4 3 3" xfId="5954" xr:uid="{E1922F47-585C-48CA-B8C4-5C1D023B0F87}"/>
    <cellStyle name="Normal 17 2 2 4 3 3 2" xfId="13468" xr:uid="{BA0BD8BE-5E8C-4CAA-B97A-AEF77C612930}"/>
    <cellStyle name="Normal 17 2 2 4 3 3 2 2" xfId="29672" xr:uid="{A37F8364-39F3-4512-8EC7-0EEDA76E6ED8}"/>
    <cellStyle name="Normal 17 2 2 4 3 3 3" xfId="22158" xr:uid="{2C139FD8-43A7-4C0D-B870-F01C7A471D3C}"/>
    <cellStyle name="Normal 17 2 2 4 3 4" xfId="9877" xr:uid="{6118F79F-2EF7-401D-86E8-377C178FBCE1}"/>
    <cellStyle name="Normal 17 2 2 4 3 4 2" xfId="26081" xr:uid="{3825C9BF-B2C2-417F-9B1A-DF0A27A69F28}"/>
    <cellStyle name="Normal 17 2 2 4 3 5" xfId="18402" xr:uid="{66A5B840-CE40-42E9-9B42-C53349CEB65B}"/>
    <cellStyle name="Normal 17 2 2 4 4" xfId="2603" xr:uid="{F920B5C5-E0B8-44BB-80A5-3C2C2536005A}"/>
    <cellStyle name="Normal 17 2 2 4 4 2" xfId="6387" xr:uid="{C1D58263-7B80-486D-9C61-57A945354643}"/>
    <cellStyle name="Normal 17 2 2 4 4 2 2" xfId="13899" xr:uid="{25C555BD-5D11-4D55-B5E1-1D4C6A731963}"/>
    <cellStyle name="Normal 17 2 2 4 4 2 2 2" xfId="30103" xr:uid="{BBCB00E7-4108-43A0-B05A-3FF0E1F238B5}"/>
    <cellStyle name="Normal 17 2 2 4 4 2 3" xfId="22591" xr:uid="{355B2A5D-BA58-4473-B0E0-62534729B482}"/>
    <cellStyle name="Normal 17 2 2 4 4 3" xfId="10299" xr:uid="{3055F008-2445-40E2-8440-ACAA91D48348}"/>
    <cellStyle name="Normal 17 2 2 4 4 3 2" xfId="26503" xr:uid="{F65538C5-F2ED-4DED-A267-088FE7F627C2}"/>
    <cellStyle name="Normal 17 2 2 4 4 4" xfId="18825" xr:uid="{150BD6BE-F892-46AE-9118-442241EEA6E6}"/>
    <cellStyle name="Normal 17 2 2 4 5" xfId="3479" xr:uid="{25ABD138-C220-4A5B-8D45-6F90A55BC6CF}"/>
    <cellStyle name="Normal 17 2 2 4 5 2" xfId="7237" xr:uid="{4A51B215-3832-4BDC-AF1E-1CCBC925E22D}"/>
    <cellStyle name="Normal 17 2 2 4 5 2 2" xfId="14747" xr:uid="{BDCD891A-6E39-45DC-9C0A-47380602D2B0}"/>
    <cellStyle name="Normal 17 2 2 4 5 2 2 2" xfId="30951" xr:uid="{82BB74E2-0F48-4D25-A0D5-E5E96D168986}"/>
    <cellStyle name="Normal 17 2 2 4 5 2 3" xfId="23441" xr:uid="{C807AE01-3D2F-43B6-8D76-0EA79CE6DB8B}"/>
    <cellStyle name="Normal 17 2 2 4 5 3" xfId="11144" xr:uid="{BC92F0AD-A8D8-49E4-AE90-76173225AB95}"/>
    <cellStyle name="Normal 17 2 2 4 5 3 2" xfId="27348" xr:uid="{AEA62648-BDFB-4ABB-B391-DBF38A679E3A}"/>
    <cellStyle name="Normal 17 2 2 4 5 4" xfId="19695" xr:uid="{14A64F6A-FCE8-4A4A-942E-0BD11DD66EFC}"/>
    <cellStyle name="Normal 17 2 2 4 6" xfId="4003" xr:uid="{B1F8AF8F-BFC0-4FC7-A5B3-A72567F23A51}"/>
    <cellStyle name="Normal 17 2 2 4 6 2" xfId="7673" xr:uid="{63E296C1-46D4-47D3-A16C-173FB53229F9}"/>
    <cellStyle name="Normal 17 2 2 4 6 2 2" xfId="15180" xr:uid="{54E0D53E-B011-405F-8208-534E5034E0E8}"/>
    <cellStyle name="Normal 17 2 2 4 6 2 2 2" xfId="31384" xr:uid="{AAFC59E3-4851-42ED-9B13-E682D4063E37}"/>
    <cellStyle name="Normal 17 2 2 4 6 2 3" xfId="23877" xr:uid="{BCD2A1C1-E36F-423E-8675-C374C105F9FC}"/>
    <cellStyle name="Normal 17 2 2 4 6 3" xfId="11566" xr:uid="{A7F35E02-FA69-420B-AFC5-200CA710A956}"/>
    <cellStyle name="Normal 17 2 2 4 6 3 2" xfId="27770" xr:uid="{758DE510-90D5-4A78-B0BD-9555DFE9E762}"/>
    <cellStyle name="Normal 17 2 2 4 6 4" xfId="20207" xr:uid="{EC07683F-67F2-437D-8BE7-81B355070434}"/>
    <cellStyle name="Normal 17 2 2 4 7" xfId="4428" xr:uid="{533CA446-7013-4985-86E5-15C3C41A4FF9}"/>
    <cellStyle name="Normal 17 2 2 4 7 2" xfId="8098" xr:uid="{F93287DD-3885-41DA-A8D6-D779E434ED50}"/>
    <cellStyle name="Normal 17 2 2 4 7 2 2" xfId="15605" xr:uid="{AB8B75B0-403D-4A6C-A0E6-461D6C9D7CFD}"/>
    <cellStyle name="Normal 17 2 2 4 7 2 2 2" xfId="31809" xr:uid="{660F8FCA-45CE-420E-AEF1-FFED0A278598}"/>
    <cellStyle name="Normal 17 2 2 4 7 2 3" xfId="24302" xr:uid="{AF1632A9-916A-432A-AF57-8B8B7A3A5A27}"/>
    <cellStyle name="Normal 17 2 2 4 7 3" xfId="11991" xr:uid="{7E9E9B53-4556-413D-ADB7-15F630532B04}"/>
    <cellStyle name="Normal 17 2 2 4 7 3 2" xfId="28195" xr:uid="{2EBAB018-029A-4BF2-B954-80C36F311109}"/>
    <cellStyle name="Normal 17 2 2 4 7 4" xfId="20632" xr:uid="{B2DF7228-72EA-4E4C-94D3-02CDD2D328F1}"/>
    <cellStyle name="Normal 17 2 2 4 8" xfId="4853" xr:uid="{90D09E4B-1B1B-4095-A947-108ADF6FD4AC}"/>
    <cellStyle name="Normal 17 2 2 4 8 2" xfId="8521" xr:uid="{EB551158-C8BA-47D2-9D75-211F8DC45038}"/>
    <cellStyle name="Normal 17 2 2 4 8 2 2" xfId="16028" xr:uid="{948E7E33-507E-43D9-8D0A-858C4D084F2B}"/>
    <cellStyle name="Normal 17 2 2 4 8 2 2 2" xfId="32232" xr:uid="{E7DD9056-3C98-46D4-90EB-11ED66B767D0}"/>
    <cellStyle name="Normal 17 2 2 4 8 2 3" xfId="24725" xr:uid="{8B31EB4E-CE63-41DE-AC62-C24177A996E2}"/>
    <cellStyle name="Normal 17 2 2 4 8 3" xfId="12413" xr:uid="{16E02144-C1CC-4E1B-BCE8-2547D84BFC62}"/>
    <cellStyle name="Normal 17 2 2 4 8 3 2" xfId="28617" xr:uid="{CB8A844E-0E37-4829-9738-9A9598923878}"/>
    <cellStyle name="Normal 17 2 2 4 8 4" xfId="21057" xr:uid="{E0BDC682-D9B9-4693-A26F-EA174A169FD3}"/>
    <cellStyle name="Normal 17 2 2 4 9" xfId="5339" xr:uid="{A718F707-D58C-4091-80FF-AB2D7F73D4DE}"/>
    <cellStyle name="Normal 17 2 2 4 9 2" xfId="12888" xr:uid="{D0BB2982-7771-431E-8933-BE5ACF05C3D6}"/>
    <cellStyle name="Normal 17 2 2 4 9 2 2" xfId="29092" xr:uid="{D681B3C2-8F93-4DA4-A0DA-6B478E9AFFF8}"/>
    <cellStyle name="Normal 17 2 2 4 9 3" xfId="21543" xr:uid="{D37C883F-B095-48EF-8BF6-DB5B66918B33}"/>
    <cellStyle name="Normal 17 2 2 5" xfId="1968" xr:uid="{B3AEF159-E944-45F5-8CE5-0F7C842421A1}"/>
    <cellStyle name="Normal 17 2 2 5 10" xfId="18271" xr:uid="{53D2F5CE-1083-4CB7-B7E1-749EBA1CFFEC}"/>
    <cellStyle name="Normal 17 2 2 5 2" xfId="2474" xr:uid="{68E9EC5A-758E-4C43-91A8-1CD323F2C0EE}"/>
    <cellStyle name="Normal 17 2 2 5 2 2" xfId="3321" xr:uid="{7477EE02-124A-4A56-A6FD-1669C207D7FF}"/>
    <cellStyle name="Normal 17 2 2 5 2 2 2" xfId="7103" xr:uid="{6FA7F4F7-3885-4A5F-B2C8-B22970EC9AD9}"/>
    <cellStyle name="Normal 17 2 2 5 2 2 2 2" xfId="14614" xr:uid="{B9BFAB9A-5F6A-42CF-ACBE-839A7A220564}"/>
    <cellStyle name="Normal 17 2 2 5 2 2 2 2 2" xfId="30818" xr:uid="{EE998548-67C6-4FBB-AB05-955FA1939DCB}"/>
    <cellStyle name="Normal 17 2 2 5 2 2 2 3" xfId="23307" xr:uid="{C0EC2A09-A760-4685-891C-92AE626EC43A}"/>
    <cellStyle name="Normal 17 2 2 5 2 2 3" xfId="11014" xr:uid="{ADEE7D23-D628-48B1-A061-CF195174AAFC}"/>
    <cellStyle name="Normal 17 2 2 5 2 2 3 2" xfId="27218" xr:uid="{22D1D44C-BBC0-4231-823B-C279C75F3594}"/>
    <cellStyle name="Normal 17 2 2 5 2 2 4" xfId="19541" xr:uid="{30FF9494-6BEA-4A16-9EEB-AD90E682EDD8}"/>
    <cellStyle name="Normal 17 2 2 5 2 3" xfId="6258" xr:uid="{3899AE38-FFF3-431F-B75C-5077369C8AF1}"/>
    <cellStyle name="Normal 17 2 2 5 2 3 2" xfId="13770" xr:uid="{A67E9CAB-356F-47B5-9184-06228DCB2E42}"/>
    <cellStyle name="Normal 17 2 2 5 2 3 2 2" xfId="29974" xr:uid="{87E77FCB-F2D3-4922-BDA8-D33F88EEBACF}"/>
    <cellStyle name="Normal 17 2 2 5 2 3 3" xfId="22462" xr:uid="{93188708-91B2-4C15-889B-B40152CBD389}"/>
    <cellStyle name="Normal 17 2 2 5 2 4" xfId="10170" xr:uid="{1E44B38D-0C17-48BF-9467-90F71A0F873D}"/>
    <cellStyle name="Normal 17 2 2 5 2 4 2" xfId="26374" xr:uid="{D3866477-94A0-4009-8389-D156B6E1C464}"/>
    <cellStyle name="Normal 17 2 2 5 2 5" xfId="18696" xr:uid="{3F0361C4-8CF4-41C8-9847-B8F56787925F}"/>
    <cellStyle name="Normal 17 2 2 5 3" xfId="2896" xr:uid="{0D911935-B6C7-4A7A-8416-D793A2228E8A}"/>
    <cellStyle name="Normal 17 2 2 5 3 2" xfId="6680" xr:uid="{4BA96657-D9A7-4B77-94DA-8E0109FCE1D7}"/>
    <cellStyle name="Normal 17 2 2 5 3 2 2" xfId="14192" xr:uid="{9F65FC84-2205-424A-AFA1-DB1F3EF1B575}"/>
    <cellStyle name="Normal 17 2 2 5 3 2 2 2" xfId="30396" xr:uid="{AE18DBC8-C12E-47BB-832F-7C489EEBFF72}"/>
    <cellStyle name="Normal 17 2 2 5 3 2 3" xfId="22884" xr:uid="{1479E912-B887-4DF6-B6FF-6461F8635023}"/>
    <cellStyle name="Normal 17 2 2 5 3 3" xfId="10592" xr:uid="{DC8F895C-23D1-47FD-ACFE-4EA25D7549F6}"/>
    <cellStyle name="Normal 17 2 2 5 3 3 2" xfId="26796" xr:uid="{2B5D35D7-BDDF-495A-84ED-307C6ACD4B9D}"/>
    <cellStyle name="Normal 17 2 2 5 3 4" xfId="19118" xr:uid="{699DAB88-0609-458B-8E30-35C123A10B4E}"/>
    <cellStyle name="Normal 17 2 2 5 4" xfId="3827" xr:uid="{FD65AD94-3A59-4D0F-B0AD-74ED5824DCDB}"/>
    <cellStyle name="Normal 17 2 2 5 4 2" xfId="7537" xr:uid="{BFE95148-C013-40D7-9A34-8ADCCCA559DC}"/>
    <cellStyle name="Normal 17 2 2 5 4 2 2" xfId="15046" xr:uid="{4D073008-8B46-477F-ABD5-963339497BCE}"/>
    <cellStyle name="Normal 17 2 2 5 4 2 2 2" xfId="31250" xr:uid="{74946C58-ED74-4216-9900-82838CE6D6C3}"/>
    <cellStyle name="Normal 17 2 2 5 4 2 3" xfId="23741" xr:uid="{FA7E8EA9-584F-4393-9C4C-93E19C7FC28D}"/>
    <cellStyle name="Normal 17 2 2 5 4 3" xfId="11437" xr:uid="{FAB11A4F-7836-46DB-BFFD-BAE0BF1DCF6B}"/>
    <cellStyle name="Normal 17 2 2 5 4 3 2" xfId="27641" xr:uid="{EEFAD98C-DCAE-4751-B3FF-55E453FB4331}"/>
    <cellStyle name="Normal 17 2 2 5 4 4" xfId="20036" xr:uid="{5E742B4F-96A5-4C6C-B8A3-7D309FF2E55A}"/>
    <cellStyle name="Normal 17 2 2 5 5" xfId="4296" xr:uid="{54DB809E-096D-408B-B82E-A33B88360D27}"/>
    <cellStyle name="Normal 17 2 2 5 5 2" xfId="7966" xr:uid="{34E0E9DF-5310-4C66-B089-FD8273BB7CC6}"/>
    <cellStyle name="Normal 17 2 2 5 5 2 2" xfId="15473" xr:uid="{DD65F534-28B2-4C7D-BA70-8CDA9CFE9561}"/>
    <cellStyle name="Normal 17 2 2 5 5 2 2 2" xfId="31677" xr:uid="{CE335700-7BEC-4472-B480-DD542FA32411}"/>
    <cellStyle name="Normal 17 2 2 5 5 2 3" xfId="24170" xr:uid="{91EF9A3A-C706-48D3-BA73-431166D4E99A}"/>
    <cellStyle name="Normal 17 2 2 5 5 3" xfId="11859" xr:uid="{8CC3BF80-06A9-40D2-899C-7FA2C8FF2F8A}"/>
    <cellStyle name="Normal 17 2 2 5 5 3 2" xfId="28063" xr:uid="{86E2DF90-155D-47F9-BF62-A70B669C10EC}"/>
    <cellStyle name="Normal 17 2 2 5 5 4" xfId="20500" xr:uid="{31648EC2-F942-42C5-A076-8B7E16C94AD2}"/>
    <cellStyle name="Normal 17 2 2 5 6" xfId="4721" xr:uid="{3CC264F3-40A3-4D0D-AA80-45CD6556E429}"/>
    <cellStyle name="Normal 17 2 2 5 6 2" xfId="8391" xr:uid="{7EFB0996-15FC-4C82-B20B-C9346FC163ED}"/>
    <cellStyle name="Normal 17 2 2 5 6 2 2" xfId="15898" xr:uid="{27FE004E-F841-45EC-8D24-EF439EC283C1}"/>
    <cellStyle name="Normal 17 2 2 5 6 2 2 2" xfId="32102" xr:uid="{6E891273-2CB1-4EB8-BBA1-B610556C8204}"/>
    <cellStyle name="Normal 17 2 2 5 6 2 3" xfId="24595" xr:uid="{307853BA-3E4F-4FDF-BA56-7DAE1B2FD52E}"/>
    <cellStyle name="Normal 17 2 2 5 6 3" xfId="12284" xr:uid="{BC5422E5-2496-4C62-AA8F-6153F7ADBE19}"/>
    <cellStyle name="Normal 17 2 2 5 6 3 2" xfId="28488" xr:uid="{9BCAD58A-CC34-49E2-8193-EBB6AE472D9F}"/>
    <cellStyle name="Normal 17 2 2 5 6 4" xfId="20925" xr:uid="{8D700F01-C2DD-4850-90FA-4FE1DED6E0FD}"/>
    <cellStyle name="Normal 17 2 2 5 7" xfId="5149" xr:uid="{AA71297B-3185-4527-B693-70682F8024BF}"/>
    <cellStyle name="Normal 17 2 2 5 7 2" xfId="8814" xr:uid="{97D8D439-F630-411E-90C3-FE1A52266CE4}"/>
    <cellStyle name="Normal 17 2 2 5 7 2 2" xfId="16321" xr:uid="{E5DF0498-9C4D-42BF-A441-6E12AC1E3E0A}"/>
    <cellStyle name="Normal 17 2 2 5 7 2 2 2" xfId="32525" xr:uid="{FFDBC826-DBCC-4B8F-B318-251A576BCD4B}"/>
    <cellStyle name="Normal 17 2 2 5 7 2 3" xfId="25018" xr:uid="{06611B31-F24D-4850-BA33-0AA95F048A9E}"/>
    <cellStyle name="Normal 17 2 2 5 7 3" xfId="12706" xr:uid="{A2246CDA-D7BA-474B-B3AE-1A460067D56B}"/>
    <cellStyle name="Normal 17 2 2 5 7 3 2" xfId="28910" xr:uid="{BA7BA2CD-09F9-485B-8C90-198B7BF8824A}"/>
    <cellStyle name="Normal 17 2 2 5 7 4" xfId="21353" xr:uid="{D1E0FFB8-1F9A-48FD-A6CD-3FDC41997BCE}"/>
    <cellStyle name="Normal 17 2 2 5 8" xfId="5820" xr:uid="{BF0A00B6-B440-4718-BF0C-EA593CEFA1DD}"/>
    <cellStyle name="Normal 17 2 2 5 8 2" xfId="13335" xr:uid="{835642DC-5389-4055-8B18-BA9521ADFA19}"/>
    <cellStyle name="Normal 17 2 2 5 8 2 2" xfId="29539" xr:uid="{94591437-8D71-4466-ABEC-3F59D5ECAABF}"/>
    <cellStyle name="Normal 17 2 2 5 8 3" xfId="22024" xr:uid="{6BC937DC-7FB1-4A27-A0C6-D3202F7C30C3}"/>
    <cellStyle name="Normal 17 2 2 5 9" xfId="9747" xr:uid="{F09317BE-31DB-4BC2-B5D8-B2F920F33B1E}"/>
    <cellStyle name="Normal 17 2 2 5 9 2" xfId="25951" xr:uid="{A71C777D-9535-42A9-8B34-58C484827618}"/>
    <cellStyle name="Normal 17 2 2 6" xfId="2048" xr:uid="{A04A9AC8-1506-410A-A428-3D85FF70F328}"/>
    <cellStyle name="Normal 17 2 2 6 2" xfId="2961" xr:uid="{B7F9BACE-754B-4860-B960-4A1D83913663}"/>
    <cellStyle name="Normal 17 2 2 6 2 2" xfId="6743" xr:uid="{AF07F581-17D2-4E59-9CB8-B1401C50193F}"/>
    <cellStyle name="Normal 17 2 2 6 2 2 2" xfId="14254" xr:uid="{A6EE3231-B72C-44FF-849A-DC2F0AA0F379}"/>
    <cellStyle name="Normal 17 2 2 6 2 2 2 2" xfId="30458" xr:uid="{F30F51AB-0B32-44EC-B40B-7289E395F814}"/>
    <cellStyle name="Normal 17 2 2 6 2 2 3" xfId="22947" xr:uid="{B64EC1C7-2093-4F27-B8DD-8059692DF7F2}"/>
    <cellStyle name="Normal 17 2 2 6 2 3" xfId="10654" xr:uid="{8A2F0D90-7DE5-4E8E-917F-FC32FCBEDC4E}"/>
    <cellStyle name="Normal 17 2 2 6 2 3 2" xfId="26858" xr:uid="{EBF9FAA6-06BF-4D72-8421-B0C7DA6B4E03}"/>
    <cellStyle name="Normal 17 2 2 6 2 4" xfId="19181" xr:uid="{7C57501F-AE39-4312-9167-81AA4161B350}"/>
    <cellStyle name="Normal 17 2 2 6 3" xfId="5887" xr:uid="{6CB85A7E-0FAB-4900-BFB8-ADB8809747BB}"/>
    <cellStyle name="Normal 17 2 2 6 3 2" xfId="13401" xr:uid="{B5B08107-89BC-447C-8F59-DB396FD569D9}"/>
    <cellStyle name="Normal 17 2 2 6 3 2 2" xfId="29605" xr:uid="{389DF233-78E1-4ABF-8E72-84BA1B71B146}"/>
    <cellStyle name="Normal 17 2 2 6 3 3" xfId="22091" xr:uid="{61F31352-2755-4496-A72B-751DF92FFA92}"/>
    <cellStyle name="Normal 17 2 2 6 4" xfId="9810" xr:uid="{A9A15C07-071E-4D3D-83F8-BBCA4A502868}"/>
    <cellStyle name="Normal 17 2 2 6 4 2" xfId="26014" xr:uid="{A7F9BD28-E17E-4BA8-A115-770F018E3962}"/>
    <cellStyle name="Normal 17 2 2 6 5" xfId="18335" xr:uid="{00D1F0D1-83D7-4705-B6F1-8EA6A815E390}"/>
    <cellStyle name="Normal 17 2 2 7" xfId="2536" xr:uid="{216F216D-ABC3-4827-B87B-8F9318DF216C}"/>
    <cellStyle name="Normal 17 2 2 7 2" xfId="6320" xr:uid="{3539A41E-5272-4DF9-9161-3FC617174475}"/>
    <cellStyle name="Normal 17 2 2 7 2 2" xfId="13832" xr:uid="{A221421B-854E-4936-9A7F-46EB3FACC4C7}"/>
    <cellStyle name="Normal 17 2 2 7 2 2 2" xfId="30036" xr:uid="{67F961C7-E0F1-47D9-8D4F-65282DBD8EE7}"/>
    <cellStyle name="Normal 17 2 2 7 2 3" xfId="22524" xr:uid="{180A779F-7BBA-4F90-B20A-6A57B1F5258D}"/>
    <cellStyle name="Normal 17 2 2 7 3" xfId="10232" xr:uid="{0E20908C-F4C9-4D5D-AFE1-F2BC0DB537F7}"/>
    <cellStyle name="Normal 17 2 2 7 3 2" xfId="26436" xr:uid="{E09E477C-D3E1-4FC1-9B23-5BFE7B51A121}"/>
    <cellStyle name="Normal 17 2 2 7 4" xfId="18758" xr:uid="{888E1E56-814F-43B8-8FC5-9F3C906EE411}"/>
    <cellStyle name="Normal 17 2 2 8" xfId="3409" xr:uid="{B1088237-DC7E-4154-B0F4-21C469876B20}"/>
    <cellStyle name="Normal 17 2 2 8 2" xfId="7170" xr:uid="{0C3D375A-DBFD-4E5C-8C78-E518D34B8FC6}"/>
    <cellStyle name="Normal 17 2 2 8 2 2" xfId="14680" xr:uid="{73D67DD7-6324-49EE-B694-EB8F764C9B33}"/>
    <cellStyle name="Normal 17 2 2 8 2 2 2" xfId="30884" xr:uid="{1AF86BE5-5615-42F2-89E6-413559C748BC}"/>
    <cellStyle name="Normal 17 2 2 8 2 3" xfId="23374" xr:uid="{514190E2-061B-4CAE-80F3-2190F1A13A95}"/>
    <cellStyle name="Normal 17 2 2 8 3" xfId="11077" xr:uid="{044A40B6-DFFA-441E-B4B0-C8886D5CC3CC}"/>
    <cellStyle name="Normal 17 2 2 8 3 2" xfId="27281" xr:uid="{AB9817E0-FD6F-4AAB-B8D9-0443EDD65CEB}"/>
    <cellStyle name="Normal 17 2 2 8 4" xfId="19625" xr:uid="{576B10E3-19B7-44A8-A497-D2D0A4CB0068}"/>
    <cellStyle name="Normal 17 2 2 9" xfId="3936" xr:uid="{64D99B0C-1F4D-41C2-AD59-0253CD4CDFB2}"/>
    <cellStyle name="Normal 17 2 2 9 2" xfId="7606" xr:uid="{902AAA27-233D-4C1D-8D1B-D069164A78DE}"/>
    <cellStyle name="Normal 17 2 2 9 2 2" xfId="15113" xr:uid="{ED3B1F79-47D4-4B1C-B61C-4DB674322882}"/>
    <cellStyle name="Normal 17 2 2 9 2 2 2" xfId="31317" xr:uid="{5B887F82-CAF2-4A5F-ADEF-EAFB480B4C6B}"/>
    <cellStyle name="Normal 17 2 2 9 2 3" xfId="23810" xr:uid="{E8397729-653B-4DAD-ABC1-515457EE6069}"/>
    <cellStyle name="Normal 17 2 2 9 3" xfId="11499" xr:uid="{45CBC435-2AE8-40B5-AD52-8105B1B491C3}"/>
    <cellStyle name="Normal 17 2 2 9 3 2" xfId="27703" xr:uid="{B3EB99AC-7B28-4118-AB75-1CBA878B0321}"/>
    <cellStyle name="Normal 17 2 2 9 4" xfId="20140" xr:uid="{2797F04F-3819-495E-9206-BC93E4A0CA8B}"/>
    <cellStyle name="Normal 17 2 3" xfId="494" xr:uid="{8364C625-31FF-42CE-A6FE-4643DBF37896}"/>
    <cellStyle name="Normal 17 2 3 10" xfId="5291" xr:uid="{48CBB3BF-43E1-42A9-A971-2383C7579E03}"/>
    <cellStyle name="Normal 17 2 3 10 2" xfId="12840" xr:uid="{3DE6E9D2-4627-4EAD-8B37-9D1656C53BE0}"/>
    <cellStyle name="Normal 17 2 3 10 2 2" xfId="29044" xr:uid="{7B192DD2-25FC-475F-A029-4D33496555C6}"/>
    <cellStyle name="Normal 17 2 3 10 3" xfId="21495" xr:uid="{F87967EC-C588-4618-9121-41926B1C5D10}"/>
    <cellStyle name="Normal 17 2 3 11" xfId="9406" xr:uid="{98875F38-3BA6-42A7-8DD4-2D94D3D95CC4}"/>
    <cellStyle name="Normal 17 2 3 11 2" xfId="25610" xr:uid="{FBFD884F-0AD9-4E59-A001-22C65F453F0D}"/>
    <cellStyle name="Normal 17 2 3 12" xfId="17921" xr:uid="{1F3342D4-16CE-4AC8-90C9-50BB7421448B}"/>
    <cellStyle name="Normal 17 2 3 2" xfId="565" xr:uid="{D554A639-085D-438B-B2B7-99C87387FC51}"/>
    <cellStyle name="Normal 17 2 3 2 10" xfId="9473" xr:uid="{3A817E21-2B6B-49AE-9554-8358334060D5}"/>
    <cellStyle name="Normal 17 2 3 2 10 2" xfId="25677" xr:uid="{698B907D-AA34-43E1-935D-B1B75DC3AA14}"/>
    <cellStyle name="Normal 17 2 3 2 11" xfId="17989" xr:uid="{8B5B58AC-B9A2-4EC0-9FF4-7C5A5502E033}"/>
    <cellStyle name="Normal 17 2 3 2 2" xfId="1969" xr:uid="{549399D8-03E7-48E8-9481-573325239D9A}"/>
    <cellStyle name="Normal 17 2 3 2 2 10" xfId="18272" xr:uid="{842BED0D-C9EB-4A51-9599-FE0E8CF0F217}"/>
    <cellStyle name="Normal 17 2 3 2 2 2" xfId="2475" xr:uid="{B63C9138-05F4-4588-98E3-ADD10063A435}"/>
    <cellStyle name="Normal 17 2 3 2 2 2 2" xfId="3322" xr:uid="{E9610D4E-C7AC-4729-AAE8-B4E7C73A117E}"/>
    <cellStyle name="Normal 17 2 3 2 2 2 2 2" xfId="7104" xr:uid="{57BE9024-2485-4D32-B3E4-585C570AF669}"/>
    <cellStyle name="Normal 17 2 3 2 2 2 2 2 2" xfId="14615" xr:uid="{73C723A3-E63D-44C8-8FD1-4D609843D3FE}"/>
    <cellStyle name="Normal 17 2 3 2 2 2 2 2 2 2" xfId="30819" xr:uid="{F3246630-4C67-43D5-9C7B-C4B7C25BBDA6}"/>
    <cellStyle name="Normal 17 2 3 2 2 2 2 2 3" xfId="23308" xr:uid="{805EDE1B-C1CF-494F-BBEE-C22882B1EB6C}"/>
    <cellStyle name="Normal 17 2 3 2 2 2 2 3" xfId="11015" xr:uid="{912892A8-D2A2-4AD8-8073-958967F7A243}"/>
    <cellStyle name="Normal 17 2 3 2 2 2 2 3 2" xfId="27219" xr:uid="{1739757B-9D37-4D62-8C52-70F0DBEC4A97}"/>
    <cellStyle name="Normal 17 2 3 2 2 2 2 4" xfId="19542" xr:uid="{BB7E2E14-F382-4EDD-A5D5-DDFE6E1E0F3A}"/>
    <cellStyle name="Normal 17 2 3 2 2 2 3" xfId="6259" xr:uid="{BA56B213-DEA6-40EF-AE35-A7AEDC091A46}"/>
    <cellStyle name="Normal 17 2 3 2 2 2 3 2" xfId="13771" xr:uid="{B3CB44B8-272D-4DB8-B031-990CB586182F}"/>
    <cellStyle name="Normal 17 2 3 2 2 2 3 2 2" xfId="29975" xr:uid="{964568FB-E28E-4550-8F54-0D8C9CE31EA9}"/>
    <cellStyle name="Normal 17 2 3 2 2 2 3 3" xfId="22463" xr:uid="{C00A3263-460C-4F10-8A92-DFE04570682E}"/>
    <cellStyle name="Normal 17 2 3 2 2 2 4" xfId="10171" xr:uid="{C2FF0B25-D242-496B-A694-544423DD31F4}"/>
    <cellStyle name="Normal 17 2 3 2 2 2 4 2" xfId="26375" xr:uid="{AD0F1595-BE8D-4582-BA91-A7F0681613F7}"/>
    <cellStyle name="Normal 17 2 3 2 2 2 5" xfId="18697" xr:uid="{FA9B557E-6E39-4DF5-B142-8241E839B314}"/>
    <cellStyle name="Normal 17 2 3 2 2 3" xfId="2897" xr:uid="{29AFB391-4B29-4B9F-A13D-0000212E3CEA}"/>
    <cellStyle name="Normal 17 2 3 2 2 3 2" xfId="6681" xr:uid="{3C079064-ACCB-4918-80CB-F888A346F034}"/>
    <cellStyle name="Normal 17 2 3 2 2 3 2 2" xfId="14193" xr:uid="{EC21BE5B-669E-4D8E-96B6-3C8DA253C66D}"/>
    <cellStyle name="Normal 17 2 3 2 2 3 2 2 2" xfId="30397" xr:uid="{7D390B97-0520-4789-A059-316B1DCDED38}"/>
    <cellStyle name="Normal 17 2 3 2 2 3 2 3" xfId="22885" xr:uid="{2704221F-AE61-4452-B0AE-9B7B5A4FB7DD}"/>
    <cellStyle name="Normal 17 2 3 2 2 3 3" xfId="10593" xr:uid="{1EA8261F-C808-44E6-9B7B-159A56A91157}"/>
    <cellStyle name="Normal 17 2 3 2 2 3 3 2" xfId="26797" xr:uid="{EAFBD202-3F94-48C0-ADC6-32D1869127A8}"/>
    <cellStyle name="Normal 17 2 3 2 2 3 4" xfId="19119" xr:uid="{E563F369-5BFF-4838-99E8-633D68755ECE}"/>
    <cellStyle name="Normal 17 2 3 2 2 4" xfId="3828" xr:uid="{7612B75D-AA56-457C-97C7-3DB00789A412}"/>
    <cellStyle name="Normal 17 2 3 2 2 4 2" xfId="7538" xr:uid="{C3FAFDAA-56C7-4C34-BE85-F2B1C79B3F84}"/>
    <cellStyle name="Normal 17 2 3 2 2 4 2 2" xfId="15047" xr:uid="{6166B395-13CB-475D-A31D-1281CCBE0A87}"/>
    <cellStyle name="Normal 17 2 3 2 2 4 2 2 2" xfId="31251" xr:uid="{C93494F9-1B90-40B2-A299-DB891871B110}"/>
    <cellStyle name="Normal 17 2 3 2 2 4 2 3" xfId="23742" xr:uid="{B8BD37AB-5A4A-4E9E-A436-96DD9B1CFB5B}"/>
    <cellStyle name="Normal 17 2 3 2 2 4 3" xfId="11438" xr:uid="{89AF8C8A-61F4-4092-968F-D582BD1468C1}"/>
    <cellStyle name="Normal 17 2 3 2 2 4 3 2" xfId="27642" xr:uid="{DEC37E8B-7AA9-485A-A35F-ACCFE26AEB0C}"/>
    <cellStyle name="Normal 17 2 3 2 2 4 4" xfId="20037" xr:uid="{6231BB60-DBE3-4A7F-8FB1-2BA2FEB06825}"/>
    <cellStyle name="Normal 17 2 3 2 2 5" xfId="4297" xr:uid="{FBCDA525-55CA-461E-8DF0-5ED7FE18753A}"/>
    <cellStyle name="Normal 17 2 3 2 2 5 2" xfId="7967" xr:uid="{6BCF19AB-1696-4A5A-AFC7-DBB703DEBEE9}"/>
    <cellStyle name="Normal 17 2 3 2 2 5 2 2" xfId="15474" xr:uid="{E6EFA8F8-3B01-4CE3-89A0-66908A0E1093}"/>
    <cellStyle name="Normal 17 2 3 2 2 5 2 2 2" xfId="31678" xr:uid="{34239F88-B9AF-4B08-8266-8EC2702BD35F}"/>
    <cellStyle name="Normal 17 2 3 2 2 5 2 3" xfId="24171" xr:uid="{1B18ABBA-47C0-434F-B224-E0C1D96D9F7C}"/>
    <cellStyle name="Normal 17 2 3 2 2 5 3" xfId="11860" xr:uid="{3F39D68D-6B2A-4D0C-B2EA-D2E6A1CC875C}"/>
    <cellStyle name="Normal 17 2 3 2 2 5 3 2" xfId="28064" xr:uid="{EE5B6E7F-C596-49F3-AE2A-018AE0890F23}"/>
    <cellStyle name="Normal 17 2 3 2 2 5 4" xfId="20501" xr:uid="{019F3AE6-E658-4E5D-BEB8-75303B2594CA}"/>
    <cellStyle name="Normal 17 2 3 2 2 6" xfId="4722" xr:uid="{9D9D7818-2F00-4490-A8B5-A86F10155F13}"/>
    <cellStyle name="Normal 17 2 3 2 2 6 2" xfId="8392" xr:uid="{519DD06B-4F78-4BCF-A31F-4D20C71F6D19}"/>
    <cellStyle name="Normal 17 2 3 2 2 6 2 2" xfId="15899" xr:uid="{1E6CFAB6-D82A-4EDD-9583-51A49589CC67}"/>
    <cellStyle name="Normal 17 2 3 2 2 6 2 2 2" xfId="32103" xr:uid="{6A6BBEB2-E3D4-47F0-960D-6E688C22C29B}"/>
    <cellStyle name="Normal 17 2 3 2 2 6 2 3" xfId="24596" xr:uid="{4AC6D7AF-053B-46DD-8A8D-F7F78A1CA168}"/>
    <cellStyle name="Normal 17 2 3 2 2 6 3" xfId="12285" xr:uid="{AED78FFD-597C-47AF-9B6D-C40815684C42}"/>
    <cellStyle name="Normal 17 2 3 2 2 6 3 2" xfId="28489" xr:uid="{DFC1F2B6-80ED-4580-9316-BBFCFDB5A6E4}"/>
    <cellStyle name="Normal 17 2 3 2 2 6 4" xfId="20926" xr:uid="{3FA712E5-9B1A-4218-A7F6-22A63C5AB223}"/>
    <cellStyle name="Normal 17 2 3 2 2 7" xfId="5150" xr:uid="{F724E0E7-11E5-4846-B8B0-7FB3FA91931D}"/>
    <cellStyle name="Normal 17 2 3 2 2 7 2" xfId="8815" xr:uid="{B93C21D3-0AF8-4753-9787-B3FE872AA32F}"/>
    <cellStyle name="Normal 17 2 3 2 2 7 2 2" xfId="16322" xr:uid="{EA3CB29B-60A7-44B0-A336-C1BE6394A821}"/>
    <cellStyle name="Normal 17 2 3 2 2 7 2 2 2" xfId="32526" xr:uid="{CBF38628-764A-4F9C-AC08-19D2A9544AD3}"/>
    <cellStyle name="Normal 17 2 3 2 2 7 2 3" xfId="25019" xr:uid="{57AE8FE5-98E2-468C-BA28-0B61AC0D98CA}"/>
    <cellStyle name="Normal 17 2 3 2 2 7 3" xfId="12707" xr:uid="{99C86E54-F09C-499B-8FEF-C6FE80D3A395}"/>
    <cellStyle name="Normal 17 2 3 2 2 7 3 2" xfId="28911" xr:uid="{26791980-1EFB-4443-9E63-20DEBEFE84C5}"/>
    <cellStyle name="Normal 17 2 3 2 2 7 4" xfId="21354" xr:uid="{497BB9E1-DC38-444E-A803-4CEA339167F7}"/>
    <cellStyle name="Normal 17 2 3 2 2 8" xfId="5821" xr:uid="{7569C754-9BB4-4C66-9712-B636D4B7A055}"/>
    <cellStyle name="Normal 17 2 3 2 2 8 2" xfId="13336" xr:uid="{A19B65D5-832C-41CC-9E17-82F95AEA3C18}"/>
    <cellStyle name="Normal 17 2 3 2 2 8 2 2" xfId="29540" xr:uid="{60BB35D8-A2F4-4AF5-85C8-A6729403DF38}"/>
    <cellStyle name="Normal 17 2 3 2 2 8 3" xfId="22025" xr:uid="{3565E997-7439-4203-BA79-554B0470A7D1}"/>
    <cellStyle name="Normal 17 2 3 2 2 9" xfId="9748" xr:uid="{CBD62EC7-AAD1-47A1-AD29-3C3086C94855}"/>
    <cellStyle name="Normal 17 2 3 2 2 9 2" xfId="25952" xr:uid="{41B33A40-0FA1-4E46-B766-9AB88CFDD7AB}"/>
    <cellStyle name="Normal 17 2 3 2 3" xfId="2134" xr:uid="{A9A12C41-C06D-4B1E-8BE6-727E975D7E79}"/>
    <cellStyle name="Normal 17 2 3 2 3 2" xfId="3047" xr:uid="{82A44B02-889C-49CB-B8DA-AAAEA4AD0108}"/>
    <cellStyle name="Normal 17 2 3 2 3 2 2" xfId="6829" xr:uid="{BDCE3ED1-F3B0-450A-9B90-EF91E76EB4C8}"/>
    <cellStyle name="Normal 17 2 3 2 3 2 2 2" xfId="14340" xr:uid="{4A5CDADB-4B12-4921-A92D-659A9CC0CFF7}"/>
    <cellStyle name="Normal 17 2 3 2 3 2 2 2 2" xfId="30544" xr:uid="{11DBB6C7-D9ED-42B8-A4C0-CD5831337282}"/>
    <cellStyle name="Normal 17 2 3 2 3 2 2 3" xfId="23033" xr:uid="{B4DF5E58-725D-4B1E-A05B-2C657C196A1D}"/>
    <cellStyle name="Normal 17 2 3 2 3 2 3" xfId="10740" xr:uid="{C2AC8C82-B1B1-4AB0-B53B-3519E10D9E6C}"/>
    <cellStyle name="Normal 17 2 3 2 3 2 3 2" xfId="26944" xr:uid="{534232CA-39E4-4139-98D4-ECB5783191E9}"/>
    <cellStyle name="Normal 17 2 3 2 3 2 4" xfId="19267" xr:uid="{DEF4B90D-075C-4A6C-B883-458663602EAC}"/>
    <cellStyle name="Normal 17 2 3 2 3 3" xfId="5973" xr:uid="{FF1E8178-FA2A-43D0-95E1-7FCD35B93485}"/>
    <cellStyle name="Normal 17 2 3 2 3 3 2" xfId="13487" xr:uid="{8266552F-61C9-43C4-A24E-01E34610C9E6}"/>
    <cellStyle name="Normal 17 2 3 2 3 3 2 2" xfId="29691" xr:uid="{C4049C9E-9C95-43B7-8476-B48B07EE955A}"/>
    <cellStyle name="Normal 17 2 3 2 3 3 3" xfId="22177" xr:uid="{033342B7-A875-4685-B158-9F83A838BE7D}"/>
    <cellStyle name="Normal 17 2 3 2 3 4" xfId="9896" xr:uid="{D145F022-C44D-457F-865E-3967DE0339F8}"/>
    <cellStyle name="Normal 17 2 3 2 3 4 2" xfId="26100" xr:uid="{72B84028-198F-4C9A-B2B8-5F7896114725}"/>
    <cellStyle name="Normal 17 2 3 2 3 5" xfId="18421" xr:uid="{367BB3DF-4B5E-42B4-8B8C-5BE0E2D38009}"/>
    <cellStyle name="Normal 17 2 3 2 4" xfId="2622" xr:uid="{21A62725-064D-41F0-84B1-CF2C7F0289B4}"/>
    <cellStyle name="Normal 17 2 3 2 4 2" xfId="6406" xr:uid="{713313AC-8B1E-4AB4-9C2B-35F1E811DC15}"/>
    <cellStyle name="Normal 17 2 3 2 4 2 2" xfId="13918" xr:uid="{068A16E7-11A3-4664-ACD0-1F3682D4AA89}"/>
    <cellStyle name="Normal 17 2 3 2 4 2 2 2" xfId="30122" xr:uid="{057DE452-180E-46D8-B739-AA3486AB9D20}"/>
    <cellStyle name="Normal 17 2 3 2 4 2 3" xfId="22610" xr:uid="{A8157569-2069-4A3C-85AC-D67D67AB6871}"/>
    <cellStyle name="Normal 17 2 3 2 4 3" xfId="10318" xr:uid="{D60CDD1E-16E6-4FFC-B0D5-6B4BE2243304}"/>
    <cellStyle name="Normal 17 2 3 2 4 3 2" xfId="26522" xr:uid="{6CAE752F-7BC0-40AD-A9EE-C78346BFF22F}"/>
    <cellStyle name="Normal 17 2 3 2 4 4" xfId="18844" xr:uid="{A93349CD-82BD-49E3-A303-09A728EBEE8F}"/>
    <cellStyle name="Normal 17 2 3 2 5" xfId="3498" xr:uid="{D6924261-F48D-4BBB-94EE-4DEA339AA57B}"/>
    <cellStyle name="Normal 17 2 3 2 5 2" xfId="7256" xr:uid="{9229C187-E05E-42EF-A5CA-007463144F48}"/>
    <cellStyle name="Normal 17 2 3 2 5 2 2" xfId="14766" xr:uid="{89279D96-18C4-4496-8D63-C3BACA337D6E}"/>
    <cellStyle name="Normal 17 2 3 2 5 2 2 2" xfId="30970" xr:uid="{B5056ADA-133A-4A6E-8EF8-EA00E6750B75}"/>
    <cellStyle name="Normal 17 2 3 2 5 2 3" xfId="23460" xr:uid="{AF1BF9E2-724B-42E9-8648-A0AAD9D8F873}"/>
    <cellStyle name="Normal 17 2 3 2 5 3" xfId="11163" xr:uid="{C79D3FD3-A8A1-4772-B7DD-2573C49BB3A0}"/>
    <cellStyle name="Normal 17 2 3 2 5 3 2" xfId="27367" xr:uid="{D2F9BA9B-E742-4BEB-A363-A74E05FCE467}"/>
    <cellStyle name="Normal 17 2 3 2 5 4" xfId="19714" xr:uid="{F386C5E7-A0C6-47ED-82A6-9845D5EAE7F4}"/>
    <cellStyle name="Normal 17 2 3 2 6" xfId="4022" xr:uid="{CBF06753-1053-407D-B458-FE6B88942283}"/>
    <cellStyle name="Normal 17 2 3 2 6 2" xfId="7692" xr:uid="{D20AEFF9-21A4-4E62-ADC8-E3B13CD87946}"/>
    <cellStyle name="Normal 17 2 3 2 6 2 2" xfId="15199" xr:uid="{9A0F4EBF-BF4E-4D63-935C-225182C152AD}"/>
    <cellStyle name="Normal 17 2 3 2 6 2 2 2" xfId="31403" xr:uid="{90B2D92A-5D82-4090-9170-BD513397CD06}"/>
    <cellStyle name="Normal 17 2 3 2 6 2 3" xfId="23896" xr:uid="{358910E1-4492-463A-A6A8-BAF4BFE3FB14}"/>
    <cellStyle name="Normal 17 2 3 2 6 3" xfId="11585" xr:uid="{FB3FD4D0-B2B5-481C-AE5C-C41DBFB71AE8}"/>
    <cellStyle name="Normal 17 2 3 2 6 3 2" xfId="27789" xr:uid="{1B7CE167-7EA8-4B66-8E61-AA5BA5E04D1E}"/>
    <cellStyle name="Normal 17 2 3 2 6 4" xfId="20226" xr:uid="{BF0AEDF3-F345-4420-AC11-85D3B7702A06}"/>
    <cellStyle name="Normal 17 2 3 2 7" xfId="4447" xr:uid="{469AC7D4-C15B-4B32-88B8-BD85F6FD049F}"/>
    <cellStyle name="Normal 17 2 3 2 7 2" xfId="8117" xr:uid="{EA91EE7F-37D6-46DE-84C9-B9A784FC95F2}"/>
    <cellStyle name="Normal 17 2 3 2 7 2 2" xfId="15624" xr:uid="{2FE35BFA-124A-4140-B5C0-A62865C82611}"/>
    <cellStyle name="Normal 17 2 3 2 7 2 2 2" xfId="31828" xr:uid="{B0F710C0-BAEB-4C83-8481-FF9DAA0284F9}"/>
    <cellStyle name="Normal 17 2 3 2 7 2 3" xfId="24321" xr:uid="{B98A0A79-6C57-42CE-B738-A188D425C555}"/>
    <cellStyle name="Normal 17 2 3 2 7 3" xfId="12010" xr:uid="{8386FDF5-AB29-4276-BDB1-BA7C6E48A9F0}"/>
    <cellStyle name="Normal 17 2 3 2 7 3 2" xfId="28214" xr:uid="{CDE14B3A-B0EC-4B9F-8EDD-41AD9D6D607E}"/>
    <cellStyle name="Normal 17 2 3 2 7 4" xfId="20651" xr:uid="{E60496FD-5371-4687-8B54-C59208F1D1C7}"/>
    <cellStyle name="Normal 17 2 3 2 8" xfId="4872" xr:uid="{2708B571-A608-4C52-9FB7-058CDEB00E1F}"/>
    <cellStyle name="Normal 17 2 3 2 8 2" xfId="8540" xr:uid="{695A7C2C-4D62-4C15-A0E8-7BFA3E61C911}"/>
    <cellStyle name="Normal 17 2 3 2 8 2 2" xfId="16047" xr:uid="{70298B05-B2FD-4570-A206-F4CA0FFE614C}"/>
    <cellStyle name="Normal 17 2 3 2 8 2 2 2" xfId="32251" xr:uid="{89F2C263-5219-4553-A035-6F9E7ED2C65F}"/>
    <cellStyle name="Normal 17 2 3 2 8 2 3" xfId="24744" xr:uid="{30022AB7-731B-448D-9B52-48CC0BF810D1}"/>
    <cellStyle name="Normal 17 2 3 2 8 3" xfId="12432" xr:uid="{FCD1E7A2-16D4-44DF-839C-4BAC7681E04D}"/>
    <cellStyle name="Normal 17 2 3 2 8 3 2" xfId="28636" xr:uid="{34B42DE7-8DE0-4983-99C5-88664849D8F1}"/>
    <cellStyle name="Normal 17 2 3 2 8 4" xfId="21076" xr:uid="{B0600569-CD57-4632-BBAC-B21614C2B68A}"/>
    <cellStyle name="Normal 17 2 3 2 9" xfId="5358" xr:uid="{3D694D53-D274-43DE-820A-75D0D54A2269}"/>
    <cellStyle name="Normal 17 2 3 2 9 2" xfId="12907" xr:uid="{7F466FC5-9322-47A7-A559-2F48AFF783B2}"/>
    <cellStyle name="Normal 17 2 3 2 9 2 2" xfId="29111" xr:uid="{F687ECC4-2783-4352-B7E4-1E700DF8C386}"/>
    <cellStyle name="Normal 17 2 3 2 9 3" xfId="21562" xr:uid="{876F4F57-3399-4F3E-BFC7-20AD79C3B118}"/>
    <cellStyle name="Normal 17 2 3 3" xfId="1970" xr:uid="{C95D4716-2A59-496B-BA67-30CA02ED949E}"/>
    <cellStyle name="Normal 17 2 3 3 10" xfId="18273" xr:uid="{1E5A3FF0-9715-47A5-B66D-99C830F0BD41}"/>
    <cellStyle name="Normal 17 2 3 3 2" xfId="2476" xr:uid="{CE4A28D0-A7AC-4F12-BDE5-B3A2338AED12}"/>
    <cellStyle name="Normal 17 2 3 3 2 2" xfId="3323" xr:uid="{6CF007B8-020B-4707-AD16-59122A863EA5}"/>
    <cellStyle name="Normal 17 2 3 3 2 2 2" xfId="7105" xr:uid="{1A0320E6-138A-466D-9FD3-E14AF1D17BD9}"/>
    <cellStyle name="Normal 17 2 3 3 2 2 2 2" xfId="14616" xr:uid="{17710333-4D0F-4F66-934D-53550AAD8BC6}"/>
    <cellStyle name="Normal 17 2 3 3 2 2 2 2 2" xfId="30820" xr:uid="{82FB5EFC-1F7B-4ADD-9500-84296E76C1CB}"/>
    <cellStyle name="Normal 17 2 3 3 2 2 2 3" xfId="23309" xr:uid="{178E68BE-9B3B-439C-B36A-FEFE3FC2F936}"/>
    <cellStyle name="Normal 17 2 3 3 2 2 3" xfId="11016" xr:uid="{5BC7F001-B7B4-4364-B81C-810B6DA7741C}"/>
    <cellStyle name="Normal 17 2 3 3 2 2 3 2" xfId="27220" xr:uid="{F6301AD0-66C6-4983-B16E-863639610DE9}"/>
    <cellStyle name="Normal 17 2 3 3 2 2 4" xfId="19543" xr:uid="{FC230BC4-1BC6-40C9-A8A6-D8A57475CED2}"/>
    <cellStyle name="Normal 17 2 3 3 2 3" xfId="6260" xr:uid="{E7B39DC5-4592-4014-BE3C-463427C68D83}"/>
    <cellStyle name="Normal 17 2 3 3 2 3 2" xfId="13772" xr:uid="{E272B979-D3E5-4E7D-9469-C0C9AF31BCD6}"/>
    <cellStyle name="Normal 17 2 3 3 2 3 2 2" xfId="29976" xr:uid="{E2CC1248-8CCB-439B-A285-8930F6CADB69}"/>
    <cellStyle name="Normal 17 2 3 3 2 3 3" xfId="22464" xr:uid="{99498C9B-862D-426A-8619-3FF204141B9E}"/>
    <cellStyle name="Normal 17 2 3 3 2 4" xfId="10172" xr:uid="{D2A2777E-95E7-4FF5-A0CE-EFED50F3AF54}"/>
    <cellStyle name="Normal 17 2 3 3 2 4 2" xfId="26376" xr:uid="{96783007-76DA-464C-80EA-A6EF0C50CDD9}"/>
    <cellStyle name="Normal 17 2 3 3 2 5" xfId="18698" xr:uid="{FC06C26F-9254-4066-A676-7778EA38D6AC}"/>
    <cellStyle name="Normal 17 2 3 3 3" xfId="2898" xr:uid="{C24F36C8-F116-450B-84C1-5265BDC803B5}"/>
    <cellStyle name="Normal 17 2 3 3 3 2" xfId="6682" xr:uid="{965FA62F-C403-44CF-9CC7-70A01D94D399}"/>
    <cellStyle name="Normal 17 2 3 3 3 2 2" xfId="14194" xr:uid="{0BACA878-B946-4158-A68D-1FA38128EA67}"/>
    <cellStyle name="Normal 17 2 3 3 3 2 2 2" xfId="30398" xr:uid="{01A7CE81-B0EF-4B31-BAB1-9D4B8B48622E}"/>
    <cellStyle name="Normal 17 2 3 3 3 2 3" xfId="22886" xr:uid="{6E568584-7D97-4283-ABCD-D5BD415B6048}"/>
    <cellStyle name="Normal 17 2 3 3 3 3" xfId="10594" xr:uid="{056C7266-9ADC-4B95-AB9D-CBAD81217AE8}"/>
    <cellStyle name="Normal 17 2 3 3 3 3 2" xfId="26798" xr:uid="{94A30066-1A39-497B-92B9-B47EA88C073B}"/>
    <cellStyle name="Normal 17 2 3 3 3 4" xfId="19120" xr:uid="{EF63CB55-937A-4DFC-B64C-713573E0CD3A}"/>
    <cellStyle name="Normal 17 2 3 3 4" xfId="3829" xr:uid="{0A9ACDFB-30D9-4E3B-9F30-AE1EAD259FCE}"/>
    <cellStyle name="Normal 17 2 3 3 4 2" xfId="7539" xr:uid="{62399CD0-643E-4285-A612-67E516704200}"/>
    <cellStyle name="Normal 17 2 3 3 4 2 2" xfId="15048" xr:uid="{0C51E596-6CA9-42B5-9483-95FDF3787BE6}"/>
    <cellStyle name="Normal 17 2 3 3 4 2 2 2" xfId="31252" xr:uid="{121BF9ED-C420-4D61-9492-42E97904646A}"/>
    <cellStyle name="Normal 17 2 3 3 4 2 3" xfId="23743" xr:uid="{41675BC2-8FDD-4BB7-A9B2-BADC015A1773}"/>
    <cellStyle name="Normal 17 2 3 3 4 3" xfId="11439" xr:uid="{3FA4798C-69DC-42A4-8FF6-D91E3EEF707D}"/>
    <cellStyle name="Normal 17 2 3 3 4 3 2" xfId="27643" xr:uid="{A13BDC19-2887-4BE9-BA82-5DA975B86C6D}"/>
    <cellStyle name="Normal 17 2 3 3 4 4" xfId="20038" xr:uid="{8279164A-FC2A-42DB-ACB9-9F309DEBB6B2}"/>
    <cellStyle name="Normal 17 2 3 3 5" xfId="4298" xr:uid="{38ABC09D-7711-4E70-8322-C57DB4D61B44}"/>
    <cellStyle name="Normal 17 2 3 3 5 2" xfId="7968" xr:uid="{1B6E7D8C-0DC1-478F-96BD-396C3A936750}"/>
    <cellStyle name="Normal 17 2 3 3 5 2 2" xfId="15475" xr:uid="{D5FE5482-A164-4840-BAF2-A97CDF30C70E}"/>
    <cellStyle name="Normal 17 2 3 3 5 2 2 2" xfId="31679" xr:uid="{AF7E5CE3-F2EB-456A-B6D4-56F70C282502}"/>
    <cellStyle name="Normal 17 2 3 3 5 2 3" xfId="24172" xr:uid="{DE16CF99-13B7-46FA-96DD-9F0AF4308790}"/>
    <cellStyle name="Normal 17 2 3 3 5 3" xfId="11861" xr:uid="{4ACB713A-DDB8-4D8D-9139-4B958099127C}"/>
    <cellStyle name="Normal 17 2 3 3 5 3 2" xfId="28065" xr:uid="{C33B5FE4-EACA-45AE-B82A-72869E1C1004}"/>
    <cellStyle name="Normal 17 2 3 3 5 4" xfId="20502" xr:uid="{C97FD1C2-D799-4CC1-829C-AC7D51AD771E}"/>
    <cellStyle name="Normal 17 2 3 3 6" xfId="4723" xr:uid="{1E6C4AF1-E57D-4EC5-9DEF-AFB3A77A516A}"/>
    <cellStyle name="Normal 17 2 3 3 6 2" xfId="8393" xr:uid="{F73C49C9-FB74-4EBA-9E94-7DE55DF2B861}"/>
    <cellStyle name="Normal 17 2 3 3 6 2 2" xfId="15900" xr:uid="{773FCF0D-3D88-4201-909A-48E4B65CA249}"/>
    <cellStyle name="Normal 17 2 3 3 6 2 2 2" xfId="32104" xr:uid="{521764AB-3F3F-443D-9B91-05A48343CA11}"/>
    <cellStyle name="Normal 17 2 3 3 6 2 3" xfId="24597" xr:uid="{A72D98C3-FE61-4225-BE98-0270B2DBD18D}"/>
    <cellStyle name="Normal 17 2 3 3 6 3" xfId="12286" xr:uid="{181C23EA-0B44-4777-B18B-1C2966412A6C}"/>
    <cellStyle name="Normal 17 2 3 3 6 3 2" xfId="28490" xr:uid="{64272D5A-11E8-4C04-BCF0-234A00FF0C82}"/>
    <cellStyle name="Normal 17 2 3 3 6 4" xfId="20927" xr:uid="{D1DC08EF-647E-44DE-B675-FF8C9723114C}"/>
    <cellStyle name="Normal 17 2 3 3 7" xfId="5151" xr:uid="{87A6ACB8-0FC8-40CF-83A6-4A88B07DFC6A}"/>
    <cellStyle name="Normal 17 2 3 3 7 2" xfId="8816" xr:uid="{8C3A8882-2422-4A04-94F4-1042DB54544D}"/>
    <cellStyle name="Normal 17 2 3 3 7 2 2" xfId="16323" xr:uid="{C6803599-585E-417F-9AA8-C63915BAF19C}"/>
    <cellStyle name="Normal 17 2 3 3 7 2 2 2" xfId="32527" xr:uid="{CB8F253C-1A72-43F3-9CD1-050D3CC4C4E5}"/>
    <cellStyle name="Normal 17 2 3 3 7 2 3" xfId="25020" xr:uid="{568DF0F5-6918-4865-BD64-D7F774BCE19E}"/>
    <cellStyle name="Normal 17 2 3 3 7 3" xfId="12708" xr:uid="{56F13FDC-170E-4D16-8C90-6668545427AA}"/>
    <cellStyle name="Normal 17 2 3 3 7 3 2" xfId="28912" xr:uid="{B61CDC8A-3695-4B1A-8CB1-639305C4B622}"/>
    <cellStyle name="Normal 17 2 3 3 7 4" xfId="21355" xr:uid="{5FE05BA1-22EB-48B8-BE3D-E39013128CC1}"/>
    <cellStyle name="Normal 17 2 3 3 8" xfId="5822" xr:uid="{7E9F3E3C-5D61-44B9-AA6D-C451EC340EDF}"/>
    <cellStyle name="Normal 17 2 3 3 8 2" xfId="13337" xr:uid="{60BFD705-4CC7-4A90-AF9E-53F0F7840683}"/>
    <cellStyle name="Normal 17 2 3 3 8 2 2" xfId="29541" xr:uid="{D6C8E388-FE44-4062-AEB8-3B9217AD8DDA}"/>
    <cellStyle name="Normal 17 2 3 3 8 3" xfId="22026" xr:uid="{D13122E2-8B69-4DF9-B952-916BF94E64C6}"/>
    <cellStyle name="Normal 17 2 3 3 9" xfId="9749" xr:uid="{9A2880B7-9DA7-4EA2-994E-E6D6A6022E55}"/>
    <cellStyle name="Normal 17 2 3 3 9 2" xfId="25953" xr:uid="{7B4AF4EF-AC2E-4C97-A6CB-35C735E2A21E}"/>
    <cellStyle name="Normal 17 2 3 4" xfId="2067" xr:uid="{8022F712-EC03-431F-AAAD-2CAE4FD16489}"/>
    <cellStyle name="Normal 17 2 3 4 2" xfId="2980" xr:uid="{66D34D3A-F80A-4122-BA87-DAA1E8847886}"/>
    <cellStyle name="Normal 17 2 3 4 2 2" xfId="6762" xr:uid="{FBB43F29-E3FB-4CC9-A8CF-5EFC81D8C663}"/>
    <cellStyle name="Normal 17 2 3 4 2 2 2" xfId="14273" xr:uid="{F6007CFF-DE42-4D07-A414-D4A06BDF6A83}"/>
    <cellStyle name="Normal 17 2 3 4 2 2 2 2" xfId="30477" xr:uid="{BFD3ABD2-FA14-4846-9873-7CC28C25A4AF}"/>
    <cellStyle name="Normal 17 2 3 4 2 2 3" xfId="22966" xr:uid="{03D99B67-DF22-46CA-8A43-5AC7C8FA0771}"/>
    <cellStyle name="Normal 17 2 3 4 2 3" xfId="10673" xr:uid="{B313FB5F-3ACD-4EAF-A848-88E02762CF78}"/>
    <cellStyle name="Normal 17 2 3 4 2 3 2" xfId="26877" xr:uid="{2EA9C58B-50A2-4A73-9421-5AA93AABAF70}"/>
    <cellStyle name="Normal 17 2 3 4 2 4" xfId="19200" xr:uid="{B1A69BAF-1384-48D3-A72E-7D30F097585B}"/>
    <cellStyle name="Normal 17 2 3 4 3" xfId="5906" xr:uid="{3E3F7C88-4B74-40A4-8151-2EDFC765AA54}"/>
    <cellStyle name="Normal 17 2 3 4 3 2" xfId="13420" xr:uid="{D92EF4E1-0685-4E49-885F-25D8E6979BF1}"/>
    <cellStyle name="Normal 17 2 3 4 3 2 2" xfId="29624" xr:uid="{A8A16536-27E4-4BE2-96FB-C38CA53185A2}"/>
    <cellStyle name="Normal 17 2 3 4 3 3" xfId="22110" xr:uid="{D0F9A5EE-38BE-4BE9-83D9-22DED03E1C06}"/>
    <cellStyle name="Normal 17 2 3 4 4" xfId="9829" xr:uid="{7A6E9A10-333C-465D-AD7A-522C25A73B51}"/>
    <cellStyle name="Normal 17 2 3 4 4 2" xfId="26033" xr:uid="{993D833D-FF3B-4766-8279-1F8B82ABB0BB}"/>
    <cellStyle name="Normal 17 2 3 4 5" xfId="18354" xr:uid="{05E875ED-A352-4D5E-B55A-26A56B05DF74}"/>
    <cellStyle name="Normal 17 2 3 5" xfId="2555" xr:uid="{96501C94-F88C-4B55-98CC-5F77CA3FED8D}"/>
    <cellStyle name="Normal 17 2 3 5 2" xfId="6339" xr:uid="{8D012666-E6FD-41C5-929F-BBF0B5E78D3F}"/>
    <cellStyle name="Normal 17 2 3 5 2 2" xfId="13851" xr:uid="{C4E47C30-8D2A-4DD6-85C9-E635B63DC9BF}"/>
    <cellStyle name="Normal 17 2 3 5 2 2 2" xfId="30055" xr:uid="{298D5E20-B2C7-408E-8944-9FD8E6AAC786}"/>
    <cellStyle name="Normal 17 2 3 5 2 3" xfId="22543" xr:uid="{82CB457B-D469-4A68-90EC-C3C8318A57F7}"/>
    <cellStyle name="Normal 17 2 3 5 3" xfId="10251" xr:uid="{25B79F02-9BF8-403B-84CB-8A52699B0E82}"/>
    <cellStyle name="Normal 17 2 3 5 3 2" xfId="26455" xr:uid="{37A4144E-729F-41EE-80C9-319E5489E1D4}"/>
    <cellStyle name="Normal 17 2 3 5 4" xfId="18777" xr:uid="{534DEC10-856C-45EC-917C-DDDCB8C886BD}"/>
    <cellStyle name="Normal 17 2 3 6" xfId="3431" xr:uid="{9B1BD0A0-EA1A-42E7-A0D7-37B773FE5AFA}"/>
    <cellStyle name="Normal 17 2 3 6 2" xfId="7189" xr:uid="{42945164-5F05-476B-AE6D-2EF0FFC8EA62}"/>
    <cellStyle name="Normal 17 2 3 6 2 2" xfId="14699" xr:uid="{C4715BF3-D8BC-42B0-980B-BF0261C20504}"/>
    <cellStyle name="Normal 17 2 3 6 2 2 2" xfId="30903" xr:uid="{6741AD6C-CD40-4101-8CDF-C0F47F102440}"/>
    <cellStyle name="Normal 17 2 3 6 2 3" xfId="23393" xr:uid="{21BDF7C1-4648-4C8C-914C-774716499BD7}"/>
    <cellStyle name="Normal 17 2 3 6 3" xfId="11096" xr:uid="{DF5557C8-1562-4F6F-A3EE-D6A3380DF5D4}"/>
    <cellStyle name="Normal 17 2 3 6 3 2" xfId="27300" xr:uid="{D7D31554-007B-4D17-A19F-B165B61DECE5}"/>
    <cellStyle name="Normal 17 2 3 6 4" xfId="19647" xr:uid="{DF314284-9BFA-4CED-83A1-83219147F816}"/>
    <cellStyle name="Normal 17 2 3 7" xfId="3955" xr:uid="{A49801BD-13E2-4A50-8B8E-AD4A0DA39CED}"/>
    <cellStyle name="Normal 17 2 3 7 2" xfId="7625" xr:uid="{B61A1B04-65EE-4C21-9E01-C447D13963F8}"/>
    <cellStyle name="Normal 17 2 3 7 2 2" xfId="15132" xr:uid="{04EC3483-534F-4E1A-ACEB-C6202C46C3E0}"/>
    <cellStyle name="Normal 17 2 3 7 2 2 2" xfId="31336" xr:uid="{55BDEC43-5173-474B-8471-360EF70E4223}"/>
    <cellStyle name="Normal 17 2 3 7 2 3" xfId="23829" xr:uid="{9C80F841-B1E4-4673-81B5-AAFEC62D33D7}"/>
    <cellStyle name="Normal 17 2 3 7 3" xfId="11518" xr:uid="{E9E64CF7-1E28-43B0-9B82-FA411D1B2589}"/>
    <cellStyle name="Normal 17 2 3 7 3 2" xfId="27722" xr:uid="{5DFADA2A-A82B-45D7-BA3E-A6F1E9B39D47}"/>
    <cellStyle name="Normal 17 2 3 7 4" xfId="20159" xr:uid="{35F27A44-9E07-44B4-99C0-F7C5358822D3}"/>
    <cellStyle name="Normal 17 2 3 8" xfId="4380" xr:uid="{6DFFCFC9-370E-4F37-91C2-8D811A4BB895}"/>
    <cellStyle name="Normal 17 2 3 8 2" xfId="8050" xr:uid="{9367D56B-FCFE-4512-99B6-B12B0177EAAF}"/>
    <cellStyle name="Normal 17 2 3 8 2 2" xfId="15557" xr:uid="{5A580EA4-6530-4133-8CEE-B0410950FE7B}"/>
    <cellStyle name="Normal 17 2 3 8 2 2 2" xfId="31761" xr:uid="{66347D03-A4DC-4F2D-8776-CDCC8823BA98}"/>
    <cellStyle name="Normal 17 2 3 8 2 3" xfId="24254" xr:uid="{FBFA0271-82E6-4B1C-8808-E89AD6994F03}"/>
    <cellStyle name="Normal 17 2 3 8 3" xfId="11943" xr:uid="{A53D290B-1645-4267-B30E-3AEDBC60071D}"/>
    <cellStyle name="Normal 17 2 3 8 3 2" xfId="28147" xr:uid="{04A1C96C-E4A4-46C2-8631-8608557459D1}"/>
    <cellStyle name="Normal 17 2 3 8 4" xfId="20584" xr:uid="{766E3EBF-DF51-4860-9579-21503A2046C2}"/>
    <cellStyle name="Normal 17 2 3 9" xfId="4804" xr:uid="{8F28545C-C6B2-4A36-8FBE-D240A1113C5B}"/>
    <cellStyle name="Normal 17 2 3 9 2" xfId="8473" xr:uid="{5941C5B7-F371-4195-B240-FEB1010CB01A}"/>
    <cellStyle name="Normal 17 2 3 9 2 2" xfId="15980" xr:uid="{C63AF55F-03BA-4BB9-9232-D6323E905419}"/>
    <cellStyle name="Normal 17 2 3 9 2 2 2" xfId="32184" xr:uid="{7726F083-DA6D-4B33-825B-9B27DC122646}"/>
    <cellStyle name="Normal 17 2 3 9 2 3" xfId="24677" xr:uid="{925B1EB1-1664-41A6-A1B7-6B1B98CA99D2}"/>
    <cellStyle name="Normal 17 2 3 9 3" xfId="12365" xr:uid="{116C21A5-4C67-46C5-BB37-F55A5DE6AB1F}"/>
    <cellStyle name="Normal 17 2 3 9 3 2" xfId="28569" xr:uid="{1F078C8D-F419-48A5-8A50-CD1F138ED6DD}"/>
    <cellStyle name="Normal 17 2 3 9 4" xfId="21008" xr:uid="{9BEEB196-8642-47AA-A6C5-824CA3C07AE8}"/>
    <cellStyle name="Normal 17 2 4" xfId="516" xr:uid="{98862116-A28F-4E3B-A358-8377DBB40776}"/>
    <cellStyle name="Normal 17 2 4 10" xfId="5313" xr:uid="{2F629F66-85CB-4DA1-BF17-99CDC833D319}"/>
    <cellStyle name="Normal 17 2 4 10 2" xfId="12862" xr:uid="{E9E7F514-D65A-446E-ABAD-83931A397B6D}"/>
    <cellStyle name="Normal 17 2 4 10 2 2" xfId="29066" xr:uid="{7460FCE9-4641-4A53-9B50-06B332022724}"/>
    <cellStyle name="Normal 17 2 4 10 3" xfId="21517" xr:uid="{78396A9D-5542-4476-8DDF-7BECD09B535B}"/>
    <cellStyle name="Normal 17 2 4 11" xfId="9428" xr:uid="{44BF2628-5613-4891-9C15-DCA869BBED04}"/>
    <cellStyle name="Normal 17 2 4 11 2" xfId="25632" xr:uid="{852A4D43-8CFE-467C-8458-D3645185D7A2}"/>
    <cellStyle name="Normal 17 2 4 12" xfId="17943" xr:uid="{1A33A54A-C7D7-4C29-8F5A-FE4FC457C05A}"/>
    <cellStyle name="Normal 17 2 4 2" xfId="587" xr:uid="{60BCA7C0-D880-40AC-A000-3A61FF627E75}"/>
    <cellStyle name="Normal 17 2 4 2 10" xfId="9495" xr:uid="{D179E143-D985-42B0-8889-16A4EDECA584}"/>
    <cellStyle name="Normal 17 2 4 2 10 2" xfId="25699" xr:uid="{DA06EFBC-655C-4E20-86D9-124AD682FEA3}"/>
    <cellStyle name="Normal 17 2 4 2 11" xfId="18011" xr:uid="{5E898208-99FB-41AC-B610-084A0364F0B0}"/>
    <cellStyle name="Normal 17 2 4 2 2" xfId="1971" xr:uid="{54F35517-B350-4BC9-81FA-DD82964AE3CB}"/>
    <cellStyle name="Normal 17 2 4 2 2 10" xfId="18274" xr:uid="{5CA1A200-33C7-484C-808D-AFBBBE8023CE}"/>
    <cellStyle name="Normal 17 2 4 2 2 2" xfId="2477" xr:uid="{91963081-E5C2-4489-B119-A30365EEE3F1}"/>
    <cellStyle name="Normal 17 2 4 2 2 2 2" xfId="3324" xr:uid="{3C07EDD4-7456-4D5A-B828-AAD5D048E94D}"/>
    <cellStyle name="Normal 17 2 4 2 2 2 2 2" xfId="7106" xr:uid="{B9492B57-0076-4A08-B793-ED8CCE7CDE46}"/>
    <cellStyle name="Normal 17 2 4 2 2 2 2 2 2" xfId="14617" xr:uid="{E9B5FB58-BBA6-4818-84FF-60FAC8A7ECBF}"/>
    <cellStyle name="Normal 17 2 4 2 2 2 2 2 2 2" xfId="30821" xr:uid="{9E312C00-74F0-4F82-AAF4-09088C7DB873}"/>
    <cellStyle name="Normal 17 2 4 2 2 2 2 2 3" xfId="23310" xr:uid="{FA90DAF7-B90E-4CE2-9410-D8B987982564}"/>
    <cellStyle name="Normal 17 2 4 2 2 2 2 3" xfId="11017" xr:uid="{14074214-8156-411F-A9A2-E530B89E3612}"/>
    <cellStyle name="Normal 17 2 4 2 2 2 2 3 2" xfId="27221" xr:uid="{3F12AEA4-012B-4812-AE62-4728853CD23B}"/>
    <cellStyle name="Normal 17 2 4 2 2 2 2 4" xfId="19544" xr:uid="{EE51FAB3-62A0-4D67-BCED-C92A86F647C7}"/>
    <cellStyle name="Normal 17 2 4 2 2 2 3" xfId="6261" xr:uid="{ED7E2CFC-A829-4EF8-9893-A0E1E5672B99}"/>
    <cellStyle name="Normal 17 2 4 2 2 2 3 2" xfId="13773" xr:uid="{E6080839-58C2-4BE4-9052-0C29A56EAD53}"/>
    <cellStyle name="Normal 17 2 4 2 2 2 3 2 2" xfId="29977" xr:uid="{69086B40-AFE7-484C-B483-534E251A8D7B}"/>
    <cellStyle name="Normal 17 2 4 2 2 2 3 3" xfId="22465" xr:uid="{B08A46B7-C05C-4DBB-81D8-757316E3BEDC}"/>
    <cellStyle name="Normal 17 2 4 2 2 2 4" xfId="10173" xr:uid="{4596E605-90CF-4CAB-8DAE-DAA5A6DF9559}"/>
    <cellStyle name="Normal 17 2 4 2 2 2 4 2" xfId="26377" xr:uid="{4165952F-89AD-4EF2-8528-701B9D92FCB9}"/>
    <cellStyle name="Normal 17 2 4 2 2 2 5" xfId="18699" xr:uid="{94D71033-458A-4CF5-8EA0-F28B3EDA26AF}"/>
    <cellStyle name="Normal 17 2 4 2 2 3" xfId="2899" xr:uid="{0F246A11-FB7A-4DF9-AFAB-1F0814C11408}"/>
    <cellStyle name="Normal 17 2 4 2 2 3 2" xfId="6683" xr:uid="{7C160583-CBB7-4B59-B3E3-0154A7285607}"/>
    <cellStyle name="Normal 17 2 4 2 2 3 2 2" xfId="14195" xr:uid="{FA4F9D22-C235-4BCD-883E-2E340AF26CC5}"/>
    <cellStyle name="Normal 17 2 4 2 2 3 2 2 2" xfId="30399" xr:uid="{B6CC6068-4DBD-4963-964D-79E8CEEA37F3}"/>
    <cellStyle name="Normal 17 2 4 2 2 3 2 3" xfId="22887" xr:uid="{5F5EDA10-3E62-44C6-A086-3768E4D166A9}"/>
    <cellStyle name="Normal 17 2 4 2 2 3 3" xfId="10595" xr:uid="{4F45FA90-8B92-41DB-8A84-804AD0BF65B6}"/>
    <cellStyle name="Normal 17 2 4 2 2 3 3 2" xfId="26799" xr:uid="{7A188B2B-AE23-4FD1-A39E-4940557C5A25}"/>
    <cellStyle name="Normal 17 2 4 2 2 3 4" xfId="19121" xr:uid="{5B90B891-1D94-42C2-A9F0-6770FBE5E418}"/>
    <cellStyle name="Normal 17 2 4 2 2 4" xfId="3830" xr:uid="{8B57F4D1-BEC1-441B-AD03-3B142F8BB895}"/>
    <cellStyle name="Normal 17 2 4 2 2 4 2" xfId="7540" xr:uid="{7AEB303B-AEEE-44B9-B639-EDC742C3CF62}"/>
    <cellStyle name="Normal 17 2 4 2 2 4 2 2" xfId="15049" xr:uid="{11C244EA-890E-436F-B0DA-B02C47466D55}"/>
    <cellStyle name="Normal 17 2 4 2 2 4 2 2 2" xfId="31253" xr:uid="{782116A0-4835-40BC-8897-EBA94B3D8045}"/>
    <cellStyle name="Normal 17 2 4 2 2 4 2 3" xfId="23744" xr:uid="{A4FED650-DBF3-484D-9ECD-3E989AFC0F08}"/>
    <cellStyle name="Normal 17 2 4 2 2 4 3" xfId="11440" xr:uid="{92053E7E-10AE-467F-B2EB-BB83BF1E2DC8}"/>
    <cellStyle name="Normal 17 2 4 2 2 4 3 2" xfId="27644" xr:uid="{F7B250B2-1201-44F4-8236-EFEE82830ED4}"/>
    <cellStyle name="Normal 17 2 4 2 2 4 4" xfId="20039" xr:uid="{75216714-7B48-4B4C-9EB0-79ED3D8AFF6C}"/>
    <cellStyle name="Normal 17 2 4 2 2 5" xfId="4299" xr:uid="{5FA2B72D-25C1-4D17-83E9-64BB08816431}"/>
    <cellStyle name="Normal 17 2 4 2 2 5 2" xfId="7969" xr:uid="{04BBEF4F-04D8-4960-BFE9-1E00C3C6362A}"/>
    <cellStyle name="Normal 17 2 4 2 2 5 2 2" xfId="15476" xr:uid="{0917B0C0-1CCB-494C-9D1A-214377F3AB00}"/>
    <cellStyle name="Normal 17 2 4 2 2 5 2 2 2" xfId="31680" xr:uid="{157106B0-8472-4EB2-912A-D83FB9208477}"/>
    <cellStyle name="Normal 17 2 4 2 2 5 2 3" xfId="24173" xr:uid="{E950B544-B1D0-49BA-A4D3-939AE0104DE9}"/>
    <cellStyle name="Normal 17 2 4 2 2 5 3" xfId="11862" xr:uid="{8713A970-9923-4452-8FB2-472F3E93B704}"/>
    <cellStyle name="Normal 17 2 4 2 2 5 3 2" xfId="28066" xr:uid="{FEF03CC4-7DBB-4F86-9EC3-D249D0A9EDFF}"/>
    <cellStyle name="Normal 17 2 4 2 2 5 4" xfId="20503" xr:uid="{CEFF68CB-7125-4CF3-82A8-848DD4985DAF}"/>
    <cellStyle name="Normal 17 2 4 2 2 6" xfId="4724" xr:uid="{80D67135-1581-4B30-8978-2E4FEEC92AFC}"/>
    <cellStyle name="Normal 17 2 4 2 2 6 2" xfId="8394" xr:uid="{CAB999D2-15D7-4553-9DF8-EBBDB66DED15}"/>
    <cellStyle name="Normal 17 2 4 2 2 6 2 2" xfId="15901" xr:uid="{314E8733-B28B-4D65-B02B-D1BAA6BD293F}"/>
    <cellStyle name="Normal 17 2 4 2 2 6 2 2 2" xfId="32105" xr:uid="{CD3750DC-C32F-4322-BAA3-A4437D4BE348}"/>
    <cellStyle name="Normal 17 2 4 2 2 6 2 3" xfId="24598" xr:uid="{2F787D3F-3B7E-49E5-9FA5-2F6DBB067423}"/>
    <cellStyle name="Normal 17 2 4 2 2 6 3" xfId="12287" xr:uid="{56B248AA-9E11-47B2-88A9-71414618A9D0}"/>
    <cellStyle name="Normal 17 2 4 2 2 6 3 2" xfId="28491" xr:uid="{0F535612-D133-443D-A4C0-2C1E5CDCCB7E}"/>
    <cellStyle name="Normal 17 2 4 2 2 6 4" xfId="20928" xr:uid="{929D21DB-1188-4F38-9AB5-F62298017E7E}"/>
    <cellStyle name="Normal 17 2 4 2 2 7" xfId="5152" xr:uid="{63FB2569-0A2C-4C87-AAF0-1BBBCB5900C3}"/>
    <cellStyle name="Normal 17 2 4 2 2 7 2" xfId="8817" xr:uid="{6BBCF677-35BC-48DB-B2A8-42A360EBB45B}"/>
    <cellStyle name="Normal 17 2 4 2 2 7 2 2" xfId="16324" xr:uid="{486D8114-CCB1-467E-A162-E13A227F40B9}"/>
    <cellStyle name="Normal 17 2 4 2 2 7 2 2 2" xfId="32528" xr:uid="{D5E0C219-BBA6-46DC-B8F7-96DC8D6D8536}"/>
    <cellStyle name="Normal 17 2 4 2 2 7 2 3" xfId="25021" xr:uid="{0026EAFB-61B2-41E4-864A-ED70287829F6}"/>
    <cellStyle name="Normal 17 2 4 2 2 7 3" xfId="12709" xr:uid="{DB8F64EB-DAC8-4167-9CDC-AC85A7484887}"/>
    <cellStyle name="Normal 17 2 4 2 2 7 3 2" xfId="28913" xr:uid="{9B14DB18-5D8D-4424-94AF-673D6B4323AB}"/>
    <cellStyle name="Normal 17 2 4 2 2 7 4" xfId="21356" xr:uid="{45015DC7-63DF-4DBC-8A61-444415BD860B}"/>
    <cellStyle name="Normal 17 2 4 2 2 8" xfId="5823" xr:uid="{50EABFC5-D77F-49D2-B48D-83D7BE0909EA}"/>
    <cellStyle name="Normal 17 2 4 2 2 8 2" xfId="13338" xr:uid="{16DEE3A2-00C0-4502-BB83-8BFDB491FF44}"/>
    <cellStyle name="Normal 17 2 4 2 2 8 2 2" xfId="29542" xr:uid="{74E7FD40-A427-4344-8381-353731A79982}"/>
    <cellStyle name="Normal 17 2 4 2 2 8 3" xfId="22027" xr:uid="{16F93B43-E5BA-4D14-B4A1-3808F753F05D}"/>
    <cellStyle name="Normal 17 2 4 2 2 9" xfId="9750" xr:uid="{D0AA8817-3904-4037-932B-B153813B9F8E}"/>
    <cellStyle name="Normal 17 2 4 2 2 9 2" xfId="25954" xr:uid="{E740AB85-BDB5-49E3-87CA-908EFEFE31B6}"/>
    <cellStyle name="Normal 17 2 4 2 3" xfId="2156" xr:uid="{FDAAB2E8-6B44-4539-93A6-2FF4331C2DFD}"/>
    <cellStyle name="Normal 17 2 4 2 3 2" xfId="3069" xr:uid="{A8B9A0F6-CE3A-4539-9124-9326E504A151}"/>
    <cellStyle name="Normal 17 2 4 2 3 2 2" xfId="6851" xr:uid="{78298586-A071-4CDE-ABFD-4FA61F6C786A}"/>
    <cellStyle name="Normal 17 2 4 2 3 2 2 2" xfId="14362" xr:uid="{CEA9E239-EE31-458C-8122-B288A5F8E77B}"/>
    <cellStyle name="Normal 17 2 4 2 3 2 2 2 2" xfId="30566" xr:uid="{469A9D42-9AC9-4556-9B36-8D7C195CBE81}"/>
    <cellStyle name="Normal 17 2 4 2 3 2 2 3" xfId="23055" xr:uid="{35F0051B-A150-4C71-BB7B-AD04BFEB859F}"/>
    <cellStyle name="Normal 17 2 4 2 3 2 3" xfId="10762" xr:uid="{42A7281F-6A23-4FCA-A832-D8D96EDDFF0F}"/>
    <cellStyle name="Normal 17 2 4 2 3 2 3 2" xfId="26966" xr:uid="{6763DA63-267D-4C42-97C4-C16505EFBB65}"/>
    <cellStyle name="Normal 17 2 4 2 3 2 4" xfId="19289" xr:uid="{087E443B-E4BB-49E8-8295-5BD50D30D69D}"/>
    <cellStyle name="Normal 17 2 4 2 3 3" xfId="5995" xr:uid="{ADFF9267-2F01-4E0C-8152-73763658B39B}"/>
    <cellStyle name="Normal 17 2 4 2 3 3 2" xfId="13509" xr:uid="{1718C7B5-EE78-494A-BEC4-13AAAD7464E1}"/>
    <cellStyle name="Normal 17 2 4 2 3 3 2 2" xfId="29713" xr:uid="{044C4A34-C575-46F1-8AA9-3B413A8734E9}"/>
    <cellStyle name="Normal 17 2 4 2 3 3 3" xfId="22199" xr:uid="{96DBCC8A-D276-4F8A-9588-7847C2C7731D}"/>
    <cellStyle name="Normal 17 2 4 2 3 4" xfId="9918" xr:uid="{918141E4-8364-45D7-99BA-588B2DB10691}"/>
    <cellStyle name="Normal 17 2 4 2 3 4 2" xfId="26122" xr:uid="{1CD92675-4E4D-4573-B644-1479AEE094E3}"/>
    <cellStyle name="Normal 17 2 4 2 3 5" xfId="18443" xr:uid="{11558AFE-0B20-4F67-9069-04375518B6E5}"/>
    <cellStyle name="Normal 17 2 4 2 4" xfId="2644" xr:uid="{0CDCCD15-A98F-420D-9811-A37910D8A78D}"/>
    <cellStyle name="Normal 17 2 4 2 4 2" xfId="6428" xr:uid="{F8691778-2D64-4C3E-90A0-FF58D9C8ADC6}"/>
    <cellStyle name="Normal 17 2 4 2 4 2 2" xfId="13940" xr:uid="{19731A03-35E9-4B53-AFFC-9B295024B08E}"/>
    <cellStyle name="Normal 17 2 4 2 4 2 2 2" xfId="30144" xr:uid="{BC9CE378-448E-4679-91AF-4D50C0740562}"/>
    <cellStyle name="Normal 17 2 4 2 4 2 3" xfId="22632" xr:uid="{F4257794-CFB2-4EC5-BC0D-3D0C0074019D}"/>
    <cellStyle name="Normal 17 2 4 2 4 3" xfId="10340" xr:uid="{0B120193-F234-44AE-949B-E355265994CD}"/>
    <cellStyle name="Normal 17 2 4 2 4 3 2" xfId="26544" xr:uid="{C83E577D-3C88-42E8-8236-5615B1A4060C}"/>
    <cellStyle name="Normal 17 2 4 2 4 4" xfId="18866" xr:uid="{E6203B26-7A62-4B34-831A-7A3195CFAC18}"/>
    <cellStyle name="Normal 17 2 4 2 5" xfId="3520" xr:uid="{D4880F7F-A469-47DF-AAEA-C2DAC30655CA}"/>
    <cellStyle name="Normal 17 2 4 2 5 2" xfId="7278" xr:uid="{2E9E22CA-ECD6-435C-BBBF-20C1D71CD8D3}"/>
    <cellStyle name="Normal 17 2 4 2 5 2 2" xfId="14788" xr:uid="{787C63DA-16C4-4BD1-8CDF-430666A6942A}"/>
    <cellStyle name="Normal 17 2 4 2 5 2 2 2" xfId="30992" xr:uid="{D730F8D6-614D-4FC6-BA36-2CDB90F1B624}"/>
    <cellStyle name="Normal 17 2 4 2 5 2 3" xfId="23482" xr:uid="{AC4E92FA-7B91-485C-BFE9-04D63DC49DEC}"/>
    <cellStyle name="Normal 17 2 4 2 5 3" xfId="11185" xr:uid="{1DBC2BC6-8247-4A0D-847D-7E549B537498}"/>
    <cellStyle name="Normal 17 2 4 2 5 3 2" xfId="27389" xr:uid="{8A7F4550-15EE-492A-9290-4C310D773B8B}"/>
    <cellStyle name="Normal 17 2 4 2 5 4" xfId="19736" xr:uid="{48F70B5A-3646-4E10-BB7F-5AF7F7AEFC5A}"/>
    <cellStyle name="Normal 17 2 4 2 6" xfId="4044" xr:uid="{C9BD4B8A-FE85-4E9B-90F3-268F614898C8}"/>
    <cellStyle name="Normal 17 2 4 2 6 2" xfId="7714" xr:uid="{D3B06BF5-58B5-4948-8D66-0B41F0BC4032}"/>
    <cellStyle name="Normal 17 2 4 2 6 2 2" xfId="15221" xr:uid="{0072CDA2-911D-4CF0-8B5A-B07459BD6068}"/>
    <cellStyle name="Normal 17 2 4 2 6 2 2 2" xfId="31425" xr:uid="{54DD6871-2AE7-476A-953F-3495B76906C4}"/>
    <cellStyle name="Normal 17 2 4 2 6 2 3" xfId="23918" xr:uid="{BE2D9BD8-7B6E-4E2D-A194-3C21E5F6C2A1}"/>
    <cellStyle name="Normal 17 2 4 2 6 3" xfId="11607" xr:uid="{56FBBC7D-0D21-4C3E-9F3D-01618E828A58}"/>
    <cellStyle name="Normal 17 2 4 2 6 3 2" xfId="27811" xr:uid="{9174BEB8-0BEC-4C00-9F24-699D46347BB7}"/>
    <cellStyle name="Normal 17 2 4 2 6 4" xfId="20248" xr:uid="{FACD5826-DA91-47D4-B461-62B7394B3F08}"/>
    <cellStyle name="Normal 17 2 4 2 7" xfId="4469" xr:uid="{553AEEBC-5C6B-49C7-A4D0-14C7331FB56B}"/>
    <cellStyle name="Normal 17 2 4 2 7 2" xfId="8139" xr:uid="{D6E8F933-0EBE-4DBC-9FA3-A3EBB991D37A}"/>
    <cellStyle name="Normal 17 2 4 2 7 2 2" xfId="15646" xr:uid="{738814DF-7DAB-4DB2-8124-9041D8CF46E1}"/>
    <cellStyle name="Normal 17 2 4 2 7 2 2 2" xfId="31850" xr:uid="{B0B05CAD-C4E0-4BB2-B909-481A94497495}"/>
    <cellStyle name="Normal 17 2 4 2 7 2 3" xfId="24343" xr:uid="{562802AB-1BE7-4634-8F84-D1B372275318}"/>
    <cellStyle name="Normal 17 2 4 2 7 3" xfId="12032" xr:uid="{484C3A25-65E5-41AE-B7B7-63C4D6728A6F}"/>
    <cellStyle name="Normal 17 2 4 2 7 3 2" xfId="28236" xr:uid="{EA080482-65A9-4916-AD86-945115EFB228}"/>
    <cellStyle name="Normal 17 2 4 2 7 4" xfId="20673" xr:uid="{2884A4AB-F54F-4471-AB35-8879A20F0DB6}"/>
    <cellStyle name="Normal 17 2 4 2 8" xfId="4894" xr:uid="{68B55C54-028A-4C54-A741-62D0513BD11C}"/>
    <cellStyle name="Normal 17 2 4 2 8 2" xfId="8562" xr:uid="{2FE4A23E-8B1D-413A-BB8A-BA6778ADA880}"/>
    <cellStyle name="Normal 17 2 4 2 8 2 2" xfId="16069" xr:uid="{1ABC9345-4CEE-45A1-90BC-FD27081200FF}"/>
    <cellStyle name="Normal 17 2 4 2 8 2 2 2" xfId="32273" xr:uid="{BB8FA03A-6926-4103-A1ED-6F53BD47EDBE}"/>
    <cellStyle name="Normal 17 2 4 2 8 2 3" xfId="24766" xr:uid="{F2029BDB-3DCD-4A5A-AD37-F23AE837BF98}"/>
    <cellStyle name="Normal 17 2 4 2 8 3" xfId="12454" xr:uid="{B475B849-A1B7-40D0-8BE8-DECCEC01479A}"/>
    <cellStyle name="Normal 17 2 4 2 8 3 2" xfId="28658" xr:uid="{1158070C-B31D-4E2A-8925-75C449E8EF4D}"/>
    <cellStyle name="Normal 17 2 4 2 8 4" xfId="21098" xr:uid="{4F8115FA-871D-48F5-B5C9-6FD060A45BC7}"/>
    <cellStyle name="Normal 17 2 4 2 9" xfId="5380" xr:uid="{9F4E2DD5-CBFC-4F8F-9DEF-287F37A14C78}"/>
    <cellStyle name="Normal 17 2 4 2 9 2" xfId="12929" xr:uid="{296F4933-C195-4DDA-9789-9823FC0BE3AE}"/>
    <cellStyle name="Normal 17 2 4 2 9 2 2" xfId="29133" xr:uid="{6F947471-FC1D-4375-B3FF-69F24D650654}"/>
    <cellStyle name="Normal 17 2 4 2 9 3" xfId="21584" xr:uid="{24A26616-F87E-4983-B46C-13CDA76D1FB3}"/>
    <cellStyle name="Normal 17 2 4 3" xfId="1972" xr:uid="{54E13BAA-9EB0-4FA8-8C28-F11B1321BB8C}"/>
    <cellStyle name="Normal 17 2 4 3 10" xfId="18275" xr:uid="{4F3C65E3-B799-46EE-82C2-DB539B816883}"/>
    <cellStyle name="Normal 17 2 4 3 2" xfId="2478" xr:uid="{8BCB6B3C-2432-44FC-B352-6FD4D0264910}"/>
    <cellStyle name="Normal 17 2 4 3 2 2" xfId="3325" xr:uid="{F65AA6FA-9DFA-422B-9017-6753A965CB5C}"/>
    <cellStyle name="Normal 17 2 4 3 2 2 2" xfId="7107" xr:uid="{257ECEFA-5B12-42A9-AD61-A88B69420271}"/>
    <cellStyle name="Normal 17 2 4 3 2 2 2 2" xfId="14618" xr:uid="{36330D4E-054B-49F9-90D8-CA75DD2F04A9}"/>
    <cellStyle name="Normal 17 2 4 3 2 2 2 2 2" xfId="30822" xr:uid="{F40907DA-B314-4B71-AFE4-9CA52B0500EB}"/>
    <cellStyle name="Normal 17 2 4 3 2 2 2 3" xfId="23311" xr:uid="{DBBD6944-99B8-40C8-95D1-854F7EDE8230}"/>
    <cellStyle name="Normal 17 2 4 3 2 2 3" xfId="11018" xr:uid="{431D3EDD-3A9B-4C6A-8A3C-A416DBB3A311}"/>
    <cellStyle name="Normal 17 2 4 3 2 2 3 2" xfId="27222" xr:uid="{6615B0A5-1C7D-4B49-816F-45F1E3A0E0F8}"/>
    <cellStyle name="Normal 17 2 4 3 2 2 4" xfId="19545" xr:uid="{62DF59F9-280F-4260-B698-D16737EBE800}"/>
    <cellStyle name="Normal 17 2 4 3 2 3" xfId="6262" xr:uid="{E85FCD71-9867-4196-9D9F-FCFF0B3BC2A5}"/>
    <cellStyle name="Normal 17 2 4 3 2 3 2" xfId="13774" xr:uid="{5D3F9377-7EB9-403B-B9B2-B440F20C348B}"/>
    <cellStyle name="Normal 17 2 4 3 2 3 2 2" xfId="29978" xr:uid="{BFF32DEB-A94F-485E-B196-52656907F569}"/>
    <cellStyle name="Normal 17 2 4 3 2 3 3" xfId="22466" xr:uid="{D591B009-48FF-479D-86DA-892FA856C4A2}"/>
    <cellStyle name="Normal 17 2 4 3 2 4" xfId="10174" xr:uid="{9A7526EB-BA6E-40E0-8BEE-2D689FD07346}"/>
    <cellStyle name="Normal 17 2 4 3 2 4 2" xfId="26378" xr:uid="{8A05D847-DB25-4233-8C92-4D04B15F1EB7}"/>
    <cellStyle name="Normal 17 2 4 3 2 5" xfId="18700" xr:uid="{D9C26ED7-A5B7-4722-BE94-E6CF625EAD2E}"/>
    <cellStyle name="Normal 17 2 4 3 3" xfId="2900" xr:uid="{9EE68FEA-32B6-4488-BF25-AED125B70723}"/>
    <cellStyle name="Normal 17 2 4 3 3 2" xfId="6684" xr:uid="{6B3129AA-5A5D-4377-BDB0-ED5EB085B1F6}"/>
    <cellStyle name="Normal 17 2 4 3 3 2 2" xfId="14196" xr:uid="{1F5A94E5-4ECA-41A1-A356-E23539FD1B61}"/>
    <cellStyle name="Normal 17 2 4 3 3 2 2 2" xfId="30400" xr:uid="{E0DC3529-DCB1-4EEF-A06B-3AF3F1CF233F}"/>
    <cellStyle name="Normal 17 2 4 3 3 2 3" xfId="22888" xr:uid="{FEDD17D8-FFC3-4BF5-A8B6-269AD31ACFAB}"/>
    <cellStyle name="Normal 17 2 4 3 3 3" xfId="10596" xr:uid="{03B9C1E6-0A91-42BF-8B82-1653BCA1F7F4}"/>
    <cellStyle name="Normal 17 2 4 3 3 3 2" xfId="26800" xr:uid="{18EB66A0-682F-4860-9877-89AA4DDAE5AB}"/>
    <cellStyle name="Normal 17 2 4 3 3 4" xfId="19122" xr:uid="{CAA7DAF4-F280-495A-8993-F3E93B690E86}"/>
    <cellStyle name="Normal 17 2 4 3 4" xfId="3831" xr:uid="{42FEC721-BCDC-450B-9D1E-B6038CF0BA15}"/>
    <cellStyle name="Normal 17 2 4 3 4 2" xfId="7541" xr:uid="{75EC67DA-EC7B-40B6-AA7F-DB98C2408E36}"/>
    <cellStyle name="Normal 17 2 4 3 4 2 2" xfId="15050" xr:uid="{02FC6DD5-2EC7-40DC-A5A3-BF36127F2F3C}"/>
    <cellStyle name="Normal 17 2 4 3 4 2 2 2" xfId="31254" xr:uid="{0B6A6C30-37BE-466C-801C-66078024E0DE}"/>
    <cellStyle name="Normal 17 2 4 3 4 2 3" xfId="23745" xr:uid="{616D52A6-5189-4C23-B0A2-3D329D78EC61}"/>
    <cellStyle name="Normal 17 2 4 3 4 3" xfId="11441" xr:uid="{F4424784-24E3-45A5-BBEE-5F50C0B69928}"/>
    <cellStyle name="Normal 17 2 4 3 4 3 2" xfId="27645" xr:uid="{781D5937-1E72-41CC-B027-DE3C66ADC487}"/>
    <cellStyle name="Normal 17 2 4 3 4 4" xfId="20040" xr:uid="{44AD959E-1015-4F42-A485-A17280C8BB7A}"/>
    <cellStyle name="Normal 17 2 4 3 5" xfId="4300" xr:uid="{85E17317-1C9C-4D82-B810-9218311DF452}"/>
    <cellStyle name="Normal 17 2 4 3 5 2" xfId="7970" xr:uid="{6C8945C5-306C-4D65-933B-843C073F3AAB}"/>
    <cellStyle name="Normal 17 2 4 3 5 2 2" xfId="15477" xr:uid="{3D3FC709-900C-4EBF-8A1A-93379129269E}"/>
    <cellStyle name="Normal 17 2 4 3 5 2 2 2" xfId="31681" xr:uid="{27BD060C-33F6-4AAA-A706-9CDE76EB6279}"/>
    <cellStyle name="Normal 17 2 4 3 5 2 3" xfId="24174" xr:uid="{83F482D2-4D3A-4BC4-B603-9354AF07F95B}"/>
    <cellStyle name="Normal 17 2 4 3 5 3" xfId="11863" xr:uid="{9976ABC8-979D-42A9-BD8A-F35A8BEB7456}"/>
    <cellStyle name="Normal 17 2 4 3 5 3 2" xfId="28067" xr:uid="{9E6B8C02-E4B0-48C9-85FA-4D42FCCDA48C}"/>
    <cellStyle name="Normal 17 2 4 3 5 4" xfId="20504" xr:uid="{5F96B6E2-75D5-4CB3-B555-9AF7ABB7723B}"/>
    <cellStyle name="Normal 17 2 4 3 6" xfId="4725" xr:uid="{04968D16-F4D4-4B9A-AFEA-4E0E79613E9C}"/>
    <cellStyle name="Normal 17 2 4 3 6 2" xfId="8395" xr:uid="{4AE5D817-8CFE-4808-8086-936FDE83A905}"/>
    <cellStyle name="Normal 17 2 4 3 6 2 2" xfId="15902" xr:uid="{B1E797EA-7076-49B0-8CDC-0BD56429D5EC}"/>
    <cellStyle name="Normal 17 2 4 3 6 2 2 2" xfId="32106" xr:uid="{609C407D-163F-46D9-974F-D8BF746C80E8}"/>
    <cellStyle name="Normal 17 2 4 3 6 2 3" xfId="24599" xr:uid="{61DC3436-69D0-47BD-897F-C86E6B912481}"/>
    <cellStyle name="Normal 17 2 4 3 6 3" xfId="12288" xr:uid="{E1ABAFA7-36B1-401B-85FC-C0BB6743A85D}"/>
    <cellStyle name="Normal 17 2 4 3 6 3 2" xfId="28492" xr:uid="{EDA41BB0-0B92-49BD-BF5D-A01559D56DAA}"/>
    <cellStyle name="Normal 17 2 4 3 6 4" xfId="20929" xr:uid="{45A32135-27DC-41C8-8602-C729749A80D0}"/>
    <cellStyle name="Normal 17 2 4 3 7" xfId="5153" xr:uid="{A027D117-EA3D-4D6E-A4F9-7C698ACAD976}"/>
    <cellStyle name="Normal 17 2 4 3 7 2" xfId="8818" xr:uid="{2CCEA8A7-0AA4-44C3-B6E7-774553644C0D}"/>
    <cellStyle name="Normal 17 2 4 3 7 2 2" xfId="16325" xr:uid="{04D1A2B0-5B09-4A6D-BAC5-61D38E0AFDFB}"/>
    <cellStyle name="Normal 17 2 4 3 7 2 2 2" xfId="32529" xr:uid="{C7093814-5B90-483E-812F-5EF1E16FE30D}"/>
    <cellStyle name="Normal 17 2 4 3 7 2 3" xfId="25022" xr:uid="{1509140E-7B33-4A0A-8B2E-431E98932818}"/>
    <cellStyle name="Normal 17 2 4 3 7 3" xfId="12710" xr:uid="{3B87F498-5897-48E6-99E6-C36812082C48}"/>
    <cellStyle name="Normal 17 2 4 3 7 3 2" xfId="28914" xr:uid="{CD08C28B-E0C7-4897-A6A0-9A6F8FE41731}"/>
    <cellStyle name="Normal 17 2 4 3 7 4" xfId="21357" xr:uid="{661F35A5-CDCF-49C6-BA89-3E1ECC629BBE}"/>
    <cellStyle name="Normal 17 2 4 3 8" xfId="5824" xr:uid="{ECAB7626-4759-4F06-884B-4F97998A122B}"/>
    <cellStyle name="Normal 17 2 4 3 8 2" xfId="13339" xr:uid="{ED27FDD4-40CA-4CA1-A6E5-A9902C67F266}"/>
    <cellStyle name="Normal 17 2 4 3 8 2 2" xfId="29543" xr:uid="{046DC2DA-B16E-4B5B-9ECC-1DF13B82AEC2}"/>
    <cellStyle name="Normal 17 2 4 3 8 3" xfId="22028" xr:uid="{478FCD99-E4EB-473A-8DCC-12119C86F1C0}"/>
    <cellStyle name="Normal 17 2 4 3 9" xfId="9751" xr:uid="{69EDC38C-9726-458E-8CB8-793CB0A1EE38}"/>
    <cellStyle name="Normal 17 2 4 3 9 2" xfId="25955" xr:uid="{ECC77193-9DBB-4C7E-967D-E77E22BED404}"/>
    <cellStyle name="Normal 17 2 4 4" xfId="2089" xr:uid="{EEF0A2AD-016B-4629-A8C7-5E4734D0D17A}"/>
    <cellStyle name="Normal 17 2 4 4 2" xfId="3002" xr:uid="{DF5D8CF5-2FCC-4AF1-9604-E2C497592838}"/>
    <cellStyle name="Normal 17 2 4 4 2 2" xfId="6784" xr:uid="{A3EBFBF6-33C9-48CA-B26E-43A824750E4B}"/>
    <cellStyle name="Normal 17 2 4 4 2 2 2" xfId="14295" xr:uid="{EA3DBC07-E393-44F7-AEF9-1351DD202B24}"/>
    <cellStyle name="Normal 17 2 4 4 2 2 2 2" xfId="30499" xr:uid="{8EF58353-058C-4DB2-816E-2A1640D9D2CA}"/>
    <cellStyle name="Normal 17 2 4 4 2 2 3" xfId="22988" xr:uid="{46EF84DE-CEC4-4EED-838E-AFA5A9864BBE}"/>
    <cellStyle name="Normal 17 2 4 4 2 3" xfId="10695" xr:uid="{571FAFB0-7E40-4D59-8142-52BE84EA954D}"/>
    <cellStyle name="Normal 17 2 4 4 2 3 2" xfId="26899" xr:uid="{5DD212F0-7BA7-444A-B656-A976FA3EAA5E}"/>
    <cellStyle name="Normal 17 2 4 4 2 4" xfId="19222" xr:uid="{2F56A8DD-6FA2-42BF-B0FE-A97CEAFFD895}"/>
    <cellStyle name="Normal 17 2 4 4 3" xfId="5928" xr:uid="{34D49E68-3400-48F7-A8C4-1532292FCF7B}"/>
    <cellStyle name="Normal 17 2 4 4 3 2" xfId="13442" xr:uid="{2D349BE1-9002-4824-9EB7-E5F223458491}"/>
    <cellStyle name="Normal 17 2 4 4 3 2 2" xfId="29646" xr:uid="{D8DE420B-8F89-42F3-9129-202A18A95099}"/>
    <cellStyle name="Normal 17 2 4 4 3 3" xfId="22132" xr:uid="{DE68410E-B5EC-430E-9823-2F289220E6AC}"/>
    <cellStyle name="Normal 17 2 4 4 4" xfId="9851" xr:uid="{97CF1E50-A047-4184-BF4C-B8858979AD98}"/>
    <cellStyle name="Normal 17 2 4 4 4 2" xfId="26055" xr:uid="{FA563C67-68C0-4964-B5BC-E93E6ADA8A81}"/>
    <cellStyle name="Normal 17 2 4 4 5" xfId="18376" xr:uid="{2760755E-4B0F-4AB0-8E92-F6A5D8093C0E}"/>
    <cellStyle name="Normal 17 2 4 5" xfId="2577" xr:uid="{B68EF7A0-5EB6-41BF-9FCF-66D227929A2D}"/>
    <cellStyle name="Normal 17 2 4 5 2" xfId="6361" xr:uid="{A45C7B65-6D31-4962-AAD8-F3B20A2F51F3}"/>
    <cellStyle name="Normal 17 2 4 5 2 2" xfId="13873" xr:uid="{C6CC07C1-C1A9-4141-BD43-33B7008E2073}"/>
    <cellStyle name="Normal 17 2 4 5 2 2 2" xfId="30077" xr:uid="{7DC4DF40-EF81-458D-8FED-B487C572394F}"/>
    <cellStyle name="Normal 17 2 4 5 2 3" xfId="22565" xr:uid="{910642BC-61FA-47F0-B524-403DC785CAD7}"/>
    <cellStyle name="Normal 17 2 4 5 3" xfId="10273" xr:uid="{DF7ABE23-B47E-4696-A940-ABC1CF275121}"/>
    <cellStyle name="Normal 17 2 4 5 3 2" xfId="26477" xr:uid="{A6F5B1F9-4FB0-431C-96F8-C84612D6DE40}"/>
    <cellStyle name="Normal 17 2 4 5 4" xfId="18799" xr:uid="{A96667B2-DDD2-4611-B245-CEC558D82031}"/>
    <cellStyle name="Normal 17 2 4 6" xfId="3453" xr:uid="{862979E9-AD45-40D9-82CD-68535FC80775}"/>
    <cellStyle name="Normal 17 2 4 6 2" xfId="7211" xr:uid="{DCEDA83E-7477-404C-934D-7E87FEA5C072}"/>
    <cellStyle name="Normal 17 2 4 6 2 2" xfId="14721" xr:uid="{1691796C-30DF-4ECA-B125-A0793228A43A}"/>
    <cellStyle name="Normal 17 2 4 6 2 2 2" xfId="30925" xr:uid="{8B9D811F-3459-4BC9-803A-2D4AA18588E8}"/>
    <cellStyle name="Normal 17 2 4 6 2 3" xfId="23415" xr:uid="{2E2A5195-05EC-4001-9043-A78ED1D7877F}"/>
    <cellStyle name="Normal 17 2 4 6 3" xfId="11118" xr:uid="{4A184AC2-C150-4E3A-94BA-4588C7856528}"/>
    <cellStyle name="Normal 17 2 4 6 3 2" xfId="27322" xr:uid="{2A548820-6E96-4A9B-B37C-CC399978D1AF}"/>
    <cellStyle name="Normal 17 2 4 6 4" xfId="19669" xr:uid="{E319B100-79F6-4410-9EBB-69C30F48E921}"/>
    <cellStyle name="Normal 17 2 4 7" xfId="3977" xr:uid="{1908F134-EFA3-4C5B-B222-B99D26626BFE}"/>
    <cellStyle name="Normal 17 2 4 7 2" xfId="7647" xr:uid="{2945C40B-4F0E-4856-B21D-D1BEF6B3BDF4}"/>
    <cellStyle name="Normal 17 2 4 7 2 2" xfId="15154" xr:uid="{EDEBA0B8-BBDD-41DF-9CC9-5E0E202683F6}"/>
    <cellStyle name="Normal 17 2 4 7 2 2 2" xfId="31358" xr:uid="{A5EF2D81-B344-472D-B4DE-51A2E2BA3839}"/>
    <cellStyle name="Normal 17 2 4 7 2 3" xfId="23851" xr:uid="{9A7D9343-2C71-4E78-87B5-B8BEDAA51DA9}"/>
    <cellStyle name="Normal 17 2 4 7 3" xfId="11540" xr:uid="{97096141-1060-4351-9F72-45730E8446ED}"/>
    <cellStyle name="Normal 17 2 4 7 3 2" xfId="27744" xr:uid="{A58B3287-956A-4627-A2A0-01E39E01463D}"/>
    <cellStyle name="Normal 17 2 4 7 4" xfId="20181" xr:uid="{61436DDF-3E84-47E5-A637-72429CE382B1}"/>
    <cellStyle name="Normal 17 2 4 8" xfId="4402" xr:uid="{6EC05380-3B2F-4717-9F11-A4B82F409D8C}"/>
    <cellStyle name="Normal 17 2 4 8 2" xfId="8072" xr:uid="{E45AC591-1B5A-4878-85C3-C14F9C61F2B3}"/>
    <cellStyle name="Normal 17 2 4 8 2 2" xfId="15579" xr:uid="{0605146F-3497-4583-9544-94AB35720CC4}"/>
    <cellStyle name="Normal 17 2 4 8 2 2 2" xfId="31783" xr:uid="{4DDDCBF9-1F7C-4AD7-8A31-717D8C2FA887}"/>
    <cellStyle name="Normal 17 2 4 8 2 3" xfId="24276" xr:uid="{950206F2-A8C2-48F9-9B70-1F334F8DB37D}"/>
    <cellStyle name="Normal 17 2 4 8 3" xfId="11965" xr:uid="{8583FA63-B2A9-46C8-BE82-7B85358B50BF}"/>
    <cellStyle name="Normal 17 2 4 8 3 2" xfId="28169" xr:uid="{31FBB8D1-A14B-4C90-853E-0027DA9A056E}"/>
    <cellStyle name="Normal 17 2 4 8 4" xfId="20606" xr:uid="{A65CC02B-2AC4-42E6-A612-E8AF5593AEF7}"/>
    <cellStyle name="Normal 17 2 4 9" xfId="4826" xr:uid="{790BE32D-F7EB-454A-BB95-7C315B7C95EA}"/>
    <cellStyle name="Normal 17 2 4 9 2" xfId="8495" xr:uid="{47A4B33C-DBDD-4655-BCBE-AFAC70C26067}"/>
    <cellStyle name="Normal 17 2 4 9 2 2" xfId="16002" xr:uid="{C74497EF-4D61-43EE-8ACE-2E03B951E11F}"/>
    <cellStyle name="Normal 17 2 4 9 2 2 2" xfId="32206" xr:uid="{C098BF4F-1BE6-47ED-8AA6-8878FD2DA468}"/>
    <cellStyle name="Normal 17 2 4 9 2 3" xfId="24699" xr:uid="{AE4E98BB-63E0-4DDB-9968-7BBE063F8C89}"/>
    <cellStyle name="Normal 17 2 4 9 3" xfId="12387" xr:uid="{02F66476-A4D4-4630-9F3E-F518E9A96883}"/>
    <cellStyle name="Normal 17 2 4 9 3 2" xfId="28591" xr:uid="{2EFF8B98-C13F-4156-896B-93B8ABC9F896}"/>
    <cellStyle name="Normal 17 2 4 9 4" xfId="21030" xr:uid="{4557C219-6F05-4DB6-BB89-9E02BB4CA6C2}"/>
    <cellStyle name="Normal 17 2 5" xfId="542" xr:uid="{307ABAEF-6E79-4620-B694-3AD805A1B847}"/>
    <cellStyle name="Normal 17 2 5 10" xfId="9451" xr:uid="{1E8FFD5B-1469-41F3-A46F-CF9E26595AC7}"/>
    <cellStyle name="Normal 17 2 5 10 2" xfId="25655" xr:uid="{EEF75F4F-76EF-43B2-97E5-93C80A6B62E9}"/>
    <cellStyle name="Normal 17 2 5 11" xfId="17966" xr:uid="{962E6AF9-C19D-4746-AC10-FA8C54549A90}"/>
    <cellStyle name="Normal 17 2 5 2" xfId="1973" xr:uid="{46FCD1EA-6B6F-460C-BDA1-5ADCB02B59D9}"/>
    <cellStyle name="Normal 17 2 5 2 10" xfId="18276" xr:uid="{D75F3F4F-3612-49ED-9E1A-E8C7A3665CC0}"/>
    <cellStyle name="Normal 17 2 5 2 2" xfId="2479" xr:uid="{DB96B008-D3B7-453A-AEFC-8FF76EA60425}"/>
    <cellStyle name="Normal 17 2 5 2 2 2" xfId="3326" xr:uid="{59366D3B-4FBB-421E-9E0E-4AE4380BE1CA}"/>
    <cellStyle name="Normal 17 2 5 2 2 2 2" xfId="7108" xr:uid="{F2D3A369-44EC-46F2-B7BB-77327B941DAB}"/>
    <cellStyle name="Normal 17 2 5 2 2 2 2 2" xfId="14619" xr:uid="{913440FC-2DE9-40A9-8570-37C790D51F06}"/>
    <cellStyle name="Normal 17 2 5 2 2 2 2 2 2" xfId="30823" xr:uid="{7B299A9B-AFC3-4430-B75D-B90B6BF3E3E8}"/>
    <cellStyle name="Normal 17 2 5 2 2 2 2 3" xfId="23312" xr:uid="{0D994D06-7D4C-4AAB-89AD-C44254848C77}"/>
    <cellStyle name="Normal 17 2 5 2 2 2 3" xfId="11019" xr:uid="{4BEB0E4B-3C72-455D-B408-EFAFF78BB1EB}"/>
    <cellStyle name="Normal 17 2 5 2 2 2 3 2" xfId="27223" xr:uid="{21569E7F-B74F-49CA-B12E-29FA8FE940DE}"/>
    <cellStyle name="Normal 17 2 5 2 2 2 4" xfId="19546" xr:uid="{476CA9A5-3D9A-4D63-AC57-239D0FC801DD}"/>
    <cellStyle name="Normal 17 2 5 2 2 3" xfId="6263" xr:uid="{EDF36B49-E8B5-40B5-85DA-AC93595FC554}"/>
    <cellStyle name="Normal 17 2 5 2 2 3 2" xfId="13775" xr:uid="{69EDDA63-3B5B-4407-A92B-DA58D719DB2F}"/>
    <cellStyle name="Normal 17 2 5 2 2 3 2 2" xfId="29979" xr:uid="{96FB4360-691F-4B4B-9CE4-B373C84CB5A7}"/>
    <cellStyle name="Normal 17 2 5 2 2 3 3" xfId="22467" xr:uid="{0C24B324-96B3-4B49-8C3F-389DAAF9D741}"/>
    <cellStyle name="Normal 17 2 5 2 2 4" xfId="10175" xr:uid="{DCE7F096-E75B-477A-9492-85F445E51A45}"/>
    <cellStyle name="Normal 17 2 5 2 2 4 2" xfId="26379" xr:uid="{F59B94D0-BFE2-41BC-80E1-4798D05AD854}"/>
    <cellStyle name="Normal 17 2 5 2 2 5" xfId="18701" xr:uid="{954D1459-9DB4-4403-886D-C8249D9B6C01}"/>
    <cellStyle name="Normal 17 2 5 2 3" xfId="2901" xr:uid="{CD6080EA-85E2-4B8E-A9D2-2FAF026A5F7C}"/>
    <cellStyle name="Normal 17 2 5 2 3 2" xfId="6685" xr:uid="{5F75976D-F506-419C-BB8D-DE9AD87D2D00}"/>
    <cellStyle name="Normal 17 2 5 2 3 2 2" xfId="14197" xr:uid="{6FFB7CBB-EC86-4FD7-B2BE-FAB914A5F31A}"/>
    <cellStyle name="Normal 17 2 5 2 3 2 2 2" xfId="30401" xr:uid="{D260C0E0-DF5F-4467-A5A4-D749608CEDCF}"/>
    <cellStyle name="Normal 17 2 5 2 3 2 3" xfId="22889" xr:uid="{392FC8AA-A45F-4950-807E-31937DC394E1}"/>
    <cellStyle name="Normal 17 2 5 2 3 3" xfId="10597" xr:uid="{E183F106-6CD0-4F38-B334-F71A1B466E3E}"/>
    <cellStyle name="Normal 17 2 5 2 3 3 2" xfId="26801" xr:uid="{863165FD-4791-4DCE-8803-D7B41505B8B4}"/>
    <cellStyle name="Normal 17 2 5 2 3 4" xfId="19123" xr:uid="{1D50426E-6B43-4A45-9A99-A96493906F8C}"/>
    <cellStyle name="Normal 17 2 5 2 4" xfId="3832" xr:uid="{87B017A0-DD04-4DED-A7A4-A6DFC9898A93}"/>
    <cellStyle name="Normal 17 2 5 2 4 2" xfId="7542" xr:uid="{A5CE80D7-0A88-4B2A-9E55-778FF054DE8B}"/>
    <cellStyle name="Normal 17 2 5 2 4 2 2" xfId="15051" xr:uid="{60640E84-82DD-4AC9-837E-58EC69506DD2}"/>
    <cellStyle name="Normal 17 2 5 2 4 2 2 2" xfId="31255" xr:uid="{C5AE5C0B-2711-4DFE-B435-CD5848BFD7B3}"/>
    <cellStyle name="Normal 17 2 5 2 4 2 3" xfId="23746" xr:uid="{07726517-B592-43A4-8955-4E357773E40C}"/>
    <cellStyle name="Normal 17 2 5 2 4 3" xfId="11442" xr:uid="{0233A318-F164-488A-88C3-9BBEFD9C78E7}"/>
    <cellStyle name="Normal 17 2 5 2 4 3 2" xfId="27646" xr:uid="{A7ADF475-8924-426F-BD95-A434FB6A2878}"/>
    <cellStyle name="Normal 17 2 5 2 4 4" xfId="20041" xr:uid="{006680DE-A19C-424D-8097-32518A3BD53A}"/>
    <cellStyle name="Normal 17 2 5 2 5" xfId="4301" xr:uid="{5696C476-D2AE-44E2-BC8A-F13C12DA08D5}"/>
    <cellStyle name="Normal 17 2 5 2 5 2" xfId="7971" xr:uid="{81751459-25E7-470D-B372-0E5B7438B327}"/>
    <cellStyle name="Normal 17 2 5 2 5 2 2" xfId="15478" xr:uid="{D6D88276-CB2E-471B-AF5B-14EE36C60CA3}"/>
    <cellStyle name="Normal 17 2 5 2 5 2 2 2" xfId="31682" xr:uid="{EA5A32E4-CA68-40B3-8559-7F5A3949E377}"/>
    <cellStyle name="Normal 17 2 5 2 5 2 3" xfId="24175" xr:uid="{9FB31E57-706E-4972-B925-55DAB02884A6}"/>
    <cellStyle name="Normal 17 2 5 2 5 3" xfId="11864" xr:uid="{01E83C76-5D12-4917-A0E4-9320A07479A8}"/>
    <cellStyle name="Normal 17 2 5 2 5 3 2" xfId="28068" xr:uid="{E0DA835A-CAC1-4725-B74B-AC0545DAEE1E}"/>
    <cellStyle name="Normal 17 2 5 2 5 4" xfId="20505" xr:uid="{D1F90F77-1731-4E45-95D4-2DED23A4C445}"/>
    <cellStyle name="Normal 17 2 5 2 6" xfId="4726" xr:uid="{7CED99C1-BFC9-4DEE-A728-91997C334AA6}"/>
    <cellStyle name="Normal 17 2 5 2 6 2" xfId="8396" xr:uid="{0E5DDAC6-DDAA-480A-A6A4-D080538DF5C4}"/>
    <cellStyle name="Normal 17 2 5 2 6 2 2" xfId="15903" xr:uid="{79A58C89-9B32-49A8-93E6-2FD785B844BE}"/>
    <cellStyle name="Normal 17 2 5 2 6 2 2 2" xfId="32107" xr:uid="{DBC42D85-BFDD-4646-AD61-E0A169284A42}"/>
    <cellStyle name="Normal 17 2 5 2 6 2 3" xfId="24600" xr:uid="{9351B344-2C7A-4C47-8AB8-FC147ABFA5DE}"/>
    <cellStyle name="Normal 17 2 5 2 6 3" xfId="12289" xr:uid="{129348E8-8F79-4DA1-ABEF-0A29F47DB38D}"/>
    <cellStyle name="Normal 17 2 5 2 6 3 2" xfId="28493" xr:uid="{027FC22D-D0F9-4F1A-8760-6FC5057708EB}"/>
    <cellStyle name="Normal 17 2 5 2 6 4" xfId="20930" xr:uid="{9B4EB890-6CCC-4625-974C-7CCE823C59FD}"/>
    <cellStyle name="Normal 17 2 5 2 7" xfId="5154" xr:uid="{B347B0DA-7A95-4B04-84A4-9042AB9CC628}"/>
    <cellStyle name="Normal 17 2 5 2 7 2" xfId="8819" xr:uid="{80D595B5-6907-4385-B656-9540728FAB99}"/>
    <cellStyle name="Normal 17 2 5 2 7 2 2" xfId="16326" xr:uid="{E5BD4391-F779-4777-8BAD-D57503E3716C}"/>
    <cellStyle name="Normal 17 2 5 2 7 2 2 2" xfId="32530" xr:uid="{1121C1AF-6BFD-4AC6-85EA-6455A2E2C905}"/>
    <cellStyle name="Normal 17 2 5 2 7 2 3" xfId="25023" xr:uid="{3526C529-BEA1-42D1-8298-85D4BEEE73FA}"/>
    <cellStyle name="Normal 17 2 5 2 7 3" xfId="12711" xr:uid="{908F525F-592A-4A39-9E41-BFA62CC776C4}"/>
    <cellStyle name="Normal 17 2 5 2 7 3 2" xfId="28915" xr:uid="{40983B40-C16F-4717-A69D-5F64D48DE7EE}"/>
    <cellStyle name="Normal 17 2 5 2 7 4" xfId="21358" xr:uid="{0B637D16-CF6E-4694-AB61-DD42BB420984}"/>
    <cellStyle name="Normal 17 2 5 2 8" xfId="5825" xr:uid="{97F94FDB-1F30-4E17-84EE-1901007F5C37}"/>
    <cellStyle name="Normal 17 2 5 2 8 2" xfId="13340" xr:uid="{56380D2F-0238-4FB5-B152-39CC8F5C3E8D}"/>
    <cellStyle name="Normal 17 2 5 2 8 2 2" xfId="29544" xr:uid="{94BA6439-59E1-4B09-97B9-2E11F4B73836}"/>
    <cellStyle name="Normal 17 2 5 2 8 3" xfId="22029" xr:uid="{2BB64A73-F571-4758-BB25-4B424BBE6EF2}"/>
    <cellStyle name="Normal 17 2 5 2 9" xfId="9752" xr:uid="{44D4CF24-5BFF-4CF8-836A-EA3024348845}"/>
    <cellStyle name="Normal 17 2 5 2 9 2" xfId="25956" xr:uid="{2E4D2198-4BCB-41E4-A7B0-48E568E4A758}"/>
    <cellStyle name="Normal 17 2 5 3" xfId="2112" xr:uid="{BD910DC5-0F3C-48D4-A2C7-CC7A532237A8}"/>
    <cellStyle name="Normal 17 2 5 3 2" xfId="3025" xr:uid="{3F44C9C7-A54F-4793-9407-673239CF4E3C}"/>
    <cellStyle name="Normal 17 2 5 3 2 2" xfId="6807" xr:uid="{5F81C4C7-0A04-4930-8A13-C1BF5AC5D335}"/>
    <cellStyle name="Normal 17 2 5 3 2 2 2" xfId="14318" xr:uid="{567B5392-A218-4720-BC47-C0EFB6E8DD76}"/>
    <cellStyle name="Normal 17 2 5 3 2 2 2 2" xfId="30522" xr:uid="{ECD898BF-D6E0-4392-811F-733BDB63B0A9}"/>
    <cellStyle name="Normal 17 2 5 3 2 2 3" xfId="23011" xr:uid="{19A5EF4B-2837-4108-A5D4-6E898C7D5BD6}"/>
    <cellStyle name="Normal 17 2 5 3 2 3" xfId="10718" xr:uid="{4A00B66D-89F9-4534-8A75-8ECF046DE8B0}"/>
    <cellStyle name="Normal 17 2 5 3 2 3 2" xfId="26922" xr:uid="{6D2EFDCA-9B53-4CFD-AFB9-6F9063F1433C}"/>
    <cellStyle name="Normal 17 2 5 3 2 4" xfId="19245" xr:uid="{669FC7CA-E683-457A-920E-DED9C9563D38}"/>
    <cellStyle name="Normal 17 2 5 3 3" xfId="5951" xr:uid="{77446EA6-343B-4887-9F86-A82452A1E05B}"/>
    <cellStyle name="Normal 17 2 5 3 3 2" xfId="13465" xr:uid="{D9294D00-8B16-4266-B3A8-F4172D33D683}"/>
    <cellStyle name="Normal 17 2 5 3 3 2 2" xfId="29669" xr:uid="{0DA8FFEB-E572-476D-B6B9-E05D4A75A45A}"/>
    <cellStyle name="Normal 17 2 5 3 3 3" xfId="22155" xr:uid="{CD1B413D-208B-40F2-8FDD-6048B8192B13}"/>
    <cellStyle name="Normal 17 2 5 3 4" xfId="9874" xr:uid="{8433C495-E267-4DD3-B5AD-19D3505AE19E}"/>
    <cellStyle name="Normal 17 2 5 3 4 2" xfId="26078" xr:uid="{60CC572E-BB8B-492B-88E5-BAC3D6B23481}"/>
    <cellStyle name="Normal 17 2 5 3 5" xfId="18399" xr:uid="{3DC48258-D36D-4462-B8A5-712E66DD2AF2}"/>
    <cellStyle name="Normal 17 2 5 4" xfId="2600" xr:uid="{576A8D35-94D6-42F2-8329-10F572727526}"/>
    <cellStyle name="Normal 17 2 5 4 2" xfId="6384" xr:uid="{7DD2492E-DD9B-46D5-84DE-D093E3750986}"/>
    <cellStyle name="Normal 17 2 5 4 2 2" xfId="13896" xr:uid="{C540E731-01E5-475C-A49C-8CDE18B262FE}"/>
    <cellStyle name="Normal 17 2 5 4 2 2 2" xfId="30100" xr:uid="{63B64B84-9281-4A19-A984-36501AF9721F}"/>
    <cellStyle name="Normal 17 2 5 4 2 3" xfId="22588" xr:uid="{E9D7AD1D-8FA2-4AA9-832F-F02AF6A1B0B6}"/>
    <cellStyle name="Normal 17 2 5 4 3" xfId="10296" xr:uid="{A04B47CC-6618-4787-B668-CCEC69E6E356}"/>
    <cellStyle name="Normal 17 2 5 4 3 2" xfId="26500" xr:uid="{EE577908-0C2A-4A42-853C-3B20644C6BDF}"/>
    <cellStyle name="Normal 17 2 5 4 4" xfId="18822" xr:uid="{D2E9B83D-74C6-4277-9712-91DFBAB53E4B}"/>
    <cellStyle name="Normal 17 2 5 5" xfId="3476" xr:uid="{CA76646A-3129-4DC9-857C-C38483B5FA91}"/>
    <cellStyle name="Normal 17 2 5 5 2" xfId="7234" xr:uid="{60ED3140-DC8D-47E5-8E97-E731D824E2D1}"/>
    <cellStyle name="Normal 17 2 5 5 2 2" xfId="14744" xr:uid="{BC3911A3-FA14-498A-9B37-F2418D6DFB45}"/>
    <cellStyle name="Normal 17 2 5 5 2 2 2" xfId="30948" xr:uid="{3DDA63B4-81FE-4AA4-8454-ACC0D1E933B4}"/>
    <cellStyle name="Normal 17 2 5 5 2 3" xfId="23438" xr:uid="{5951F60B-48D0-4895-A5A3-9C492EF1E165}"/>
    <cellStyle name="Normal 17 2 5 5 3" xfId="11141" xr:uid="{FA8BAD3D-8798-46B1-800E-2BA22BF1F7BD}"/>
    <cellStyle name="Normal 17 2 5 5 3 2" xfId="27345" xr:uid="{14FD89E2-DA68-451B-A547-E5AB66E10671}"/>
    <cellStyle name="Normal 17 2 5 5 4" xfId="19692" xr:uid="{D4451393-0DA0-44AD-9056-E4095A10A5E4}"/>
    <cellStyle name="Normal 17 2 5 6" xfId="4000" xr:uid="{22B1EC45-AE35-4FE0-9D70-05611F7D3679}"/>
    <cellStyle name="Normal 17 2 5 6 2" xfId="7670" xr:uid="{E632FB65-8469-4E15-9F63-537682AA39EB}"/>
    <cellStyle name="Normal 17 2 5 6 2 2" xfId="15177" xr:uid="{0DE25C40-3464-4F02-BAA1-3E350E682322}"/>
    <cellStyle name="Normal 17 2 5 6 2 2 2" xfId="31381" xr:uid="{1A04D014-C2B2-47C9-8105-6B712FDD7967}"/>
    <cellStyle name="Normal 17 2 5 6 2 3" xfId="23874" xr:uid="{E8F68E2C-011B-47B3-888D-AE49EED9F897}"/>
    <cellStyle name="Normal 17 2 5 6 3" xfId="11563" xr:uid="{3997A192-C6A0-4F77-85FB-8172147CBDF9}"/>
    <cellStyle name="Normal 17 2 5 6 3 2" xfId="27767" xr:uid="{A32B5EFE-FD00-40C7-BC9F-7B07ACA0093C}"/>
    <cellStyle name="Normal 17 2 5 6 4" xfId="20204" xr:uid="{DDD2DE4C-B199-421C-8A43-78EADFA9340A}"/>
    <cellStyle name="Normal 17 2 5 7" xfId="4425" xr:uid="{6FE9F06E-96A4-4BE1-AF35-9AD338BAB76F}"/>
    <cellStyle name="Normal 17 2 5 7 2" xfId="8095" xr:uid="{6CB3A3AA-58FD-4346-A64B-4696F6E1AC6D}"/>
    <cellStyle name="Normal 17 2 5 7 2 2" xfId="15602" xr:uid="{AF0A7CC2-6B54-4AD2-A4AD-C16AC10CEC15}"/>
    <cellStyle name="Normal 17 2 5 7 2 2 2" xfId="31806" xr:uid="{B78FDBFA-F7D0-4EF7-B78D-D74C23CC341D}"/>
    <cellStyle name="Normal 17 2 5 7 2 3" xfId="24299" xr:uid="{63168BB4-F4CC-4581-A77B-43808531B8F8}"/>
    <cellStyle name="Normal 17 2 5 7 3" xfId="11988" xr:uid="{E2C2147C-6480-4DD7-8BEE-C4CD7CF06361}"/>
    <cellStyle name="Normal 17 2 5 7 3 2" xfId="28192" xr:uid="{72618BC2-BCE9-48EA-A4C7-0062A5B47D59}"/>
    <cellStyle name="Normal 17 2 5 7 4" xfId="20629" xr:uid="{52A0322D-48D6-4655-B6D0-071920842568}"/>
    <cellStyle name="Normal 17 2 5 8" xfId="4849" xr:uid="{0E255229-0654-412F-8584-6B172277F430}"/>
    <cellStyle name="Normal 17 2 5 8 2" xfId="8518" xr:uid="{3EFC8E85-82AD-4F9E-A29C-0C6B5EC5B0CF}"/>
    <cellStyle name="Normal 17 2 5 8 2 2" xfId="16025" xr:uid="{147BC187-0FBA-40A0-AA5E-073762D14B58}"/>
    <cellStyle name="Normal 17 2 5 8 2 2 2" xfId="32229" xr:uid="{67C3B1B2-B60D-489C-B04A-68DC887F1139}"/>
    <cellStyle name="Normal 17 2 5 8 2 3" xfId="24722" xr:uid="{EDBDDA58-2EA0-4904-A568-02F99861A60F}"/>
    <cellStyle name="Normal 17 2 5 8 3" xfId="12410" xr:uid="{68E710D5-B77B-48F3-83B7-098144257B4E}"/>
    <cellStyle name="Normal 17 2 5 8 3 2" xfId="28614" xr:uid="{C9B2D2F0-FAAE-4F4E-8328-98D58F87D759}"/>
    <cellStyle name="Normal 17 2 5 8 4" xfId="21053" xr:uid="{3C05FABB-398A-4DFE-865D-0A0CB462AA5D}"/>
    <cellStyle name="Normal 17 2 5 9" xfId="5336" xr:uid="{CB2D8D0A-1B80-474B-89E2-47185D325AB3}"/>
    <cellStyle name="Normal 17 2 5 9 2" xfId="12885" xr:uid="{4E5A74A7-4E63-4C2F-8A6A-DCE991DD895D}"/>
    <cellStyle name="Normal 17 2 5 9 2 2" xfId="29089" xr:uid="{6A9C3414-60D1-400F-8E4F-7FE5C96F5FA9}"/>
    <cellStyle name="Normal 17 2 5 9 3" xfId="21540" xr:uid="{36F22A6E-047B-490C-91AB-3E29E9238A81}"/>
    <cellStyle name="Normal 17 2 6" xfId="1177" xr:uid="{152016EE-A49F-4522-9ACA-86482A1FBD19}"/>
    <cellStyle name="Normal 17 2 7" xfId="1974" xr:uid="{9C2B8BD3-ED5F-4EC6-A4DC-32E512E64FBC}"/>
    <cellStyle name="Normal 17 2 7 10" xfId="18277" xr:uid="{7AF4C32B-6C52-48EC-A5BB-72732DE6C90F}"/>
    <cellStyle name="Normal 17 2 7 2" xfId="2480" xr:uid="{D3F90D91-1AEA-49C1-B98C-0A65939D13E4}"/>
    <cellStyle name="Normal 17 2 7 2 2" xfId="3327" xr:uid="{20C0D1BC-FCA6-4612-9A43-26B5837A2999}"/>
    <cellStyle name="Normal 17 2 7 2 2 2" xfId="7109" xr:uid="{AE1CEFDF-06A8-49CB-ADFA-3D73693CE30B}"/>
    <cellStyle name="Normal 17 2 7 2 2 2 2" xfId="14620" xr:uid="{DDE430E1-105D-4E10-8CFA-705DFF116B20}"/>
    <cellStyle name="Normal 17 2 7 2 2 2 2 2" xfId="30824" xr:uid="{EB99F437-3EFA-4B6C-BE52-6567C2688661}"/>
    <cellStyle name="Normal 17 2 7 2 2 2 3" xfId="23313" xr:uid="{7AFBEDD5-A0E6-4805-8F1D-C01E3AFCD540}"/>
    <cellStyle name="Normal 17 2 7 2 2 3" xfId="11020" xr:uid="{F88C5C9D-B92A-4544-A714-9ABBA971E283}"/>
    <cellStyle name="Normal 17 2 7 2 2 3 2" xfId="27224" xr:uid="{BED89E91-5D92-463C-9A11-38292938377A}"/>
    <cellStyle name="Normal 17 2 7 2 2 4" xfId="19547" xr:uid="{679FC968-3D54-49F3-8331-1C3B1BD9404C}"/>
    <cellStyle name="Normal 17 2 7 2 3" xfId="6264" xr:uid="{C09B1C55-3522-430F-ABD8-6FAAC122F45C}"/>
    <cellStyle name="Normal 17 2 7 2 3 2" xfId="13776" xr:uid="{497AF0AE-D65F-414F-A13B-4CADC8070122}"/>
    <cellStyle name="Normal 17 2 7 2 3 2 2" xfId="29980" xr:uid="{573BDA60-A9D7-4FF0-8DC0-1E71A8201271}"/>
    <cellStyle name="Normal 17 2 7 2 3 3" xfId="22468" xr:uid="{D7AB9C81-0F21-48BA-83D8-60DBA0D9DCC3}"/>
    <cellStyle name="Normal 17 2 7 2 4" xfId="10176" xr:uid="{07076488-0BB3-4472-A916-3494A284DF31}"/>
    <cellStyle name="Normal 17 2 7 2 4 2" xfId="26380" xr:uid="{D9905987-21F8-4D28-937A-165F5FA73331}"/>
    <cellStyle name="Normal 17 2 7 2 5" xfId="18702" xr:uid="{E6582668-7674-4A46-B76C-6EDBC3C1D0AB}"/>
    <cellStyle name="Normal 17 2 7 3" xfId="2902" xr:uid="{3E7FD750-014E-4FB6-BC51-5F8BCC7EBC33}"/>
    <cellStyle name="Normal 17 2 7 3 2" xfId="6686" xr:uid="{FBC65BDA-137B-45D1-A0B9-F03F29AA0E10}"/>
    <cellStyle name="Normal 17 2 7 3 2 2" xfId="14198" xr:uid="{8706E7DB-8BB9-4BE6-B594-2B20FC4BC12A}"/>
    <cellStyle name="Normal 17 2 7 3 2 2 2" xfId="30402" xr:uid="{1CEECC7D-0DD1-4717-9F00-96BF76C970A8}"/>
    <cellStyle name="Normal 17 2 7 3 2 3" xfId="22890" xr:uid="{6032C6AA-E5F7-445B-B01F-FDDADAA83757}"/>
    <cellStyle name="Normal 17 2 7 3 3" xfId="10598" xr:uid="{10FF7317-9D41-427F-88FD-4324A0F97935}"/>
    <cellStyle name="Normal 17 2 7 3 3 2" xfId="26802" xr:uid="{89CBD6ED-698A-481B-909A-D3F7B1586F1C}"/>
    <cellStyle name="Normal 17 2 7 3 4" xfId="19124" xr:uid="{AFB496CA-BB7F-44E2-A33A-F1D7BDF8E401}"/>
    <cellStyle name="Normal 17 2 7 4" xfId="3833" xr:uid="{538B6C06-26F0-4F12-B07D-676AC9CE675E}"/>
    <cellStyle name="Normal 17 2 7 4 2" xfId="7543" xr:uid="{308C6245-34F1-4943-AA41-59F1FF6634B3}"/>
    <cellStyle name="Normal 17 2 7 4 2 2" xfId="15052" xr:uid="{3F0D3D0A-6E8D-4335-B75D-8555B94021D2}"/>
    <cellStyle name="Normal 17 2 7 4 2 2 2" xfId="31256" xr:uid="{37D0B261-5933-4973-9E1F-97A5BA13E99C}"/>
    <cellStyle name="Normal 17 2 7 4 2 3" xfId="23747" xr:uid="{44D63F01-EB54-4EB7-865C-AB2EE6D4CA67}"/>
    <cellStyle name="Normal 17 2 7 4 3" xfId="11443" xr:uid="{6C3F19B3-CB81-41DB-9155-13CC0AD1D5E1}"/>
    <cellStyle name="Normal 17 2 7 4 3 2" xfId="27647" xr:uid="{5BCDDB6F-2252-4853-B178-200D16E96800}"/>
    <cellStyle name="Normal 17 2 7 4 4" xfId="20042" xr:uid="{9C64F21E-08DB-405B-8749-EE98C0070A53}"/>
    <cellStyle name="Normal 17 2 7 5" xfId="4302" xr:uid="{376C5509-96F1-4173-84A1-01582F9581BD}"/>
    <cellStyle name="Normal 17 2 7 5 2" xfId="7972" xr:uid="{3D8220A8-A1BB-4549-8FCB-EFB9662E34FB}"/>
    <cellStyle name="Normal 17 2 7 5 2 2" xfId="15479" xr:uid="{A9182685-0E7A-42D7-AC77-2F61E43F9C9B}"/>
    <cellStyle name="Normal 17 2 7 5 2 2 2" xfId="31683" xr:uid="{7F3D9E31-2534-4149-A3E2-B59BA439C5E3}"/>
    <cellStyle name="Normal 17 2 7 5 2 3" xfId="24176" xr:uid="{D98536F7-5706-4119-B37A-8BD4CB5F6C0A}"/>
    <cellStyle name="Normal 17 2 7 5 3" xfId="11865" xr:uid="{FA1014C0-21ED-4B3F-8435-E790BE3A8A19}"/>
    <cellStyle name="Normal 17 2 7 5 3 2" xfId="28069" xr:uid="{36A75426-CE01-4CA7-9BCC-CC440F0D1388}"/>
    <cellStyle name="Normal 17 2 7 5 4" xfId="20506" xr:uid="{27D88142-64B0-4CC7-B666-E87BD3E85FDB}"/>
    <cellStyle name="Normal 17 2 7 6" xfId="4727" xr:uid="{7B6DA5A6-F61D-49C1-B8CA-2958A4C33FA0}"/>
    <cellStyle name="Normal 17 2 7 6 2" xfId="8397" xr:uid="{BD79EDE0-46DE-40A3-93F4-0A3871F57C26}"/>
    <cellStyle name="Normal 17 2 7 6 2 2" xfId="15904" xr:uid="{C42F9A89-2613-4D20-A4EE-E5E245ADB9CB}"/>
    <cellStyle name="Normal 17 2 7 6 2 2 2" xfId="32108" xr:uid="{47603115-74DA-4B21-9A7A-65033646F0E5}"/>
    <cellStyle name="Normal 17 2 7 6 2 3" xfId="24601" xr:uid="{40086BD5-C8C4-4DF5-8A18-786263C23602}"/>
    <cellStyle name="Normal 17 2 7 6 3" xfId="12290" xr:uid="{85423787-2223-48C1-8EC9-13F536116062}"/>
    <cellStyle name="Normal 17 2 7 6 3 2" xfId="28494" xr:uid="{95FDE8E3-F1C7-4455-9587-E8F75ED6B681}"/>
    <cellStyle name="Normal 17 2 7 6 4" xfId="20931" xr:uid="{2857A6B5-424F-426F-8BEC-4ABAF4144567}"/>
    <cellStyle name="Normal 17 2 7 7" xfId="5155" xr:uid="{2F453CFD-3AF7-4C5B-90D1-5F6181E91B8E}"/>
    <cellStyle name="Normal 17 2 7 7 2" xfId="8820" xr:uid="{C3BE61F0-4408-4326-A684-CB6870C531A3}"/>
    <cellStyle name="Normal 17 2 7 7 2 2" xfId="16327" xr:uid="{77F50B80-4FDA-42C1-992F-B3C827A1CE2B}"/>
    <cellStyle name="Normal 17 2 7 7 2 2 2" xfId="32531" xr:uid="{D64C6363-06B9-458B-B1DE-F4CD2CF9BA8E}"/>
    <cellStyle name="Normal 17 2 7 7 2 3" xfId="25024" xr:uid="{ABDF0F9A-9A12-48CA-9DDB-2105A6EBADF4}"/>
    <cellStyle name="Normal 17 2 7 7 3" xfId="12712" xr:uid="{D81F56DE-6986-4C3C-9373-FA67206F824C}"/>
    <cellStyle name="Normal 17 2 7 7 3 2" xfId="28916" xr:uid="{EB238DBC-FB27-40EE-921F-EBBAAED1D7C1}"/>
    <cellStyle name="Normal 17 2 7 7 4" xfId="21359" xr:uid="{5666370F-8CB4-49A1-9C03-ACB80C1AB670}"/>
    <cellStyle name="Normal 17 2 7 8" xfId="5826" xr:uid="{CE027E5D-0F00-4221-BDFD-3CF696169D95}"/>
    <cellStyle name="Normal 17 2 7 8 2" xfId="13341" xr:uid="{11DDCCC1-C158-4FE9-B4AE-64A3E0438C86}"/>
    <cellStyle name="Normal 17 2 7 8 2 2" xfId="29545" xr:uid="{8F4CE8EC-AEA4-41A0-95F7-A4A31A194D17}"/>
    <cellStyle name="Normal 17 2 7 8 3" xfId="22030" xr:uid="{49BE4DFF-3217-4A8C-8F32-278F3AC8FF6C}"/>
    <cellStyle name="Normal 17 2 7 9" xfId="9753" xr:uid="{B7D873CD-5E29-4B17-AFE9-43B1D0ED195C}"/>
    <cellStyle name="Normal 17 2 7 9 2" xfId="25957" xr:uid="{85748DAE-4265-46B1-91EF-45EFB62DEFE7}"/>
    <cellStyle name="Normal 17 2 8" xfId="2045" xr:uid="{5CDF01F9-AE06-44EB-B13E-52395F34E6B8}"/>
    <cellStyle name="Normal 17 2 8 2" xfId="2958" xr:uid="{2BEA1901-E6F9-432C-A678-AC5C43D18F2F}"/>
    <cellStyle name="Normal 17 2 8 2 2" xfId="6740" xr:uid="{F18F1130-158C-48C8-9F01-556C0A8B2DB2}"/>
    <cellStyle name="Normal 17 2 8 2 2 2" xfId="14251" xr:uid="{E90A4EF8-E55D-4690-BFAA-7CEB5CAE0A53}"/>
    <cellStyle name="Normal 17 2 8 2 2 2 2" xfId="30455" xr:uid="{ABBEB200-286B-43E4-AA16-B4D79CBF9D90}"/>
    <cellStyle name="Normal 17 2 8 2 2 3" xfId="22944" xr:uid="{1394B905-31B3-462C-8882-4AE61EA04E1F}"/>
    <cellStyle name="Normal 17 2 8 2 3" xfId="10651" xr:uid="{139B6802-EA8F-4B30-A39F-9A8610C17998}"/>
    <cellStyle name="Normal 17 2 8 2 3 2" xfId="26855" xr:uid="{40D87700-4D61-40DA-B53B-3D056F885F9F}"/>
    <cellStyle name="Normal 17 2 8 2 4" xfId="19178" xr:uid="{08E30B50-5645-47BA-91AA-3596ABBB3417}"/>
    <cellStyle name="Normal 17 2 8 3" xfId="5884" xr:uid="{67E0D0CD-C811-4E88-A103-04DA9FD0B51C}"/>
    <cellStyle name="Normal 17 2 8 3 2" xfId="13398" xr:uid="{CFEC7B45-D3A7-4034-AF2A-86072437F9B5}"/>
    <cellStyle name="Normal 17 2 8 3 2 2" xfId="29602" xr:uid="{8D7B5594-7173-4472-B2BA-51B424E98D53}"/>
    <cellStyle name="Normal 17 2 8 3 3" xfId="22088" xr:uid="{55BDD3E8-F68F-48F7-BEFC-2E974BE7DDB4}"/>
    <cellStyle name="Normal 17 2 8 4" xfId="9807" xr:uid="{ED932E7E-FF60-40EA-A00C-EC5101418C2C}"/>
    <cellStyle name="Normal 17 2 8 4 2" xfId="26011" xr:uid="{5D9A5D2E-77A2-4A94-A6B3-F866447F7668}"/>
    <cellStyle name="Normal 17 2 8 5" xfId="18332" xr:uid="{E003B847-D589-42A7-9046-A3ED8CAFC985}"/>
    <cellStyle name="Normal 17 2 9" xfId="2533" xr:uid="{B709CF4E-E69F-4C0E-ABA8-00854CD6E02D}"/>
    <cellStyle name="Normal 17 2 9 2" xfId="6317" xr:uid="{BC8295AA-888C-4172-A7EB-32DA96258971}"/>
    <cellStyle name="Normal 17 2 9 2 2" xfId="13829" xr:uid="{98B7DD36-5328-4DF0-9422-7B3DD189B341}"/>
    <cellStyle name="Normal 17 2 9 2 2 2" xfId="30033" xr:uid="{0987C6CF-EC10-469F-89B7-6DC9025AEEBC}"/>
    <cellStyle name="Normal 17 2 9 2 3" xfId="22521" xr:uid="{E28A60F3-F755-4B92-9E94-075DA66E5789}"/>
    <cellStyle name="Normal 17 2 9 3" xfId="10229" xr:uid="{FC82420B-544B-4364-8D8E-8095F1240FAE}"/>
    <cellStyle name="Normal 17 2 9 3 2" xfId="26433" xr:uid="{BDFC57DF-34BB-497C-B3F8-C91F70F5A21C}"/>
    <cellStyle name="Normal 17 2 9 4" xfId="18755" xr:uid="{0AC09AA5-D04F-4057-A73B-F75BBEC3F292}"/>
    <cellStyle name="Normal 17 20" xfId="673" xr:uid="{24CCD9D5-1F86-4943-8E2F-E0D82B94242E}"/>
    <cellStyle name="Normal 17 20 10" xfId="9524" xr:uid="{3B639828-3951-4BFD-B9F3-F1F079B6CE3C}"/>
    <cellStyle name="Normal 17 20 10 2" xfId="25728" xr:uid="{96B7078F-19D4-4A5A-AD2A-345A781040CE}"/>
    <cellStyle name="Normal 17 20 11" xfId="18042" xr:uid="{915B9DDD-61E3-4140-8B06-ED6CC40BF5D7}"/>
    <cellStyle name="Normal 17 20 2" xfId="1975" xr:uid="{A5556477-BB8B-4422-B10D-1ADE575380CD}"/>
    <cellStyle name="Normal 17 20 2 10" xfId="18278" xr:uid="{9FEA7AE7-2347-43DE-959E-3E09AFA30524}"/>
    <cellStyle name="Normal 17 20 2 2" xfId="2481" xr:uid="{143060C7-67DC-4FC9-AB37-E1A03E6C39B5}"/>
    <cellStyle name="Normal 17 20 2 2 2" xfId="3328" xr:uid="{D9A5E8D6-6A2D-411E-BA06-1764F1B9663C}"/>
    <cellStyle name="Normal 17 20 2 2 2 2" xfId="7110" xr:uid="{20A10266-263D-4682-A44D-AE264421CE8F}"/>
    <cellStyle name="Normal 17 20 2 2 2 2 2" xfId="14621" xr:uid="{F01147C6-EFD0-4832-9327-601E28470F16}"/>
    <cellStyle name="Normal 17 20 2 2 2 2 2 2" xfId="30825" xr:uid="{F16F50F0-F389-48DA-BD71-4426C70B0546}"/>
    <cellStyle name="Normal 17 20 2 2 2 2 3" xfId="23314" xr:uid="{3F2F0283-1268-458F-B72F-AECCBABA394F}"/>
    <cellStyle name="Normal 17 20 2 2 2 3" xfId="11021" xr:uid="{F4B7F076-4AFE-45F1-80E1-005CE06B9485}"/>
    <cellStyle name="Normal 17 20 2 2 2 3 2" xfId="27225" xr:uid="{BDAC8D54-8676-4634-A423-A866EB54E4D2}"/>
    <cellStyle name="Normal 17 20 2 2 2 4" xfId="19548" xr:uid="{1796EF0A-9080-49F4-89CE-D59105C7AB9E}"/>
    <cellStyle name="Normal 17 20 2 2 3" xfId="6265" xr:uid="{20EE5DF1-D2AE-4247-834C-21901A94A482}"/>
    <cellStyle name="Normal 17 20 2 2 3 2" xfId="13777" xr:uid="{8D9D8877-FE29-45D9-9FF7-BB58A8CA373F}"/>
    <cellStyle name="Normal 17 20 2 2 3 2 2" xfId="29981" xr:uid="{492C6EBC-0251-469C-A85C-3D79E43730E1}"/>
    <cellStyle name="Normal 17 20 2 2 3 3" xfId="22469" xr:uid="{985F4F88-A2AB-4CA5-9C61-D9EE81B59B91}"/>
    <cellStyle name="Normal 17 20 2 2 4" xfId="10177" xr:uid="{0DAF0335-312D-464C-AC1A-793640D3DA4A}"/>
    <cellStyle name="Normal 17 20 2 2 4 2" xfId="26381" xr:uid="{70590625-1DC0-4150-ACFF-82BF3D263C41}"/>
    <cellStyle name="Normal 17 20 2 2 5" xfId="18703" xr:uid="{6E67E1FC-E303-40B4-A3E6-8E42D184789D}"/>
    <cellStyle name="Normal 17 20 2 3" xfId="2903" xr:uid="{E5D3E546-7CC9-4222-81EC-F82E102DFD0A}"/>
    <cellStyle name="Normal 17 20 2 3 2" xfId="6687" xr:uid="{62466129-514F-42BE-856B-9F47EA1034B6}"/>
    <cellStyle name="Normal 17 20 2 3 2 2" xfId="14199" xr:uid="{DD9BD0C5-FCB9-4F51-837B-BB816E59FD2B}"/>
    <cellStyle name="Normal 17 20 2 3 2 2 2" xfId="30403" xr:uid="{21FB35A2-9E92-45F8-98C5-095366228208}"/>
    <cellStyle name="Normal 17 20 2 3 2 3" xfId="22891" xr:uid="{CCB77811-E924-411A-BB52-8FC48B649C30}"/>
    <cellStyle name="Normal 17 20 2 3 3" xfId="10599" xr:uid="{3837A105-6551-4006-81DD-A1F7F92A56A8}"/>
    <cellStyle name="Normal 17 20 2 3 3 2" xfId="26803" xr:uid="{7F3999F2-DD1C-4138-A13D-5E2D0475CD37}"/>
    <cellStyle name="Normal 17 20 2 3 4" xfId="19125" xr:uid="{5E0119AB-0C2B-47E8-A838-AD77CE7A12A2}"/>
    <cellStyle name="Normal 17 20 2 4" xfId="3834" xr:uid="{6B189AD6-7BF3-42FE-9ECC-021BACB7626E}"/>
    <cellStyle name="Normal 17 20 2 4 2" xfId="7544" xr:uid="{9F9083DA-7BAD-4F0A-ABE7-C8F6DE043537}"/>
    <cellStyle name="Normal 17 20 2 4 2 2" xfId="15053" xr:uid="{81BBEB2A-D59B-4E1B-8C32-90931D904524}"/>
    <cellStyle name="Normal 17 20 2 4 2 2 2" xfId="31257" xr:uid="{EC27DEEF-8B5A-4A88-909C-4EF3F54CFF76}"/>
    <cellStyle name="Normal 17 20 2 4 2 3" xfId="23748" xr:uid="{7DD2ACF7-72C2-453E-877F-95F27CC3585B}"/>
    <cellStyle name="Normal 17 20 2 4 3" xfId="11444" xr:uid="{675322EB-5C04-4BBF-B35C-3B27D6499548}"/>
    <cellStyle name="Normal 17 20 2 4 3 2" xfId="27648" xr:uid="{B3AF47DA-4850-4E49-A347-82D1E1C2A95A}"/>
    <cellStyle name="Normal 17 20 2 4 4" xfId="20043" xr:uid="{E7CB41B6-2E77-44BB-B933-CDAB642353D7}"/>
    <cellStyle name="Normal 17 20 2 5" xfId="4303" xr:uid="{10DB773D-F968-4D29-9CE9-DD0AB1CFC5C0}"/>
    <cellStyle name="Normal 17 20 2 5 2" xfId="7973" xr:uid="{EEC6C4A5-36B7-477E-A178-77681785AC41}"/>
    <cellStyle name="Normal 17 20 2 5 2 2" xfId="15480" xr:uid="{E16EDF44-E2E1-4703-B5DE-742FCEBF1DEF}"/>
    <cellStyle name="Normal 17 20 2 5 2 2 2" xfId="31684" xr:uid="{951A011C-8202-48D7-8F94-D8512D8B404A}"/>
    <cellStyle name="Normal 17 20 2 5 2 3" xfId="24177" xr:uid="{55A6B54F-F9CF-49FF-8350-9F0DA3F2EB95}"/>
    <cellStyle name="Normal 17 20 2 5 3" xfId="11866" xr:uid="{7C94CA71-EDF1-440D-8AD9-B91F5497E240}"/>
    <cellStyle name="Normal 17 20 2 5 3 2" xfId="28070" xr:uid="{7E705873-05D6-4F88-960B-CED19CAC2A10}"/>
    <cellStyle name="Normal 17 20 2 5 4" xfId="20507" xr:uid="{03696884-1F93-40DB-B4A2-F1342E5C8AED}"/>
    <cellStyle name="Normal 17 20 2 6" xfId="4728" xr:uid="{576230F6-E175-42F6-9B46-15BD38DA1FF8}"/>
    <cellStyle name="Normal 17 20 2 6 2" xfId="8398" xr:uid="{4E24113B-EF04-49E8-BE0C-1E544132A994}"/>
    <cellStyle name="Normal 17 20 2 6 2 2" xfId="15905" xr:uid="{F45D9DCD-D0B7-4CE4-907C-E0E8A52B3A1D}"/>
    <cellStyle name="Normal 17 20 2 6 2 2 2" xfId="32109" xr:uid="{279B7A3B-D416-4979-933A-B78C713E689A}"/>
    <cellStyle name="Normal 17 20 2 6 2 3" xfId="24602" xr:uid="{9CA94409-2B41-4C7A-BE03-687BE54977A6}"/>
    <cellStyle name="Normal 17 20 2 6 3" xfId="12291" xr:uid="{05B5B5D7-F391-43DA-A96C-66420DBB8287}"/>
    <cellStyle name="Normal 17 20 2 6 3 2" xfId="28495" xr:uid="{D6BF1EAF-2E10-4C89-83D7-E090FB17A755}"/>
    <cellStyle name="Normal 17 20 2 6 4" xfId="20932" xr:uid="{F9A9EC86-3A90-47F4-8A69-095BA757A65F}"/>
    <cellStyle name="Normal 17 20 2 7" xfId="5156" xr:uid="{27B741B4-2733-4DBA-85BC-DE9A6EFAEA4E}"/>
    <cellStyle name="Normal 17 20 2 7 2" xfId="8821" xr:uid="{9E96B038-6450-489E-B306-D8D3EA034A35}"/>
    <cellStyle name="Normal 17 20 2 7 2 2" xfId="16328" xr:uid="{8079E539-0FDC-459A-8FAE-FC7F805FC323}"/>
    <cellStyle name="Normal 17 20 2 7 2 2 2" xfId="32532" xr:uid="{7DC4C322-940B-4241-A3E4-D970A2BC9D26}"/>
    <cellStyle name="Normal 17 20 2 7 2 3" xfId="25025" xr:uid="{916EE68C-B33F-4660-9320-A4890D8DA404}"/>
    <cellStyle name="Normal 17 20 2 7 3" xfId="12713" xr:uid="{4B0D4A6F-47B6-4C03-A3F2-391A2A9E0F8E}"/>
    <cellStyle name="Normal 17 20 2 7 3 2" xfId="28917" xr:uid="{0899B4D2-6BA2-4F36-BE73-BA3EAF1E7A2B}"/>
    <cellStyle name="Normal 17 20 2 7 4" xfId="21360" xr:uid="{5D48C2D0-0610-4587-A425-828D367AADA7}"/>
    <cellStyle name="Normal 17 20 2 8" xfId="5827" xr:uid="{B35310AA-B6DE-4435-9FCF-08D278F95FC8}"/>
    <cellStyle name="Normal 17 20 2 8 2" xfId="13342" xr:uid="{3938A3EA-CE0C-41E5-82F0-D65DA269B0E4}"/>
    <cellStyle name="Normal 17 20 2 8 2 2" xfId="29546" xr:uid="{53B13713-B7AF-4C6B-9CFC-09B1D94CA92C}"/>
    <cellStyle name="Normal 17 20 2 8 3" xfId="22031" xr:uid="{17421175-238E-4423-A111-D2667ECE37BC}"/>
    <cellStyle name="Normal 17 20 2 9" xfId="9754" xr:uid="{C2F0087D-29D5-4621-8363-BB18557F1D26}"/>
    <cellStyle name="Normal 17 20 2 9 2" xfId="25958" xr:uid="{BF2426A7-2441-4B26-8B3E-7263275FE3AD}"/>
    <cellStyle name="Normal 17 20 3" xfId="2187" xr:uid="{0C6F452C-5E93-48E3-A0C5-3B1893553A02}"/>
    <cellStyle name="Normal 17 20 3 2" xfId="3098" xr:uid="{538B657B-ED7A-4753-BC88-5EC4AAC73A2E}"/>
    <cellStyle name="Normal 17 20 3 2 2" xfId="6880" xr:uid="{01500B47-3C80-4E26-8572-6439E219F84B}"/>
    <cellStyle name="Normal 17 20 3 2 2 2" xfId="14391" xr:uid="{22592CC7-5E5D-4956-8A51-7921C55CA582}"/>
    <cellStyle name="Normal 17 20 3 2 2 2 2" xfId="30595" xr:uid="{332F4DC7-6773-455A-8E78-F581933680F7}"/>
    <cellStyle name="Normal 17 20 3 2 2 3" xfId="23084" xr:uid="{81A00629-7F0E-4422-9489-98E742634777}"/>
    <cellStyle name="Normal 17 20 3 2 3" xfId="10791" xr:uid="{EAA3BCDD-02D2-44E1-B07A-9CAC6EE0B8A0}"/>
    <cellStyle name="Normal 17 20 3 2 3 2" xfId="26995" xr:uid="{5BB0FF70-50B0-4CDB-8F6D-670E35A0660D}"/>
    <cellStyle name="Normal 17 20 3 2 4" xfId="19318" xr:uid="{28C1A337-E7DC-4E4D-BF6F-A5C3FC01460D}"/>
    <cellStyle name="Normal 17 20 3 3" xfId="6024" xr:uid="{25C22A40-35C5-4B40-BE5B-0043DE63401B}"/>
    <cellStyle name="Normal 17 20 3 3 2" xfId="13538" xr:uid="{E8465FC5-1563-442A-B6E6-B3AE5B79E609}"/>
    <cellStyle name="Normal 17 20 3 3 2 2" xfId="29742" xr:uid="{BB83C419-710E-4D09-A5AA-77572FBADAC7}"/>
    <cellStyle name="Normal 17 20 3 3 3" xfId="22228" xr:uid="{E0016C8C-5E54-4DE5-8251-E7C7A9FB8E18}"/>
    <cellStyle name="Normal 17 20 3 4" xfId="9947" xr:uid="{8A3497B9-D168-4E72-884B-6D85E65E4D45}"/>
    <cellStyle name="Normal 17 20 3 4 2" xfId="26151" xr:uid="{CF98D6B5-7126-48C8-B8AC-B6DD0FE29939}"/>
    <cellStyle name="Normal 17 20 3 5" xfId="18473" xr:uid="{FF3CF5A6-9096-407B-A3B5-3DE9370E3285}"/>
    <cellStyle name="Normal 17 20 4" xfId="2673" xr:uid="{B5F11DCB-6665-487C-BC23-636230878019}"/>
    <cellStyle name="Normal 17 20 4 2" xfId="6457" xr:uid="{17A99418-CF24-4961-A64D-33601104C3F5}"/>
    <cellStyle name="Normal 17 20 4 2 2" xfId="13969" xr:uid="{C9743166-44B3-4CEF-8835-8EEC3FCF4823}"/>
    <cellStyle name="Normal 17 20 4 2 2 2" xfId="30173" xr:uid="{7266CA91-3A67-4A33-A405-1FC6016DD4EC}"/>
    <cellStyle name="Normal 17 20 4 2 3" xfId="22661" xr:uid="{D08582AB-4E26-4D35-9619-B45EAAEFCFF9}"/>
    <cellStyle name="Normal 17 20 4 3" xfId="10369" xr:uid="{BF35295B-ADD5-4870-83C8-AC14EC95DCFD}"/>
    <cellStyle name="Normal 17 20 4 3 2" xfId="26573" xr:uid="{B0C1E86C-807F-4E19-B6A4-FD789D484519}"/>
    <cellStyle name="Normal 17 20 4 4" xfId="18895" xr:uid="{E9C964AD-AC83-4BD8-B931-AA5AA9495004}"/>
    <cellStyle name="Normal 17 20 5" xfId="3552" xr:uid="{F14F995D-EA57-45D0-A2BB-D3423A35350C}"/>
    <cellStyle name="Normal 17 20 5 2" xfId="7307" xr:uid="{3F1A36C4-10B3-4604-B344-FC26DEFEBA02}"/>
    <cellStyle name="Normal 17 20 5 2 2" xfId="14817" xr:uid="{40431E30-2F71-4864-8D7F-909ADDCB4705}"/>
    <cellStyle name="Normal 17 20 5 2 2 2" xfId="31021" xr:uid="{E15ABA5C-B590-4E3E-8C38-CCF496765F85}"/>
    <cellStyle name="Normal 17 20 5 2 3" xfId="23511" xr:uid="{DFEAAA6D-00EF-490C-A416-AEB8738D033B}"/>
    <cellStyle name="Normal 17 20 5 3" xfId="11214" xr:uid="{A39EA5C0-9D4F-4598-93E8-7E9627412998}"/>
    <cellStyle name="Normal 17 20 5 3 2" xfId="27418" xr:uid="{C0F3973B-C0A5-4F93-863C-742C4C9F0723}"/>
    <cellStyle name="Normal 17 20 5 4" xfId="19768" xr:uid="{E1593F73-BD14-43C6-B655-DD3BF38939EC}"/>
    <cellStyle name="Normal 17 20 6" xfId="4073" xr:uid="{B891DEA1-69A7-4A42-8549-45AB6FAF08EB}"/>
    <cellStyle name="Normal 17 20 6 2" xfId="7743" xr:uid="{AF0D21A8-C675-4ECB-82DF-9A0416DDA6C4}"/>
    <cellStyle name="Normal 17 20 6 2 2" xfId="15250" xr:uid="{6BA0B88B-CE65-46F6-91BC-0A71FAF2B174}"/>
    <cellStyle name="Normal 17 20 6 2 2 2" xfId="31454" xr:uid="{77CBE8F7-F4EF-4F23-A3B9-634B514DFBFB}"/>
    <cellStyle name="Normal 17 20 6 2 3" xfId="23947" xr:uid="{EEF0E6C1-7D98-419A-A6F7-ECAA5DA8E619}"/>
    <cellStyle name="Normal 17 20 6 3" xfId="11636" xr:uid="{F2D41858-976B-4951-8C74-05D90D7682B0}"/>
    <cellStyle name="Normal 17 20 6 3 2" xfId="27840" xr:uid="{50D72C30-9F1B-479A-AD8E-18FC6CCBEBDD}"/>
    <cellStyle name="Normal 17 20 6 4" xfId="20277" xr:uid="{76B0AB20-8B14-4084-BC6B-E3AA4AA0CDAB}"/>
    <cellStyle name="Normal 17 20 7" xfId="4498" xr:uid="{1A8BCBA0-C1EF-420E-BF71-C91912E73D14}"/>
    <cellStyle name="Normal 17 20 7 2" xfId="8168" xr:uid="{B237D305-A8E9-4EA2-94FC-3E186F0DBF12}"/>
    <cellStyle name="Normal 17 20 7 2 2" xfId="15675" xr:uid="{6922B347-C198-4394-B597-C8D551959E28}"/>
    <cellStyle name="Normal 17 20 7 2 2 2" xfId="31879" xr:uid="{2A93F815-3C4A-4BC7-A453-559C2845D797}"/>
    <cellStyle name="Normal 17 20 7 2 3" xfId="24372" xr:uid="{7FABE885-62AA-4C27-B0B4-B5549E1E2E43}"/>
    <cellStyle name="Normal 17 20 7 3" xfId="12061" xr:uid="{E54463FA-B667-4D26-BFF3-0D65E862E5E6}"/>
    <cellStyle name="Normal 17 20 7 3 2" xfId="28265" xr:uid="{7FD9788E-EB97-4385-A286-90D6B5A755D5}"/>
    <cellStyle name="Normal 17 20 7 4" xfId="20702" xr:uid="{F842CE59-FB42-4D1A-A975-859C3718B51F}"/>
    <cellStyle name="Normal 17 20 8" xfId="4924" xr:uid="{A55AE4A3-1294-4CB6-8DC7-6CADE9B5B06B}"/>
    <cellStyle name="Normal 17 20 8 2" xfId="8591" xr:uid="{2F4C9F6C-D0C5-405F-AB8B-5FA8A411FECF}"/>
    <cellStyle name="Normal 17 20 8 2 2" xfId="16098" xr:uid="{672FD3CA-A50C-4AA4-84F0-94056020461C}"/>
    <cellStyle name="Normal 17 20 8 2 2 2" xfId="32302" xr:uid="{082B09DF-8F36-479B-BA8F-DC4727DE035B}"/>
    <cellStyle name="Normal 17 20 8 2 3" xfId="24795" xr:uid="{29E20789-84A6-497E-9C2C-30825E67C412}"/>
    <cellStyle name="Normal 17 20 8 3" xfId="12483" xr:uid="{47B9A40D-48A1-4ECF-9503-19FB9492939C}"/>
    <cellStyle name="Normal 17 20 8 3 2" xfId="28687" xr:uid="{25A33858-AD10-47CF-AEE4-9B6ECE577340}"/>
    <cellStyle name="Normal 17 20 8 4" xfId="21128" xr:uid="{1BC329B0-2E57-4366-8638-5FCFF1B4EA36}"/>
    <cellStyle name="Normal 17 20 9" xfId="5419" xr:uid="{148B48EC-512F-47BD-A6C9-AB1CEDF6D4C5}"/>
    <cellStyle name="Normal 17 20 9 2" xfId="12966" xr:uid="{07A422E2-4FC7-4C3F-A96E-DF74D2545BBE}"/>
    <cellStyle name="Normal 17 20 9 2 2" xfId="29170" xr:uid="{4985A64D-6E56-4A78-9E57-4744CBF68F9E}"/>
    <cellStyle name="Normal 17 20 9 3" xfId="21623" xr:uid="{75E8FFC6-B084-43BC-BDDB-566DCAD56CEE}"/>
    <cellStyle name="Normal 17 21" xfId="944" xr:uid="{96A3E19F-65A2-4E82-97C9-1F03E7DCBA45}"/>
    <cellStyle name="Normal 17 21 10" xfId="9525" xr:uid="{404366A6-099D-400D-A025-A6196B4B362F}"/>
    <cellStyle name="Normal 17 21 10 2" xfId="25729" xr:uid="{11B6B7B9-2DD7-4D5E-913F-D37D9ECFFD54}"/>
    <cellStyle name="Normal 17 21 11" xfId="18043" xr:uid="{D093ADE0-E1A9-4D2E-A17E-CA41768937F5}"/>
    <cellStyle name="Normal 17 21 2" xfId="1976" xr:uid="{15C79E6B-AB55-4F89-9247-474FCC145939}"/>
    <cellStyle name="Normal 17 21 2 10" xfId="18279" xr:uid="{B0189723-4939-48AE-BE36-9CBA77391DB3}"/>
    <cellStyle name="Normal 17 21 2 2" xfId="2482" xr:uid="{8064904B-3268-48CC-8654-C8BFA647553C}"/>
    <cellStyle name="Normal 17 21 2 2 2" xfId="3329" xr:uid="{D35B2EEF-3C75-4BF3-BF62-D02B0F1156FB}"/>
    <cellStyle name="Normal 17 21 2 2 2 2" xfId="7111" xr:uid="{68B4F362-6D38-4AEB-92B4-BC92A131D298}"/>
    <cellStyle name="Normal 17 21 2 2 2 2 2" xfId="14622" xr:uid="{10553E52-8D07-42FA-9D84-8A287F91AA5C}"/>
    <cellStyle name="Normal 17 21 2 2 2 2 2 2" xfId="30826" xr:uid="{DFC216E9-223A-46A2-9D0C-22AFC6B76F80}"/>
    <cellStyle name="Normal 17 21 2 2 2 2 3" xfId="23315" xr:uid="{FCD45349-9D56-4F08-8CA1-743976933E26}"/>
    <cellStyle name="Normal 17 21 2 2 2 3" xfId="11022" xr:uid="{BF70352C-F5DF-4F06-A613-D9277892C4F9}"/>
    <cellStyle name="Normal 17 21 2 2 2 3 2" xfId="27226" xr:uid="{9D031772-22B0-490C-A894-F530E4B46BAF}"/>
    <cellStyle name="Normal 17 21 2 2 2 4" xfId="19549" xr:uid="{6473B9B5-02B0-41BC-973D-AFD4CDC08B1F}"/>
    <cellStyle name="Normal 17 21 2 2 3" xfId="6266" xr:uid="{A6A0422B-D148-403C-9FC3-5ECCA794488E}"/>
    <cellStyle name="Normal 17 21 2 2 3 2" xfId="13778" xr:uid="{41462378-F540-4B45-93BC-1B6EAEB5470D}"/>
    <cellStyle name="Normal 17 21 2 2 3 2 2" xfId="29982" xr:uid="{2D521341-FC98-4A99-B386-11A4DD7B7822}"/>
    <cellStyle name="Normal 17 21 2 2 3 3" xfId="22470" xr:uid="{1E9EF086-703B-44B0-AB22-2BA8C74BB4C7}"/>
    <cellStyle name="Normal 17 21 2 2 4" xfId="10178" xr:uid="{798D9FE6-6311-4E81-BE96-C600212915A9}"/>
    <cellStyle name="Normal 17 21 2 2 4 2" xfId="26382" xr:uid="{C697C877-F91C-4E39-B08B-D92E56674F29}"/>
    <cellStyle name="Normal 17 21 2 2 5" xfId="18704" xr:uid="{9BD0027E-EF05-4C16-A76D-88AB42CE4286}"/>
    <cellStyle name="Normal 17 21 2 3" xfId="2904" xr:uid="{964C7D12-4A23-424D-9AAE-5C916162C137}"/>
    <cellStyle name="Normal 17 21 2 3 2" xfId="6688" xr:uid="{9C698413-E5F3-4DA7-8006-B03A353A8B7E}"/>
    <cellStyle name="Normal 17 21 2 3 2 2" xfId="14200" xr:uid="{1622C3DE-3380-4C57-A588-A09DA92B62C2}"/>
    <cellStyle name="Normal 17 21 2 3 2 2 2" xfId="30404" xr:uid="{A6EDC438-DD63-4CEE-9C60-C90048C41262}"/>
    <cellStyle name="Normal 17 21 2 3 2 3" xfId="22892" xr:uid="{EE1F887C-33A2-443F-B096-D07763DCB208}"/>
    <cellStyle name="Normal 17 21 2 3 3" xfId="10600" xr:uid="{3BC0C0FB-A5E7-41DF-A0FB-2B367ECE69E7}"/>
    <cellStyle name="Normal 17 21 2 3 3 2" xfId="26804" xr:uid="{0821EA6A-936D-442E-83B7-1F45B35BD2A5}"/>
    <cellStyle name="Normal 17 21 2 3 4" xfId="19126" xr:uid="{AE881C44-CEF7-43EE-92C3-7B5A53BE468B}"/>
    <cellStyle name="Normal 17 21 2 4" xfId="3835" xr:uid="{1DFCCEB5-2416-49A4-AD54-2531979A8DCA}"/>
    <cellStyle name="Normal 17 21 2 4 2" xfId="7545" xr:uid="{124C380C-20AA-42BF-A4EC-890E7E420C04}"/>
    <cellStyle name="Normal 17 21 2 4 2 2" xfId="15054" xr:uid="{3B974F1B-E748-4A2E-B324-2BF83E5107AC}"/>
    <cellStyle name="Normal 17 21 2 4 2 2 2" xfId="31258" xr:uid="{EF911AB5-EC29-41F7-8AE9-931C834406F4}"/>
    <cellStyle name="Normal 17 21 2 4 2 3" xfId="23749" xr:uid="{52B8C831-3874-4563-AD28-C0872FDC0F09}"/>
    <cellStyle name="Normal 17 21 2 4 3" xfId="11445" xr:uid="{E1BD0F19-6052-403D-9422-C6AC21402414}"/>
    <cellStyle name="Normal 17 21 2 4 3 2" xfId="27649" xr:uid="{83F02C30-2CD6-46CF-9F64-16E85D7D1AF4}"/>
    <cellStyle name="Normal 17 21 2 4 4" xfId="20044" xr:uid="{2E69139A-DD3C-4D14-85FF-AFCE3673A5A8}"/>
    <cellStyle name="Normal 17 21 2 5" xfId="4304" xr:uid="{0B6359BA-2F65-465F-BFD6-2A782A6EDAF5}"/>
    <cellStyle name="Normal 17 21 2 5 2" xfId="7974" xr:uid="{5BBC8ABE-7636-41D4-B1C8-6D4A3DB64357}"/>
    <cellStyle name="Normal 17 21 2 5 2 2" xfId="15481" xr:uid="{616998A4-EF28-4B0E-975A-F3A15E5F98C3}"/>
    <cellStyle name="Normal 17 21 2 5 2 2 2" xfId="31685" xr:uid="{BFDB17DE-255D-4219-8C25-01A2FF4FC622}"/>
    <cellStyle name="Normal 17 21 2 5 2 3" xfId="24178" xr:uid="{654A1EDB-2BBD-4DBD-BF7D-FC83EE3DD86B}"/>
    <cellStyle name="Normal 17 21 2 5 3" xfId="11867" xr:uid="{5D961726-50BF-41C5-B300-00CC4420E9E0}"/>
    <cellStyle name="Normal 17 21 2 5 3 2" xfId="28071" xr:uid="{90A3A196-0CF4-46BB-8AF0-AFB6224F6EB6}"/>
    <cellStyle name="Normal 17 21 2 5 4" xfId="20508" xr:uid="{3182DD7B-8771-4875-BFDB-59836235A0E1}"/>
    <cellStyle name="Normal 17 21 2 6" xfId="4729" xr:uid="{AEAB674E-008F-46FB-A429-2963EAD183A7}"/>
    <cellStyle name="Normal 17 21 2 6 2" xfId="8399" xr:uid="{30B1B5D4-6BFF-44BE-BC43-B00DCE148B7E}"/>
    <cellStyle name="Normal 17 21 2 6 2 2" xfId="15906" xr:uid="{5F498AB3-EFFB-483A-BA6E-88D5F2A88BC3}"/>
    <cellStyle name="Normal 17 21 2 6 2 2 2" xfId="32110" xr:uid="{CA8660CD-44D2-4A3D-B038-690C540DC7A3}"/>
    <cellStyle name="Normal 17 21 2 6 2 3" xfId="24603" xr:uid="{B91869D0-577F-433F-9967-645F9F57FB5E}"/>
    <cellStyle name="Normal 17 21 2 6 3" xfId="12292" xr:uid="{9393E6C3-85BA-4D6F-A080-F8B91BD8AE8F}"/>
    <cellStyle name="Normal 17 21 2 6 3 2" xfId="28496" xr:uid="{86E4687A-B6B3-408B-82AD-34AE08BEE15E}"/>
    <cellStyle name="Normal 17 21 2 6 4" xfId="20933" xr:uid="{F5752F9E-C1EC-4A68-AAB3-02839AC53EF9}"/>
    <cellStyle name="Normal 17 21 2 7" xfId="5157" xr:uid="{CE7F5964-954B-4284-8652-216D878C20AD}"/>
    <cellStyle name="Normal 17 21 2 7 2" xfId="8822" xr:uid="{92085801-8647-4F52-A015-68CCA1D0B284}"/>
    <cellStyle name="Normal 17 21 2 7 2 2" xfId="16329" xr:uid="{DA50AAFF-3129-424B-BFFA-B4B2315C7F40}"/>
    <cellStyle name="Normal 17 21 2 7 2 2 2" xfId="32533" xr:uid="{2751D623-F01E-4649-BED6-C76948F9193E}"/>
    <cellStyle name="Normal 17 21 2 7 2 3" xfId="25026" xr:uid="{7D9E7E65-4C8C-439B-845F-61E13E020090}"/>
    <cellStyle name="Normal 17 21 2 7 3" xfId="12714" xr:uid="{B44E63E8-BBDC-4289-8F32-3A94C03DC7C6}"/>
    <cellStyle name="Normal 17 21 2 7 3 2" xfId="28918" xr:uid="{4AA65ACF-EE07-40EA-9B40-329B20C61AE9}"/>
    <cellStyle name="Normal 17 21 2 7 4" xfId="21361" xr:uid="{1DE6F713-FCB8-46A4-93C1-D4641C7BE30A}"/>
    <cellStyle name="Normal 17 21 2 8" xfId="5828" xr:uid="{1D08FD4E-53DF-4A39-B1D2-FC1910E4E499}"/>
    <cellStyle name="Normal 17 21 2 8 2" xfId="13343" xr:uid="{05B8B476-D8CE-4743-A5F7-79341A49EE33}"/>
    <cellStyle name="Normal 17 21 2 8 2 2" xfId="29547" xr:uid="{9C6A2FBE-84C2-49E3-830B-3142F64D283D}"/>
    <cellStyle name="Normal 17 21 2 8 3" xfId="22032" xr:uid="{8B86D491-D7AB-415F-B849-4EB1F6026087}"/>
    <cellStyle name="Normal 17 21 2 9" xfId="9755" xr:uid="{B43C8509-E187-4A7E-B8EA-2FAF44B40903}"/>
    <cellStyle name="Normal 17 21 2 9 2" xfId="25959" xr:uid="{D9CCFF17-808F-4CEE-A811-DBEA98DD7E6B}"/>
    <cellStyle name="Normal 17 21 3" xfId="2189" xr:uid="{5951F6A2-7C3F-4432-8FC3-8A18F67912E2}"/>
    <cellStyle name="Normal 17 21 3 2" xfId="3099" xr:uid="{B8C2487E-0C4F-461A-A8ED-2D65BD411119}"/>
    <cellStyle name="Normal 17 21 3 2 2" xfId="6881" xr:uid="{773C6F49-F0F3-4B75-AF26-E759BD73E7C9}"/>
    <cellStyle name="Normal 17 21 3 2 2 2" xfId="14392" xr:uid="{BE35E4C2-E45C-403A-A5F0-7D8A906B624C}"/>
    <cellStyle name="Normal 17 21 3 2 2 2 2" xfId="30596" xr:uid="{F7DA762F-72BC-45B7-8EFC-AC8D5A5B618A}"/>
    <cellStyle name="Normal 17 21 3 2 2 3" xfId="23085" xr:uid="{321F6752-A86A-4247-862B-1DB46450E858}"/>
    <cellStyle name="Normal 17 21 3 2 3" xfId="10792" xr:uid="{5C46F657-031D-4C32-B231-57194304339F}"/>
    <cellStyle name="Normal 17 21 3 2 3 2" xfId="26996" xr:uid="{421CE622-667A-4315-96F5-8209FEE12AC1}"/>
    <cellStyle name="Normal 17 21 3 2 4" xfId="19319" xr:uid="{F532EC09-9091-41BC-B890-C3F6FB2A7CF7}"/>
    <cellStyle name="Normal 17 21 3 3" xfId="6025" xr:uid="{6BCA03F9-EEF2-4194-A320-D4592B29590F}"/>
    <cellStyle name="Normal 17 21 3 3 2" xfId="13539" xr:uid="{2DF57B65-C951-4B19-9E34-9E6611586EF9}"/>
    <cellStyle name="Normal 17 21 3 3 2 2" xfId="29743" xr:uid="{BE588F27-4902-43C1-80E6-63BDB4875FED}"/>
    <cellStyle name="Normal 17 21 3 3 3" xfId="22229" xr:uid="{5CEE105E-4D42-4980-AFDB-FA937C9C5CBF}"/>
    <cellStyle name="Normal 17 21 3 4" xfId="9948" xr:uid="{A2B5E2A6-B8BD-4A5F-AE5A-B1C42F200868}"/>
    <cellStyle name="Normal 17 21 3 4 2" xfId="26152" xr:uid="{6FE1D720-8082-4181-AE27-BEF65B85AD10}"/>
    <cellStyle name="Normal 17 21 3 5" xfId="18474" xr:uid="{0F2D5B85-8558-49BE-8D6E-98B7526D604A}"/>
    <cellStyle name="Normal 17 21 4" xfId="2674" xr:uid="{2EE16310-562E-414E-941B-27D099F24679}"/>
    <cellStyle name="Normal 17 21 4 2" xfId="6458" xr:uid="{4EFD1FFD-B624-4CF8-8638-0E4A86114F3C}"/>
    <cellStyle name="Normal 17 21 4 2 2" xfId="13970" xr:uid="{0ACBB0B4-C4B2-4030-92B3-B6D9F7CECA5B}"/>
    <cellStyle name="Normal 17 21 4 2 2 2" xfId="30174" xr:uid="{2C34AE71-940C-4D76-9885-D0CCCACE39EA}"/>
    <cellStyle name="Normal 17 21 4 2 3" xfId="22662" xr:uid="{4C22AAEA-95BE-473E-B256-5EB16CBA117F}"/>
    <cellStyle name="Normal 17 21 4 3" xfId="10370" xr:uid="{73DB8D69-85AD-4B7A-A788-482AA40BDE0A}"/>
    <cellStyle name="Normal 17 21 4 3 2" xfId="26574" xr:uid="{C1A29B09-6A3C-4EB0-907E-68912279BE4D}"/>
    <cellStyle name="Normal 17 21 4 4" xfId="18896" xr:uid="{10F6630D-25A5-421D-81F3-536D8E13D19D}"/>
    <cellStyle name="Normal 17 21 5" xfId="3571" xr:uid="{B3A9A198-80CB-41A2-BFC9-05B76A6B514F}"/>
    <cellStyle name="Normal 17 21 5 2" xfId="7310" xr:uid="{835BD853-136D-413E-8FF9-A2902F5F7539}"/>
    <cellStyle name="Normal 17 21 5 2 2" xfId="14819" xr:uid="{BF68E957-142A-4786-B3F2-AF5B6F2F4166}"/>
    <cellStyle name="Normal 17 21 5 2 2 2" xfId="31023" xr:uid="{F24B7A42-2556-40E6-A106-A42555634F2E}"/>
    <cellStyle name="Normal 17 21 5 2 3" xfId="23514" xr:uid="{C2FC8D2F-2D09-447E-81B1-C018889045BF}"/>
    <cellStyle name="Normal 17 21 5 3" xfId="11215" xr:uid="{F9D89E5A-404A-449F-863A-8C472F863A18}"/>
    <cellStyle name="Normal 17 21 5 3 2" xfId="27419" xr:uid="{DD6B37A7-8293-462A-A021-EB5788F4D40A}"/>
    <cellStyle name="Normal 17 21 5 4" xfId="19783" xr:uid="{4E4367A2-CFC0-465D-9413-8744A8CC4405}"/>
    <cellStyle name="Normal 17 21 6" xfId="4074" xr:uid="{E1A41AF6-DEB3-491D-B9AB-F51B93896216}"/>
    <cellStyle name="Normal 17 21 6 2" xfId="7744" xr:uid="{8CC266D9-E22E-4BEE-AB15-12930994B03A}"/>
    <cellStyle name="Normal 17 21 6 2 2" xfId="15251" xr:uid="{DC73ED52-0CE2-4F25-8B9C-91B46F1473CC}"/>
    <cellStyle name="Normal 17 21 6 2 2 2" xfId="31455" xr:uid="{A06998E6-DF3D-4083-AF88-893DE4CDC7F0}"/>
    <cellStyle name="Normal 17 21 6 2 3" xfId="23948" xr:uid="{642A14ED-56AC-44E4-BCFC-546715545ACB}"/>
    <cellStyle name="Normal 17 21 6 3" xfId="11637" xr:uid="{9ABB7F3E-D786-419A-9324-8E9E30D767B2}"/>
    <cellStyle name="Normal 17 21 6 3 2" xfId="27841" xr:uid="{10D9A60E-D2CF-4D82-8F28-FB13F70D4D95}"/>
    <cellStyle name="Normal 17 21 6 4" xfId="20278" xr:uid="{7626AD65-2C6B-4677-AB77-AAC8387C52AA}"/>
    <cellStyle name="Normal 17 21 7" xfId="4499" xr:uid="{3C4C7D10-CA18-47B9-ACE8-E14B477ED818}"/>
    <cellStyle name="Normal 17 21 7 2" xfId="8169" xr:uid="{ECAE16BE-757E-486A-9841-E38ABFA111A2}"/>
    <cellStyle name="Normal 17 21 7 2 2" xfId="15676" xr:uid="{BF538F5B-0910-483F-A71F-70D87FE74EC8}"/>
    <cellStyle name="Normal 17 21 7 2 2 2" xfId="31880" xr:uid="{075D5B76-CEE8-4DE5-9286-B0C750740534}"/>
    <cellStyle name="Normal 17 21 7 2 3" xfId="24373" xr:uid="{BFD84774-C3BD-4C0D-AAFE-86E413F22EE9}"/>
    <cellStyle name="Normal 17 21 7 3" xfId="12062" xr:uid="{216F871C-3D47-4288-A0CF-C5955008E264}"/>
    <cellStyle name="Normal 17 21 7 3 2" xfId="28266" xr:uid="{1A057958-C65B-4EBA-9F3C-D1765321CBBB}"/>
    <cellStyle name="Normal 17 21 7 4" xfId="20703" xr:uid="{5EB5AEFD-E9CC-49DC-ACE1-471FA9D2D779}"/>
    <cellStyle name="Normal 17 21 8" xfId="4925" xr:uid="{0F7D7E41-C415-4CA0-97EA-6EF8224B8B57}"/>
    <cellStyle name="Normal 17 21 8 2" xfId="8592" xr:uid="{22B0CBA6-DB79-4A9B-852B-41E245A4FADC}"/>
    <cellStyle name="Normal 17 21 8 2 2" xfId="16099" xr:uid="{979A2DA0-0C62-45BF-94D6-C2FDFAC70EFD}"/>
    <cellStyle name="Normal 17 21 8 2 2 2" xfId="32303" xr:uid="{63F19E26-16B8-43F5-B39A-5A18DB457C7E}"/>
    <cellStyle name="Normal 17 21 8 2 3" xfId="24796" xr:uid="{680DEDD1-BF34-4EF7-94E2-6E8E601D6BFD}"/>
    <cellStyle name="Normal 17 21 8 3" xfId="12484" xr:uid="{C5D4603B-1679-4A54-ABE1-13868036799C}"/>
    <cellStyle name="Normal 17 21 8 3 2" xfId="28688" xr:uid="{024DA8A1-5D8D-4245-AD8C-A9A0142308FE}"/>
    <cellStyle name="Normal 17 21 8 4" xfId="21129" xr:uid="{C3FD1523-A9CD-4352-ABA5-EA12F9420A62}"/>
    <cellStyle name="Normal 17 21 9" xfId="5460" xr:uid="{147B045F-E8B8-448C-B9B3-9291DB27A27B}"/>
    <cellStyle name="Normal 17 21 9 2" xfId="13002" xr:uid="{7077E3B7-9A23-4571-AEAA-44EC76D1D4BB}"/>
    <cellStyle name="Normal 17 21 9 2 2" xfId="29206" xr:uid="{2815C48C-C818-4D0E-89F8-E850866905ED}"/>
    <cellStyle name="Normal 17 21 9 3" xfId="21664" xr:uid="{FC5356DD-810D-4C27-B9CD-2513C8346215}"/>
    <cellStyle name="Normal 17 22" xfId="725" xr:uid="{363E77DE-E0E7-4D3E-AE42-D858C2BEB838}"/>
    <cellStyle name="Normal 17 23" xfId="1799" xr:uid="{F6E39CD9-49BA-4016-9B07-5DD35099E281}"/>
    <cellStyle name="Normal 17 23 10" xfId="18109" xr:uid="{46A2E284-F55A-4B3F-8D17-5CC46CC497A8}"/>
    <cellStyle name="Normal 17 23 2" xfId="2313" xr:uid="{724E7CD6-F7BF-4296-9833-983F30E7A0E0}"/>
    <cellStyle name="Normal 17 23 2 2" xfId="3160" xr:uid="{A39418D1-FCE5-4DC0-80FF-361B4C061CB0}"/>
    <cellStyle name="Normal 17 23 2 2 2" xfId="6942" xr:uid="{E68F16C5-9420-4DCE-A9DF-355FF8037881}"/>
    <cellStyle name="Normal 17 23 2 2 2 2" xfId="14453" xr:uid="{93478D3D-6CE2-4666-88E6-1F650389B294}"/>
    <cellStyle name="Normal 17 23 2 2 2 2 2" xfId="30657" xr:uid="{52540C20-2A1D-4BFD-9813-7306B4AD8B80}"/>
    <cellStyle name="Normal 17 23 2 2 2 3" xfId="23146" xr:uid="{39CE01A9-61A2-4D6B-B8AC-5DC005A0417B}"/>
    <cellStyle name="Normal 17 23 2 2 3" xfId="10853" xr:uid="{9A3C8992-AF5B-46DB-9AAD-4CD71155DEEA}"/>
    <cellStyle name="Normal 17 23 2 2 3 2" xfId="27057" xr:uid="{B7F1F807-60DD-4965-A39F-A761D1F6A067}"/>
    <cellStyle name="Normal 17 23 2 2 4" xfId="19380" xr:uid="{5A73691A-8D6A-426C-AA7E-0BC1C5600A87}"/>
    <cellStyle name="Normal 17 23 2 3" xfId="6097" xr:uid="{D2A4F8AC-24CF-41DC-BC85-939C5A79B026}"/>
    <cellStyle name="Normal 17 23 2 3 2" xfId="13609" xr:uid="{474DB7D7-B99F-4A53-BE25-A3579C0D2C0A}"/>
    <cellStyle name="Normal 17 23 2 3 2 2" xfId="29813" xr:uid="{84BD6673-2C09-46F2-A1E7-ED24B1C2D71C}"/>
    <cellStyle name="Normal 17 23 2 3 3" xfId="22301" xr:uid="{60410973-8477-4472-AE2A-C42D2E1EEFB9}"/>
    <cellStyle name="Normal 17 23 2 4" xfId="10009" xr:uid="{F6E962DC-F66B-4916-88F8-8B1D4BB0FF7E}"/>
    <cellStyle name="Normal 17 23 2 4 2" xfId="26213" xr:uid="{8F868293-AD60-45EB-875D-68522EFD028A}"/>
    <cellStyle name="Normal 17 23 2 5" xfId="18535" xr:uid="{11BAD331-78B3-4162-8250-591FF4B99C7F}"/>
    <cellStyle name="Normal 17 23 3" xfId="2735" xr:uid="{9175E0D9-C76E-4F93-A39C-F5A66A622C4B}"/>
    <cellStyle name="Normal 17 23 3 2" xfId="6519" xr:uid="{9165DCA7-9ED3-42EA-A0AB-CCA4CE203B6A}"/>
    <cellStyle name="Normal 17 23 3 2 2" xfId="14031" xr:uid="{DFFC0DA0-B7B6-4B34-BBBC-A4C6F50CC9D4}"/>
    <cellStyle name="Normal 17 23 3 2 2 2" xfId="30235" xr:uid="{3330F476-260B-4CC0-8DD3-939B3957D6CD}"/>
    <cellStyle name="Normal 17 23 3 2 3" xfId="22723" xr:uid="{B9A3BF29-ABDE-42CA-AEC2-DFAA03B2C57E}"/>
    <cellStyle name="Normal 17 23 3 3" xfId="10431" xr:uid="{0F3BD00C-4844-41CA-A5C8-7B142512B471}"/>
    <cellStyle name="Normal 17 23 3 3 2" xfId="26635" xr:uid="{705D5C3E-E2AD-4A99-9F6C-97EBE386BEFF}"/>
    <cellStyle name="Normal 17 23 3 4" xfId="18957" xr:uid="{6BA85550-7DDD-4D26-AC6A-31645B87B463}"/>
    <cellStyle name="Normal 17 23 4" xfId="3665" xr:uid="{DB23920E-A7FC-4FBA-A3C4-3BB7663B11EF}"/>
    <cellStyle name="Normal 17 23 4 2" xfId="7375" xr:uid="{BFDB968B-FDA6-457C-8F73-D7A821559942}"/>
    <cellStyle name="Normal 17 23 4 2 2" xfId="14884" xr:uid="{9A206393-A066-448A-8ADC-2C843E7EB6A7}"/>
    <cellStyle name="Normal 17 23 4 2 2 2" xfId="31088" xr:uid="{82FA0B64-77BF-4A64-A313-57DA378F5EDC}"/>
    <cellStyle name="Normal 17 23 4 2 3" xfId="23579" xr:uid="{6DC1F0E0-B3C8-4D1D-AB10-B99FCB7A9861}"/>
    <cellStyle name="Normal 17 23 4 3" xfId="11276" xr:uid="{0EDC4CA6-1D99-46F8-B0C1-A3D2FEB2DF25}"/>
    <cellStyle name="Normal 17 23 4 3 2" xfId="27480" xr:uid="{71D8F3FF-74BF-4D23-B8E6-07B4D0714EEA}"/>
    <cellStyle name="Normal 17 23 4 4" xfId="19874" xr:uid="{B2ADF43E-BC4C-4D06-9D83-E3CD7340688E}"/>
    <cellStyle name="Normal 17 23 5" xfId="4135" xr:uid="{78934DF9-83DB-4F14-BDF9-FF01599BD3EB}"/>
    <cellStyle name="Normal 17 23 5 2" xfId="7805" xr:uid="{47F60101-7153-46FD-A285-F5059B40A5C3}"/>
    <cellStyle name="Normal 17 23 5 2 2" xfId="15312" xr:uid="{8BF9AADD-3461-46AB-9A03-A8B83FE07F31}"/>
    <cellStyle name="Normal 17 23 5 2 2 2" xfId="31516" xr:uid="{4BBE8B78-9BB9-4535-AFE5-05A57CD9E7BD}"/>
    <cellStyle name="Normal 17 23 5 2 3" xfId="24009" xr:uid="{515837E4-06C2-40AF-A638-85F135FB9DFF}"/>
    <cellStyle name="Normal 17 23 5 3" xfId="11698" xr:uid="{55A3A619-F42D-4D4D-99EC-284CCBD8D415}"/>
    <cellStyle name="Normal 17 23 5 3 2" xfId="27902" xr:uid="{08F0E6AA-619D-4F54-8B65-2F30321FA622}"/>
    <cellStyle name="Normal 17 23 5 4" xfId="20339" xr:uid="{2DD200CA-2872-4583-8D43-62F70EB9698D}"/>
    <cellStyle name="Normal 17 23 6" xfId="4560" xr:uid="{B5A94863-8C54-4146-8887-2C1C3FE8DC3A}"/>
    <cellStyle name="Normal 17 23 6 2" xfId="8230" xr:uid="{86E576F8-F738-4141-AA13-21F6BBE70528}"/>
    <cellStyle name="Normal 17 23 6 2 2" xfId="15737" xr:uid="{E10F6355-3266-4EDE-BA67-64297301DF13}"/>
    <cellStyle name="Normal 17 23 6 2 2 2" xfId="31941" xr:uid="{53FD27C4-6A4C-47E9-A4BB-229475029C62}"/>
    <cellStyle name="Normal 17 23 6 2 3" xfId="24434" xr:uid="{DC471881-E599-4D34-BD59-0CB7C2050221}"/>
    <cellStyle name="Normal 17 23 6 3" xfId="12123" xr:uid="{39394795-9E99-49B8-A846-79DCB40CD9D3}"/>
    <cellStyle name="Normal 17 23 6 3 2" xfId="28327" xr:uid="{4DA1AD86-9D38-4D57-89E9-8FF6F4571775}"/>
    <cellStyle name="Normal 17 23 6 4" xfId="20764" xr:uid="{CBF430C6-6D7C-46F1-9CF3-B53D90273737}"/>
    <cellStyle name="Normal 17 23 7" xfId="4987" xr:uid="{B2836EBA-3C7C-4BD3-97C2-8B00973AD30C}"/>
    <cellStyle name="Normal 17 23 7 2" xfId="8653" xr:uid="{AF58F4A4-8D90-4F6B-8021-E1B0FD27E5D5}"/>
    <cellStyle name="Normal 17 23 7 2 2" xfId="16160" xr:uid="{2ACBBED7-69C2-4390-8187-C67ECFD2EFE6}"/>
    <cellStyle name="Normal 17 23 7 2 2 2" xfId="32364" xr:uid="{7EB50BE2-4089-42C0-8249-8ECDCFC04C77}"/>
    <cellStyle name="Normal 17 23 7 2 3" xfId="24857" xr:uid="{0FB89CE9-915F-49B3-A7EC-E43DB6DE68E5}"/>
    <cellStyle name="Normal 17 23 7 3" xfId="12545" xr:uid="{8C5D2874-3185-4412-A202-73DF8556DFC1}"/>
    <cellStyle name="Normal 17 23 7 3 2" xfId="28749" xr:uid="{0BE5D146-40E3-4B93-99F3-26525635DAF8}"/>
    <cellStyle name="Normal 17 23 7 4" xfId="21191" xr:uid="{16AE0CCD-8239-43E6-8AC2-E8DB7DD4EB79}"/>
    <cellStyle name="Normal 17 23 8" xfId="5658" xr:uid="{74CE9786-A836-46F7-9661-1561F093A54C}"/>
    <cellStyle name="Normal 17 23 8 2" xfId="13173" xr:uid="{973BC292-6D06-4DF5-A004-26E03751C718}"/>
    <cellStyle name="Normal 17 23 8 2 2" xfId="29377" xr:uid="{6DDB7E57-D130-4449-AE94-7D61C1FD01A3}"/>
    <cellStyle name="Normal 17 23 8 3" xfId="21862" xr:uid="{46DC260C-1F00-4F7E-8622-B4A44E671EDC}"/>
    <cellStyle name="Normal 17 23 9" xfId="9586" xr:uid="{1264FA9D-11F6-4428-93F6-E94051E6DD85}"/>
    <cellStyle name="Normal 17 23 9 2" xfId="25790" xr:uid="{D37B1CAD-3EC2-4162-BF10-43296F9C88D6}"/>
    <cellStyle name="Normal 17 24" xfId="2043" xr:uid="{5CFE53E5-5B34-480A-A010-7114ECDDD012}"/>
    <cellStyle name="Normal 17 24 2" xfId="2956" xr:uid="{46509BFF-C935-41EB-BD67-AA7B389F5687}"/>
    <cellStyle name="Normal 17 24 2 2" xfId="6738" xr:uid="{AC778F41-E281-46DF-9F9E-126184947A85}"/>
    <cellStyle name="Normal 17 24 2 2 2" xfId="14249" xr:uid="{4051AAA7-35AC-49DC-B69C-C9763800F981}"/>
    <cellStyle name="Normal 17 24 2 2 2 2" xfId="30453" xr:uid="{47283218-9F33-4888-9962-9C2D841AFB65}"/>
    <cellStyle name="Normal 17 24 2 2 3" xfId="22942" xr:uid="{28518682-4589-4ABA-9301-822F15C21F77}"/>
    <cellStyle name="Normal 17 24 2 3" xfId="10649" xr:uid="{05B23470-CA42-425E-A0E2-BF3EC12D5CF8}"/>
    <cellStyle name="Normal 17 24 2 3 2" xfId="26853" xr:uid="{42AF7DF8-896A-4350-99C0-F8F29EB69478}"/>
    <cellStyle name="Normal 17 24 2 4" xfId="19176" xr:uid="{8AD68578-1CC2-4D98-BEF8-13B4D0804462}"/>
    <cellStyle name="Normal 17 24 3" xfId="5882" xr:uid="{427E4BC4-1B20-4EF6-88E6-4EF9BD8AD9D5}"/>
    <cellStyle name="Normal 17 24 3 2" xfId="13396" xr:uid="{D027034E-CCF2-4A3A-AB9B-04A25715058E}"/>
    <cellStyle name="Normal 17 24 3 2 2" xfId="29600" xr:uid="{68D95448-5866-4926-9DE8-A8DA093ECD69}"/>
    <cellStyle name="Normal 17 24 3 3" xfId="22086" xr:uid="{8AFD0806-8439-4A17-8FCC-A5525D6CC498}"/>
    <cellStyle name="Normal 17 24 4" xfId="9805" xr:uid="{B23C849A-7ED1-4F7B-B4E9-BAE3847FA658}"/>
    <cellStyle name="Normal 17 24 4 2" xfId="26009" xr:uid="{7106F9D0-8CD6-4CA2-8AF3-8DA5E1451776}"/>
    <cellStyle name="Normal 17 24 5" xfId="18330" xr:uid="{9C3ACF77-A89D-4D20-8430-830C7FD6F1DF}"/>
    <cellStyle name="Normal 17 25" xfId="2531" xr:uid="{C3834E4D-DC02-4EDD-8525-FA077BE381F8}"/>
    <cellStyle name="Normal 17 25 2" xfId="6315" xr:uid="{3F507A05-330C-4A98-903B-E9E85AF8FE21}"/>
    <cellStyle name="Normal 17 25 2 2" xfId="13827" xr:uid="{00E73F67-F802-4E9A-925D-663654EB1D05}"/>
    <cellStyle name="Normal 17 25 2 2 2" xfId="30031" xr:uid="{3FCA50CC-F130-435A-A690-9CA6A4751F1E}"/>
    <cellStyle name="Normal 17 25 2 3" xfId="22519" xr:uid="{B19E0D0C-FC91-4987-9F3E-0D3B4DCB3A4A}"/>
    <cellStyle name="Normal 17 25 3" xfId="10227" xr:uid="{F288ADAE-1E9C-4073-9052-16DF70AFF860}"/>
    <cellStyle name="Normal 17 25 3 2" xfId="26431" xr:uid="{C3C76421-7A04-4681-82F0-82CC024834E5}"/>
    <cellStyle name="Normal 17 25 4" xfId="18753" xr:uid="{4204A108-7920-4135-8102-0A5AA62C7A23}"/>
    <cellStyle name="Normal 17 26" xfId="3400" xr:uid="{8DE39D76-2F6F-4E13-96F0-1B55227018FD}"/>
    <cellStyle name="Normal 17 26 2" xfId="7164" xr:uid="{2D55BE34-8882-4E4D-A15F-7F476FEB780C}"/>
    <cellStyle name="Normal 17 26 2 2" xfId="14675" xr:uid="{80029B1D-0784-4C60-ACD7-95155774D2C0}"/>
    <cellStyle name="Normal 17 26 2 2 2" xfId="30879" xr:uid="{ADFA694D-0C3E-49B6-AC54-C5785CC516E2}"/>
    <cellStyle name="Normal 17 26 2 3" xfId="23368" xr:uid="{1256AAC0-701D-48E6-8AEA-086D34256883}"/>
    <cellStyle name="Normal 17 26 3" xfId="11072" xr:uid="{210DB367-F231-4CEF-949F-D324B34B7266}"/>
    <cellStyle name="Normal 17 26 3 2" xfId="27276" xr:uid="{212ED91F-5983-4160-8F03-C83DF5C3F984}"/>
    <cellStyle name="Normal 17 26 4" xfId="19616" xr:uid="{E594CF95-BC54-44E5-BCA9-60F61BD7B10F}"/>
    <cellStyle name="Normal 17 27" xfId="3931" xr:uid="{EDE8897B-DBCA-4DE5-9DA4-D53C7224351C}"/>
    <cellStyle name="Normal 17 27 2" xfId="7601" xr:uid="{D1655415-C0F8-4766-8D08-6B0980B684CD}"/>
    <cellStyle name="Normal 17 27 2 2" xfId="15108" xr:uid="{F670420C-E553-495E-A96B-EF31876E5201}"/>
    <cellStyle name="Normal 17 27 2 2 2" xfId="31312" xr:uid="{3C6EAF01-0304-4F4A-8CFA-95F555473AAD}"/>
    <cellStyle name="Normal 17 27 2 3" xfId="23805" xr:uid="{0A203DA0-873C-48E7-A334-11825172F81D}"/>
    <cellStyle name="Normal 17 27 3" xfId="11494" xr:uid="{9F17EF1A-465E-46D2-8969-D6C7727E9AC7}"/>
    <cellStyle name="Normal 17 27 3 2" xfId="27698" xr:uid="{A8AC5635-4C8E-4334-9BD4-A08AC0E849A7}"/>
    <cellStyle name="Normal 17 27 4" xfId="20135" xr:uid="{69970469-F5F1-47FB-B920-4B3607FD83A7}"/>
    <cellStyle name="Normal 17 28" xfId="4356" xr:uid="{DBE43978-EF5F-4A1C-A37C-D799A71FA17B}"/>
    <cellStyle name="Normal 17 28 2" xfId="8026" xr:uid="{B8FA4901-F64C-4D12-97B6-07FB896F2897}"/>
    <cellStyle name="Normal 17 28 2 2" xfId="15533" xr:uid="{54F8ADF1-8F41-4F18-B115-BD8F6BC9BD4C}"/>
    <cellStyle name="Normal 17 28 2 2 2" xfId="31737" xr:uid="{83685ADD-3FA7-49B0-8D5F-6D981610691D}"/>
    <cellStyle name="Normal 17 28 2 3" xfId="24230" xr:uid="{CBA18D34-F8B8-4064-A6E8-9A7E02A5E513}"/>
    <cellStyle name="Normal 17 28 3" xfId="11919" xr:uid="{852FBD53-EBD9-4BB1-B593-7E43D107DD83}"/>
    <cellStyle name="Normal 17 28 3 2" xfId="28123" xr:uid="{720FF7D4-7F09-4880-A4F2-5DB946F8E843}"/>
    <cellStyle name="Normal 17 28 4" xfId="20560" xr:uid="{8E0041D6-B0CA-4AAE-BBA2-1B9B99C4DF79}"/>
    <cellStyle name="Normal 17 29" xfId="4778" xr:uid="{B037D4F2-BE4B-49B6-885F-A115DE3DD551}"/>
    <cellStyle name="Normal 17 29 2" xfId="8448" xr:uid="{3181996A-0ECA-47BD-91AF-D8B932BBF6CD}"/>
    <cellStyle name="Normal 17 29 2 2" xfId="15955" xr:uid="{1672BBB7-76F7-40E5-A5C0-E3BF92BA63DE}"/>
    <cellStyle name="Normal 17 29 2 2 2" xfId="32159" xr:uid="{00F833DB-ECD7-4607-8EF0-1CAB93998F0F}"/>
    <cellStyle name="Normal 17 29 2 3" xfId="24652" xr:uid="{56454D49-A8DE-4CC5-BB18-478185C484D8}"/>
    <cellStyle name="Normal 17 29 3" xfId="12341" xr:uid="{2CBF15F3-0032-4E9C-84F9-1C732E861EF5}"/>
    <cellStyle name="Normal 17 29 3 2" xfId="28545" xr:uid="{A0CEFDBF-A41B-48DB-B065-B75AE7282972}"/>
    <cellStyle name="Normal 17 29 4" xfId="20982" xr:uid="{C07614F4-F25C-4EF0-9C87-33B397AD6C0E}"/>
    <cellStyle name="Normal 17 3" xfId="400" xr:uid="{7F531BD7-6C1E-4612-B4B8-F4EA6C035FAB}"/>
    <cellStyle name="Normal 17 3 10" xfId="3934" xr:uid="{0DE389E2-4DF4-40F2-9E91-B8D830C662FA}"/>
    <cellStyle name="Normal 17 3 10 2" xfId="7604" xr:uid="{11E4EA69-49DE-447F-8813-64D75EA99B66}"/>
    <cellStyle name="Normal 17 3 10 2 2" xfId="15111" xr:uid="{5D9FAA81-C4A9-463B-B05D-BB3729DBD744}"/>
    <cellStyle name="Normal 17 3 10 2 2 2" xfId="31315" xr:uid="{EFBA898A-1BEF-4C3A-A037-3F9D1DF271F9}"/>
    <cellStyle name="Normal 17 3 10 2 3" xfId="23808" xr:uid="{609C5409-F2CA-45BE-A44F-5AAD71D7FFB1}"/>
    <cellStyle name="Normal 17 3 10 3" xfId="11497" xr:uid="{BC9DD50B-6E46-47BD-BB21-B66B5A432915}"/>
    <cellStyle name="Normal 17 3 10 3 2" xfId="27701" xr:uid="{DC825D2B-4DB3-446E-AA4C-D12AA12CDF99}"/>
    <cellStyle name="Normal 17 3 10 4" xfId="20138" xr:uid="{4B954DEF-C338-4835-8020-F701E6CDE293}"/>
    <cellStyle name="Normal 17 3 11" xfId="4359" xr:uid="{0BD3848C-3DFA-4446-9047-CE8F2BC6013A}"/>
    <cellStyle name="Normal 17 3 11 2" xfId="8029" xr:uid="{3B377493-4A5E-489C-8284-8E68667C7A8D}"/>
    <cellStyle name="Normal 17 3 11 2 2" xfId="15536" xr:uid="{EF12F677-8706-4D9F-AAFA-4BCD2246D5ED}"/>
    <cellStyle name="Normal 17 3 11 2 2 2" xfId="31740" xr:uid="{27147859-5F24-49F2-B64C-B76600DF7707}"/>
    <cellStyle name="Normal 17 3 11 2 3" xfId="24233" xr:uid="{9976DB60-F103-40BB-8628-82F422197911}"/>
    <cellStyle name="Normal 17 3 11 3" xfId="11922" xr:uid="{861C3521-0416-4128-927A-85DB767EB00E}"/>
    <cellStyle name="Normal 17 3 11 3 2" xfId="28126" xr:uid="{9F00639D-105A-4588-82F1-84D604B5A004}"/>
    <cellStyle name="Normal 17 3 11 4" xfId="20563" xr:uid="{D5370024-4FEA-40C9-B5D2-AFE1B917DB45}"/>
    <cellStyle name="Normal 17 3 12" xfId="4782" xr:uid="{5BF64318-19E6-416F-803D-19B01DCB1D4F}"/>
    <cellStyle name="Normal 17 3 12 2" xfId="8451" xr:uid="{70B4E06B-AC2E-4D41-AA11-7BD79FE12CB2}"/>
    <cellStyle name="Normal 17 3 12 2 2" xfId="15958" xr:uid="{8434347E-DF3E-4E7B-BB6B-846975269A58}"/>
    <cellStyle name="Normal 17 3 12 2 2 2" xfId="32162" xr:uid="{C9FDC7E9-CA18-473B-8AE1-7BB38F77E864}"/>
    <cellStyle name="Normal 17 3 12 2 3" xfId="24655" xr:uid="{187ED2B2-3DB4-4082-9545-9660AEDAB440}"/>
    <cellStyle name="Normal 17 3 12 3" xfId="12344" xr:uid="{E2925DED-7290-4D80-932D-393571357347}"/>
    <cellStyle name="Normal 17 3 12 3 2" xfId="28548" xr:uid="{77AB578E-0ADE-4EFC-9D65-731A91BF8209}"/>
    <cellStyle name="Normal 17 3 12 4" xfId="20986" xr:uid="{8F9427A9-FE15-4F42-8A85-09641E619B40}"/>
    <cellStyle name="Normal 17 3 13" xfId="5259" xr:uid="{0FF96FA2-A2ED-4422-98ED-DA4C2B9DA38E}"/>
    <cellStyle name="Normal 17 3 13 2" xfId="12808" xr:uid="{9340220E-9CD5-4F30-B15C-0139F649930E}"/>
    <cellStyle name="Normal 17 3 13 2 2" xfId="29012" xr:uid="{F015ECB0-63A9-4E2E-8DA6-300D7F0DD7A4}"/>
    <cellStyle name="Normal 17 3 13 3" xfId="21463" xr:uid="{CA568338-811F-4571-8B66-E8DD4AFDA728}"/>
    <cellStyle name="Normal 17 3 14" xfId="9385" xr:uid="{86A5C26B-2B9A-4FB8-815B-C84447E75FD3}"/>
    <cellStyle name="Normal 17 3 14 2" xfId="25589" xr:uid="{0C9B6654-82AD-4160-AE5A-A9231A9CFB67}"/>
    <cellStyle name="Normal 17 3 15" xfId="17899" xr:uid="{129910D5-3DFE-48CD-A24C-A9663D7072CD}"/>
    <cellStyle name="Normal 17 3 2" xfId="445" xr:uid="{64C708B5-0734-49B6-91B9-15889BFCDE40}"/>
    <cellStyle name="Normal 17 3 2 10" xfId="4362" xr:uid="{513A4CD7-D540-4C5D-8364-46363BDE1AC3}"/>
    <cellStyle name="Normal 17 3 2 10 2" xfId="8032" xr:uid="{88290C51-BDF6-419B-AF51-D047F26F9AF5}"/>
    <cellStyle name="Normal 17 3 2 10 2 2" xfId="15539" xr:uid="{D7E6C883-B149-4955-86B9-5D8DB4D08948}"/>
    <cellStyle name="Normal 17 3 2 10 2 2 2" xfId="31743" xr:uid="{3022D7E8-3A4D-4989-B768-83992F02E8B8}"/>
    <cellStyle name="Normal 17 3 2 10 2 3" xfId="24236" xr:uid="{7D241943-B567-4A42-83D6-1085B8E770B8}"/>
    <cellStyle name="Normal 17 3 2 10 3" xfId="11925" xr:uid="{517FB32F-8F0C-4EA6-AC80-8316576654BA}"/>
    <cellStyle name="Normal 17 3 2 10 3 2" xfId="28129" xr:uid="{B83F69B6-4B83-40BC-B575-F959FE78B3E7}"/>
    <cellStyle name="Normal 17 3 2 10 4" xfId="20566" xr:uid="{35C7DEAF-868B-4A8D-B15C-6AFB581FD049}"/>
    <cellStyle name="Normal 17 3 2 11" xfId="4785" xr:uid="{8E05119B-676B-4F40-8EE6-E4E81950F761}"/>
    <cellStyle name="Normal 17 3 2 11 2" xfId="8454" xr:uid="{326A1871-6AB1-49EB-B0B9-0120E4505F32}"/>
    <cellStyle name="Normal 17 3 2 11 2 2" xfId="15961" xr:uid="{40328820-7FD4-4858-951B-B46402A448BC}"/>
    <cellStyle name="Normal 17 3 2 11 2 2 2" xfId="32165" xr:uid="{C2EFBAF6-F47B-4100-9AB9-BB5D0B72F1A6}"/>
    <cellStyle name="Normal 17 3 2 11 2 3" xfId="24658" xr:uid="{E88FA469-B53B-4FDB-9B2F-50CA03EC08B6}"/>
    <cellStyle name="Normal 17 3 2 11 3" xfId="12347" xr:uid="{4EE0E988-44AD-42C4-B745-83C955E55897}"/>
    <cellStyle name="Normal 17 3 2 11 3 2" xfId="28551" xr:uid="{5B32A689-226F-413C-AD03-9315DBD224F9}"/>
    <cellStyle name="Normal 17 3 2 11 4" xfId="20989" xr:uid="{E024809E-6450-4E2E-A0CB-AD9AE91D1BC8}"/>
    <cellStyle name="Normal 17 3 2 12" xfId="5270" xr:uid="{5F9B1150-D325-4759-A74C-E9CE39381F75}"/>
    <cellStyle name="Normal 17 3 2 12 2" xfId="12819" xr:uid="{DF0033D8-A5D1-4967-AAA7-589832D07825}"/>
    <cellStyle name="Normal 17 3 2 12 2 2" xfId="29023" xr:uid="{07189A47-8508-4650-AD43-B112993B048F}"/>
    <cellStyle name="Normal 17 3 2 12 3" xfId="21474" xr:uid="{08D74CCE-97C8-405A-9E2F-C53D69FFB92B}"/>
    <cellStyle name="Normal 17 3 2 13" xfId="9388" xr:uid="{59A87B4B-3DF1-495A-85C0-8857F7C37C7E}"/>
    <cellStyle name="Normal 17 3 2 13 2" xfId="25592" xr:uid="{5998FEF5-92A0-466B-8069-3AEE05A88E35}"/>
    <cellStyle name="Normal 17 3 2 14" xfId="17902" xr:uid="{6662B9E3-AC41-462B-B46C-612FFFBB86AE}"/>
    <cellStyle name="Normal 17 3 2 2" xfId="498" xr:uid="{6E0DA6F5-3E4F-4E9D-851F-938273D69E45}"/>
    <cellStyle name="Normal 17 3 2 2 10" xfId="5295" xr:uid="{6A0C1414-CB04-431B-AFC6-986D6759DC46}"/>
    <cellStyle name="Normal 17 3 2 2 10 2" xfId="12844" xr:uid="{E13487A0-0AA9-4560-B011-0620E1268316}"/>
    <cellStyle name="Normal 17 3 2 2 10 2 2" xfId="29048" xr:uid="{A881344C-BBAF-4846-AA9F-E3B27F576D89}"/>
    <cellStyle name="Normal 17 3 2 2 10 3" xfId="21499" xr:uid="{F1FF408F-E4C2-482C-80AE-7AB34DF28890}"/>
    <cellStyle name="Normal 17 3 2 2 11" xfId="9410" xr:uid="{CF3539FC-E62C-4AF8-A85F-2E4CD1FE1610}"/>
    <cellStyle name="Normal 17 3 2 2 11 2" xfId="25614" xr:uid="{C02D29DF-B38B-4D3C-BD65-565818A0C241}"/>
    <cellStyle name="Normal 17 3 2 2 12" xfId="17925" xr:uid="{01D7EEEC-7B27-4371-92A3-78362ED0A436}"/>
    <cellStyle name="Normal 17 3 2 2 2" xfId="569" xr:uid="{432B89CF-19D5-4ECA-8F4E-597589D2464B}"/>
    <cellStyle name="Normal 17 3 2 2 2 10" xfId="9477" xr:uid="{3A455C0D-4A42-4C81-B9C3-2FAC5C8B0DD0}"/>
    <cellStyle name="Normal 17 3 2 2 2 10 2" xfId="25681" xr:uid="{2166AFF7-26CA-4B21-AF7F-682E2746E41F}"/>
    <cellStyle name="Normal 17 3 2 2 2 11" xfId="17993" xr:uid="{2AAD11B1-A4F6-442F-AA76-82E4527EE45C}"/>
    <cellStyle name="Normal 17 3 2 2 2 2" xfId="1977" xr:uid="{515B0DF4-AF3D-4E45-B682-5A320E657719}"/>
    <cellStyle name="Normal 17 3 2 2 2 2 10" xfId="18280" xr:uid="{2C6E2CFE-F111-40EC-B5D0-89E1BD0C5818}"/>
    <cellStyle name="Normal 17 3 2 2 2 2 2" xfId="2483" xr:uid="{8F495283-AA1A-49F8-B698-885DB739AA4F}"/>
    <cellStyle name="Normal 17 3 2 2 2 2 2 2" xfId="3330" xr:uid="{D4AC9EE4-1670-441A-9EF0-95E4643FF9E8}"/>
    <cellStyle name="Normal 17 3 2 2 2 2 2 2 2" xfId="7112" xr:uid="{E66D55BC-24EA-4BB1-AC21-FDC5998A8379}"/>
    <cellStyle name="Normal 17 3 2 2 2 2 2 2 2 2" xfId="14623" xr:uid="{F38543E9-6A60-4578-A54D-BC96BF712AC9}"/>
    <cellStyle name="Normal 17 3 2 2 2 2 2 2 2 2 2" xfId="30827" xr:uid="{0E86EF58-D51B-402B-A09A-0804A11EF9DD}"/>
    <cellStyle name="Normal 17 3 2 2 2 2 2 2 2 3" xfId="23316" xr:uid="{2EA2DEB3-9DB4-42F8-9E8E-F4927EC2DD22}"/>
    <cellStyle name="Normal 17 3 2 2 2 2 2 2 3" xfId="11023" xr:uid="{90F2D456-C09E-47FF-A813-21C613C9C191}"/>
    <cellStyle name="Normal 17 3 2 2 2 2 2 2 3 2" xfId="27227" xr:uid="{B294FB33-B850-4579-B469-DBDDE2A1B4B4}"/>
    <cellStyle name="Normal 17 3 2 2 2 2 2 2 4" xfId="19550" xr:uid="{2D9798F2-FCD5-49A9-B69D-4782EAF83199}"/>
    <cellStyle name="Normal 17 3 2 2 2 2 2 3" xfId="6267" xr:uid="{76CA2462-7FD2-45CD-9304-3B1EBE2AFAEB}"/>
    <cellStyle name="Normal 17 3 2 2 2 2 2 3 2" xfId="13779" xr:uid="{62B309E6-7AE8-42BD-BAC3-77F7E012ACB2}"/>
    <cellStyle name="Normal 17 3 2 2 2 2 2 3 2 2" xfId="29983" xr:uid="{F58D3C88-A462-4D61-888C-324207B50F90}"/>
    <cellStyle name="Normal 17 3 2 2 2 2 2 3 3" xfId="22471" xr:uid="{14A733EE-6DC7-4A15-B6DE-F941365F19D6}"/>
    <cellStyle name="Normal 17 3 2 2 2 2 2 4" xfId="10179" xr:uid="{5893B38C-AD75-4FC7-8B04-0C88B177E999}"/>
    <cellStyle name="Normal 17 3 2 2 2 2 2 4 2" xfId="26383" xr:uid="{860ED51F-5C75-4D12-842D-ED4E63E0B97C}"/>
    <cellStyle name="Normal 17 3 2 2 2 2 2 5" xfId="18705" xr:uid="{AB2E801F-B4F5-422F-B364-83E33878580B}"/>
    <cellStyle name="Normal 17 3 2 2 2 2 3" xfId="2905" xr:uid="{5A2379E5-51D1-4BD5-B5D6-41146609FF60}"/>
    <cellStyle name="Normal 17 3 2 2 2 2 3 2" xfId="6689" xr:uid="{E0860EC3-D85F-420E-AFF0-FF14422B81D4}"/>
    <cellStyle name="Normal 17 3 2 2 2 2 3 2 2" xfId="14201" xr:uid="{96DEE49F-DBF3-4A83-8AE1-B64B1E60E29B}"/>
    <cellStyle name="Normal 17 3 2 2 2 2 3 2 2 2" xfId="30405" xr:uid="{906D1A7A-5292-4856-878F-BC709E525F32}"/>
    <cellStyle name="Normal 17 3 2 2 2 2 3 2 3" xfId="22893" xr:uid="{1420130C-AC5F-4FD2-A909-7FCBFFD3A1D0}"/>
    <cellStyle name="Normal 17 3 2 2 2 2 3 3" xfId="10601" xr:uid="{8161C7BF-CECD-4F57-8915-E7D36B1E0E1A}"/>
    <cellStyle name="Normal 17 3 2 2 2 2 3 3 2" xfId="26805" xr:uid="{2840333E-91FC-4A1C-950D-EB7A8199201C}"/>
    <cellStyle name="Normal 17 3 2 2 2 2 3 4" xfId="19127" xr:uid="{8DBB2842-D443-4689-AD18-7D897E719474}"/>
    <cellStyle name="Normal 17 3 2 2 2 2 4" xfId="3836" xr:uid="{2416ABF3-1D36-471F-89F0-F9C6F4CE7147}"/>
    <cellStyle name="Normal 17 3 2 2 2 2 4 2" xfId="7546" xr:uid="{C6E0D8EE-F97F-4CA8-8C95-E929AAD3023F}"/>
    <cellStyle name="Normal 17 3 2 2 2 2 4 2 2" xfId="15055" xr:uid="{FC204E12-D043-4C89-85B1-7A04E3A0F0B0}"/>
    <cellStyle name="Normal 17 3 2 2 2 2 4 2 2 2" xfId="31259" xr:uid="{73B590C0-6A1D-423C-913E-F37FFD26B6AD}"/>
    <cellStyle name="Normal 17 3 2 2 2 2 4 2 3" xfId="23750" xr:uid="{159D041A-AE49-42BE-8624-4E5B656189A6}"/>
    <cellStyle name="Normal 17 3 2 2 2 2 4 3" xfId="11446" xr:uid="{D95A419C-9D03-4175-87C2-2FE69C1CFD52}"/>
    <cellStyle name="Normal 17 3 2 2 2 2 4 3 2" xfId="27650" xr:uid="{10C1E094-A5D8-4966-8B1F-F1C62626C4E2}"/>
    <cellStyle name="Normal 17 3 2 2 2 2 4 4" xfId="20045" xr:uid="{868E3A81-0F85-4027-9290-5FFF443985B5}"/>
    <cellStyle name="Normal 17 3 2 2 2 2 5" xfId="4305" xr:uid="{661B45EC-EAF2-4E75-BF8E-6B2275E062A6}"/>
    <cellStyle name="Normal 17 3 2 2 2 2 5 2" xfId="7975" xr:uid="{EF07E3A8-0DB6-4435-8D58-A63BD608AAF9}"/>
    <cellStyle name="Normal 17 3 2 2 2 2 5 2 2" xfId="15482" xr:uid="{67A99941-F03F-48EA-B15B-C32495F22D75}"/>
    <cellStyle name="Normal 17 3 2 2 2 2 5 2 2 2" xfId="31686" xr:uid="{12AF9F20-B96C-4731-87A2-5F1A772F7C05}"/>
    <cellStyle name="Normal 17 3 2 2 2 2 5 2 3" xfId="24179" xr:uid="{7CBC7C66-D188-4E75-9A38-3A531EE0603F}"/>
    <cellStyle name="Normal 17 3 2 2 2 2 5 3" xfId="11868" xr:uid="{96165BFA-B78A-4BEA-BBDB-D0F3D1D490CD}"/>
    <cellStyle name="Normal 17 3 2 2 2 2 5 3 2" xfId="28072" xr:uid="{CA261D2D-AFC6-4D4D-BD76-109BD49B3BA1}"/>
    <cellStyle name="Normal 17 3 2 2 2 2 5 4" xfId="20509" xr:uid="{4FFA06C3-B4C7-4C0D-AC79-213DC91DA303}"/>
    <cellStyle name="Normal 17 3 2 2 2 2 6" xfId="4730" xr:uid="{A5581A19-06EE-4F33-988B-5A7F126DF0BD}"/>
    <cellStyle name="Normal 17 3 2 2 2 2 6 2" xfId="8400" xr:uid="{2C8E6F2E-4F65-478F-A6A1-41A90365B7B2}"/>
    <cellStyle name="Normal 17 3 2 2 2 2 6 2 2" xfId="15907" xr:uid="{D7097793-BCCD-41A7-BBA9-E19C6CA2293A}"/>
    <cellStyle name="Normal 17 3 2 2 2 2 6 2 2 2" xfId="32111" xr:uid="{B69856F4-2677-473A-BA10-C2ACDD0380A6}"/>
    <cellStyle name="Normal 17 3 2 2 2 2 6 2 3" xfId="24604" xr:uid="{C6F88A43-E82F-4C84-8584-5F149D81D43E}"/>
    <cellStyle name="Normal 17 3 2 2 2 2 6 3" xfId="12293" xr:uid="{43187ED8-9826-45CC-98F6-71129B0E947C}"/>
    <cellStyle name="Normal 17 3 2 2 2 2 6 3 2" xfId="28497" xr:uid="{89315C6A-1913-4F86-AA1E-419490031F0B}"/>
    <cellStyle name="Normal 17 3 2 2 2 2 6 4" xfId="20934" xr:uid="{FFEE6E44-F80B-4CB0-9990-BC799DD8F58B}"/>
    <cellStyle name="Normal 17 3 2 2 2 2 7" xfId="5158" xr:uid="{5A83CB55-411C-4EB0-B2D2-7F4E3CA04B43}"/>
    <cellStyle name="Normal 17 3 2 2 2 2 7 2" xfId="8823" xr:uid="{AEF626BE-9F60-4FA8-ADBE-BE9119531DDD}"/>
    <cellStyle name="Normal 17 3 2 2 2 2 7 2 2" xfId="16330" xr:uid="{DCC7DE03-A747-4906-BF32-D00444E2C4CA}"/>
    <cellStyle name="Normal 17 3 2 2 2 2 7 2 2 2" xfId="32534" xr:uid="{9A8A876E-4BF7-4705-B68D-DF5790A824D1}"/>
    <cellStyle name="Normal 17 3 2 2 2 2 7 2 3" xfId="25027" xr:uid="{F9172C25-B016-4C72-BE88-E046BE4EE421}"/>
    <cellStyle name="Normal 17 3 2 2 2 2 7 3" xfId="12715" xr:uid="{68ECA8C4-0330-4301-A45A-141C171F0E49}"/>
    <cellStyle name="Normal 17 3 2 2 2 2 7 3 2" xfId="28919" xr:uid="{DD9D0C54-C479-467C-9EBA-82B5D976C065}"/>
    <cellStyle name="Normal 17 3 2 2 2 2 7 4" xfId="21362" xr:uid="{C01EE4FE-8C63-4DF7-A09C-A84BCCB472DD}"/>
    <cellStyle name="Normal 17 3 2 2 2 2 8" xfId="5829" xr:uid="{9D7DF04B-8E60-451E-AEEF-28AD5524C3A6}"/>
    <cellStyle name="Normal 17 3 2 2 2 2 8 2" xfId="13344" xr:uid="{78ACB22C-6ADB-412C-B33B-19D674B4EEC8}"/>
    <cellStyle name="Normal 17 3 2 2 2 2 8 2 2" xfId="29548" xr:uid="{D8203CA6-3F8A-4634-A8BC-4E8DF126A1C0}"/>
    <cellStyle name="Normal 17 3 2 2 2 2 8 3" xfId="22033" xr:uid="{39AEAB12-E9B2-4109-9177-9FDE6F126205}"/>
    <cellStyle name="Normal 17 3 2 2 2 2 9" xfId="9756" xr:uid="{D8C63A66-CD35-4F2B-8F0E-742E32EA30FA}"/>
    <cellStyle name="Normal 17 3 2 2 2 2 9 2" xfId="25960" xr:uid="{035D4288-D69B-49F0-8D2A-4AF45307D74E}"/>
    <cellStyle name="Normal 17 3 2 2 2 3" xfId="2138" xr:uid="{22C9A883-6092-4265-AF9F-8D1A955AA448}"/>
    <cellStyle name="Normal 17 3 2 2 2 3 2" xfId="3051" xr:uid="{B1A3A1AC-082F-495E-AA20-CFF07A720B0A}"/>
    <cellStyle name="Normal 17 3 2 2 2 3 2 2" xfId="6833" xr:uid="{9940C8C2-6133-4AC5-BD46-186238395C4C}"/>
    <cellStyle name="Normal 17 3 2 2 2 3 2 2 2" xfId="14344" xr:uid="{51DCE11B-DCB9-4FED-9865-A22007843BE7}"/>
    <cellStyle name="Normal 17 3 2 2 2 3 2 2 2 2" xfId="30548" xr:uid="{EF2186A6-56AE-4E41-BFEE-8801DE955804}"/>
    <cellStyle name="Normal 17 3 2 2 2 3 2 2 3" xfId="23037" xr:uid="{7B897C42-45A1-48C5-B2FA-06E26DD32189}"/>
    <cellStyle name="Normal 17 3 2 2 2 3 2 3" xfId="10744" xr:uid="{70957B11-5369-44BF-876D-DEAAB7C5747C}"/>
    <cellStyle name="Normal 17 3 2 2 2 3 2 3 2" xfId="26948" xr:uid="{5A308AC8-0DB9-40F6-AB81-603F5816400F}"/>
    <cellStyle name="Normal 17 3 2 2 2 3 2 4" xfId="19271" xr:uid="{17784284-6709-4A87-9BDC-E99EDE58C30F}"/>
    <cellStyle name="Normal 17 3 2 2 2 3 3" xfId="5977" xr:uid="{EA157E93-02C5-4E5A-8316-D6D608D881F6}"/>
    <cellStyle name="Normal 17 3 2 2 2 3 3 2" xfId="13491" xr:uid="{82A1153C-105F-40B2-9A1A-AE903799AA35}"/>
    <cellStyle name="Normal 17 3 2 2 2 3 3 2 2" xfId="29695" xr:uid="{8D0F8F93-4F80-4A7F-8004-6DA2E6B82279}"/>
    <cellStyle name="Normal 17 3 2 2 2 3 3 3" xfId="22181" xr:uid="{7B18BA7F-B93E-42FF-BAD4-19DB40ED5184}"/>
    <cellStyle name="Normal 17 3 2 2 2 3 4" xfId="9900" xr:uid="{7E4FC9BD-5402-4FF1-9D55-81720E6DDA3D}"/>
    <cellStyle name="Normal 17 3 2 2 2 3 4 2" xfId="26104" xr:uid="{7D2931E9-3147-4BB6-ADC8-92D096E42E6F}"/>
    <cellStyle name="Normal 17 3 2 2 2 3 5" xfId="18425" xr:uid="{D7AB3C3A-843F-4C14-A699-179F189CCC99}"/>
    <cellStyle name="Normal 17 3 2 2 2 4" xfId="2626" xr:uid="{49A40E82-912D-4CA9-B08D-D90FF8D70594}"/>
    <cellStyle name="Normal 17 3 2 2 2 4 2" xfId="6410" xr:uid="{5426C89E-51B1-49A3-93A9-AD324BFF4ABA}"/>
    <cellStyle name="Normal 17 3 2 2 2 4 2 2" xfId="13922" xr:uid="{6E00FAB9-22B0-4F64-8E57-B92D81A0D7CE}"/>
    <cellStyle name="Normal 17 3 2 2 2 4 2 2 2" xfId="30126" xr:uid="{28EE65B6-3FDF-4DF6-82DC-129C2C0452C8}"/>
    <cellStyle name="Normal 17 3 2 2 2 4 2 3" xfId="22614" xr:uid="{61967E0A-89AA-4248-9506-11BFC5625FC2}"/>
    <cellStyle name="Normal 17 3 2 2 2 4 3" xfId="10322" xr:uid="{8F1A8B97-02EF-4FB0-A54B-211FEAEF7D5C}"/>
    <cellStyle name="Normal 17 3 2 2 2 4 3 2" xfId="26526" xr:uid="{D8D19656-A51D-4014-B327-36B62A845D1C}"/>
    <cellStyle name="Normal 17 3 2 2 2 4 4" xfId="18848" xr:uid="{9D6BC8A0-0EEF-48D8-A2AC-BC909EF97B8E}"/>
    <cellStyle name="Normal 17 3 2 2 2 5" xfId="3502" xr:uid="{69ADC4A2-C9EC-4EDE-ABBC-E29227E6418C}"/>
    <cellStyle name="Normal 17 3 2 2 2 5 2" xfId="7260" xr:uid="{AB65C8CB-1709-4224-9478-E8DF4B4EC2C1}"/>
    <cellStyle name="Normal 17 3 2 2 2 5 2 2" xfId="14770" xr:uid="{00A4A247-9AC3-4483-8C27-8B558B8BB94F}"/>
    <cellStyle name="Normal 17 3 2 2 2 5 2 2 2" xfId="30974" xr:uid="{A24E0B42-9162-476F-B6ED-4A4F1F2A3764}"/>
    <cellStyle name="Normal 17 3 2 2 2 5 2 3" xfId="23464" xr:uid="{F712074F-54C7-4CAD-A52D-DBCF01427271}"/>
    <cellStyle name="Normal 17 3 2 2 2 5 3" xfId="11167" xr:uid="{EC0F0B26-2D45-4ED5-A4AB-F27856F69FCE}"/>
    <cellStyle name="Normal 17 3 2 2 2 5 3 2" xfId="27371" xr:uid="{0E2E61FB-3BA4-47E9-9F4E-70B7D0145285}"/>
    <cellStyle name="Normal 17 3 2 2 2 5 4" xfId="19718" xr:uid="{7DAFCFFC-3F21-4B20-883E-814DCFD74407}"/>
    <cellStyle name="Normal 17 3 2 2 2 6" xfId="4026" xr:uid="{5419A4DE-EC41-428D-9B37-F4C94AD6E5C2}"/>
    <cellStyle name="Normal 17 3 2 2 2 6 2" xfId="7696" xr:uid="{141753CB-E95D-4750-B5B9-F22F009A3375}"/>
    <cellStyle name="Normal 17 3 2 2 2 6 2 2" xfId="15203" xr:uid="{40730AF6-A14D-472F-AF8E-010053858890}"/>
    <cellStyle name="Normal 17 3 2 2 2 6 2 2 2" xfId="31407" xr:uid="{EA92F1F4-5D3C-498F-A9DE-71AD9213574F}"/>
    <cellStyle name="Normal 17 3 2 2 2 6 2 3" xfId="23900" xr:uid="{96B28340-2AAA-4A8D-A50C-738711614180}"/>
    <cellStyle name="Normal 17 3 2 2 2 6 3" xfId="11589" xr:uid="{3E8EEA50-5368-49A8-8377-6200047F35D8}"/>
    <cellStyle name="Normal 17 3 2 2 2 6 3 2" xfId="27793" xr:uid="{41F8CC94-973C-4E94-8459-4B9C238104DD}"/>
    <cellStyle name="Normal 17 3 2 2 2 6 4" xfId="20230" xr:uid="{CE495353-4548-4D84-A478-40EC287BF24E}"/>
    <cellStyle name="Normal 17 3 2 2 2 7" xfId="4451" xr:uid="{B0A3F36D-DD3F-4042-968C-50999D8EA0ED}"/>
    <cellStyle name="Normal 17 3 2 2 2 7 2" xfId="8121" xr:uid="{9403D661-57F2-4C7D-8389-37AF2BF5A48F}"/>
    <cellStyle name="Normal 17 3 2 2 2 7 2 2" xfId="15628" xr:uid="{152D2E0C-F0DC-419F-A1F1-82A81A0E9684}"/>
    <cellStyle name="Normal 17 3 2 2 2 7 2 2 2" xfId="31832" xr:uid="{CB80A20C-DC9A-42F6-A8C5-BDAC962ADF05}"/>
    <cellStyle name="Normal 17 3 2 2 2 7 2 3" xfId="24325" xr:uid="{60228FB4-3504-4715-9C4C-9E1EE01C5A97}"/>
    <cellStyle name="Normal 17 3 2 2 2 7 3" xfId="12014" xr:uid="{FC435CBC-8166-4A39-A1F5-2AADF85F50C0}"/>
    <cellStyle name="Normal 17 3 2 2 2 7 3 2" xfId="28218" xr:uid="{62B386BF-68BE-4F1E-98AF-EFF704801A51}"/>
    <cellStyle name="Normal 17 3 2 2 2 7 4" xfId="20655" xr:uid="{8774159A-C8A2-4D4B-A6E0-3E42352D1762}"/>
    <cellStyle name="Normal 17 3 2 2 2 8" xfId="4876" xr:uid="{FF248011-6539-4C9D-A063-3CC5065C5806}"/>
    <cellStyle name="Normal 17 3 2 2 2 8 2" xfId="8544" xr:uid="{AC9250D5-F503-4F64-AAEC-C8F1BD547176}"/>
    <cellStyle name="Normal 17 3 2 2 2 8 2 2" xfId="16051" xr:uid="{E8053AC5-F913-4D3C-A15A-340F6DC8921D}"/>
    <cellStyle name="Normal 17 3 2 2 2 8 2 2 2" xfId="32255" xr:uid="{1F7ADB7F-B0B0-4FA0-825B-88454DC52C84}"/>
    <cellStyle name="Normal 17 3 2 2 2 8 2 3" xfId="24748" xr:uid="{870BCDAE-5510-46E5-B6F6-08E2B302063F}"/>
    <cellStyle name="Normal 17 3 2 2 2 8 3" xfId="12436" xr:uid="{8D53DF1A-D8B4-44B4-9DF1-23DAF5D129EA}"/>
    <cellStyle name="Normal 17 3 2 2 2 8 3 2" xfId="28640" xr:uid="{1B215D6C-8314-4ED9-A07C-187CDF81FEAC}"/>
    <cellStyle name="Normal 17 3 2 2 2 8 4" xfId="21080" xr:uid="{18DBE863-E7C8-48A8-B1A4-F2ABCAF1DE1F}"/>
    <cellStyle name="Normal 17 3 2 2 2 9" xfId="5362" xr:uid="{0D37C29B-70A9-421F-AA91-8179AE3191D2}"/>
    <cellStyle name="Normal 17 3 2 2 2 9 2" xfId="12911" xr:uid="{B0D716A1-E4B2-402F-9E02-A1D60C99E47B}"/>
    <cellStyle name="Normal 17 3 2 2 2 9 2 2" xfId="29115" xr:uid="{70444D94-530B-44CE-A13B-F87A2190C732}"/>
    <cellStyle name="Normal 17 3 2 2 2 9 3" xfId="21566" xr:uid="{075CC21B-58F0-42C8-80E5-07DB9EBBC94E}"/>
    <cellStyle name="Normal 17 3 2 2 3" xfId="1978" xr:uid="{B11AA148-759E-4752-9CE8-952A502B12FD}"/>
    <cellStyle name="Normal 17 3 2 2 3 10" xfId="18281" xr:uid="{410E4A72-9120-409A-907D-760B56322E41}"/>
    <cellStyle name="Normal 17 3 2 2 3 2" xfId="2484" xr:uid="{A6B9214A-0294-403A-A29C-06FE20A9C51E}"/>
    <cellStyle name="Normal 17 3 2 2 3 2 2" xfId="3331" xr:uid="{3CF405E4-FDB0-4EB7-AD27-ED4BDA7C85BA}"/>
    <cellStyle name="Normal 17 3 2 2 3 2 2 2" xfId="7113" xr:uid="{1E79576C-CBBC-45E1-82D5-641A31BE3C11}"/>
    <cellStyle name="Normal 17 3 2 2 3 2 2 2 2" xfId="14624" xr:uid="{724D3C36-5FC0-453C-BA46-932C48DC120F}"/>
    <cellStyle name="Normal 17 3 2 2 3 2 2 2 2 2" xfId="30828" xr:uid="{C8C847BD-52A9-47AA-83B7-35A1446033EE}"/>
    <cellStyle name="Normal 17 3 2 2 3 2 2 2 3" xfId="23317" xr:uid="{73DBF437-ADBD-44C1-90BF-28A8EF242507}"/>
    <cellStyle name="Normal 17 3 2 2 3 2 2 3" xfId="11024" xr:uid="{5C7E5EB5-C7DD-4C26-83D8-7EE29293D19C}"/>
    <cellStyle name="Normal 17 3 2 2 3 2 2 3 2" xfId="27228" xr:uid="{7B79CDBD-8391-4256-9AF3-0208C58413EF}"/>
    <cellStyle name="Normal 17 3 2 2 3 2 2 4" xfId="19551" xr:uid="{65EF5454-4C81-4566-9050-AA54AB7282ED}"/>
    <cellStyle name="Normal 17 3 2 2 3 2 3" xfId="6268" xr:uid="{2FB3337A-2CDC-481A-B749-CD31F90FB2C5}"/>
    <cellStyle name="Normal 17 3 2 2 3 2 3 2" xfId="13780" xr:uid="{EB5CC303-7B79-4987-B562-40AF9892C770}"/>
    <cellStyle name="Normal 17 3 2 2 3 2 3 2 2" xfId="29984" xr:uid="{7E764471-7C0C-4E01-9402-BEF563FD0D25}"/>
    <cellStyle name="Normal 17 3 2 2 3 2 3 3" xfId="22472" xr:uid="{5CE5D236-963C-45C0-AED7-A5E879987A5B}"/>
    <cellStyle name="Normal 17 3 2 2 3 2 4" xfId="10180" xr:uid="{11CA57A3-1334-4ECB-AB36-B913204B1F00}"/>
    <cellStyle name="Normal 17 3 2 2 3 2 4 2" xfId="26384" xr:uid="{A1CE6240-C6B8-4964-B9E2-FD9C9FE0EFAB}"/>
    <cellStyle name="Normal 17 3 2 2 3 2 5" xfId="18706" xr:uid="{8176F961-B817-4AD7-BD26-5E550E806509}"/>
    <cellStyle name="Normal 17 3 2 2 3 3" xfId="2906" xr:uid="{C0E8F1BF-5F6D-48CA-A2D4-0FDB86A8BDFF}"/>
    <cellStyle name="Normal 17 3 2 2 3 3 2" xfId="6690" xr:uid="{1F9A6D2E-DC52-4245-BBBB-4DAF7834E5F0}"/>
    <cellStyle name="Normal 17 3 2 2 3 3 2 2" xfId="14202" xr:uid="{6B9CD1B3-8993-48BD-8824-C60DA58C2899}"/>
    <cellStyle name="Normal 17 3 2 2 3 3 2 2 2" xfId="30406" xr:uid="{3C71D901-6A71-4CB2-A9CF-16325ACD4F58}"/>
    <cellStyle name="Normal 17 3 2 2 3 3 2 3" xfId="22894" xr:uid="{71D960B0-AEF6-4EA6-9365-D41A9B0D623E}"/>
    <cellStyle name="Normal 17 3 2 2 3 3 3" xfId="10602" xr:uid="{BA1EEA5C-CD20-46E5-976B-DDA65DCE088A}"/>
    <cellStyle name="Normal 17 3 2 2 3 3 3 2" xfId="26806" xr:uid="{7796A99E-2822-40EE-871D-9CA56DE08F62}"/>
    <cellStyle name="Normal 17 3 2 2 3 3 4" xfId="19128" xr:uid="{CE4AFAC4-C209-4068-A7F1-40EB02AC042F}"/>
    <cellStyle name="Normal 17 3 2 2 3 4" xfId="3837" xr:uid="{9A3DE1FF-3A06-4B18-AFD4-66C95C982568}"/>
    <cellStyle name="Normal 17 3 2 2 3 4 2" xfId="7547" xr:uid="{13D03779-2719-4F1C-9C93-D2C777B393AD}"/>
    <cellStyle name="Normal 17 3 2 2 3 4 2 2" xfId="15056" xr:uid="{EBA974C3-41B7-4769-8893-86730E15A7F1}"/>
    <cellStyle name="Normal 17 3 2 2 3 4 2 2 2" xfId="31260" xr:uid="{8BDA3886-57D6-408D-ADD1-D04DDCE54ADB}"/>
    <cellStyle name="Normal 17 3 2 2 3 4 2 3" xfId="23751" xr:uid="{D187190E-2489-4AFA-B588-CC876B6E7226}"/>
    <cellStyle name="Normal 17 3 2 2 3 4 3" xfId="11447" xr:uid="{E76B1BC7-25BA-4553-B622-5DC270DFB819}"/>
    <cellStyle name="Normal 17 3 2 2 3 4 3 2" xfId="27651" xr:uid="{17AD4652-16E1-4190-BEE7-73464DEE121F}"/>
    <cellStyle name="Normal 17 3 2 2 3 4 4" xfId="20046" xr:uid="{36D31482-A6BB-4381-8CFC-E8A2F8414125}"/>
    <cellStyle name="Normal 17 3 2 2 3 5" xfId="4306" xr:uid="{AF9728E9-6986-47C6-959B-B1B53E62212D}"/>
    <cellStyle name="Normal 17 3 2 2 3 5 2" xfId="7976" xr:uid="{F0BBA304-B42B-45E3-BF1F-F1393FE4344D}"/>
    <cellStyle name="Normal 17 3 2 2 3 5 2 2" xfId="15483" xr:uid="{0562C3F9-B6F7-4379-9BD9-9F49312E8422}"/>
    <cellStyle name="Normal 17 3 2 2 3 5 2 2 2" xfId="31687" xr:uid="{1CF63056-F3C1-437E-B44E-62AC37C24308}"/>
    <cellStyle name="Normal 17 3 2 2 3 5 2 3" xfId="24180" xr:uid="{73A58002-2BD5-45B8-B646-AA2EA8A3D7B9}"/>
    <cellStyle name="Normal 17 3 2 2 3 5 3" xfId="11869" xr:uid="{0AD02F10-EBE0-45CC-8EDB-50B4A539B92A}"/>
    <cellStyle name="Normal 17 3 2 2 3 5 3 2" xfId="28073" xr:uid="{ECBB36AA-6F98-4072-8A6C-1161F29D9F98}"/>
    <cellStyle name="Normal 17 3 2 2 3 5 4" xfId="20510" xr:uid="{EFBCCD84-48EC-40E1-AC5E-89CBF53B85E6}"/>
    <cellStyle name="Normal 17 3 2 2 3 6" xfId="4731" xr:uid="{D58F5BDC-0EED-4C9C-9ED3-768D74CA5EB7}"/>
    <cellStyle name="Normal 17 3 2 2 3 6 2" xfId="8401" xr:uid="{D9D6163F-96DB-46BA-89A2-4C3A8C373FED}"/>
    <cellStyle name="Normal 17 3 2 2 3 6 2 2" xfId="15908" xr:uid="{1421B9A9-CA28-49B7-BEAB-97EA2582A466}"/>
    <cellStyle name="Normal 17 3 2 2 3 6 2 2 2" xfId="32112" xr:uid="{7AC66058-E183-48AC-9447-77D69407CE70}"/>
    <cellStyle name="Normal 17 3 2 2 3 6 2 3" xfId="24605" xr:uid="{DFB542B2-C030-44C1-AAE2-F0FE08DA742D}"/>
    <cellStyle name="Normal 17 3 2 2 3 6 3" xfId="12294" xr:uid="{3E58EEED-DC7D-4DE3-9C80-5E773B93009B}"/>
    <cellStyle name="Normal 17 3 2 2 3 6 3 2" xfId="28498" xr:uid="{9CDB4448-36C9-45FF-B990-D17E7859142E}"/>
    <cellStyle name="Normal 17 3 2 2 3 6 4" xfId="20935" xr:uid="{B2F41290-CB28-4CDF-87A6-70F27E6B809E}"/>
    <cellStyle name="Normal 17 3 2 2 3 7" xfId="5159" xr:uid="{AC5E3285-E12E-4AE9-AFFA-218E7F3D90BD}"/>
    <cellStyle name="Normal 17 3 2 2 3 7 2" xfId="8824" xr:uid="{7534DBDF-DF25-4016-BBE4-3C9D7558786B}"/>
    <cellStyle name="Normal 17 3 2 2 3 7 2 2" xfId="16331" xr:uid="{5B7163F9-B396-4071-862D-05F3DC5F85FF}"/>
    <cellStyle name="Normal 17 3 2 2 3 7 2 2 2" xfId="32535" xr:uid="{32D42DA4-E89D-4F12-906B-6F30FCD77ACC}"/>
    <cellStyle name="Normal 17 3 2 2 3 7 2 3" xfId="25028" xr:uid="{A1F7134F-3E7A-427F-9990-529F917EC199}"/>
    <cellStyle name="Normal 17 3 2 2 3 7 3" xfId="12716" xr:uid="{BAED13BF-B27C-42FC-8D38-A50DAAF2E12C}"/>
    <cellStyle name="Normal 17 3 2 2 3 7 3 2" xfId="28920" xr:uid="{FE425FE8-BB7C-403C-AEF5-C59435129245}"/>
    <cellStyle name="Normal 17 3 2 2 3 7 4" xfId="21363" xr:uid="{A99B9FE7-99B9-4502-AA9B-21746301F630}"/>
    <cellStyle name="Normal 17 3 2 2 3 8" xfId="5830" xr:uid="{31D4CC30-98FA-4C10-8F35-BBC33D1EFAE3}"/>
    <cellStyle name="Normal 17 3 2 2 3 8 2" xfId="13345" xr:uid="{1599220F-2271-4AE6-85D2-0E79D4B79230}"/>
    <cellStyle name="Normal 17 3 2 2 3 8 2 2" xfId="29549" xr:uid="{F5E59AE9-A480-405A-ACCC-D9D3726D12FB}"/>
    <cellStyle name="Normal 17 3 2 2 3 8 3" xfId="22034" xr:uid="{0FC2BBCE-996A-4A60-A3E6-E1C5C2C8D7ED}"/>
    <cellStyle name="Normal 17 3 2 2 3 9" xfId="9757" xr:uid="{3B8B7236-9E55-4EB7-959A-15F50D84217C}"/>
    <cellStyle name="Normal 17 3 2 2 3 9 2" xfId="25961" xr:uid="{69D68224-FF1C-4438-9C54-DB2F7A3BD401}"/>
    <cellStyle name="Normal 17 3 2 2 4" xfId="2071" xr:uid="{331248A5-15B8-4C8D-8AF1-3318C21C3E7E}"/>
    <cellStyle name="Normal 17 3 2 2 4 2" xfId="2984" xr:uid="{AD68C9A0-336E-4FAC-9668-1BFD180BF732}"/>
    <cellStyle name="Normal 17 3 2 2 4 2 2" xfId="6766" xr:uid="{4C6E2692-5D79-4899-874C-9A67378D74FF}"/>
    <cellStyle name="Normal 17 3 2 2 4 2 2 2" xfId="14277" xr:uid="{99EFA0DF-230C-4705-9F86-AD8D4DA06F32}"/>
    <cellStyle name="Normal 17 3 2 2 4 2 2 2 2" xfId="30481" xr:uid="{9168AF0C-49EA-4071-A583-ADB1C4BE2C90}"/>
    <cellStyle name="Normal 17 3 2 2 4 2 2 3" xfId="22970" xr:uid="{89ADA6C6-3B44-4396-941E-FE2A46811639}"/>
    <cellStyle name="Normal 17 3 2 2 4 2 3" xfId="10677" xr:uid="{435B4394-D8D1-4009-BFF9-1220FDF889F8}"/>
    <cellStyle name="Normal 17 3 2 2 4 2 3 2" xfId="26881" xr:uid="{153DC6FC-2464-4BBA-AD94-A176437DEE98}"/>
    <cellStyle name="Normal 17 3 2 2 4 2 4" xfId="19204" xr:uid="{18921DCC-BE61-4E67-A480-68B96AA1294A}"/>
    <cellStyle name="Normal 17 3 2 2 4 3" xfId="5910" xr:uid="{AE437760-02E3-4EE9-89FD-EF1727103F99}"/>
    <cellStyle name="Normal 17 3 2 2 4 3 2" xfId="13424" xr:uid="{6FEDF8B4-8CD9-40D1-93E3-0623E9DA9F03}"/>
    <cellStyle name="Normal 17 3 2 2 4 3 2 2" xfId="29628" xr:uid="{A4BE9336-A490-4F47-B2DA-8CFBA19795E0}"/>
    <cellStyle name="Normal 17 3 2 2 4 3 3" xfId="22114" xr:uid="{1CB2DECA-A630-456C-8834-DFD55B62CFA8}"/>
    <cellStyle name="Normal 17 3 2 2 4 4" xfId="9833" xr:uid="{AC12B1E6-C2FC-498E-8B8E-C3EFE880FD17}"/>
    <cellStyle name="Normal 17 3 2 2 4 4 2" xfId="26037" xr:uid="{86963225-0C26-41E3-AFC7-92B1C63D7942}"/>
    <cellStyle name="Normal 17 3 2 2 4 5" xfId="18358" xr:uid="{1127324F-204E-43FA-8D59-79935E58D9E1}"/>
    <cellStyle name="Normal 17 3 2 2 5" xfId="2559" xr:uid="{7FF7476B-449C-4B9D-A154-C31A7AFC1AAD}"/>
    <cellStyle name="Normal 17 3 2 2 5 2" xfId="6343" xr:uid="{234FEBDC-2377-4186-8F18-06E3E48E0603}"/>
    <cellStyle name="Normal 17 3 2 2 5 2 2" xfId="13855" xr:uid="{E2CE3397-BC70-408C-8110-7ABCCC27B0EC}"/>
    <cellStyle name="Normal 17 3 2 2 5 2 2 2" xfId="30059" xr:uid="{821E719D-D29B-4331-897F-38D71EC70655}"/>
    <cellStyle name="Normal 17 3 2 2 5 2 3" xfId="22547" xr:uid="{FA0F3F8A-6E05-43F2-BA58-704DB5C7C9DD}"/>
    <cellStyle name="Normal 17 3 2 2 5 3" xfId="10255" xr:uid="{DCCC59A3-9792-4991-91DC-44DAC0FA2A74}"/>
    <cellStyle name="Normal 17 3 2 2 5 3 2" xfId="26459" xr:uid="{817C323D-DD58-4F1C-AE11-670F62B5CE92}"/>
    <cellStyle name="Normal 17 3 2 2 5 4" xfId="18781" xr:uid="{E0D8F6F7-DEBA-4EDC-BB7C-80E1101CF56E}"/>
    <cellStyle name="Normal 17 3 2 2 6" xfId="3435" xr:uid="{CB4AFCBD-129C-499C-BA45-E690C3B18318}"/>
    <cellStyle name="Normal 17 3 2 2 6 2" xfId="7193" xr:uid="{0F8DA617-58C6-47DA-973F-B087B8CBEF71}"/>
    <cellStyle name="Normal 17 3 2 2 6 2 2" xfId="14703" xr:uid="{2F344C0E-7A07-4353-A4F9-A508FC1D8888}"/>
    <cellStyle name="Normal 17 3 2 2 6 2 2 2" xfId="30907" xr:uid="{13034157-4E13-49A0-8CCA-7A88A3041AF7}"/>
    <cellStyle name="Normal 17 3 2 2 6 2 3" xfId="23397" xr:uid="{B97F93DC-5B5A-472F-A843-2439D4DFF95E}"/>
    <cellStyle name="Normal 17 3 2 2 6 3" xfId="11100" xr:uid="{F27C1336-3941-4486-A243-826977651998}"/>
    <cellStyle name="Normal 17 3 2 2 6 3 2" xfId="27304" xr:uid="{6B685F00-BE96-4BF8-AAA2-BB61647729E8}"/>
    <cellStyle name="Normal 17 3 2 2 6 4" xfId="19651" xr:uid="{A305056C-9B05-4198-A253-A7DAF8F68AB7}"/>
    <cellStyle name="Normal 17 3 2 2 7" xfId="3959" xr:uid="{FD9EC188-ABAC-4D10-987D-FBE6DC6D038D}"/>
    <cellStyle name="Normal 17 3 2 2 7 2" xfId="7629" xr:uid="{7559CA69-7094-49E7-8AE9-F0CE1A5DEEA2}"/>
    <cellStyle name="Normal 17 3 2 2 7 2 2" xfId="15136" xr:uid="{705DA79E-3257-4D70-9428-6AF530FC9671}"/>
    <cellStyle name="Normal 17 3 2 2 7 2 2 2" xfId="31340" xr:uid="{FF2C2A70-96E2-4AD0-A48B-F6002ABE50E2}"/>
    <cellStyle name="Normal 17 3 2 2 7 2 3" xfId="23833" xr:uid="{0940363D-6F1F-4074-8F27-DACC2370E9DF}"/>
    <cellStyle name="Normal 17 3 2 2 7 3" xfId="11522" xr:uid="{52B5BAA5-1B3A-4E55-AF66-67DEBA62FF22}"/>
    <cellStyle name="Normal 17 3 2 2 7 3 2" xfId="27726" xr:uid="{9D438911-FB9F-4F74-AB91-0D30C19F5691}"/>
    <cellStyle name="Normal 17 3 2 2 7 4" xfId="20163" xr:uid="{4237C70C-FF71-43A6-A6AA-437FB7EE2730}"/>
    <cellStyle name="Normal 17 3 2 2 8" xfId="4384" xr:uid="{76ACD8AD-1B47-4B39-9B99-2FDDCF65937F}"/>
    <cellStyle name="Normal 17 3 2 2 8 2" xfId="8054" xr:uid="{BB195CB1-BAEF-420C-9914-3095B235E8AB}"/>
    <cellStyle name="Normal 17 3 2 2 8 2 2" xfId="15561" xr:uid="{0B542575-8E20-4BF5-87C6-8F62482B7993}"/>
    <cellStyle name="Normal 17 3 2 2 8 2 2 2" xfId="31765" xr:uid="{12C68384-5E0D-4DBA-8154-CF6AC09410DC}"/>
    <cellStyle name="Normal 17 3 2 2 8 2 3" xfId="24258" xr:uid="{D73C2182-D623-4DA2-92B7-53E33CDA5577}"/>
    <cellStyle name="Normal 17 3 2 2 8 3" xfId="11947" xr:uid="{C9A984B2-7FEF-4E21-813D-BA1FEE624A1C}"/>
    <cellStyle name="Normal 17 3 2 2 8 3 2" xfId="28151" xr:uid="{AF45A664-977D-43BC-9815-CC63EDA450B3}"/>
    <cellStyle name="Normal 17 3 2 2 8 4" xfId="20588" xr:uid="{807C811B-C81A-4A3E-9A63-05E0E0ECF99A}"/>
    <cellStyle name="Normal 17 3 2 2 9" xfId="4808" xr:uid="{A5FFE26B-1AEC-4121-8ABE-802728009471}"/>
    <cellStyle name="Normal 17 3 2 2 9 2" xfId="8477" xr:uid="{9DD625F7-3B1D-43C0-97DC-3F9FA9DA6623}"/>
    <cellStyle name="Normal 17 3 2 2 9 2 2" xfId="15984" xr:uid="{4EA47520-CCDA-4152-883E-305154B920D6}"/>
    <cellStyle name="Normal 17 3 2 2 9 2 2 2" xfId="32188" xr:uid="{B44BEFAA-DE3E-49B5-9F37-D60B480FF19C}"/>
    <cellStyle name="Normal 17 3 2 2 9 2 3" xfId="24681" xr:uid="{518A1415-D6ED-4191-A2CA-82EAA9933DA1}"/>
    <cellStyle name="Normal 17 3 2 2 9 3" xfId="12369" xr:uid="{D672584B-CDCB-49F2-B16D-32DD27D35C64}"/>
    <cellStyle name="Normal 17 3 2 2 9 3 2" xfId="28573" xr:uid="{11FC29B7-83A9-48F3-A5D4-C6FA247983E3}"/>
    <cellStyle name="Normal 17 3 2 2 9 4" xfId="21012" xr:uid="{B8BCF14B-1F2E-4A29-AC49-7B301A915DEC}"/>
    <cellStyle name="Normal 17 3 2 3" xfId="520" xr:uid="{07C9F485-35F9-42A1-B3CC-8791510C1EDE}"/>
    <cellStyle name="Normal 17 3 2 3 10" xfId="5317" xr:uid="{DC4B107A-BF2E-47FC-A800-1F965CB04C8B}"/>
    <cellStyle name="Normal 17 3 2 3 10 2" xfId="12866" xr:uid="{284E6594-6101-41F1-A242-E5A127B4E0CF}"/>
    <cellStyle name="Normal 17 3 2 3 10 2 2" xfId="29070" xr:uid="{4EAB850D-D41D-4686-AF07-4DC1C92016B7}"/>
    <cellStyle name="Normal 17 3 2 3 10 3" xfId="21521" xr:uid="{0C191926-1F69-4F97-93F6-2D016B2EFCC8}"/>
    <cellStyle name="Normal 17 3 2 3 11" xfId="9432" xr:uid="{BE4947F1-B2EB-4BFC-8B3E-C831BEDA8EC5}"/>
    <cellStyle name="Normal 17 3 2 3 11 2" xfId="25636" xr:uid="{20E3BC8A-D593-43E3-8C5F-96EA85FDFCEE}"/>
    <cellStyle name="Normal 17 3 2 3 12" xfId="17947" xr:uid="{F9470A15-BAA9-480E-A35A-362B6A9946BD}"/>
    <cellStyle name="Normal 17 3 2 3 2" xfId="591" xr:uid="{EE30B187-4967-47BC-9F35-3B2C5E2D2CA9}"/>
    <cellStyle name="Normal 17 3 2 3 2 10" xfId="9499" xr:uid="{28213ED7-75CF-45E4-B0D9-57A95A86C620}"/>
    <cellStyle name="Normal 17 3 2 3 2 10 2" xfId="25703" xr:uid="{E7605338-47AE-4B99-8C5E-ED14AC5D7B2B}"/>
    <cellStyle name="Normal 17 3 2 3 2 11" xfId="18015" xr:uid="{B73ECE5B-1E11-4E7D-A315-AF38ED3A604D}"/>
    <cellStyle name="Normal 17 3 2 3 2 2" xfId="1979" xr:uid="{8F6A8845-7F9D-4C85-9201-ED891CD3AB13}"/>
    <cellStyle name="Normal 17 3 2 3 2 2 10" xfId="18282" xr:uid="{C7F0176C-21F5-4F0A-A944-D1F9BC237D69}"/>
    <cellStyle name="Normal 17 3 2 3 2 2 2" xfId="2485" xr:uid="{5F2EDA22-1B2F-43EB-A547-391B7B0B79C0}"/>
    <cellStyle name="Normal 17 3 2 3 2 2 2 2" xfId="3332" xr:uid="{8DC4CE20-A066-457B-AE53-FC8D13408335}"/>
    <cellStyle name="Normal 17 3 2 3 2 2 2 2 2" xfId="7114" xr:uid="{BB3F276A-E5D3-4DA7-A305-3E617FF05AF2}"/>
    <cellStyle name="Normal 17 3 2 3 2 2 2 2 2 2" xfId="14625" xr:uid="{8BF46BFC-0F18-404B-B9E5-C7BD01411FD2}"/>
    <cellStyle name="Normal 17 3 2 3 2 2 2 2 2 2 2" xfId="30829" xr:uid="{D2C20D3B-AEA1-4CD5-B469-A1845259A35C}"/>
    <cellStyle name="Normal 17 3 2 3 2 2 2 2 2 3" xfId="23318" xr:uid="{EA89070B-94C6-46AB-8F24-3ECBC3684821}"/>
    <cellStyle name="Normal 17 3 2 3 2 2 2 2 3" xfId="11025" xr:uid="{F898036A-38AD-4965-A7B3-D6D1CD646EC7}"/>
    <cellStyle name="Normal 17 3 2 3 2 2 2 2 3 2" xfId="27229" xr:uid="{09F1231C-CF5E-4485-8324-B8523E8E608B}"/>
    <cellStyle name="Normal 17 3 2 3 2 2 2 2 4" xfId="19552" xr:uid="{7FEBAB65-BF37-461C-9A29-1E5D791402E6}"/>
    <cellStyle name="Normal 17 3 2 3 2 2 2 3" xfId="6269" xr:uid="{90DFECC0-4599-41F3-8582-62208F58D687}"/>
    <cellStyle name="Normal 17 3 2 3 2 2 2 3 2" xfId="13781" xr:uid="{143B6823-030F-4E12-BCB8-EBEA558FBCDA}"/>
    <cellStyle name="Normal 17 3 2 3 2 2 2 3 2 2" xfId="29985" xr:uid="{8AE8DE04-1E1D-487A-863A-BD572EDD22F0}"/>
    <cellStyle name="Normal 17 3 2 3 2 2 2 3 3" xfId="22473" xr:uid="{F80B1F18-5294-4F22-8948-8E8B113B90EF}"/>
    <cellStyle name="Normal 17 3 2 3 2 2 2 4" xfId="10181" xr:uid="{80D25892-20B5-4AFB-9B23-B5BB0CC08F69}"/>
    <cellStyle name="Normal 17 3 2 3 2 2 2 4 2" xfId="26385" xr:uid="{5D13C615-6A37-4CC5-A2EB-BEADE265F128}"/>
    <cellStyle name="Normal 17 3 2 3 2 2 2 5" xfId="18707" xr:uid="{A495BD11-236D-4AE1-9BD1-6CA81A952BBA}"/>
    <cellStyle name="Normal 17 3 2 3 2 2 3" xfId="2907" xr:uid="{C3E3C6C3-3DD6-4BE4-99D1-B40C2523F9EA}"/>
    <cellStyle name="Normal 17 3 2 3 2 2 3 2" xfId="6691" xr:uid="{5EC47E61-97BB-49B2-A67D-D1FBD8AC7676}"/>
    <cellStyle name="Normal 17 3 2 3 2 2 3 2 2" xfId="14203" xr:uid="{5F55616B-5507-4768-AB6A-65E86DBA5B0E}"/>
    <cellStyle name="Normal 17 3 2 3 2 2 3 2 2 2" xfId="30407" xr:uid="{415AAA0E-31A7-4D65-A4B6-C060C074673F}"/>
    <cellStyle name="Normal 17 3 2 3 2 2 3 2 3" xfId="22895" xr:uid="{B764E1D1-EAA8-4E26-B111-F2ADD97A136B}"/>
    <cellStyle name="Normal 17 3 2 3 2 2 3 3" xfId="10603" xr:uid="{2A5853B5-A82A-47F9-854D-7765481BA17C}"/>
    <cellStyle name="Normal 17 3 2 3 2 2 3 3 2" xfId="26807" xr:uid="{84284E07-9BEB-46E1-A25B-B924BEAB024F}"/>
    <cellStyle name="Normal 17 3 2 3 2 2 3 4" xfId="19129" xr:uid="{3ADE1D90-0130-4C35-9E77-4AAC286E9505}"/>
    <cellStyle name="Normal 17 3 2 3 2 2 4" xfId="3838" xr:uid="{295FF805-8902-47D3-86D9-B7C3AAFB8C82}"/>
    <cellStyle name="Normal 17 3 2 3 2 2 4 2" xfId="7548" xr:uid="{10EF3D7B-5C62-4CEC-BE06-4897FFD2EC5A}"/>
    <cellStyle name="Normal 17 3 2 3 2 2 4 2 2" xfId="15057" xr:uid="{BC4B00E8-E96E-47DE-99A1-9EE64B0CAEF7}"/>
    <cellStyle name="Normal 17 3 2 3 2 2 4 2 2 2" xfId="31261" xr:uid="{3EB81B07-A6DF-4C74-86D8-9F57148E4947}"/>
    <cellStyle name="Normal 17 3 2 3 2 2 4 2 3" xfId="23752" xr:uid="{8054FA29-FB22-4228-B33D-04D33CE89C30}"/>
    <cellStyle name="Normal 17 3 2 3 2 2 4 3" xfId="11448" xr:uid="{6D6E9DD0-3A51-47E9-9192-0C128BBC2732}"/>
    <cellStyle name="Normal 17 3 2 3 2 2 4 3 2" xfId="27652" xr:uid="{2261D960-9890-486C-B853-CC4AA5C1A85E}"/>
    <cellStyle name="Normal 17 3 2 3 2 2 4 4" xfId="20047" xr:uid="{BDD006C6-3CCA-4984-BCFB-8BCB25AB22E0}"/>
    <cellStyle name="Normal 17 3 2 3 2 2 5" xfId="4307" xr:uid="{A8506474-D24F-4A7B-8407-7ACBCE049845}"/>
    <cellStyle name="Normal 17 3 2 3 2 2 5 2" xfId="7977" xr:uid="{5E5B2AEB-D044-4323-A5FC-1CE95FC2F7C0}"/>
    <cellStyle name="Normal 17 3 2 3 2 2 5 2 2" xfId="15484" xr:uid="{F5FF6179-206B-4D3B-90E5-53B4C6933AD7}"/>
    <cellStyle name="Normal 17 3 2 3 2 2 5 2 2 2" xfId="31688" xr:uid="{5F9973FE-E7AB-43B6-AE9E-5412BA3CAED1}"/>
    <cellStyle name="Normal 17 3 2 3 2 2 5 2 3" xfId="24181" xr:uid="{76866926-36B0-44DD-91D2-22BF20E5028E}"/>
    <cellStyle name="Normal 17 3 2 3 2 2 5 3" xfId="11870" xr:uid="{3094ED19-59F1-4620-B8CC-678AB260D391}"/>
    <cellStyle name="Normal 17 3 2 3 2 2 5 3 2" xfId="28074" xr:uid="{A76FF888-89E8-4C08-9159-B758CAAF9B91}"/>
    <cellStyle name="Normal 17 3 2 3 2 2 5 4" xfId="20511" xr:uid="{B76CA681-1FD3-464C-ACE9-CF77C4A7D83C}"/>
    <cellStyle name="Normal 17 3 2 3 2 2 6" xfId="4732" xr:uid="{9CA2DA61-F84A-40C7-BE65-D346461C48F2}"/>
    <cellStyle name="Normal 17 3 2 3 2 2 6 2" xfId="8402" xr:uid="{E214C02D-45C9-4192-ABF8-EAC1C3BED732}"/>
    <cellStyle name="Normal 17 3 2 3 2 2 6 2 2" xfId="15909" xr:uid="{9F9B1291-07D5-42D5-9B10-19BE7D4162FB}"/>
    <cellStyle name="Normal 17 3 2 3 2 2 6 2 2 2" xfId="32113" xr:uid="{3EB0155C-FF66-46BB-A992-D0F1970532AA}"/>
    <cellStyle name="Normal 17 3 2 3 2 2 6 2 3" xfId="24606" xr:uid="{7A8787DC-CAF3-4D30-B9D5-EB29F9AD4A61}"/>
    <cellStyle name="Normal 17 3 2 3 2 2 6 3" xfId="12295" xr:uid="{84F2864C-304A-4BB8-AB6A-38525464F1C0}"/>
    <cellStyle name="Normal 17 3 2 3 2 2 6 3 2" xfId="28499" xr:uid="{18D5FF7C-AF1A-4517-B0A5-346E50EB30E6}"/>
    <cellStyle name="Normal 17 3 2 3 2 2 6 4" xfId="20936" xr:uid="{35BD9391-3E4A-492C-9E2D-FE1955AB4CFB}"/>
    <cellStyle name="Normal 17 3 2 3 2 2 7" xfId="5160" xr:uid="{99EF87A9-0F66-45AF-845E-612654BD9283}"/>
    <cellStyle name="Normal 17 3 2 3 2 2 7 2" xfId="8825" xr:uid="{BFB7651A-BCB6-471C-A8B4-6E259C8AB212}"/>
    <cellStyle name="Normal 17 3 2 3 2 2 7 2 2" xfId="16332" xr:uid="{09A8D8F6-C3FE-4A27-88D2-AF78AF63FA0E}"/>
    <cellStyle name="Normal 17 3 2 3 2 2 7 2 2 2" xfId="32536" xr:uid="{E230C9E2-CEBC-481B-9E5D-7CC5CDB05354}"/>
    <cellStyle name="Normal 17 3 2 3 2 2 7 2 3" xfId="25029" xr:uid="{09C79F73-CF9B-4CAC-959B-3BF58DC6527F}"/>
    <cellStyle name="Normal 17 3 2 3 2 2 7 3" xfId="12717" xr:uid="{876D63BF-1C72-42C7-A80F-A7955707FD49}"/>
    <cellStyle name="Normal 17 3 2 3 2 2 7 3 2" xfId="28921" xr:uid="{569B6F0B-E84F-4462-AB65-54534C32EFE4}"/>
    <cellStyle name="Normal 17 3 2 3 2 2 7 4" xfId="21364" xr:uid="{EE432C3D-3ABD-4ABC-A189-F48C84D32379}"/>
    <cellStyle name="Normal 17 3 2 3 2 2 8" xfId="5831" xr:uid="{34B02E2E-1D83-4DD3-BCD5-5CABCEB87B6F}"/>
    <cellStyle name="Normal 17 3 2 3 2 2 8 2" xfId="13346" xr:uid="{68E28945-3230-461C-9DAF-3D12B5079AA0}"/>
    <cellStyle name="Normal 17 3 2 3 2 2 8 2 2" xfId="29550" xr:uid="{62E28141-EFEF-4DD6-B0B5-E3B713886D35}"/>
    <cellStyle name="Normal 17 3 2 3 2 2 8 3" xfId="22035" xr:uid="{1A6E823A-8255-4CC2-B101-AFA75E830C03}"/>
    <cellStyle name="Normal 17 3 2 3 2 2 9" xfId="9758" xr:uid="{E8A0AE0D-64DF-45A5-951B-8057B02BE04D}"/>
    <cellStyle name="Normal 17 3 2 3 2 2 9 2" xfId="25962" xr:uid="{D51121B6-A7FF-4C38-80C5-7BA97A1F9F38}"/>
    <cellStyle name="Normal 17 3 2 3 2 3" xfId="2160" xr:uid="{13D93F15-0270-4762-9C82-6377D032AF2A}"/>
    <cellStyle name="Normal 17 3 2 3 2 3 2" xfId="3073" xr:uid="{612B4C58-36BE-4BE8-9677-8EEC3409F717}"/>
    <cellStyle name="Normal 17 3 2 3 2 3 2 2" xfId="6855" xr:uid="{DD62A535-47D8-4EE4-8AC3-362B02825E3F}"/>
    <cellStyle name="Normal 17 3 2 3 2 3 2 2 2" xfId="14366" xr:uid="{900F56C4-D8BE-43A8-A6A3-8F33E35B7F11}"/>
    <cellStyle name="Normal 17 3 2 3 2 3 2 2 2 2" xfId="30570" xr:uid="{C3696C44-4A2F-42B6-A4BD-95DAB4AD4FC7}"/>
    <cellStyle name="Normal 17 3 2 3 2 3 2 2 3" xfId="23059" xr:uid="{5E723DC9-6CDB-43F0-A816-DFBDF5ED15A8}"/>
    <cellStyle name="Normal 17 3 2 3 2 3 2 3" xfId="10766" xr:uid="{862B1F5A-F685-4E9F-8DE4-66F01C7FB9EC}"/>
    <cellStyle name="Normal 17 3 2 3 2 3 2 3 2" xfId="26970" xr:uid="{A7A8B2CC-A49A-416B-AB1A-2A454D995D2A}"/>
    <cellStyle name="Normal 17 3 2 3 2 3 2 4" xfId="19293" xr:uid="{FEBF7F6C-0B10-47C5-8AD4-270E2D1A3EB4}"/>
    <cellStyle name="Normal 17 3 2 3 2 3 3" xfId="5999" xr:uid="{52131FB6-F77F-4E36-A019-B7FEE473F6FE}"/>
    <cellStyle name="Normal 17 3 2 3 2 3 3 2" xfId="13513" xr:uid="{3B86B288-97B6-4104-91A2-A8CA0C914D6D}"/>
    <cellStyle name="Normal 17 3 2 3 2 3 3 2 2" xfId="29717" xr:uid="{9713D4F1-902C-4A6F-80C4-775FD51739E2}"/>
    <cellStyle name="Normal 17 3 2 3 2 3 3 3" xfId="22203" xr:uid="{AE76DC39-A931-4A08-B362-1F1D750E4B81}"/>
    <cellStyle name="Normal 17 3 2 3 2 3 4" xfId="9922" xr:uid="{6E00D83A-D787-4E37-A36C-C00261EDA4E0}"/>
    <cellStyle name="Normal 17 3 2 3 2 3 4 2" xfId="26126" xr:uid="{32EC1083-D8E2-487A-8411-DC4245A42372}"/>
    <cellStyle name="Normal 17 3 2 3 2 3 5" xfId="18447" xr:uid="{8B0C1FDA-040D-4752-8883-56A4DCF655BF}"/>
    <cellStyle name="Normal 17 3 2 3 2 4" xfId="2648" xr:uid="{4BEE44B2-8879-4BFF-98A9-B1133A65DC42}"/>
    <cellStyle name="Normal 17 3 2 3 2 4 2" xfId="6432" xr:uid="{43F0C15C-2BFD-44D8-96B4-F867476C2870}"/>
    <cellStyle name="Normal 17 3 2 3 2 4 2 2" xfId="13944" xr:uid="{EE8450E9-5D5B-467B-A147-72653E543CFC}"/>
    <cellStyle name="Normal 17 3 2 3 2 4 2 2 2" xfId="30148" xr:uid="{1BFA92D2-9CF8-46E0-82ED-620297A771A5}"/>
    <cellStyle name="Normal 17 3 2 3 2 4 2 3" xfId="22636" xr:uid="{81F2A0C9-924F-4419-BB9E-FFD2EBBABD7D}"/>
    <cellStyle name="Normal 17 3 2 3 2 4 3" xfId="10344" xr:uid="{7638F017-1371-4046-AA21-506646EBBDFC}"/>
    <cellStyle name="Normal 17 3 2 3 2 4 3 2" xfId="26548" xr:uid="{7C473928-7930-43A5-A50D-CE9BEA597828}"/>
    <cellStyle name="Normal 17 3 2 3 2 4 4" xfId="18870" xr:uid="{84940479-81C2-4952-ACF3-87F3B4278571}"/>
    <cellStyle name="Normal 17 3 2 3 2 5" xfId="3524" xr:uid="{EAB5BD37-C0C4-4F14-BA29-85CC80B34210}"/>
    <cellStyle name="Normal 17 3 2 3 2 5 2" xfId="7282" xr:uid="{AECC94BF-14E7-41D5-AAA2-B7D447FDAB77}"/>
    <cellStyle name="Normal 17 3 2 3 2 5 2 2" xfId="14792" xr:uid="{B5FCB9E1-8448-4DDA-8F9D-B0E6138DB265}"/>
    <cellStyle name="Normal 17 3 2 3 2 5 2 2 2" xfId="30996" xr:uid="{BBCCB374-7B63-4418-B506-34E865FB806C}"/>
    <cellStyle name="Normal 17 3 2 3 2 5 2 3" xfId="23486" xr:uid="{23D4400F-FF52-41C3-A6C3-A782D3440A2E}"/>
    <cellStyle name="Normal 17 3 2 3 2 5 3" xfId="11189" xr:uid="{20F83263-DD15-4FCC-B277-A9614FD17A77}"/>
    <cellStyle name="Normal 17 3 2 3 2 5 3 2" xfId="27393" xr:uid="{878EB278-2C68-492E-BCBC-14E4C4B6B4B3}"/>
    <cellStyle name="Normal 17 3 2 3 2 5 4" xfId="19740" xr:uid="{1DE996ED-68F4-4E34-AFFD-1AC857AB8601}"/>
    <cellStyle name="Normal 17 3 2 3 2 6" xfId="4048" xr:uid="{0CE696E8-3290-4819-95CA-38C4D769898C}"/>
    <cellStyle name="Normal 17 3 2 3 2 6 2" xfId="7718" xr:uid="{B15A9AF7-A1CD-4DC5-B9C7-46E1121AB6CC}"/>
    <cellStyle name="Normal 17 3 2 3 2 6 2 2" xfId="15225" xr:uid="{8B9703C3-E5B9-47F3-B45E-006B9DC9B06E}"/>
    <cellStyle name="Normal 17 3 2 3 2 6 2 2 2" xfId="31429" xr:uid="{E96D710D-1082-4166-BCD6-5AA034082330}"/>
    <cellStyle name="Normal 17 3 2 3 2 6 2 3" xfId="23922" xr:uid="{B012520B-52DF-4015-BED9-F40348EB7641}"/>
    <cellStyle name="Normal 17 3 2 3 2 6 3" xfId="11611" xr:uid="{7C4409BB-C6C3-4670-A1C0-EE364307BF8B}"/>
    <cellStyle name="Normal 17 3 2 3 2 6 3 2" xfId="27815" xr:uid="{29580F0B-95B5-4B5C-B33A-9D33E2D2593A}"/>
    <cellStyle name="Normal 17 3 2 3 2 6 4" xfId="20252" xr:uid="{CD37FB45-6602-43A6-8D98-554CFE3C9E6A}"/>
    <cellStyle name="Normal 17 3 2 3 2 7" xfId="4473" xr:uid="{F0F91E33-94F1-400A-8C2D-F37EA09F094E}"/>
    <cellStyle name="Normal 17 3 2 3 2 7 2" xfId="8143" xr:uid="{C8013C53-E9C3-446F-9467-AD789D752167}"/>
    <cellStyle name="Normal 17 3 2 3 2 7 2 2" xfId="15650" xr:uid="{CF993211-41B0-4CE1-A9FC-6CA3F3923DA6}"/>
    <cellStyle name="Normal 17 3 2 3 2 7 2 2 2" xfId="31854" xr:uid="{F94D0FF6-FCC4-4778-B378-96A8B6031B5F}"/>
    <cellStyle name="Normal 17 3 2 3 2 7 2 3" xfId="24347" xr:uid="{169856CB-E0B8-451F-97D9-5025315EC373}"/>
    <cellStyle name="Normal 17 3 2 3 2 7 3" xfId="12036" xr:uid="{4498AEA5-C217-4A8B-8A95-7CB1EFF83FA6}"/>
    <cellStyle name="Normal 17 3 2 3 2 7 3 2" xfId="28240" xr:uid="{9BF3F7E9-EF7E-4034-A97D-0B0F19384535}"/>
    <cellStyle name="Normal 17 3 2 3 2 7 4" xfId="20677" xr:uid="{F028468E-F6AB-45E2-BA36-3AD5104F8E6D}"/>
    <cellStyle name="Normal 17 3 2 3 2 8" xfId="4898" xr:uid="{78FB702E-426A-4A0A-9890-4944ACF4D072}"/>
    <cellStyle name="Normal 17 3 2 3 2 8 2" xfId="8566" xr:uid="{AEC9CC61-25CC-4F75-8B44-FEEFB65B11FE}"/>
    <cellStyle name="Normal 17 3 2 3 2 8 2 2" xfId="16073" xr:uid="{9B9A1489-5DFB-449B-9FF2-CF94725BF1F5}"/>
    <cellStyle name="Normal 17 3 2 3 2 8 2 2 2" xfId="32277" xr:uid="{D3A3A72F-B44A-4DA1-9DA1-1FA79D9B6EEC}"/>
    <cellStyle name="Normal 17 3 2 3 2 8 2 3" xfId="24770" xr:uid="{00E1D7F6-D277-499F-84CC-ABD37FF971EC}"/>
    <cellStyle name="Normal 17 3 2 3 2 8 3" xfId="12458" xr:uid="{62A0ABB4-1D37-4924-B598-8C5C545DC9ED}"/>
    <cellStyle name="Normal 17 3 2 3 2 8 3 2" xfId="28662" xr:uid="{FDCC41D8-386E-4A39-932D-2B3FB5969ED9}"/>
    <cellStyle name="Normal 17 3 2 3 2 8 4" xfId="21102" xr:uid="{976DC1C1-1D46-4FE4-AE8C-7962093AC69B}"/>
    <cellStyle name="Normal 17 3 2 3 2 9" xfId="5384" xr:uid="{7380CF67-6503-4548-A024-3956392FD18A}"/>
    <cellStyle name="Normal 17 3 2 3 2 9 2" xfId="12933" xr:uid="{24121A25-0864-430A-B6CB-7E7FB3682165}"/>
    <cellStyle name="Normal 17 3 2 3 2 9 2 2" xfId="29137" xr:uid="{9D14D8FF-6598-4BB3-A96A-CBC164099B52}"/>
    <cellStyle name="Normal 17 3 2 3 2 9 3" xfId="21588" xr:uid="{437E7068-2F4C-4898-9592-27FE5D0150CE}"/>
    <cellStyle name="Normal 17 3 2 3 3" xfId="1980" xr:uid="{20D5C299-5053-4D35-B1CB-3C61B481128E}"/>
    <cellStyle name="Normal 17 3 2 3 3 10" xfId="18283" xr:uid="{D4D9FA76-F359-4FB8-992B-AC1B9C4C7B2B}"/>
    <cellStyle name="Normal 17 3 2 3 3 2" xfId="2486" xr:uid="{54B70B2F-0AA6-4E83-A115-A4C532175141}"/>
    <cellStyle name="Normal 17 3 2 3 3 2 2" xfId="3333" xr:uid="{2F71D1F8-540B-443E-83C1-DB8D5C7F97C6}"/>
    <cellStyle name="Normal 17 3 2 3 3 2 2 2" xfId="7115" xr:uid="{E4FB0A1C-4E40-4B93-A5E3-005FB21B8CC9}"/>
    <cellStyle name="Normal 17 3 2 3 3 2 2 2 2" xfId="14626" xr:uid="{D6937A3E-5DFD-4AE0-BC81-DF668C22E10F}"/>
    <cellStyle name="Normal 17 3 2 3 3 2 2 2 2 2" xfId="30830" xr:uid="{9C38BF79-7644-495E-96D8-C91F4E3ED810}"/>
    <cellStyle name="Normal 17 3 2 3 3 2 2 2 3" xfId="23319" xr:uid="{20B66E78-B00A-4898-98CC-D8129E5815E5}"/>
    <cellStyle name="Normal 17 3 2 3 3 2 2 3" xfId="11026" xr:uid="{D115640B-FA67-4FE5-A3D9-40463F06B4F8}"/>
    <cellStyle name="Normal 17 3 2 3 3 2 2 3 2" xfId="27230" xr:uid="{52B28D62-61E4-438A-AC42-55B683D7EBB3}"/>
    <cellStyle name="Normal 17 3 2 3 3 2 2 4" xfId="19553" xr:uid="{1621C698-A58C-4071-9525-5B6478EE8E21}"/>
    <cellStyle name="Normal 17 3 2 3 3 2 3" xfId="6270" xr:uid="{C4D0373D-49C7-4357-8079-73EB8CD2487F}"/>
    <cellStyle name="Normal 17 3 2 3 3 2 3 2" xfId="13782" xr:uid="{12EF3FC8-966A-49BB-8B2D-204C93E79F28}"/>
    <cellStyle name="Normal 17 3 2 3 3 2 3 2 2" xfId="29986" xr:uid="{B039FD69-2FC1-49FB-BF02-14D46DC2351F}"/>
    <cellStyle name="Normal 17 3 2 3 3 2 3 3" xfId="22474" xr:uid="{93DECF64-C911-4B4F-9ED4-B89FE3DF7C23}"/>
    <cellStyle name="Normal 17 3 2 3 3 2 4" xfId="10182" xr:uid="{D486C48D-EA7A-4430-BE00-01CAA94F812D}"/>
    <cellStyle name="Normal 17 3 2 3 3 2 4 2" xfId="26386" xr:uid="{7AFA5CCB-9A16-4069-BBE7-BD35BD23D9BD}"/>
    <cellStyle name="Normal 17 3 2 3 3 2 5" xfId="18708" xr:uid="{18F804E7-A3B8-4E21-8877-477372E49F83}"/>
    <cellStyle name="Normal 17 3 2 3 3 3" xfId="2908" xr:uid="{098FB7E7-BF5E-4F7E-8515-CDB5DDDF7643}"/>
    <cellStyle name="Normal 17 3 2 3 3 3 2" xfId="6692" xr:uid="{9EBC3635-9BE8-4240-8C87-2E18901C069C}"/>
    <cellStyle name="Normal 17 3 2 3 3 3 2 2" xfId="14204" xr:uid="{DC0A213E-8BC2-4475-BF05-EC0B7062B17E}"/>
    <cellStyle name="Normal 17 3 2 3 3 3 2 2 2" xfId="30408" xr:uid="{53D289F3-B96B-4D1F-AF07-225CF4E0A052}"/>
    <cellStyle name="Normal 17 3 2 3 3 3 2 3" xfId="22896" xr:uid="{5F65D542-C582-499A-8CC8-177555C9BEA4}"/>
    <cellStyle name="Normal 17 3 2 3 3 3 3" xfId="10604" xr:uid="{FC94BE03-5022-40F9-896B-8284A20D3879}"/>
    <cellStyle name="Normal 17 3 2 3 3 3 3 2" xfId="26808" xr:uid="{C0E09ECD-7D27-4807-96B2-69F762AEBD25}"/>
    <cellStyle name="Normal 17 3 2 3 3 3 4" xfId="19130" xr:uid="{D4F4EB78-9AED-44E4-8E04-510D7F1B7FBE}"/>
    <cellStyle name="Normal 17 3 2 3 3 4" xfId="3839" xr:uid="{BD0E59C1-4DB7-4CC9-988C-89762F4C2894}"/>
    <cellStyle name="Normal 17 3 2 3 3 4 2" xfId="7549" xr:uid="{E1E96069-178A-4452-8BE0-5A81D4AB61B6}"/>
    <cellStyle name="Normal 17 3 2 3 3 4 2 2" xfId="15058" xr:uid="{BDFF1EEF-266A-412A-8196-9D62AF932A95}"/>
    <cellStyle name="Normal 17 3 2 3 3 4 2 2 2" xfId="31262" xr:uid="{1B6D3667-1040-4898-A1C9-0B0D4C2D7151}"/>
    <cellStyle name="Normal 17 3 2 3 3 4 2 3" xfId="23753" xr:uid="{3E7577EE-E72F-48A6-BC8E-32246FA1635A}"/>
    <cellStyle name="Normal 17 3 2 3 3 4 3" xfId="11449" xr:uid="{6395B02B-8851-4D83-83E8-28B0724DCDD9}"/>
    <cellStyle name="Normal 17 3 2 3 3 4 3 2" xfId="27653" xr:uid="{4C33F67F-14AB-407F-A4A3-9C60147070EA}"/>
    <cellStyle name="Normal 17 3 2 3 3 4 4" xfId="20048" xr:uid="{DBC529B1-0F54-4C85-88D5-D9220BC2D2CC}"/>
    <cellStyle name="Normal 17 3 2 3 3 5" xfId="4308" xr:uid="{C35AD420-39CA-4337-A323-80D511D04175}"/>
    <cellStyle name="Normal 17 3 2 3 3 5 2" xfId="7978" xr:uid="{74019D90-5D2E-4097-8214-AD070BFE80F6}"/>
    <cellStyle name="Normal 17 3 2 3 3 5 2 2" xfId="15485" xr:uid="{11BEAE4E-9B3E-488B-9322-7C221A25A630}"/>
    <cellStyle name="Normal 17 3 2 3 3 5 2 2 2" xfId="31689" xr:uid="{90772BE1-5D18-4B1B-A839-619B62F769E3}"/>
    <cellStyle name="Normal 17 3 2 3 3 5 2 3" xfId="24182" xr:uid="{1CF8222F-4004-4E6D-A330-36EB2A1CCEA5}"/>
    <cellStyle name="Normal 17 3 2 3 3 5 3" xfId="11871" xr:uid="{960D5F04-2B9A-4C48-851B-310EF533241F}"/>
    <cellStyle name="Normal 17 3 2 3 3 5 3 2" xfId="28075" xr:uid="{164C1E27-9D73-4641-9F07-295A94FAF39B}"/>
    <cellStyle name="Normal 17 3 2 3 3 5 4" xfId="20512" xr:uid="{576E8B46-D3DA-4C16-BF42-974C7154585F}"/>
    <cellStyle name="Normal 17 3 2 3 3 6" xfId="4733" xr:uid="{F52854CE-A5DA-4611-9F54-1C3568CB87C5}"/>
    <cellStyle name="Normal 17 3 2 3 3 6 2" xfId="8403" xr:uid="{21F68972-36B7-4A00-8864-E52DCCFDBA57}"/>
    <cellStyle name="Normal 17 3 2 3 3 6 2 2" xfId="15910" xr:uid="{A36856C0-14A9-4936-AF3C-795C71D4A991}"/>
    <cellStyle name="Normal 17 3 2 3 3 6 2 2 2" xfId="32114" xr:uid="{9DC37FE1-A596-4F16-A655-0AF334E01D07}"/>
    <cellStyle name="Normal 17 3 2 3 3 6 2 3" xfId="24607" xr:uid="{FACB7CBA-F154-499D-B0F2-A6B716792B8F}"/>
    <cellStyle name="Normal 17 3 2 3 3 6 3" xfId="12296" xr:uid="{3313410F-338D-4E7F-90C7-F2BF6C570A5B}"/>
    <cellStyle name="Normal 17 3 2 3 3 6 3 2" xfId="28500" xr:uid="{41E0A16F-D5AA-47B3-8F0B-2E9786E3FC06}"/>
    <cellStyle name="Normal 17 3 2 3 3 6 4" xfId="20937" xr:uid="{7C5FD66B-7B17-411D-AE0F-2319D66A3E96}"/>
    <cellStyle name="Normal 17 3 2 3 3 7" xfId="5161" xr:uid="{9FCA1537-E2B1-454A-877A-CA6FD4C5FE4D}"/>
    <cellStyle name="Normal 17 3 2 3 3 7 2" xfId="8826" xr:uid="{1DC97BC4-ADE4-4579-BA2B-7380698C9755}"/>
    <cellStyle name="Normal 17 3 2 3 3 7 2 2" xfId="16333" xr:uid="{2B338BCE-6DF6-490F-A330-561681A3810B}"/>
    <cellStyle name="Normal 17 3 2 3 3 7 2 2 2" xfId="32537" xr:uid="{D6253860-AC27-48C6-A03B-93C8C27008E4}"/>
    <cellStyle name="Normal 17 3 2 3 3 7 2 3" xfId="25030" xr:uid="{C55BB977-0CD9-46FD-A2D3-6850509A6628}"/>
    <cellStyle name="Normal 17 3 2 3 3 7 3" xfId="12718" xr:uid="{0720B223-94A1-4911-B291-E2BD7F1153FA}"/>
    <cellStyle name="Normal 17 3 2 3 3 7 3 2" xfId="28922" xr:uid="{F06CF4F7-8B1C-448B-80F5-681FE582890D}"/>
    <cellStyle name="Normal 17 3 2 3 3 7 4" xfId="21365" xr:uid="{229DE187-7092-40C3-9F08-F7E31735A464}"/>
    <cellStyle name="Normal 17 3 2 3 3 8" xfId="5832" xr:uid="{FB813F68-0E01-4064-927F-6CDE06489A99}"/>
    <cellStyle name="Normal 17 3 2 3 3 8 2" xfId="13347" xr:uid="{D8024BF8-7D2D-42EA-A2F9-8A153F75689D}"/>
    <cellStyle name="Normal 17 3 2 3 3 8 2 2" xfId="29551" xr:uid="{CF1F5D90-A77F-42DB-9418-78274A58C443}"/>
    <cellStyle name="Normal 17 3 2 3 3 8 3" xfId="22036" xr:uid="{D0245893-4CAC-435A-B274-DA5A792F30BD}"/>
    <cellStyle name="Normal 17 3 2 3 3 9" xfId="9759" xr:uid="{65042985-D49A-4C6E-A770-20B30588AC6B}"/>
    <cellStyle name="Normal 17 3 2 3 3 9 2" xfId="25963" xr:uid="{422A71A1-1B0D-4781-96B6-E603F549D86F}"/>
    <cellStyle name="Normal 17 3 2 3 4" xfId="2093" xr:uid="{44809455-BB3D-405E-8B9D-48D9DF305BB8}"/>
    <cellStyle name="Normal 17 3 2 3 4 2" xfId="3006" xr:uid="{C1360F0F-2517-45EE-9611-64993EC7D190}"/>
    <cellStyle name="Normal 17 3 2 3 4 2 2" xfId="6788" xr:uid="{0595ADB8-632A-457C-B594-EFF7F9A968FE}"/>
    <cellStyle name="Normal 17 3 2 3 4 2 2 2" xfId="14299" xr:uid="{6736CEAC-A8D2-42FC-A98C-12CB709989C9}"/>
    <cellStyle name="Normal 17 3 2 3 4 2 2 2 2" xfId="30503" xr:uid="{F976210E-96E0-44D0-9E0E-C7D9AD714CAB}"/>
    <cellStyle name="Normal 17 3 2 3 4 2 2 3" xfId="22992" xr:uid="{90238579-BF6F-40C6-8E29-7E889B985DC2}"/>
    <cellStyle name="Normal 17 3 2 3 4 2 3" xfId="10699" xr:uid="{BC00B967-A729-47A8-8AF1-63335164BFE2}"/>
    <cellStyle name="Normal 17 3 2 3 4 2 3 2" xfId="26903" xr:uid="{A9A07E61-BD8F-48A2-B79C-6915C2066B06}"/>
    <cellStyle name="Normal 17 3 2 3 4 2 4" xfId="19226" xr:uid="{0B051932-7BF1-4E9C-9CD2-81FFF0FCD990}"/>
    <cellStyle name="Normal 17 3 2 3 4 3" xfId="5932" xr:uid="{1B61582A-8B82-4B8A-B37F-A1BB5207BEA6}"/>
    <cellStyle name="Normal 17 3 2 3 4 3 2" xfId="13446" xr:uid="{791FBB68-00C8-4235-B4B7-EB2D187B5798}"/>
    <cellStyle name="Normal 17 3 2 3 4 3 2 2" xfId="29650" xr:uid="{B29BE8D2-1761-4948-910F-F6D245909589}"/>
    <cellStyle name="Normal 17 3 2 3 4 3 3" xfId="22136" xr:uid="{6E00784A-2D3C-48A8-AC22-A7CF57E49CCF}"/>
    <cellStyle name="Normal 17 3 2 3 4 4" xfId="9855" xr:uid="{447E1817-4B2F-4F22-A1B5-3CE22CDD53FA}"/>
    <cellStyle name="Normal 17 3 2 3 4 4 2" xfId="26059" xr:uid="{70939CFD-4221-460E-B674-7CA93D301F6C}"/>
    <cellStyle name="Normal 17 3 2 3 4 5" xfId="18380" xr:uid="{086192BE-4E1C-416E-8C76-025639EE963E}"/>
    <cellStyle name="Normal 17 3 2 3 5" xfId="2581" xr:uid="{6F652841-EDA0-498D-AD7B-23B457FD41F5}"/>
    <cellStyle name="Normal 17 3 2 3 5 2" xfId="6365" xr:uid="{36320254-6B27-45A9-9D3A-0D09612A25F1}"/>
    <cellStyle name="Normal 17 3 2 3 5 2 2" xfId="13877" xr:uid="{3BCAEA2B-E00A-4A78-9134-3F57F4B84A77}"/>
    <cellStyle name="Normal 17 3 2 3 5 2 2 2" xfId="30081" xr:uid="{B73CFACC-7C73-4585-BF2E-4C978141B394}"/>
    <cellStyle name="Normal 17 3 2 3 5 2 3" xfId="22569" xr:uid="{9512110A-EB31-481A-BB18-CFDE4088BF8F}"/>
    <cellStyle name="Normal 17 3 2 3 5 3" xfId="10277" xr:uid="{0B5B1497-D0CE-4EB8-B720-2C2897CF1A84}"/>
    <cellStyle name="Normal 17 3 2 3 5 3 2" xfId="26481" xr:uid="{62B916BE-269B-4DBC-9E55-68B196BA1015}"/>
    <cellStyle name="Normal 17 3 2 3 5 4" xfId="18803" xr:uid="{0348E285-4F44-48AC-97D3-F8BBACD78D30}"/>
    <cellStyle name="Normal 17 3 2 3 6" xfId="3457" xr:uid="{47BE9605-3FAB-4045-BCBE-39A0005F3F11}"/>
    <cellStyle name="Normal 17 3 2 3 6 2" xfId="7215" xr:uid="{0D0B57D9-80D6-4E83-9C3A-BB89D0B42B57}"/>
    <cellStyle name="Normal 17 3 2 3 6 2 2" xfId="14725" xr:uid="{AD3AB1B1-914A-4F38-8C8C-4272C9A6F762}"/>
    <cellStyle name="Normal 17 3 2 3 6 2 2 2" xfId="30929" xr:uid="{24C35222-7D84-447E-960D-EF62C84F85FA}"/>
    <cellStyle name="Normal 17 3 2 3 6 2 3" xfId="23419" xr:uid="{A995B5A5-A4D2-4C52-893B-029083BBF573}"/>
    <cellStyle name="Normal 17 3 2 3 6 3" xfId="11122" xr:uid="{03F9DC0F-2BBF-44AC-A49D-6677106DC22D}"/>
    <cellStyle name="Normal 17 3 2 3 6 3 2" xfId="27326" xr:uid="{80A182E0-5351-4F4C-AC83-8950ABF0958D}"/>
    <cellStyle name="Normal 17 3 2 3 6 4" xfId="19673" xr:uid="{A3451002-CDB0-4476-9064-33FC960EF9AB}"/>
    <cellStyle name="Normal 17 3 2 3 7" xfId="3981" xr:uid="{43D3DEE4-DD01-4D61-BC72-C4DEB2AC77BD}"/>
    <cellStyle name="Normal 17 3 2 3 7 2" xfId="7651" xr:uid="{E312328A-AFB9-4F4B-B06E-50610DD856E6}"/>
    <cellStyle name="Normal 17 3 2 3 7 2 2" xfId="15158" xr:uid="{E74A0B52-4950-4189-AAA1-6B601E735774}"/>
    <cellStyle name="Normal 17 3 2 3 7 2 2 2" xfId="31362" xr:uid="{5F14A0C2-A845-40EA-A453-96A5EC6030C9}"/>
    <cellStyle name="Normal 17 3 2 3 7 2 3" xfId="23855" xr:uid="{3B17A9C8-EC9C-4D47-91F7-1CDF1DD16CFA}"/>
    <cellStyle name="Normal 17 3 2 3 7 3" xfId="11544" xr:uid="{8F7307F7-ACF9-4266-8B66-20A5297B32D3}"/>
    <cellStyle name="Normal 17 3 2 3 7 3 2" xfId="27748" xr:uid="{AA083660-E376-4131-AEC8-E5C37B895082}"/>
    <cellStyle name="Normal 17 3 2 3 7 4" xfId="20185" xr:uid="{30246CD8-3B7B-43D7-BDAC-D16D9A0688C7}"/>
    <cellStyle name="Normal 17 3 2 3 8" xfId="4406" xr:uid="{4D9C715D-5F38-4D28-93A9-A6CEB83251F9}"/>
    <cellStyle name="Normal 17 3 2 3 8 2" xfId="8076" xr:uid="{86DF03CA-042D-4147-9ED6-6D5B0AFE2BD3}"/>
    <cellStyle name="Normal 17 3 2 3 8 2 2" xfId="15583" xr:uid="{20234BEF-2090-4886-9BB1-0A466C924731}"/>
    <cellStyle name="Normal 17 3 2 3 8 2 2 2" xfId="31787" xr:uid="{FD850E70-01E7-4C74-851F-066A99A4297C}"/>
    <cellStyle name="Normal 17 3 2 3 8 2 3" xfId="24280" xr:uid="{F3C245D0-71FF-4FD9-A518-D36DCC760F58}"/>
    <cellStyle name="Normal 17 3 2 3 8 3" xfId="11969" xr:uid="{3DAFB9E2-BFD9-4C7C-8A74-EA1B224A737D}"/>
    <cellStyle name="Normal 17 3 2 3 8 3 2" xfId="28173" xr:uid="{7AF1474A-E9E0-428F-80B7-68944E407352}"/>
    <cellStyle name="Normal 17 3 2 3 8 4" xfId="20610" xr:uid="{6DCE2EAC-F3BE-4D78-A05B-A72332F6E32F}"/>
    <cellStyle name="Normal 17 3 2 3 9" xfId="4830" xr:uid="{54722794-A0C9-42BC-8194-2DF09D6855AE}"/>
    <cellStyle name="Normal 17 3 2 3 9 2" xfId="8499" xr:uid="{8D2ED04C-2C95-440D-873B-2E0F244EDC87}"/>
    <cellStyle name="Normal 17 3 2 3 9 2 2" xfId="16006" xr:uid="{08C8D0DD-1625-4AE2-9917-921A36B17BF0}"/>
    <cellStyle name="Normal 17 3 2 3 9 2 2 2" xfId="32210" xr:uid="{04E06B0E-F508-4F2F-B55F-DD432DEDA529}"/>
    <cellStyle name="Normal 17 3 2 3 9 2 3" xfId="24703" xr:uid="{73A80EF7-2A42-4F43-8390-78238F97DC2F}"/>
    <cellStyle name="Normal 17 3 2 3 9 3" xfId="12391" xr:uid="{322801DE-1E0F-45A7-944B-4EA5AC3C7FCB}"/>
    <cellStyle name="Normal 17 3 2 3 9 3 2" xfId="28595" xr:uid="{72B99E44-1DCE-4A3D-A13F-D3212DA6AF09}"/>
    <cellStyle name="Normal 17 3 2 3 9 4" xfId="21034" xr:uid="{5B8D6180-2B77-4D91-8540-264EFA35C64E}"/>
    <cellStyle name="Normal 17 3 2 4" xfId="547" xr:uid="{11F3D1BA-C4F5-4E3E-B08C-DE82C792989E}"/>
    <cellStyle name="Normal 17 3 2 4 10" xfId="9455" xr:uid="{3AD3F9AB-00B7-40DC-B0E4-AA64674780F6}"/>
    <cellStyle name="Normal 17 3 2 4 10 2" xfId="25659" xr:uid="{70076AFD-F8BE-4E8E-8326-9591687929D0}"/>
    <cellStyle name="Normal 17 3 2 4 11" xfId="17971" xr:uid="{16EBFCBD-FBB6-4449-99C1-6151BE7F0FEF}"/>
    <cellStyle name="Normal 17 3 2 4 2" xfId="1981" xr:uid="{4DBBD8F7-94E6-4B10-9B62-09A66959CCC9}"/>
    <cellStyle name="Normal 17 3 2 4 2 10" xfId="18284" xr:uid="{D26F2EF3-8618-40DA-83A5-0795FF203828}"/>
    <cellStyle name="Normal 17 3 2 4 2 2" xfId="2487" xr:uid="{17F7E9C1-1D2D-4FF1-8410-AA597E9020A2}"/>
    <cellStyle name="Normal 17 3 2 4 2 2 2" xfId="3334" xr:uid="{65D7FFD7-DDBF-4DB9-8126-BEE54E315C75}"/>
    <cellStyle name="Normal 17 3 2 4 2 2 2 2" xfId="7116" xr:uid="{0CCC1C75-F78B-4108-A694-D5D83F601AE0}"/>
    <cellStyle name="Normal 17 3 2 4 2 2 2 2 2" xfId="14627" xr:uid="{10F350CE-C24A-48AB-8547-B1EB23FFA6A7}"/>
    <cellStyle name="Normal 17 3 2 4 2 2 2 2 2 2" xfId="30831" xr:uid="{4176689C-9481-4CE3-85DB-AA5F60F64B2A}"/>
    <cellStyle name="Normal 17 3 2 4 2 2 2 2 3" xfId="23320" xr:uid="{C56095D7-5EF8-4DBA-AEBB-9B784E35EC75}"/>
    <cellStyle name="Normal 17 3 2 4 2 2 2 3" xfId="11027" xr:uid="{7D500CBD-CDB4-4B8B-AC0E-75E1F2280DF3}"/>
    <cellStyle name="Normal 17 3 2 4 2 2 2 3 2" xfId="27231" xr:uid="{8880D4D8-9C3C-46BC-AAFF-B6EDC82155A3}"/>
    <cellStyle name="Normal 17 3 2 4 2 2 2 4" xfId="19554" xr:uid="{1AB17942-EE92-4408-BEB9-1AA9F115C3F3}"/>
    <cellStyle name="Normal 17 3 2 4 2 2 3" xfId="6271" xr:uid="{557364E7-7153-4902-9518-7B5DE19894C3}"/>
    <cellStyle name="Normal 17 3 2 4 2 2 3 2" xfId="13783" xr:uid="{720D08DA-212E-4883-AD66-D431E52C2E00}"/>
    <cellStyle name="Normal 17 3 2 4 2 2 3 2 2" xfId="29987" xr:uid="{A1AE8C43-1C15-49A7-8B36-336C0E6C29B5}"/>
    <cellStyle name="Normal 17 3 2 4 2 2 3 3" xfId="22475" xr:uid="{8B94074B-DF69-4885-9B15-F904424D2DBA}"/>
    <cellStyle name="Normal 17 3 2 4 2 2 4" xfId="10183" xr:uid="{0D200884-E389-4CFB-97AC-690440B25ABA}"/>
    <cellStyle name="Normal 17 3 2 4 2 2 4 2" xfId="26387" xr:uid="{BAEE6632-E152-48A8-A27F-34CF8EC1A20F}"/>
    <cellStyle name="Normal 17 3 2 4 2 2 5" xfId="18709" xr:uid="{3D537DFD-3FE4-4097-BB0F-DC76585BE614}"/>
    <cellStyle name="Normal 17 3 2 4 2 3" xfId="2909" xr:uid="{8103468D-E7F0-46CC-B18B-35E1DA547800}"/>
    <cellStyle name="Normal 17 3 2 4 2 3 2" xfId="6693" xr:uid="{7115ED72-F818-47BF-BC5B-FDA29AA6ED95}"/>
    <cellStyle name="Normal 17 3 2 4 2 3 2 2" xfId="14205" xr:uid="{EF0E4345-BE9A-40AD-A3B0-5119F970E3E5}"/>
    <cellStyle name="Normal 17 3 2 4 2 3 2 2 2" xfId="30409" xr:uid="{AB8021F6-D2CE-497D-A398-8AD65A16DCA7}"/>
    <cellStyle name="Normal 17 3 2 4 2 3 2 3" xfId="22897" xr:uid="{DA9BE1E7-74CF-4B8C-B91C-9EFAF2ECB4F2}"/>
    <cellStyle name="Normal 17 3 2 4 2 3 3" xfId="10605" xr:uid="{BE32F88D-61B1-48FF-A6F3-349B429F06DE}"/>
    <cellStyle name="Normal 17 3 2 4 2 3 3 2" xfId="26809" xr:uid="{E3819BA6-49E7-4F7D-9071-FBDFFD449B6D}"/>
    <cellStyle name="Normal 17 3 2 4 2 3 4" xfId="19131" xr:uid="{72A75666-0A29-490D-ABFD-2044CA785F48}"/>
    <cellStyle name="Normal 17 3 2 4 2 4" xfId="3840" xr:uid="{C7A87FE7-1A68-4666-99A4-5934C7A21CE9}"/>
    <cellStyle name="Normal 17 3 2 4 2 4 2" xfId="7550" xr:uid="{83A74D7E-9620-44E7-8C93-41581C682E98}"/>
    <cellStyle name="Normal 17 3 2 4 2 4 2 2" xfId="15059" xr:uid="{664F12C9-5F18-46F5-B08B-1577A02CD84A}"/>
    <cellStyle name="Normal 17 3 2 4 2 4 2 2 2" xfId="31263" xr:uid="{8E58DABA-B484-40E1-AB55-FE36F90E41F4}"/>
    <cellStyle name="Normal 17 3 2 4 2 4 2 3" xfId="23754" xr:uid="{5F6A9678-DD0B-4745-B480-85570BE4F96B}"/>
    <cellStyle name="Normal 17 3 2 4 2 4 3" xfId="11450" xr:uid="{01F984CC-8602-46F2-9031-AEB3AC781AF1}"/>
    <cellStyle name="Normal 17 3 2 4 2 4 3 2" xfId="27654" xr:uid="{5E381366-885D-4638-8831-D722EA1889AE}"/>
    <cellStyle name="Normal 17 3 2 4 2 4 4" xfId="20049" xr:uid="{C8C77EF6-6C99-464E-AE1E-A9DD020C0046}"/>
    <cellStyle name="Normal 17 3 2 4 2 5" xfId="4309" xr:uid="{CEBD9F7E-329D-4954-91D5-89432DE766AD}"/>
    <cellStyle name="Normal 17 3 2 4 2 5 2" xfId="7979" xr:uid="{199BD78D-0AA6-4D7F-8629-AA00A39E2DF6}"/>
    <cellStyle name="Normal 17 3 2 4 2 5 2 2" xfId="15486" xr:uid="{686587BA-89BA-44F8-99FA-376C6A2A5198}"/>
    <cellStyle name="Normal 17 3 2 4 2 5 2 2 2" xfId="31690" xr:uid="{32D8BF29-E3B7-4AFA-9607-F3222F9CBCDC}"/>
    <cellStyle name="Normal 17 3 2 4 2 5 2 3" xfId="24183" xr:uid="{E1094F49-F92E-4F50-985A-FC7EF975482A}"/>
    <cellStyle name="Normal 17 3 2 4 2 5 3" xfId="11872" xr:uid="{118804AA-F92E-4701-88D8-7903767CEE4D}"/>
    <cellStyle name="Normal 17 3 2 4 2 5 3 2" xfId="28076" xr:uid="{D0A76D3E-14D1-454F-9172-6F3A13D04CDE}"/>
    <cellStyle name="Normal 17 3 2 4 2 5 4" xfId="20513" xr:uid="{34F0B820-5563-4A56-92B8-98FF37BFE3B7}"/>
    <cellStyle name="Normal 17 3 2 4 2 6" xfId="4734" xr:uid="{076BA454-51FB-4508-84A5-58B9EF69F1E6}"/>
    <cellStyle name="Normal 17 3 2 4 2 6 2" xfId="8404" xr:uid="{A648C4D3-387F-4105-87AC-01EB8C4CDB63}"/>
    <cellStyle name="Normal 17 3 2 4 2 6 2 2" xfId="15911" xr:uid="{1D09E969-3B9E-4AC9-AD10-D5EFF5399582}"/>
    <cellStyle name="Normal 17 3 2 4 2 6 2 2 2" xfId="32115" xr:uid="{C3DEED7B-E2F6-4C8F-B364-4B1A525578B1}"/>
    <cellStyle name="Normal 17 3 2 4 2 6 2 3" xfId="24608" xr:uid="{8230FAD8-E79D-4F60-8430-22151546546B}"/>
    <cellStyle name="Normal 17 3 2 4 2 6 3" xfId="12297" xr:uid="{CD9BF811-A15E-4E84-B245-5BB369206C05}"/>
    <cellStyle name="Normal 17 3 2 4 2 6 3 2" xfId="28501" xr:uid="{8887180A-38EC-40CA-9FAD-435B8BE43826}"/>
    <cellStyle name="Normal 17 3 2 4 2 6 4" xfId="20938" xr:uid="{0C1D4BC8-CC62-470B-B065-D08254E1C581}"/>
    <cellStyle name="Normal 17 3 2 4 2 7" xfId="5162" xr:uid="{A8A03427-FE52-4A4D-9FDD-479187A67B3D}"/>
    <cellStyle name="Normal 17 3 2 4 2 7 2" xfId="8827" xr:uid="{1AB48ED5-286E-48A6-ADB7-E09C56F57073}"/>
    <cellStyle name="Normal 17 3 2 4 2 7 2 2" xfId="16334" xr:uid="{EFE844B2-7AD3-405F-BA6C-5156C4935452}"/>
    <cellStyle name="Normal 17 3 2 4 2 7 2 2 2" xfId="32538" xr:uid="{BB138267-A73F-4649-80DA-F1AAA603C39C}"/>
    <cellStyle name="Normal 17 3 2 4 2 7 2 3" xfId="25031" xr:uid="{EF2C2C73-F8CA-4EC5-ADA7-921AF932AF75}"/>
    <cellStyle name="Normal 17 3 2 4 2 7 3" xfId="12719" xr:uid="{204CF156-7038-4C7E-B095-279BD4D3B113}"/>
    <cellStyle name="Normal 17 3 2 4 2 7 3 2" xfId="28923" xr:uid="{C83FAD21-3F1F-4C13-A799-2ED08B4E0FBF}"/>
    <cellStyle name="Normal 17 3 2 4 2 7 4" xfId="21366" xr:uid="{FA865F4B-D22E-4FE7-A78A-8581ABD7F916}"/>
    <cellStyle name="Normal 17 3 2 4 2 8" xfId="5833" xr:uid="{F2BC2BC7-45D2-415F-B651-34E22757048D}"/>
    <cellStyle name="Normal 17 3 2 4 2 8 2" xfId="13348" xr:uid="{73D56754-1068-4E9E-A651-2CDBDE4487A8}"/>
    <cellStyle name="Normal 17 3 2 4 2 8 2 2" xfId="29552" xr:uid="{39F4E3CC-472D-4756-901D-EDF72E6FADB0}"/>
    <cellStyle name="Normal 17 3 2 4 2 8 3" xfId="22037" xr:uid="{8C87BACF-83DD-4E76-8B2E-7DF2F6C7160A}"/>
    <cellStyle name="Normal 17 3 2 4 2 9" xfId="9760" xr:uid="{1ED3C395-03E1-4353-8E90-06EDC5E5A03A}"/>
    <cellStyle name="Normal 17 3 2 4 2 9 2" xfId="25964" xr:uid="{91FBC305-82E9-4E85-81C0-C9124B80DDFD}"/>
    <cellStyle name="Normal 17 3 2 4 3" xfId="2116" xr:uid="{9D9985CB-5153-41FC-95EF-F5E6E499D5A6}"/>
    <cellStyle name="Normal 17 3 2 4 3 2" xfId="3029" xr:uid="{1F6B79ED-46F0-4DDA-A9A1-B7D8E67B466B}"/>
    <cellStyle name="Normal 17 3 2 4 3 2 2" xfId="6811" xr:uid="{8A6618EE-1CB1-4368-9E84-0A0B5B2695BC}"/>
    <cellStyle name="Normal 17 3 2 4 3 2 2 2" xfId="14322" xr:uid="{1E98991E-BC44-4AF2-B1AC-742BBF6332AB}"/>
    <cellStyle name="Normal 17 3 2 4 3 2 2 2 2" xfId="30526" xr:uid="{520F1B8D-7C86-4156-A37C-861E80295EC3}"/>
    <cellStyle name="Normal 17 3 2 4 3 2 2 3" xfId="23015" xr:uid="{7896715F-B4F6-4E89-9588-0834F43A1D09}"/>
    <cellStyle name="Normal 17 3 2 4 3 2 3" xfId="10722" xr:uid="{4F008BCF-F449-4A67-922D-66521D4257CD}"/>
    <cellStyle name="Normal 17 3 2 4 3 2 3 2" xfId="26926" xr:uid="{A39E358D-074F-44F7-AC74-B1483D9F5093}"/>
    <cellStyle name="Normal 17 3 2 4 3 2 4" xfId="19249" xr:uid="{CED174DE-7D6B-4193-8E20-F3AA2CF1C788}"/>
    <cellStyle name="Normal 17 3 2 4 3 3" xfId="5955" xr:uid="{67F883D6-D0F9-4AD5-AD23-474C1FE71489}"/>
    <cellStyle name="Normal 17 3 2 4 3 3 2" xfId="13469" xr:uid="{983904C8-A9D3-461F-8911-4A6E4C41DBF9}"/>
    <cellStyle name="Normal 17 3 2 4 3 3 2 2" xfId="29673" xr:uid="{F707561D-4918-498B-97A4-B505A7D14EE1}"/>
    <cellStyle name="Normal 17 3 2 4 3 3 3" xfId="22159" xr:uid="{2FFCB3DF-36A8-450B-B3FF-178CF1CC750C}"/>
    <cellStyle name="Normal 17 3 2 4 3 4" xfId="9878" xr:uid="{118A4583-755F-4026-A01B-37D3FE9064CC}"/>
    <cellStyle name="Normal 17 3 2 4 3 4 2" xfId="26082" xr:uid="{5F4C406E-21F8-462F-967E-59BEE55D1997}"/>
    <cellStyle name="Normal 17 3 2 4 3 5" xfId="18403" xr:uid="{70019587-51AE-42F8-AB31-E96DB7A400CB}"/>
    <cellStyle name="Normal 17 3 2 4 4" xfId="2604" xr:uid="{EFE3437B-6641-4B75-AC2A-0960D7BAC26A}"/>
    <cellStyle name="Normal 17 3 2 4 4 2" xfId="6388" xr:uid="{AD11A275-673B-47E9-8236-4E2F58DCBA9D}"/>
    <cellStyle name="Normal 17 3 2 4 4 2 2" xfId="13900" xr:uid="{942FCEC2-BA68-4EC7-9070-004A2D116980}"/>
    <cellStyle name="Normal 17 3 2 4 4 2 2 2" xfId="30104" xr:uid="{BBAE599E-AD14-4687-B73B-4041ABFD5950}"/>
    <cellStyle name="Normal 17 3 2 4 4 2 3" xfId="22592" xr:uid="{FE4F867C-0A2A-448E-A790-F2CD49173F6A}"/>
    <cellStyle name="Normal 17 3 2 4 4 3" xfId="10300" xr:uid="{870D75BC-01DE-49C4-9FEE-89AE27CB4A81}"/>
    <cellStyle name="Normal 17 3 2 4 4 3 2" xfId="26504" xr:uid="{1DF4B59C-3283-4255-852B-AB2ECF8DB206}"/>
    <cellStyle name="Normal 17 3 2 4 4 4" xfId="18826" xr:uid="{0287C006-88EF-42DB-BA9B-017C621FC378}"/>
    <cellStyle name="Normal 17 3 2 4 5" xfId="3480" xr:uid="{E48D79D5-9708-4E58-8185-932F2E374DFF}"/>
    <cellStyle name="Normal 17 3 2 4 5 2" xfId="7238" xr:uid="{2484C4BC-5C98-439D-9D21-EDAB905B6E3B}"/>
    <cellStyle name="Normal 17 3 2 4 5 2 2" xfId="14748" xr:uid="{6F6E2226-E05F-4EF2-9E37-8C1C62D9528E}"/>
    <cellStyle name="Normal 17 3 2 4 5 2 2 2" xfId="30952" xr:uid="{4226D43D-0087-442D-B8FE-B50AE52FF867}"/>
    <cellStyle name="Normal 17 3 2 4 5 2 3" xfId="23442" xr:uid="{F2F381C3-EAE3-492F-8F74-8033E576A343}"/>
    <cellStyle name="Normal 17 3 2 4 5 3" xfId="11145" xr:uid="{19B0352C-89FD-42D0-8C91-188A203C4F73}"/>
    <cellStyle name="Normal 17 3 2 4 5 3 2" xfId="27349" xr:uid="{23F134FF-91A4-4665-9E8D-4C100F8E5607}"/>
    <cellStyle name="Normal 17 3 2 4 5 4" xfId="19696" xr:uid="{92DE14B3-D75B-4098-9EFD-A6902F847144}"/>
    <cellStyle name="Normal 17 3 2 4 6" xfId="4004" xr:uid="{6DEDFCC1-D704-4836-871B-CEC4724FC64B}"/>
    <cellStyle name="Normal 17 3 2 4 6 2" xfId="7674" xr:uid="{4BF260E1-55E9-4A2C-8DC6-227900C43309}"/>
    <cellStyle name="Normal 17 3 2 4 6 2 2" xfId="15181" xr:uid="{85E4FD81-8663-4012-86F5-27199EE653A6}"/>
    <cellStyle name="Normal 17 3 2 4 6 2 2 2" xfId="31385" xr:uid="{207A771A-64F7-492F-9977-282225B07313}"/>
    <cellStyle name="Normal 17 3 2 4 6 2 3" xfId="23878" xr:uid="{C0212E7F-7E82-4328-BF90-FF9455D799C2}"/>
    <cellStyle name="Normal 17 3 2 4 6 3" xfId="11567" xr:uid="{69C374DD-9F6D-4260-83EC-0E06A57193B5}"/>
    <cellStyle name="Normal 17 3 2 4 6 3 2" xfId="27771" xr:uid="{C086229F-4E8A-42FC-8277-577557864D89}"/>
    <cellStyle name="Normal 17 3 2 4 6 4" xfId="20208" xr:uid="{79B6F3C7-E1C3-4E51-A7E0-00CC6BDB049D}"/>
    <cellStyle name="Normal 17 3 2 4 7" xfId="4429" xr:uid="{52512DD9-D5B3-42EA-B638-D207020D387C}"/>
    <cellStyle name="Normal 17 3 2 4 7 2" xfId="8099" xr:uid="{AB85CFC9-B671-4F89-9CB2-F2B7C0725D56}"/>
    <cellStyle name="Normal 17 3 2 4 7 2 2" xfId="15606" xr:uid="{5806C25F-32AC-4CB4-8F66-74E9BB17D216}"/>
    <cellStyle name="Normal 17 3 2 4 7 2 2 2" xfId="31810" xr:uid="{8A8E83AC-8159-4BE7-8BAB-32D9FC158828}"/>
    <cellStyle name="Normal 17 3 2 4 7 2 3" xfId="24303" xr:uid="{81145542-AA44-4C21-AC49-3112D6E2B75F}"/>
    <cellStyle name="Normal 17 3 2 4 7 3" xfId="11992" xr:uid="{12A064A2-BCFF-4E8B-A961-2B482383453E}"/>
    <cellStyle name="Normal 17 3 2 4 7 3 2" xfId="28196" xr:uid="{7F32FF33-E6C2-4F24-8B14-89ED92C39134}"/>
    <cellStyle name="Normal 17 3 2 4 7 4" xfId="20633" xr:uid="{3A9E9F1F-7F30-4FEC-82C6-CBAD3AEA0F62}"/>
    <cellStyle name="Normal 17 3 2 4 8" xfId="4854" xr:uid="{0BC23522-0879-41B7-9DD4-277D79073B76}"/>
    <cellStyle name="Normal 17 3 2 4 8 2" xfId="8522" xr:uid="{D24B6B84-309E-4085-A20D-672046365FCD}"/>
    <cellStyle name="Normal 17 3 2 4 8 2 2" xfId="16029" xr:uid="{36FFDEB8-3A13-4B6D-BDCB-691CDF26907B}"/>
    <cellStyle name="Normal 17 3 2 4 8 2 2 2" xfId="32233" xr:uid="{6D41130B-2CB6-48E4-8C39-BFD93EABAE2C}"/>
    <cellStyle name="Normal 17 3 2 4 8 2 3" xfId="24726" xr:uid="{F5EA5DB4-870E-4D06-BF09-54B8418E169A}"/>
    <cellStyle name="Normal 17 3 2 4 8 3" xfId="12414" xr:uid="{29F1E42E-28F0-4102-AEAA-2811D9A8867A}"/>
    <cellStyle name="Normal 17 3 2 4 8 3 2" xfId="28618" xr:uid="{C23A7E2F-2B00-4BC2-B41E-C12E0FC51B46}"/>
    <cellStyle name="Normal 17 3 2 4 8 4" xfId="21058" xr:uid="{A3850789-8A55-45FF-87CB-ABDE5D098D2A}"/>
    <cellStyle name="Normal 17 3 2 4 9" xfId="5340" xr:uid="{779470A0-EA0F-4D0A-B30B-49067ECDD104}"/>
    <cellStyle name="Normal 17 3 2 4 9 2" xfId="12889" xr:uid="{C4873BB8-6157-48FC-90BD-E133CAFD6F92}"/>
    <cellStyle name="Normal 17 3 2 4 9 2 2" xfId="29093" xr:uid="{262584F9-2D54-4BE9-BE4C-4C4FFB10D2BE}"/>
    <cellStyle name="Normal 17 3 2 4 9 3" xfId="21544" xr:uid="{55A265FF-9ECA-44BB-807F-E154B94720D2}"/>
    <cellStyle name="Normal 17 3 2 5" xfId="1982" xr:uid="{8307EA94-D27E-4500-A83C-B6754D637A75}"/>
    <cellStyle name="Normal 17 3 2 5 10" xfId="18285" xr:uid="{3D7A9557-9D93-450B-9E6B-F9C2B5B37BAA}"/>
    <cellStyle name="Normal 17 3 2 5 2" xfId="2488" xr:uid="{7CBDAC6A-F055-4420-A5C6-5C47F7A36463}"/>
    <cellStyle name="Normal 17 3 2 5 2 2" xfId="3335" xr:uid="{73ABAE3B-643B-4F8F-A2BC-ECC7F7A53F76}"/>
    <cellStyle name="Normal 17 3 2 5 2 2 2" xfId="7117" xr:uid="{B3CE5655-D774-402C-A085-0DE1C163F89A}"/>
    <cellStyle name="Normal 17 3 2 5 2 2 2 2" xfId="14628" xr:uid="{5FD5F3E5-1610-4100-B77F-6B82831C3A55}"/>
    <cellStyle name="Normal 17 3 2 5 2 2 2 2 2" xfId="30832" xr:uid="{AD8A5F37-C0D3-4470-8CEF-9218A50FA652}"/>
    <cellStyle name="Normal 17 3 2 5 2 2 2 3" xfId="23321" xr:uid="{0E97E8C1-97DC-4F91-A1FD-9CC463BA4AB6}"/>
    <cellStyle name="Normal 17 3 2 5 2 2 3" xfId="11028" xr:uid="{40360E6B-0627-49B5-BDDA-90F72869FAD0}"/>
    <cellStyle name="Normal 17 3 2 5 2 2 3 2" xfId="27232" xr:uid="{B5FE59F6-7F83-43A8-8AE0-2E511CE13678}"/>
    <cellStyle name="Normal 17 3 2 5 2 2 4" xfId="19555" xr:uid="{07C22C5A-8AD4-4F80-897F-CEE8D5242E9E}"/>
    <cellStyle name="Normal 17 3 2 5 2 3" xfId="6272" xr:uid="{F40F3394-A25C-4D61-A5F6-13332DF75106}"/>
    <cellStyle name="Normal 17 3 2 5 2 3 2" xfId="13784" xr:uid="{3E038405-90F4-4853-8CB1-FA6C09E7F698}"/>
    <cellStyle name="Normal 17 3 2 5 2 3 2 2" xfId="29988" xr:uid="{86A6B550-2A9A-4310-AEC9-0E192D1C8F50}"/>
    <cellStyle name="Normal 17 3 2 5 2 3 3" xfId="22476" xr:uid="{64177DCC-78B3-4002-801A-B6BD2BBF0249}"/>
    <cellStyle name="Normal 17 3 2 5 2 4" xfId="10184" xr:uid="{83593C95-57C1-4C5D-AFB5-64E3DF7B2A9A}"/>
    <cellStyle name="Normal 17 3 2 5 2 4 2" xfId="26388" xr:uid="{00BA66C9-023A-4698-A41A-710305B80449}"/>
    <cellStyle name="Normal 17 3 2 5 2 5" xfId="18710" xr:uid="{AE0A34B4-78D7-489B-828E-10E0E90BA7B6}"/>
    <cellStyle name="Normal 17 3 2 5 3" xfId="2910" xr:uid="{FC7F9294-DF0A-488A-A968-E9F6756B8E27}"/>
    <cellStyle name="Normal 17 3 2 5 3 2" xfId="6694" xr:uid="{338A27EE-FA07-4A4E-8038-02090C43E100}"/>
    <cellStyle name="Normal 17 3 2 5 3 2 2" xfId="14206" xr:uid="{B0BB46CD-A816-44A7-B39B-F48372929C95}"/>
    <cellStyle name="Normal 17 3 2 5 3 2 2 2" xfId="30410" xr:uid="{A54FD46C-99C0-4FF7-A80E-8377FE4D4B6E}"/>
    <cellStyle name="Normal 17 3 2 5 3 2 3" xfId="22898" xr:uid="{13D1C758-7029-4A93-B267-AD8E942DF2AB}"/>
    <cellStyle name="Normal 17 3 2 5 3 3" xfId="10606" xr:uid="{CB52D56F-52EE-4835-8A80-CE2C4ACE289C}"/>
    <cellStyle name="Normal 17 3 2 5 3 3 2" xfId="26810" xr:uid="{132C981E-03B8-425E-8EBB-F574A61756FE}"/>
    <cellStyle name="Normal 17 3 2 5 3 4" xfId="19132" xr:uid="{5AC0E572-74ED-4241-BBEE-17D480848C6F}"/>
    <cellStyle name="Normal 17 3 2 5 4" xfId="3841" xr:uid="{8A6E6C06-E1FF-4E25-9352-A5020DF6848A}"/>
    <cellStyle name="Normal 17 3 2 5 4 2" xfId="7551" xr:uid="{717E144B-5F70-4E2E-A2A1-C69C972E785E}"/>
    <cellStyle name="Normal 17 3 2 5 4 2 2" xfId="15060" xr:uid="{56C29586-2922-4BDB-AE22-862FE537822E}"/>
    <cellStyle name="Normal 17 3 2 5 4 2 2 2" xfId="31264" xr:uid="{995104FA-FB65-4E61-9EC8-FC7CD936E7EE}"/>
    <cellStyle name="Normal 17 3 2 5 4 2 3" xfId="23755" xr:uid="{2C8F56D2-1AD4-42C1-8001-B414CD929F32}"/>
    <cellStyle name="Normal 17 3 2 5 4 3" xfId="11451" xr:uid="{85960704-2910-45FC-990C-7CE8DFE26346}"/>
    <cellStyle name="Normal 17 3 2 5 4 3 2" xfId="27655" xr:uid="{FD324D56-9D09-4AC7-973B-543E5A43EB6A}"/>
    <cellStyle name="Normal 17 3 2 5 4 4" xfId="20050" xr:uid="{8F63DC76-7B77-43D9-BFFE-858C011BE323}"/>
    <cellStyle name="Normal 17 3 2 5 5" xfId="4310" xr:uid="{2F855691-665C-4B0B-BE3E-5B34106F4254}"/>
    <cellStyle name="Normal 17 3 2 5 5 2" xfId="7980" xr:uid="{4544B5BA-FA58-45E7-AB01-E909035C8254}"/>
    <cellStyle name="Normal 17 3 2 5 5 2 2" xfId="15487" xr:uid="{CDA460CA-9049-42A8-9CA0-7F68062AC11C}"/>
    <cellStyle name="Normal 17 3 2 5 5 2 2 2" xfId="31691" xr:uid="{B3AC8767-7AA8-465F-8238-6450C9CC91B7}"/>
    <cellStyle name="Normal 17 3 2 5 5 2 3" xfId="24184" xr:uid="{EA5A4AFF-F1C9-40B6-A310-FD311754553F}"/>
    <cellStyle name="Normal 17 3 2 5 5 3" xfId="11873" xr:uid="{D7A8F83F-E0CF-4142-AA88-78AC52E20ABC}"/>
    <cellStyle name="Normal 17 3 2 5 5 3 2" xfId="28077" xr:uid="{C79014DF-98C6-444D-A45F-A6BE08C7DEFF}"/>
    <cellStyle name="Normal 17 3 2 5 5 4" xfId="20514" xr:uid="{C3F00EBC-139B-400D-98D3-90BB5FC77B38}"/>
    <cellStyle name="Normal 17 3 2 5 6" xfId="4735" xr:uid="{CF8FC2D8-415F-4534-BB1D-5EE2E3515DF1}"/>
    <cellStyle name="Normal 17 3 2 5 6 2" xfId="8405" xr:uid="{C6ADB353-E169-4EC0-AA76-EC9251C2CF82}"/>
    <cellStyle name="Normal 17 3 2 5 6 2 2" xfId="15912" xr:uid="{4DE206AB-CC15-4DE1-9ABA-403A7302C145}"/>
    <cellStyle name="Normal 17 3 2 5 6 2 2 2" xfId="32116" xr:uid="{D862F4EF-F54D-4C5C-982C-B32DEBE3D507}"/>
    <cellStyle name="Normal 17 3 2 5 6 2 3" xfId="24609" xr:uid="{A1FD6D60-BAE1-42F6-AE97-83DD118584BA}"/>
    <cellStyle name="Normal 17 3 2 5 6 3" xfId="12298" xr:uid="{45ACA561-CCC2-4A6D-94FE-830BAC5789F1}"/>
    <cellStyle name="Normal 17 3 2 5 6 3 2" xfId="28502" xr:uid="{FCD415F1-3468-4C45-9461-08FC75778938}"/>
    <cellStyle name="Normal 17 3 2 5 6 4" xfId="20939" xr:uid="{170AED23-299D-4160-9DF8-033F37A503C6}"/>
    <cellStyle name="Normal 17 3 2 5 7" xfId="5163" xr:uid="{E62E3C86-CC5A-4E8E-9B51-CD6B5C168AD6}"/>
    <cellStyle name="Normal 17 3 2 5 7 2" xfId="8828" xr:uid="{02B04084-ECE7-4503-A7A2-AA4BD51FEC3B}"/>
    <cellStyle name="Normal 17 3 2 5 7 2 2" xfId="16335" xr:uid="{FB9212C2-83C3-4547-A1EE-3743BEF1B008}"/>
    <cellStyle name="Normal 17 3 2 5 7 2 2 2" xfId="32539" xr:uid="{076B9C2A-9C03-48E2-8103-5139C2C3AA42}"/>
    <cellStyle name="Normal 17 3 2 5 7 2 3" xfId="25032" xr:uid="{B2730244-7F68-45F4-8CDD-30DE29708D0B}"/>
    <cellStyle name="Normal 17 3 2 5 7 3" xfId="12720" xr:uid="{519B63D8-B555-4209-9EFD-0F63D15AA65A}"/>
    <cellStyle name="Normal 17 3 2 5 7 3 2" xfId="28924" xr:uid="{45109AEE-71C6-435A-B993-C5A1A2BC1A9B}"/>
    <cellStyle name="Normal 17 3 2 5 7 4" xfId="21367" xr:uid="{BE611D4C-361F-4DEB-9FB4-27B99DD4DA38}"/>
    <cellStyle name="Normal 17 3 2 5 8" xfId="5834" xr:uid="{5F3546B6-DB95-4DEC-8AF8-25E50259C793}"/>
    <cellStyle name="Normal 17 3 2 5 8 2" xfId="13349" xr:uid="{E537D410-CB4C-43CB-AF36-9869EA25586F}"/>
    <cellStyle name="Normal 17 3 2 5 8 2 2" xfId="29553" xr:uid="{ABEFC1A2-6DC2-47DA-A7E0-CF0A60320CF6}"/>
    <cellStyle name="Normal 17 3 2 5 8 3" xfId="22038" xr:uid="{9D499E25-45FD-4769-956A-BB7522A7A0A5}"/>
    <cellStyle name="Normal 17 3 2 5 9" xfId="9761" xr:uid="{F3D3223C-DD37-4CCB-B470-E159FA606445}"/>
    <cellStyle name="Normal 17 3 2 5 9 2" xfId="25965" xr:uid="{0D05AB81-CC4F-41D6-8F97-BF4133453DC4}"/>
    <cellStyle name="Normal 17 3 2 6" xfId="2049" xr:uid="{D9BCE209-6E39-4ED4-A4BC-B871EC8D443D}"/>
    <cellStyle name="Normal 17 3 2 6 2" xfId="2962" xr:uid="{BC45E748-493E-46B5-AE79-E4363233BBF6}"/>
    <cellStyle name="Normal 17 3 2 6 2 2" xfId="6744" xr:uid="{5C15C49F-D5FD-45C3-AF8A-3C25EDA20BEB}"/>
    <cellStyle name="Normal 17 3 2 6 2 2 2" xfId="14255" xr:uid="{DF3FDF9C-23F9-49DF-B517-9C0EE2E1EAC9}"/>
    <cellStyle name="Normal 17 3 2 6 2 2 2 2" xfId="30459" xr:uid="{A111E057-3B14-4C8F-A243-04086C6F2107}"/>
    <cellStyle name="Normal 17 3 2 6 2 2 3" xfId="22948" xr:uid="{91BDA603-EE9A-4A6E-B203-322FB4B43DAB}"/>
    <cellStyle name="Normal 17 3 2 6 2 3" xfId="10655" xr:uid="{EA0F4C39-FEA4-490B-9B96-C578F5247179}"/>
    <cellStyle name="Normal 17 3 2 6 2 3 2" xfId="26859" xr:uid="{C91643BB-C456-4BCF-AD3F-39C0AD000F18}"/>
    <cellStyle name="Normal 17 3 2 6 2 4" xfId="19182" xr:uid="{BF84EF4A-32D4-4BAF-8BEF-479D3A17B34A}"/>
    <cellStyle name="Normal 17 3 2 6 3" xfId="5888" xr:uid="{B3503EF3-8382-4855-B3C3-C0EDC0A6EC01}"/>
    <cellStyle name="Normal 17 3 2 6 3 2" xfId="13402" xr:uid="{13550FA0-F56B-498B-AA53-3BFFB5EFFEBE}"/>
    <cellStyle name="Normal 17 3 2 6 3 2 2" xfId="29606" xr:uid="{72C2B78E-36A9-4524-A41E-86FB964476DF}"/>
    <cellStyle name="Normal 17 3 2 6 3 3" xfId="22092" xr:uid="{3A08B068-D638-4ADC-B391-F0D55B5272CA}"/>
    <cellStyle name="Normal 17 3 2 6 4" xfId="9811" xr:uid="{8F1C58C0-1BCD-4E92-8479-A7381F16F56D}"/>
    <cellStyle name="Normal 17 3 2 6 4 2" xfId="26015" xr:uid="{0496A015-785F-462E-843B-CB5BB9B1DF49}"/>
    <cellStyle name="Normal 17 3 2 6 5" xfId="18336" xr:uid="{AF98A342-4424-47C1-9CFB-FD2090FAB557}"/>
    <cellStyle name="Normal 17 3 2 7" xfId="2537" xr:uid="{34F152D6-8CBB-4E02-A468-C866495C85BC}"/>
    <cellStyle name="Normal 17 3 2 7 2" xfId="6321" xr:uid="{DAE3BA09-DCD6-4105-8384-FFC27365C0BC}"/>
    <cellStyle name="Normal 17 3 2 7 2 2" xfId="13833" xr:uid="{A104A428-9CE2-4636-B6B0-15C0E40B633C}"/>
    <cellStyle name="Normal 17 3 2 7 2 2 2" xfId="30037" xr:uid="{AE650D1C-FC7D-4AEC-9E35-668AEF9557B6}"/>
    <cellStyle name="Normal 17 3 2 7 2 3" xfId="22525" xr:uid="{3CBF0B4A-CE4A-4B9B-8A3F-AF1EB9828ADB}"/>
    <cellStyle name="Normal 17 3 2 7 3" xfId="10233" xr:uid="{653D8ED0-6A35-47FE-9437-989ACAA1B257}"/>
    <cellStyle name="Normal 17 3 2 7 3 2" xfId="26437" xr:uid="{49030622-33F1-4D27-B268-9087DCAAA628}"/>
    <cellStyle name="Normal 17 3 2 7 4" xfId="18759" xr:uid="{B0A35122-1A8C-4936-8629-D02C1E8E7050}"/>
    <cellStyle name="Normal 17 3 2 8" xfId="3410" xr:uid="{A58A3230-548C-4230-A53F-01FDCF8B850F}"/>
    <cellStyle name="Normal 17 3 2 8 2" xfId="7171" xr:uid="{08FA9DAA-2FEE-47E5-8A21-C2F1B54FBEC6}"/>
    <cellStyle name="Normal 17 3 2 8 2 2" xfId="14681" xr:uid="{99A5E922-C72E-4432-B718-AE25AC024B04}"/>
    <cellStyle name="Normal 17 3 2 8 2 2 2" xfId="30885" xr:uid="{A442FC48-B068-49B7-9E0F-369F87376B85}"/>
    <cellStyle name="Normal 17 3 2 8 2 3" xfId="23375" xr:uid="{00F7F64A-7E71-415C-9AEB-F998C96F6CCE}"/>
    <cellStyle name="Normal 17 3 2 8 3" xfId="11078" xr:uid="{E2F4B9BC-9E25-48BB-802C-BC2A9AB37D55}"/>
    <cellStyle name="Normal 17 3 2 8 3 2" xfId="27282" xr:uid="{8B16EFD9-8FD4-4BC6-BFDC-ACCE9DE65B05}"/>
    <cellStyle name="Normal 17 3 2 8 4" xfId="19626" xr:uid="{71885DF1-518D-4702-9D19-08CE41B16551}"/>
    <cellStyle name="Normal 17 3 2 9" xfId="3937" xr:uid="{65C4BB47-3546-4446-8284-484C42D1AA9A}"/>
    <cellStyle name="Normal 17 3 2 9 2" xfId="7607" xr:uid="{DE88A600-CC25-4492-875F-CEA30101DB1C}"/>
    <cellStyle name="Normal 17 3 2 9 2 2" xfId="15114" xr:uid="{18D2DC33-297D-41B9-AF69-2B1E41CAB624}"/>
    <cellStyle name="Normal 17 3 2 9 2 2 2" xfId="31318" xr:uid="{84F03F58-0FB5-40E8-BF95-EAF7981DCF71}"/>
    <cellStyle name="Normal 17 3 2 9 2 3" xfId="23811" xr:uid="{2151C690-C59C-48E3-87DF-CC87E92669B9}"/>
    <cellStyle name="Normal 17 3 2 9 3" xfId="11500" xr:uid="{513CD71F-19CA-4BA0-B540-0F69930A19DE}"/>
    <cellStyle name="Normal 17 3 2 9 3 2" xfId="27704" xr:uid="{40D010F8-7C82-4E46-9594-DB22D908565E}"/>
    <cellStyle name="Normal 17 3 2 9 4" xfId="20141" xr:uid="{2A750967-FF32-498F-AD48-50A748BC1E84}"/>
    <cellStyle name="Normal 17 3 3" xfId="495" xr:uid="{24C61214-7240-4451-979D-8203121F30E4}"/>
    <cellStyle name="Normal 17 3 3 10" xfId="5292" xr:uid="{29A12E70-33D7-4781-8981-2097AEF53946}"/>
    <cellStyle name="Normal 17 3 3 10 2" xfId="12841" xr:uid="{830C9BE6-FB60-40B7-B658-81494AC35B4A}"/>
    <cellStyle name="Normal 17 3 3 10 2 2" xfId="29045" xr:uid="{2A6F8CBD-998E-4CEF-A2D3-8573EDA2F445}"/>
    <cellStyle name="Normal 17 3 3 10 3" xfId="21496" xr:uid="{77EC6543-8828-4A2B-A67B-D1650AB6BA4D}"/>
    <cellStyle name="Normal 17 3 3 11" xfId="9407" xr:uid="{8DC1293B-8F0C-4B39-AEEF-76305A2DAF0B}"/>
    <cellStyle name="Normal 17 3 3 11 2" xfId="25611" xr:uid="{80609950-95E8-4336-B8D4-9F4337CEFDD2}"/>
    <cellStyle name="Normal 17 3 3 12" xfId="17922" xr:uid="{55FE3DA7-60A3-4A72-961A-68F99FCEEAC6}"/>
    <cellStyle name="Normal 17 3 3 2" xfId="566" xr:uid="{03CD277A-3352-447D-B316-F193DAFECAC1}"/>
    <cellStyle name="Normal 17 3 3 2 10" xfId="9474" xr:uid="{A06A473B-D52D-430A-9C2B-58AADED8B26A}"/>
    <cellStyle name="Normal 17 3 3 2 10 2" xfId="25678" xr:uid="{1CE4662B-B212-4733-81FA-683667BE15DB}"/>
    <cellStyle name="Normal 17 3 3 2 11" xfId="17990" xr:uid="{41B38511-949D-4582-91C7-CBB3366AD1F2}"/>
    <cellStyle name="Normal 17 3 3 2 2" xfId="1983" xr:uid="{2337D774-BC1C-4737-9CE8-3EA80D74E165}"/>
    <cellStyle name="Normal 17 3 3 2 2 10" xfId="18286" xr:uid="{D957A032-0520-4881-9AAC-81C2832980A9}"/>
    <cellStyle name="Normal 17 3 3 2 2 2" xfId="2489" xr:uid="{3CC42336-1F88-4BAF-9E4B-4FF8E990A8B7}"/>
    <cellStyle name="Normal 17 3 3 2 2 2 2" xfId="3336" xr:uid="{13073F9E-6682-4AAF-ADF0-DD5E2C7B80BE}"/>
    <cellStyle name="Normal 17 3 3 2 2 2 2 2" xfId="7118" xr:uid="{A62493B6-E176-4664-B1A9-A2CF127BBDB4}"/>
    <cellStyle name="Normal 17 3 3 2 2 2 2 2 2" xfId="14629" xr:uid="{16B230F8-C37E-4514-8A67-94F9C5DC68B0}"/>
    <cellStyle name="Normal 17 3 3 2 2 2 2 2 2 2" xfId="30833" xr:uid="{6545CB07-40E6-4FB5-BF08-568FD9C97588}"/>
    <cellStyle name="Normal 17 3 3 2 2 2 2 2 3" xfId="23322" xr:uid="{43D7C5D2-D1CE-4E87-BF27-2D651CD22950}"/>
    <cellStyle name="Normal 17 3 3 2 2 2 2 3" xfId="11029" xr:uid="{D408D276-3B2D-430E-9E83-3E749955D733}"/>
    <cellStyle name="Normal 17 3 3 2 2 2 2 3 2" xfId="27233" xr:uid="{A7AE5121-D992-4CDD-9EB0-976FFBCF3BE1}"/>
    <cellStyle name="Normal 17 3 3 2 2 2 2 4" xfId="19556" xr:uid="{45A88D4A-B01B-4D1D-854E-9AA7E119B953}"/>
    <cellStyle name="Normal 17 3 3 2 2 2 3" xfId="6273" xr:uid="{2C14D9AE-9F6C-4297-BCB0-61ABD39DC3B4}"/>
    <cellStyle name="Normal 17 3 3 2 2 2 3 2" xfId="13785" xr:uid="{078E1006-AD17-4EEB-B10D-93F4B65AE7D7}"/>
    <cellStyle name="Normal 17 3 3 2 2 2 3 2 2" xfId="29989" xr:uid="{79F72816-3133-47E3-890D-AF0D4CD7BB04}"/>
    <cellStyle name="Normal 17 3 3 2 2 2 3 3" xfId="22477" xr:uid="{7C6BE815-1E42-4E11-A47B-E5F2AAF917C9}"/>
    <cellStyle name="Normal 17 3 3 2 2 2 4" xfId="10185" xr:uid="{D7F41AA1-EDF5-4586-97EC-0272B87A8CD4}"/>
    <cellStyle name="Normal 17 3 3 2 2 2 4 2" xfId="26389" xr:uid="{5F43095C-2AAA-4582-951B-DD2ABCD04B9C}"/>
    <cellStyle name="Normal 17 3 3 2 2 2 5" xfId="18711" xr:uid="{3CFE5AC4-ABB7-4E65-B83B-696232CA6D79}"/>
    <cellStyle name="Normal 17 3 3 2 2 3" xfId="2911" xr:uid="{F551CBB6-6965-4CD4-8A3F-FCCCB9FB8862}"/>
    <cellStyle name="Normal 17 3 3 2 2 3 2" xfId="6695" xr:uid="{C0B847CE-ABA6-4013-A5FC-93749029B96D}"/>
    <cellStyle name="Normal 17 3 3 2 2 3 2 2" xfId="14207" xr:uid="{1D62A2D2-FD4F-4CB0-A38C-A256DB9AF8CD}"/>
    <cellStyle name="Normal 17 3 3 2 2 3 2 2 2" xfId="30411" xr:uid="{C9B9051F-149A-426C-BED6-6DC35B56C869}"/>
    <cellStyle name="Normal 17 3 3 2 2 3 2 3" xfId="22899" xr:uid="{ACE268CD-E03D-4EF7-9D96-5370C9320416}"/>
    <cellStyle name="Normal 17 3 3 2 2 3 3" xfId="10607" xr:uid="{CE36D43F-5901-4A24-B1BC-CD891E638C9C}"/>
    <cellStyle name="Normal 17 3 3 2 2 3 3 2" xfId="26811" xr:uid="{2E1340E2-EB1E-4265-8961-2E184BE7F3A2}"/>
    <cellStyle name="Normal 17 3 3 2 2 3 4" xfId="19133" xr:uid="{F91A3E1B-28D8-46EB-BEDA-DC85183D0627}"/>
    <cellStyle name="Normal 17 3 3 2 2 4" xfId="3842" xr:uid="{2FB8CA60-A0D4-41AE-82FA-00696FBF38B2}"/>
    <cellStyle name="Normal 17 3 3 2 2 4 2" xfId="7552" xr:uid="{24619E19-0E00-43FE-9AC9-11299558F4F8}"/>
    <cellStyle name="Normal 17 3 3 2 2 4 2 2" xfId="15061" xr:uid="{219199A7-C748-45BE-8357-A926ACF9F85C}"/>
    <cellStyle name="Normal 17 3 3 2 2 4 2 2 2" xfId="31265" xr:uid="{F0A3CD6D-2317-48C7-B0B2-B5067EBF8F01}"/>
    <cellStyle name="Normal 17 3 3 2 2 4 2 3" xfId="23756" xr:uid="{69CAB3A0-92DB-47CA-9FEE-F5E2E8557D44}"/>
    <cellStyle name="Normal 17 3 3 2 2 4 3" xfId="11452" xr:uid="{93B26B96-0A27-4E62-AB2C-BC505BB95622}"/>
    <cellStyle name="Normal 17 3 3 2 2 4 3 2" xfId="27656" xr:uid="{6E524721-98A7-460C-B8C0-98BB889EF5EA}"/>
    <cellStyle name="Normal 17 3 3 2 2 4 4" xfId="20051" xr:uid="{0D3B8946-15F5-41B8-9EFE-B57829174D9E}"/>
    <cellStyle name="Normal 17 3 3 2 2 5" xfId="4311" xr:uid="{E60BB49B-85F5-482A-9343-0BACAFE1A880}"/>
    <cellStyle name="Normal 17 3 3 2 2 5 2" xfId="7981" xr:uid="{61BB598E-F6E4-4D9C-81DD-0B1B6A0CFF48}"/>
    <cellStyle name="Normal 17 3 3 2 2 5 2 2" xfId="15488" xr:uid="{6FEF8CC3-998F-46C1-8B69-D83C04360D58}"/>
    <cellStyle name="Normal 17 3 3 2 2 5 2 2 2" xfId="31692" xr:uid="{6CC74835-8250-45D1-9BDF-4FF1DE81FF8E}"/>
    <cellStyle name="Normal 17 3 3 2 2 5 2 3" xfId="24185" xr:uid="{7871C3E6-0356-4852-9D14-8B85289462AA}"/>
    <cellStyle name="Normal 17 3 3 2 2 5 3" xfId="11874" xr:uid="{2B82C47A-3C77-4DF0-830A-D6DF4D88AFE2}"/>
    <cellStyle name="Normal 17 3 3 2 2 5 3 2" xfId="28078" xr:uid="{A2E7D28C-7CA5-424C-B1AD-EB67C76184FA}"/>
    <cellStyle name="Normal 17 3 3 2 2 5 4" xfId="20515" xr:uid="{0F31BA9E-3CA6-4DAD-A144-A076ACD7D3C0}"/>
    <cellStyle name="Normal 17 3 3 2 2 6" xfId="4736" xr:uid="{26502ECE-C7BA-499E-8C5F-7354CBB2E4BF}"/>
    <cellStyle name="Normal 17 3 3 2 2 6 2" xfId="8406" xr:uid="{FBB24187-0711-419E-B9FD-E1E29B470B9D}"/>
    <cellStyle name="Normal 17 3 3 2 2 6 2 2" xfId="15913" xr:uid="{6DE50973-4562-43C4-882C-A89E23793196}"/>
    <cellStyle name="Normal 17 3 3 2 2 6 2 2 2" xfId="32117" xr:uid="{A38FFE21-17C6-408F-9D3D-DAC3EF24D903}"/>
    <cellStyle name="Normal 17 3 3 2 2 6 2 3" xfId="24610" xr:uid="{52F21358-67A9-4BC1-BE08-99B5B3436CEE}"/>
    <cellStyle name="Normal 17 3 3 2 2 6 3" xfId="12299" xr:uid="{5FA986A8-B8E2-4C15-B249-B53B7A5734C4}"/>
    <cellStyle name="Normal 17 3 3 2 2 6 3 2" xfId="28503" xr:uid="{576DF0A3-1858-41A1-B9BC-249A4C68EAA3}"/>
    <cellStyle name="Normal 17 3 3 2 2 6 4" xfId="20940" xr:uid="{BFC136F5-AE0A-4283-9C9D-7834119C8221}"/>
    <cellStyle name="Normal 17 3 3 2 2 7" xfId="5164" xr:uid="{D54CA145-5BA7-402A-9620-2F0549A0C549}"/>
    <cellStyle name="Normal 17 3 3 2 2 7 2" xfId="8829" xr:uid="{0200B912-C162-4907-BC82-7E4356D7FE5E}"/>
    <cellStyle name="Normal 17 3 3 2 2 7 2 2" xfId="16336" xr:uid="{E840C127-69A4-40D5-AAE4-6BF62F14D774}"/>
    <cellStyle name="Normal 17 3 3 2 2 7 2 2 2" xfId="32540" xr:uid="{040A2CE7-0A32-4A2B-AA59-1550F9AFCB12}"/>
    <cellStyle name="Normal 17 3 3 2 2 7 2 3" xfId="25033" xr:uid="{A0BE068E-3801-4EE1-BD95-008DA998DC86}"/>
    <cellStyle name="Normal 17 3 3 2 2 7 3" xfId="12721" xr:uid="{18C101A3-758C-4936-A2BD-2D4E05D1F29C}"/>
    <cellStyle name="Normal 17 3 3 2 2 7 3 2" xfId="28925" xr:uid="{69587E83-2971-4AEF-B93D-A6D49C9A04D0}"/>
    <cellStyle name="Normal 17 3 3 2 2 7 4" xfId="21368" xr:uid="{4D02BDB9-E5EB-4B90-9C51-B1BFD2489B3C}"/>
    <cellStyle name="Normal 17 3 3 2 2 8" xfId="5835" xr:uid="{A3D36EEF-4F7D-405B-B025-AE71292D7B11}"/>
    <cellStyle name="Normal 17 3 3 2 2 8 2" xfId="13350" xr:uid="{77A5AAB2-8740-4B6F-9591-4ECD2F555F28}"/>
    <cellStyle name="Normal 17 3 3 2 2 8 2 2" xfId="29554" xr:uid="{96E20414-F2B2-492E-A632-EBD049E547FD}"/>
    <cellStyle name="Normal 17 3 3 2 2 8 3" xfId="22039" xr:uid="{2E663D83-9950-40F7-8EA6-A8D2470C2BCD}"/>
    <cellStyle name="Normal 17 3 3 2 2 9" xfId="9762" xr:uid="{87DE10DA-91F7-44EC-9067-3AC6EA173C60}"/>
    <cellStyle name="Normal 17 3 3 2 2 9 2" xfId="25966" xr:uid="{A6D83D1C-B01A-40AF-85C2-BAA5FB28032F}"/>
    <cellStyle name="Normal 17 3 3 2 3" xfId="2135" xr:uid="{79C2CF4A-2B97-40AB-BA32-102E506BDA3D}"/>
    <cellStyle name="Normal 17 3 3 2 3 2" xfId="3048" xr:uid="{67ACE557-A3ED-4678-A74E-4ED7172285E7}"/>
    <cellStyle name="Normal 17 3 3 2 3 2 2" xfId="6830" xr:uid="{6B16B372-F1C6-4F53-B1C2-E10C74954B2F}"/>
    <cellStyle name="Normal 17 3 3 2 3 2 2 2" xfId="14341" xr:uid="{0BE12636-57EC-4244-831F-07374003E3E6}"/>
    <cellStyle name="Normal 17 3 3 2 3 2 2 2 2" xfId="30545" xr:uid="{C51A42EB-3ABF-4FC9-BA24-4D9F804E001C}"/>
    <cellStyle name="Normal 17 3 3 2 3 2 2 3" xfId="23034" xr:uid="{185684D3-607E-4FB0-A4C1-57FBE93FF41E}"/>
    <cellStyle name="Normal 17 3 3 2 3 2 3" xfId="10741" xr:uid="{96F36C5E-7EC7-4A26-9C38-4B6DF4CC08FE}"/>
    <cellStyle name="Normal 17 3 3 2 3 2 3 2" xfId="26945" xr:uid="{3D4E30D4-A4F6-472E-B415-84F29F18D863}"/>
    <cellStyle name="Normal 17 3 3 2 3 2 4" xfId="19268" xr:uid="{3354CCC2-03E5-40E2-A3A5-C6148DD58A23}"/>
    <cellStyle name="Normal 17 3 3 2 3 3" xfId="5974" xr:uid="{B5467F90-E638-4866-B543-59FEE823E1AD}"/>
    <cellStyle name="Normal 17 3 3 2 3 3 2" xfId="13488" xr:uid="{47B7312A-84B9-4D25-98D2-041EDE538DF0}"/>
    <cellStyle name="Normal 17 3 3 2 3 3 2 2" xfId="29692" xr:uid="{6F88248B-FC6A-4F8C-871A-BDBB6E008CA7}"/>
    <cellStyle name="Normal 17 3 3 2 3 3 3" xfId="22178" xr:uid="{0132F08B-D688-443C-8F4B-C29B9F2434CB}"/>
    <cellStyle name="Normal 17 3 3 2 3 4" xfId="9897" xr:uid="{D98C111B-7A4E-4FE5-9C03-A90551A587EC}"/>
    <cellStyle name="Normal 17 3 3 2 3 4 2" xfId="26101" xr:uid="{B1D6DE31-7571-4AFA-80F8-D8C09947D5D3}"/>
    <cellStyle name="Normal 17 3 3 2 3 5" xfId="18422" xr:uid="{51C24779-CA59-4827-83D0-F30F6FD7EB63}"/>
    <cellStyle name="Normal 17 3 3 2 4" xfId="2623" xr:uid="{26A3930E-B777-456E-96C0-AB3E51CE7D0F}"/>
    <cellStyle name="Normal 17 3 3 2 4 2" xfId="6407" xr:uid="{86EAEBF2-F701-44B5-8242-3AC27DCDB1E0}"/>
    <cellStyle name="Normal 17 3 3 2 4 2 2" xfId="13919" xr:uid="{5100CE9F-4E37-4EE3-8CD3-AC7A5445C275}"/>
    <cellStyle name="Normal 17 3 3 2 4 2 2 2" xfId="30123" xr:uid="{FF10A3F1-12AE-4064-9EDE-082F70FB9F89}"/>
    <cellStyle name="Normal 17 3 3 2 4 2 3" xfId="22611" xr:uid="{9838AC11-8A83-463E-9D35-52CB919686A5}"/>
    <cellStyle name="Normal 17 3 3 2 4 3" xfId="10319" xr:uid="{856E31AA-8DDD-49E8-AA6A-FA2BEE1D92EA}"/>
    <cellStyle name="Normal 17 3 3 2 4 3 2" xfId="26523" xr:uid="{A9C9790C-5093-4539-B323-1C92826E3766}"/>
    <cellStyle name="Normal 17 3 3 2 4 4" xfId="18845" xr:uid="{30C821D8-D62F-4878-8829-F52287BACA3C}"/>
    <cellStyle name="Normal 17 3 3 2 5" xfId="3499" xr:uid="{503B9837-A785-45DC-B720-7CB6BA691036}"/>
    <cellStyle name="Normal 17 3 3 2 5 2" xfId="7257" xr:uid="{BF83C2E4-A9E4-4915-994A-489CCCE414A9}"/>
    <cellStyle name="Normal 17 3 3 2 5 2 2" xfId="14767" xr:uid="{7B5B10C7-A495-45E4-97A2-54FA0B457DF3}"/>
    <cellStyle name="Normal 17 3 3 2 5 2 2 2" xfId="30971" xr:uid="{B2E25E9B-A76A-480D-8808-A1D1D9FAAAD7}"/>
    <cellStyle name="Normal 17 3 3 2 5 2 3" xfId="23461" xr:uid="{53750583-2F2A-41CC-A4EC-6AE4226051E3}"/>
    <cellStyle name="Normal 17 3 3 2 5 3" xfId="11164" xr:uid="{475ECFBD-0E7A-4F21-8080-D90EB9E898B9}"/>
    <cellStyle name="Normal 17 3 3 2 5 3 2" xfId="27368" xr:uid="{8BEC3FD1-BA5F-4879-B743-F5D77DD32E48}"/>
    <cellStyle name="Normal 17 3 3 2 5 4" xfId="19715" xr:uid="{C1284DD6-A11A-4425-B0C8-D5C72E69F068}"/>
    <cellStyle name="Normal 17 3 3 2 6" xfId="4023" xr:uid="{76E1BB9E-8DF4-4F52-A973-54D4CF6926D5}"/>
    <cellStyle name="Normal 17 3 3 2 6 2" xfId="7693" xr:uid="{FCC1A6B4-0F80-4C71-A181-E28002A72F60}"/>
    <cellStyle name="Normal 17 3 3 2 6 2 2" xfId="15200" xr:uid="{FB630E47-586E-4643-B6FA-598F7160E0BF}"/>
    <cellStyle name="Normal 17 3 3 2 6 2 2 2" xfId="31404" xr:uid="{F1441576-9073-4475-A9B9-5F35B5B659D9}"/>
    <cellStyle name="Normal 17 3 3 2 6 2 3" xfId="23897" xr:uid="{0E226D4F-EF69-4E52-9FA4-6824ECD0D74B}"/>
    <cellStyle name="Normal 17 3 3 2 6 3" xfId="11586" xr:uid="{B8E36315-39F7-45CD-B48C-827D345736C0}"/>
    <cellStyle name="Normal 17 3 3 2 6 3 2" xfId="27790" xr:uid="{6E8B9758-0964-4627-8F8D-F78915916FEF}"/>
    <cellStyle name="Normal 17 3 3 2 6 4" xfId="20227" xr:uid="{1278AF30-20BC-4028-ACFE-FDC957E2195C}"/>
    <cellStyle name="Normal 17 3 3 2 7" xfId="4448" xr:uid="{1440565B-F09F-456B-A5D6-44DB7B49E385}"/>
    <cellStyle name="Normal 17 3 3 2 7 2" xfId="8118" xr:uid="{E04C8B10-C6A4-4F2F-B34F-76B9EC47A86B}"/>
    <cellStyle name="Normal 17 3 3 2 7 2 2" xfId="15625" xr:uid="{9E3B0558-A98E-4FAE-A2B9-F5995D3E5C70}"/>
    <cellStyle name="Normal 17 3 3 2 7 2 2 2" xfId="31829" xr:uid="{0C8A55BE-B9DA-420F-9D7D-CFC907D1EFF2}"/>
    <cellStyle name="Normal 17 3 3 2 7 2 3" xfId="24322" xr:uid="{DF8E2615-00AF-4739-8F62-6B21BD46831E}"/>
    <cellStyle name="Normal 17 3 3 2 7 3" xfId="12011" xr:uid="{A3B2C47D-C448-4097-8E7D-07D41B6307AF}"/>
    <cellStyle name="Normal 17 3 3 2 7 3 2" xfId="28215" xr:uid="{3C49F90D-AE47-4612-AEDA-F2AA2274AD9A}"/>
    <cellStyle name="Normal 17 3 3 2 7 4" xfId="20652" xr:uid="{7CCD4E48-C1CB-409F-9AC9-A34AFD17E83E}"/>
    <cellStyle name="Normal 17 3 3 2 8" xfId="4873" xr:uid="{153439A0-C570-4FAF-87E9-575BC4436258}"/>
    <cellStyle name="Normal 17 3 3 2 8 2" xfId="8541" xr:uid="{602373E2-21C2-4E6A-80E0-74F4E87C418F}"/>
    <cellStyle name="Normal 17 3 3 2 8 2 2" xfId="16048" xr:uid="{3DB78335-B5E0-440D-8EAA-DB13EA31FC7C}"/>
    <cellStyle name="Normal 17 3 3 2 8 2 2 2" xfId="32252" xr:uid="{9CD3EC67-F411-4C93-8621-D5919CF20119}"/>
    <cellStyle name="Normal 17 3 3 2 8 2 3" xfId="24745" xr:uid="{31E4E287-29A3-4C8A-99AA-432DB1D42DAA}"/>
    <cellStyle name="Normal 17 3 3 2 8 3" xfId="12433" xr:uid="{F61348CA-6AFF-4EBA-9A51-51CF67458B88}"/>
    <cellStyle name="Normal 17 3 3 2 8 3 2" xfId="28637" xr:uid="{EAC8456C-F091-4563-8A71-5DC643BC9099}"/>
    <cellStyle name="Normal 17 3 3 2 8 4" xfId="21077" xr:uid="{7E69BC22-C3ED-4933-AF5A-C15A7441D5E8}"/>
    <cellStyle name="Normal 17 3 3 2 9" xfId="5359" xr:uid="{1F758877-104F-4E79-8B6F-C3AFAC0CFFDF}"/>
    <cellStyle name="Normal 17 3 3 2 9 2" xfId="12908" xr:uid="{2827BEC0-09A6-4468-92F7-45D4262A7E3E}"/>
    <cellStyle name="Normal 17 3 3 2 9 2 2" xfId="29112" xr:uid="{498829A5-152C-4ADC-ADBC-20CB37C587D5}"/>
    <cellStyle name="Normal 17 3 3 2 9 3" xfId="21563" xr:uid="{075223C4-A608-4E4A-BA09-0614F329F708}"/>
    <cellStyle name="Normal 17 3 3 3" xfId="1984" xr:uid="{06254B73-8A29-4925-8E44-B3ABC9E3C310}"/>
    <cellStyle name="Normal 17 3 3 3 10" xfId="18287" xr:uid="{1273BD5C-5182-4F6B-B5AF-F4426B86B7D4}"/>
    <cellStyle name="Normal 17 3 3 3 2" xfId="2490" xr:uid="{3564CB0F-0CBB-482D-A8D8-65A75C50CF2D}"/>
    <cellStyle name="Normal 17 3 3 3 2 2" xfId="3337" xr:uid="{E5600312-4405-4AC7-A3BD-987AA7866B73}"/>
    <cellStyle name="Normal 17 3 3 3 2 2 2" xfId="7119" xr:uid="{BE7FEAD6-7216-4C3F-9048-EE8E6BA1AC9B}"/>
    <cellStyle name="Normal 17 3 3 3 2 2 2 2" xfId="14630" xr:uid="{B1FA87E0-633C-44F6-99D2-A77B66A718F7}"/>
    <cellStyle name="Normal 17 3 3 3 2 2 2 2 2" xfId="30834" xr:uid="{4858AD8D-AD58-40CB-AE83-CD46A1F5F391}"/>
    <cellStyle name="Normal 17 3 3 3 2 2 2 3" xfId="23323" xr:uid="{C07A5915-00D2-4ACB-82CF-3F1C2AE2EC94}"/>
    <cellStyle name="Normal 17 3 3 3 2 2 3" xfId="11030" xr:uid="{FFC12F62-BD3C-45CF-8318-AB3392A5B65D}"/>
    <cellStyle name="Normal 17 3 3 3 2 2 3 2" xfId="27234" xr:uid="{F90F16F8-36E7-4303-A41F-007E4476F22A}"/>
    <cellStyle name="Normal 17 3 3 3 2 2 4" xfId="19557" xr:uid="{1BAF3BF3-BD99-4504-9308-D4E9950946E2}"/>
    <cellStyle name="Normal 17 3 3 3 2 3" xfId="6274" xr:uid="{94845D40-9F80-48E4-94A6-4D5D7A24FF26}"/>
    <cellStyle name="Normal 17 3 3 3 2 3 2" xfId="13786" xr:uid="{644A714F-F842-4404-9157-76D95D356A1F}"/>
    <cellStyle name="Normal 17 3 3 3 2 3 2 2" xfId="29990" xr:uid="{2E0B2176-6D36-4BE1-97F6-FAD5ACEF30D7}"/>
    <cellStyle name="Normal 17 3 3 3 2 3 3" xfId="22478" xr:uid="{B411B8EB-009A-4DB7-B15F-4426236B7574}"/>
    <cellStyle name="Normal 17 3 3 3 2 4" xfId="10186" xr:uid="{A372576E-E994-4F12-84DA-6AA45BEC1F96}"/>
    <cellStyle name="Normal 17 3 3 3 2 4 2" xfId="26390" xr:uid="{6950051C-1511-49CE-A11A-087E6EC71E35}"/>
    <cellStyle name="Normal 17 3 3 3 2 5" xfId="18712" xr:uid="{79C22D8A-2D6A-4FBF-A58B-56A2CF20D7B3}"/>
    <cellStyle name="Normal 17 3 3 3 3" xfId="2912" xr:uid="{F43295CC-F26B-4AB5-BCAF-62C364ACA46C}"/>
    <cellStyle name="Normal 17 3 3 3 3 2" xfId="6696" xr:uid="{8B5E3620-34D4-41D2-B25A-F05690766ACA}"/>
    <cellStyle name="Normal 17 3 3 3 3 2 2" xfId="14208" xr:uid="{3114867A-BDF8-490F-A8E3-5CFD479107D8}"/>
    <cellStyle name="Normal 17 3 3 3 3 2 2 2" xfId="30412" xr:uid="{AD2B10D4-572A-4AC9-8B2A-09A8804BDDE2}"/>
    <cellStyle name="Normal 17 3 3 3 3 2 3" xfId="22900" xr:uid="{BFFE513C-11F3-4B2C-94BE-0C48C81AB613}"/>
    <cellStyle name="Normal 17 3 3 3 3 3" xfId="10608" xr:uid="{3F70FBEC-9D4B-4DAB-97C6-FDF00624B6A8}"/>
    <cellStyle name="Normal 17 3 3 3 3 3 2" xfId="26812" xr:uid="{7AFB94BC-E908-4B70-A555-55D908DEB17C}"/>
    <cellStyle name="Normal 17 3 3 3 3 4" xfId="19134" xr:uid="{24E8668E-BFEF-4874-93B7-6BE6306CA78D}"/>
    <cellStyle name="Normal 17 3 3 3 4" xfId="3843" xr:uid="{0EDCF988-E069-450C-862E-E3F168E77E99}"/>
    <cellStyle name="Normal 17 3 3 3 4 2" xfId="7553" xr:uid="{FA2700E0-8BE9-495F-86E4-92F54721AF24}"/>
    <cellStyle name="Normal 17 3 3 3 4 2 2" xfId="15062" xr:uid="{7053E25B-994D-45C2-9DBC-44195AC0F175}"/>
    <cellStyle name="Normal 17 3 3 3 4 2 2 2" xfId="31266" xr:uid="{7B5BFDB7-6DA8-4244-853E-6742BF6D885F}"/>
    <cellStyle name="Normal 17 3 3 3 4 2 3" xfId="23757" xr:uid="{CAB948BB-D5AB-4C3C-9081-8EA22C6214E7}"/>
    <cellStyle name="Normal 17 3 3 3 4 3" xfId="11453" xr:uid="{323B80EE-76A6-45F4-AB81-719F90DC54C8}"/>
    <cellStyle name="Normal 17 3 3 3 4 3 2" xfId="27657" xr:uid="{28CC12B7-4658-4B2E-80A7-70F5E0BC3AF2}"/>
    <cellStyle name="Normal 17 3 3 3 4 4" xfId="20052" xr:uid="{D138F785-7BD6-42FA-B0B6-9DABC262ADC0}"/>
    <cellStyle name="Normal 17 3 3 3 5" xfId="4312" xr:uid="{97B5A859-002B-4F34-9C1B-284AC9C04439}"/>
    <cellStyle name="Normal 17 3 3 3 5 2" xfId="7982" xr:uid="{DE2595C0-978E-4727-93D3-A6A4024056EE}"/>
    <cellStyle name="Normal 17 3 3 3 5 2 2" xfId="15489" xr:uid="{43C93307-7A6E-4CD3-8BE8-8BCB5341CF9B}"/>
    <cellStyle name="Normal 17 3 3 3 5 2 2 2" xfId="31693" xr:uid="{7E2B8BE8-201B-4042-9B28-4D24B28F4370}"/>
    <cellStyle name="Normal 17 3 3 3 5 2 3" xfId="24186" xr:uid="{9ABE6F0D-BEB3-48C1-A026-338128FC729E}"/>
    <cellStyle name="Normal 17 3 3 3 5 3" xfId="11875" xr:uid="{36A757E7-4DF7-48FF-906B-05946E97E60D}"/>
    <cellStyle name="Normal 17 3 3 3 5 3 2" xfId="28079" xr:uid="{DB3B32A0-F549-4532-909F-2E28EEB46CB6}"/>
    <cellStyle name="Normal 17 3 3 3 5 4" xfId="20516" xr:uid="{5B814288-422E-4CB2-BFC9-FD54D1FFB054}"/>
    <cellStyle name="Normal 17 3 3 3 6" xfId="4737" xr:uid="{7E17500F-2E07-453F-AEDC-2A783A3FBDDB}"/>
    <cellStyle name="Normal 17 3 3 3 6 2" xfId="8407" xr:uid="{D34ED67A-548B-4DE5-84DF-290326C543EC}"/>
    <cellStyle name="Normal 17 3 3 3 6 2 2" xfId="15914" xr:uid="{C3A93CDE-BE2D-44A9-BCF8-631DA86BC8F1}"/>
    <cellStyle name="Normal 17 3 3 3 6 2 2 2" xfId="32118" xr:uid="{0F96C669-6B86-4661-AD9E-F4C7B08A8711}"/>
    <cellStyle name="Normal 17 3 3 3 6 2 3" xfId="24611" xr:uid="{A406EFAD-6C9D-45CF-9618-BC02055CE195}"/>
    <cellStyle name="Normal 17 3 3 3 6 3" xfId="12300" xr:uid="{E1300BFD-4000-4CE9-94C1-9599DFE6B3CF}"/>
    <cellStyle name="Normal 17 3 3 3 6 3 2" xfId="28504" xr:uid="{B03CDC54-3C63-45B6-BABB-26704C591A1A}"/>
    <cellStyle name="Normal 17 3 3 3 6 4" xfId="20941" xr:uid="{F9244A21-C06B-4D04-A24C-32A4608C04CC}"/>
    <cellStyle name="Normal 17 3 3 3 7" xfId="5165" xr:uid="{21B414C0-3DBF-4FAD-8267-3DD66ED68FB4}"/>
    <cellStyle name="Normal 17 3 3 3 7 2" xfId="8830" xr:uid="{2B196A77-9369-4C80-8F0C-801BEE428F0E}"/>
    <cellStyle name="Normal 17 3 3 3 7 2 2" xfId="16337" xr:uid="{8513BB16-1FD9-45F4-BDC7-17DFF50768BF}"/>
    <cellStyle name="Normal 17 3 3 3 7 2 2 2" xfId="32541" xr:uid="{25A3BB56-10C5-408B-B7B0-5F172200821D}"/>
    <cellStyle name="Normal 17 3 3 3 7 2 3" xfId="25034" xr:uid="{9692FD1A-24FE-43F3-A861-D8486A890049}"/>
    <cellStyle name="Normal 17 3 3 3 7 3" xfId="12722" xr:uid="{26F575B2-BB45-41B1-845B-836722E36275}"/>
    <cellStyle name="Normal 17 3 3 3 7 3 2" xfId="28926" xr:uid="{812C3BAC-C07C-4C8E-8373-E31A7B930CBF}"/>
    <cellStyle name="Normal 17 3 3 3 7 4" xfId="21369" xr:uid="{78E24D1F-15D4-4835-A9AA-310B9A75E306}"/>
    <cellStyle name="Normal 17 3 3 3 8" xfId="5836" xr:uid="{0566F31C-EEEE-4238-B215-0390A448F6DD}"/>
    <cellStyle name="Normal 17 3 3 3 8 2" xfId="13351" xr:uid="{38816B5B-1056-4184-BAE9-5656F90A00DB}"/>
    <cellStyle name="Normal 17 3 3 3 8 2 2" xfId="29555" xr:uid="{2C86D9BF-34A6-416C-8683-6BCA383F1E84}"/>
    <cellStyle name="Normal 17 3 3 3 8 3" xfId="22040" xr:uid="{7FEEC015-FC52-4267-B3DE-DAAD9173901F}"/>
    <cellStyle name="Normal 17 3 3 3 9" xfId="9763" xr:uid="{DEFAA7CB-0905-4E6C-863A-F6AB4FC6C037}"/>
    <cellStyle name="Normal 17 3 3 3 9 2" xfId="25967" xr:uid="{EA328FCC-94D9-4835-B9F2-E432D9D0A15B}"/>
    <cellStyle name="Normal 17 3 3 4" xfId="2068" xr:uid="{BE4D10B6-DED1-4304-A7E3-7FB5008441AE}"/>
    <cellStyle name="Normal 17 3 3 4 2" xfId="2981" xr:uid="{A42A2260-248B-44CE-BF34-5AC978CD72DD}"/>
    <cellStyle name="Normal 17 3 3 4 2 2" xfId="6763" xr:uid="{F80AA3AA-5833-48CC-9181-1FD0EB9AD037}"/>
    <cellStyle name="Normal 17 3 3 4 2 2 2" xfId="14274" xr:uid="{235C549E-B383-4F1A-BD34-325FF626090A}"/>
    <cellStyle name="Normal 17 3 3 4 2 2 2 2" xfId="30478" xr:uid="{6A655983-CA44-47BA-9168-CE4E2CCBC30E}"/>
    <cellStyle name="Normal 17 3 3 4 2 2 3" xfId="22967" xr:uid="{126EB67E-CBDE-4913-AF05-DFE0144BDDB1}"/>
    <cellStyle name="Normal 17 3 3 4 2 3" xfId="10674" xr:uid="{9882ECBB-9B46-4BB6-8236-D3670438BA1E}"/>
    <cellStyle name="Normal 17 3 3 4 2 3 2" xfId="26878" xr:uid="{57AEF1AD-F4F6-446E-93AA-54D4C1653D4C}"/>
    <cellStyle name="Normal 17 3 3 4 2 4" xfId="19201" xr:uid="{D33314AC-421C-417E-9E98-A0980B6DE391}"/>
    <cellStyle name="Normal 17 3 3 4 3" xfId="5907" xr:uid="{AC2466A4-58D4-4CA3-A9EC-73CB85B6E5B1}"/>
    <cellStyle name="Normal 17 3 3 4 3 2" xfId="13421" xr:uid="{4FB56441-BFD2-41F5-A90C-1D46A0DB66F5}"/>
    <cellStyle name="Normal 17 3 3 4 3 2 2" xfId="29625" xr:uid="{61B5B1C7-0E76-4463-9789-F4E8BC455328}"/>
    <cellStyle name="Normal 17 3 3 4 3 3" xfId="22111" xr:uid="{210B3676-D49A-4CD3-ABF1-E3FFD38BF5D9}"/>
    <cellStyle name="Normal 17 3 3 4 4" xfId="9830" xr:uid="{D8718C21-0245-4C21-AC1A-FC4338E316FB}"/>
    <cellStyle name="Normal 17 3 3 4 4 2" xfId="26034" xr:uid="{CA6628A8-6B27-4E5B-90F4-8EE0741C0F9F}"/>
    <cellStyle name="Normal 17 3 3 4 5" xfId="18355" xr:uid="{7F22FF57-D8D3-4B34-830C-3946CA5D6D9C}"/>
    <cellStyle name="Normal 17 3 3 5" xfId="2556" xr:uid="{092D599B-197F-46E8-85F0-0B86322290C1}"/>
    <cellStyle name="Normal 17 3 3 5 2" xfId="6340" xr:uid="{302CD585-6866-4C2D-A047-59376F9B4C33}"/>
    <cellStyle name="Normal 17 3 3 5 2 2" xfId="13852" xr:uid="{8FF56085-2FB8-4658-87DB-FEDE24616A27}"/>
    <cellStyle name="Normal 17 3 3 5 2 2 2" xfId="30056" xr:uid="{7893A374-BEF3-4CBC-9A2D-B6D2B3CA4273}"/>
    <cellStyle name="Normal 17 3 3 5 2 3" xfId="22544" xr:uid="{5ED729C4-2EF5-4264-BAB0-B2407381A02E}"/>
    <cellStyle name="Normal 17 3 3 5 3" xfId="10252" xr:uid="{B3202BF1-DFDA-4749-B0D5-EDC79DF65F11}"/>
    <cellStyle name="Normal 17 3 3 5 3 2" xfId="26456" xr:uid="{592EF561-19F0-45F8-B082-CDBE950E5A68}"/>
    <cellStyle name="Normal 17 3 3 5 4" xfId="18778" xr:uid="{F69EFE3D-20B1-4024-8374-DC28EFBA2F8F}"/>
    <cellStyle name="Normal 17 3 3 6" xfId="3432" xr:uid="{461E9AD3-D47B-4E7C-BBFF-6B11BCD42E7C}"/>
    <cellStyle name="Normal 17 3 3 6 2" xfId="7190" xr:uid="{69740115-1CC0-4430-8478-78EEB1BD5AD8}"/>
    <cellStyle name="Normal 17 3 3 6 2 2" xfId="14700" xr:uid="{A1072096-F04E-4967-84C0-F0464062088D}"/>
    <cellStyle name="Normal 17 3 3 6 2 2 2" xfId="30904" xr:uid="{42F3FD25-B71A-4015-9976-74D51D60B4A1}"/>
    <cellStyle name="Normal 17 3 3 6 2 3" xfId="23394" xr:uid="{A2C2E7E3-2649-48E3-83E9-13D0B33C4797}"/>
    <cellStyle name="Normal 17 3 3 6 3" xfId="11097" xr:uid="{875AB046-703A-4E74-BC2C-EF0A311AA7B8}"/>
    <cellStyle name="Normal 17 3 3 6 3 2" xfId="27301" xr:uid="{C984D13B-825A-41F5-94EF-70E7726E6724}"/>
    <cellStyle name="Normal 17 3 3 6 4" xfId="19648" xr:uid="{B02AAF1E-9809-44C4-8C1B-1FAF8BB2F869}"/>
    <cellStyle name="Normal 17 3 3 7" xfId="3956" xr:uid="{C75DACDD-8AD1-406A-9F24-A5029323C94F}"/>
    <cellStyle name="Normal 17 3 3 7 2" xfId="7626" xr:uid="{AD2BBD29-6DB8-4573-B3AD-D177EE70AEC3}"/>
    <cellStyle name="Normal 17 3 3 7 2 2" xfId="15133" xr:uid="{CD379505-7AE3-4DD8-891B-0F7B0B73C81B}"/>
    <cellStyle name="Normal 17 3 3 7 2 2 2" xfId="31337" xr:uid="{763F0221-34AC-4D40-856A-F89CDC617A56}"/>
    <cellStyle name="Normal 17 3 3 7 2 3" xfId="23830" xr:uid="{1E17BCFA-F7E4-49DC-9082-9A3CA24ABA19}"/>
    <cellStyle name="Normal 17 3 3 7 3" xfId="11519" xr:uid="{D9560589-81E3-4B34-9FD8-602A606DCEB4}"/>
    <cellStyle name="Normal 17 3 3 7 3 2" xfId="27723" xr:uid="{9D2143FB-B35F-465C-94F4-B066F7947BC2}"/>
    <cellStyle name="Normal 17 3 3 7 4" xfId="20160" xr:uid="{DB58981E-7386-4BDA-8A87-3BAC70108420}"/>
    <cellStyle name="Normal 17 3 3 8" xfId="4381" xr:uid="{6A8C81AF-896E-4DB2-B8BD-43671E12A3C4}"/>
    <cellStyle name="Normal 17 3 3 8 2" xfId="8051" xr:uid="{A83DF787-FB29-4EAA-9B9D-7C93DCE1C1EB}"/>
    <cellStyle name="Normal 17 3 3 8 2 2" xfId="15558" xr:uid="{4130AFF2-69BC-477A-BB28-BB7A5BC65631}"/>
    <cellStyle name="Normal 17 3 3 8 2 2 2" xfId="31762" xr:uid="{8347CA36-A985-4910-84E3-0009D4DAFA61}"/>
    <cellStyle name="Normal 17 3 3 8 2 3" xfId="24255" xr:uid="{8CDBE628-FBCF-4893-BF72-52BE7E6ED7FC}"/>
    <cellStyle name="Normal 17 3 3 8 3" xfId="11944" xr:uid="{2FE82A7B-8699-49C0-99A6-32CDD2CA3D2B}"/>
    <cellStyle name="Normal 17 3 3 8 3 2" xfId="28148" xr:uid="{B3DAB275-EA7F-49C0-821D-5A3FCACFCE23}"/>
    <cellStyle name="Normal 17 3 3 8 4" xfId="20585" xr:uid="{8BC86634-F333-40D3-A37A-85A2A7AB0B7C}"/>
    <cellStyle name="Normal 17 3 3 9" xfId="4805" xr:uid="{05DE7264-1F18-4AEC-A1B8-22ACFB990C17}"/>
    <cellStyle name="Normal 17 3 3 9 2" xfId="8474" xr:uid="{1AF17B88-8E39-4664-A0B2-E541591718BE}"/>
    <cellStyle name="Normal 17 3 3 9 2 2" xfId="15981" xr:uid="{3838D1CA-46E9-4420-B9F5-AE31E7022640}"/>
    <cellStyle name="Normal 17 3 3 9 2 2 2" xfId="32185" xr:uid="{626E123A-31E5-477E-94EA-CA47FEC65A39}"/>
    <cellStyle name="Normal 17 3 3 9 2 3" xfId="24678" xr:uid="{40796A56-CBC5-4B8D-BC6C-6875C3D55059}"/>
    <cellStyle name="Normal 17 3 3 9 3" xfId="12366" xr:uid="{9B0E3D0D-9858-4D38-9C01-39892DF79353}"/>
    <cellStyle name="Normal 17 3 3 9 3 2" xfId="28570" xr:uid="{C7258D05-F1CB-4062-8348-B120680312A9}"/>
    <cellStyle name="Normal 17 3 3 9 4" xfId="21009" xr:uid="{EEFD1366-8771-4343-A7A3-118FDBA91738}"/>
    <cellStyle name="Normal 17 3 4" xfId="517" xr:uid="{3BAAC8B2-B182-4514-8229-8639F9F2B347}"/>
    <cellStyle name="Normal 17 3 4 10" xfId="5314" xr:uid="{7F06DD24-4FB7-42E0-BB10-D99069FBC2D4}"/>
    <cellStyle name="Normal 17 3 4 10 2" xfId="12863" xr:uid="{03154C8B-1400-49A5-822F-FD955EBA9092}"/>
    <cellStyle name="Normal 17 3 4 10 2 2" xfId="29067" xr:uid="{7BA72772-04CB-49D1-9A21-0CB7752071FE}"/>
    <cellStyle name="Normal 17 3 4 10 3" xfId="21518" xr:uid="{F4F836AA-C9D6-49FE-BF10-7F19B7E771B3}"/>
    <cellStyle name="Normal 17 3 4 11" xfId="9429" xr:uid="{262D3DD8-DBDA-40DF-9355-A52BA56070B2}"/>
    <cellStyle name="Normal 17 3 4 11 2" xfId="25633" xr:uid="{0085E1DA-58EE-4E9A-B4C8-819EE6EC690C}"/>
    <cellStyle name="Normal 17 3 4 12" xfId="17944" xr:uid="{50FE762F-7287-449F-BF75-D162794998C2}"/>
    <cellStyle name="Normal 17 3 4 2" xfId="588" xr:uid="{7F7A176F-57BB-43AF-BA31-93F43394F11C}"/>
    <cellStyle name="Normal 17 3 4 2 10" xfId="9496" xr:uid="{E8A1CB57-4460-4874-9D5B-6D0B29066DA7}"/>
    <cellStyle name="Normal 17 3 4 2 10 2" xfId="25700" xr:uid="{E5181987-159B-43C6-B4C0-7D5F21C2EE28}"/>
    <cellStyle name="Normal 17 3 4 2 11" xfId="18012" xr:uid="{6ACA5B8C-DCF7-4313-BD3B-A3570E0C04F9}"/>
    <cellStyle name="Normal 17 3 4 2 2" xfId="1985" xr:uid="{A634750C-D016-40C6-AB81-AC701BF0DA17}"/>
    <cellStyle name="Normal 17 3 4 2 2 10" xfId="18288" xr:uid="{FAFF6FD6-E6D3-4773-82F0-44B5FFBBCB28}"/>
    <cellStyle name="Normal 17 3 4 2 2 2" xfId="2491" xr:uid="{CE2AF8E9-8DE1-4D35-B218-68266144E209}"/>
    <cellStyle name="Normal 17 3 4 2 2 2 2" xfId="3338" xr:uid="{DAF2AE6F-3566-4307-A5BC-1A1C172C36C0}"/>
    <cellStyle name="Normal 17 3 4 2 2 2 2 2" xfId="7120" xr:uid="{D01DEBBD-C3A3-4CF8-AB83-F5E8F8C937DA}"/>
    <cellStyle name="Normal 17 3 4 2 2 2 2 2 2" xfId="14631" xr:uid="{730A4F39-F340-40F0-A2A4-C9B4C4EF2BA5}"/>
    <cellStyle name="Normal 17 3 4 2 2 2 2 2 2 2" xfId="30835" xr:uid="{0EFB7B94-A07B-4425-961A-A335F1D2AE96}"/>
    <cellStyle name="Normal 17 3 4 2 2 2 2 2 3" xfId="23324" xr:uid="{DCAF26A1-BCFE-4BB1-B0FA-0E0C7D638277}"/>
    <cellStyle name="Normal 17 3 4 2 2 2 2 3" xfId="11031" xr:uid="{FF8A53F1-593E-422A-A87E-164441358AC7}"/>
    <cellStyle name="Normal 17 3 4 2 2 2 2 3 2" xfId="27235" xr:uid="{94FC030C-B509-4EB5-B089-112E22BA1E13}"/>
    <cellStyle name="Normal 17 3 4 2 2 2 2 4" xfId="19558" xr:uid="{55C51BB0-57B4-4B65-B422-3BCD606997D0}"/>
    <cellStyle name="Normal 17 3 4 2 2 2 3" xfId="6275" xr:uid="{338E2968-FE47-4C19-A993-A0DEE9FBF6E4}"/>
    <cellStyle name="Normal 17 3 4 2 2 2 3 2" xfId="13787" xr:uid="{E7DFC579-F6AD-4B7E-8F75-80EF3B14961A}"/>
    <cellStyle name="Normal 17 3 4 2 2 2 3 2 2" xfId="29991" xr:uid="{B8321E36-8E3E-480E-8878-844BEFC672AF}"/>
    <cellStyle name="Normal 17 3 4 2 2 2 3 3" xfId="22479" xr:uid="{64435370-3FD4-4DDC-9D45-EF800B026886}"/>
    <cellStyle name="Normal 17 3 4 2 2 2 4" xfId="10187" xr:uid="{4B7365F0-485C-4109-94A5-81477102E5CB}"/>
    <cellStyle name="Normal 17 3 4 2 2 2 4 2" xfId="26391" xr:uid="{35036964-9456-452C-B8CF-F1C773FBA8A1}"/>
    <cellStyle name="Normal 17 3 4 2 2 2 5" xfId="18713" xr:uid="{1F7006F1-D184-420A-A0FE-B8308E0CDDBF}"/>
    <cellStyle name="Normal 17 3 4 2 2 3" xfId="2913" xr:uid="{C69AD363-2009-4A06-A509-F7260ABE2462}"/>
    <cellStyle name="Normal 17 3 4 2 2 3 2" xfId="6697" xr:uid="{BFB6C8D5-F877-4C4E-A7EA-09982B7CD9F3}"/>
    <cellStyle name="Normal 17 3 4 2 2 3 2 2" xfId="14209" xr:uid="{746252F3-4F66-4D77-BFA4-66E0E135AE9F}"/>
    <cellStyle name="Normal 17 3 4 2 2 3 2 2 2" xfId="30413" xr:uid="{A1975BF1-8A11-4145-9513-A0D597043D33}"/>
    <cellStyle name="Normal 17 3 4 2 2 3 2 3" xfId="22901" xr:uid="{C8633ACB-F24D-4B93-9A08-4C36F4E7C48A}"/>
    <cellStyle name="Normal 17 3 4 2 2 3 3" xfId="10609" xr:uid="{618928CF-3CDF-483B-B33C-8A3F8265F620}"/>
    <cellStyle name="Normal 17 3 4 2 2 3 3 2" xfId="26813" xr:uid="{C52C4066-8D13-46C7-82DC-8CE3F56D8985}"/>
    <cellStyle name="Normal 17 3 4 2 2 3 4" xfId="19135" xr:uid="{9A23183B-7F44-4979-A509-CF8E9CB51042}"/>
    <cellStyle name="Normal 17 3 4 2 2 4" xfId="3844" xr:uid="{22835A35-B420-4C70-97E2-B190A1441925}"/>
    <cellStyle name="Normal 17 3 4 2 2 4 2" xfId="7554" xr:uid="{E15FC1DD-13BD-4D73-9EC2-D26D86EECD8D}"/>
    <cellStyle name="Normal 17 3 4 2 2 4 2 2" xfId="15063" xr:uid="{FEB48B4A-AEC7-4B2F-A15A-176A3445AC2D}"/>
    <cellStyle name="Normal 17 3 4 2 2 4 2 2 2" xfId="31267" xr:uid="{D07506C7-E076-4BD7-A08B-E3566E614149}"/>
    <cellStyle name="Normal 17 3 4 2 2 4 2 3" xfId="23758" xr:uid="{8DD9925D-9163-41BA-ADD1-5A1DC920A873}"/>
    <cellStyle name="Normal 17 3 4 2 2 4 3" xfId="11454" xr:uid="{7BF190BF-8719-4BF0-9791-BA69B92342E3}"/>
    <cellStyle name="Normal 17 3 4 2 2 4 3 2" xfId="27658" xr:uid="{BEFB8553-AE19-4833-8236-E68810FB66FF}"/>
    <cellStyle name="Normal 17 3 4 2 2 4 4" xfId="20053" xr:uid="{E8686BCF-5C05-4FA5-B9E7-94FF0E09CDA7}"/>
    <cellStyle name="Normal 17 3 4 2 2 5" xfId="4313" xr:uid="{029F00C9-CD70-4165-B01D-B1ABE3AAEF04}"/>
    <cellStyle name="Normal 17 3 4 2 2 5 2" xfId="7983" xr:uid="{4AEAB2BD-0053-45DB-8737-E82199DE8BF9}"/>
    <cellStyle name="Normal 17 3 4 2 2 5 2 2" xfId="15490" xr:uid="{FAFB7980-67DB-4508-A916-AF7BF00F7FE2}"/>
    <cellStyle name="Normal 17 3 4 2 2 5 2 2 2" xfId="31694" xr:uid="{4C5AF0C1-1B52-483E-BB41-C8A4174D3E44}"/>
    <cellStyle name="Normal 17 3 4 2 2 5 2 3" xfId="24187" xr:uid="{8A821234-3744-4C64-A96F-02F8833742F9}"/>
    <cellStyle name="Normal 17 3 4 2 2 5 3" xfId="11876" xr:uid="{7BD01041-24C9-4E2F-AE67-1A6F5312A074}"/>
    <cellStyle name="Normal 17 3 4 2 2 5 3 2" xfId="28080" xr:uid="{7C8EBDB9-0751-4114-A9E5-A8552550F0C9}"/>
    <cellStyle name="Normal 17 3 4 2 2 5 4" xfId="20517" xr:uid="{144A3953-C451-458B-A242-E57D8CD582E9}"/>
    <cellStyle name="Normal 17 3 4 2 2 6" xfId="4738" xr:uid="{4BC16096-C314-4904-9F18-2191D73B4967}"/>
    <cellStyle name="Normal 17 3 4 2 2 6 2" xfId="8408" xr:uid="{A0556370-931A-4225-8130-9823C94965F5}"/>
    <cellStyle name="Normal 17 3 4 2 2 6 2 2" xfId="15915" xr:uid="{233D9341-97BE-4B4B-8F84-48BF0614D56F}"/>
    <cellStyle name="Normal 17 3 4 2 2 6 2 2 2" xfId="32119" xr:uid="{4C665499-24EA-4155-8B72-686C673986BD}"/>
    <cellStyle name="Normal 17 3 4 2 2 6 2 3" xfId="24612" xr:uid="{A0139747-00BB-4D9B-9048-EA9BB5AA8314}"/>
    <cellStyle name="Normal 17 3 4 2 2 6 3" xfId="12301" xr:uid="{281ED910-1A80-448F-9756-9236EB7BF838}"/>
    <cellStyle name="Normal 17 3 4 2 2 6 3 2" xfId="28505" xr:uid="{4F9C08CF-6AAC-4A5E-9AB8-0A357EBE8055}"/>
    <cellStyle name="Normal 17 3 4 2 2 6 4" xfId="20942" xr:uid="{1B31F047-C846-4BCE-80A6-C01324260C65}"/>
    <cellStyle name="Normal 17 3 4 2 2 7" xfId="5166" xr:uid="{998126CE-8F88-4C61-9E72-F62046BC581A}"/>
    <cellStyle name="Normal 17 3 4 2 2 7 2" xfId="8831" xr:uid="{7FFC82D5-25F7-49FC-A3E4-39FBB307F4D6}"/>
    <cellStyle name="Normal 17 3 4 2 2 7 2 2" xfId="16338" xr:uid="{959941B0-E125-4045-8119-08F7215AF384}"/>
    <cellStyle name="Normal 17 3 4 2 2 7 2 2 2" xfId="32542" xr:uid="{D405F339-E8BA-406D-A07F-925C446A0CDC}"/>
    <cellStyle name="Normal 17 3 4 2 2 7 2 3" xfId="25035" xr:uid="{FA86FF6C-C462-4E87-9107-32BD81AC4549}"/>
    <cellStyle name="Normal 17 3 4 2 2 7 3" xfId="12723" xr:uid="{F426CDB5-05A1-4C9A-8693-A3030C11A505}"/>
    <cellStyle name="Normal 17 3 4 2 2 7 3 2" xfId="28927" xr:uid="{E31A794F-AD58-4661-ACAA-E1817197ADFF}"/>
    <cellStyle name="Normal 17 3 4 2 2 7 4" xfId="21370" xr:uid="{96464D01-6891-4FED-93EB-BCF8CC5D96B9}"/>
    <cellStyle name="Normal 17 3 4 2 2 8" xfId="5837" xr:uid="{ACD0DEDC-D49E-4C58-B418-9DF85907595D}"/>
    <cellStyle name="Normal 17 3 4 2 2 8 2" xfId="13352" xr:uid="{65A2D197-A806-4384-BB5D-1BD416EE9E3F}"/>
    <cellStyle name="Normal 17 3 4 2 2 8 2 2" xfId="29556" xr:uid="{BF441F7E-9450-4E45-B034-9421EC355A23}"/>
    <cellStyle name="Normal 17 3 4 2 2 8 3" xfId="22041" xr:uid="{0B07B8AE-1F70-433E-A359-21CC89745892}"/>
    <cellStyle name="Normal 17 3 4 2 2 9" xfId="9764" xr:uid="{453C0C97-6419-46F0-9AF8-7CA268134FC3}"/>
    <cellStyle name="Normal 17 3 4 2 2 9 2" xfId="25968" xr:uid="{F895C139-342B-4450-8B61-53E68DE4D3D6}"/>
    <cellStyle name="Normal 17 3 4 2 3" xfId="2157" xr:uid="{BB163ED6-D56B-4D13-9140-3F7E9644194C}"/>
    <cellStyle name="Normal 17 3 4 2 3 2" xfId="3070" xr:uid="{5B0E8455-80BF-4EC2-B89E-03761E8F1466}"/>
    <cellStyle name="Normal 17 3 4 2 3 2 2" xfId="6852" xr:uid="{E106FA5D-C79F-449A-B0C8-58E2E53436E6}"/>
    <cellStyle name="Normal 17 3 4 2 3 2 2 2" xfId="14363" xr:uid="{FDFB60E7-B30C-4EAA-B7AC-7B88BA51BCF2}"/>
    <cellStyle name="Normal 17 3 4 2 3 2 2 2 2" xfId="30567" xr:uid="{018108CC-A8CE-4034-B6F8-5338A670DCE1}"/>
    <cellStyle name="Normal 17 3 4 2 3 2 2 3" xfId="23056" xr:uid="{EBAF623D-7AB5-4721-A6A9-D43616ACBBF4}"/>
    <cellStyle name="Normal 17 3 4 2 3 2 3" xfId="10763" xr:uid="{4CDE38E3-31BD-4D18-BAA5-9BEEA6EF48B1}"/>
    <cellStyle name="Normal 17 3 4 2 3 2 3 2" xfId="26967" xr:uid="{03F13447-C4B4-4283-ADC6-D602F3E630FC}"/>
    <cellStyle name="Normal 17 3 4 2 3 2 4" xfId="19290" xr:uid="{977D3837-93D2-41AC-9885-DAFBA9162F0B}"/>
    <cellStyle name="Normal 17 3 4 2 3 3" xfId="5996" xr:uid="{E8CD53F9-0B9A-4E4D-9DC9-38B6C8A8A6AC}"/>
    <cellStyle name="Normal 17 3 4 2 3 3 2" xfId="13510" xr:uid="{E2BD6055-FC82-4677-BE10-FDAA542CE028}"/>
    <cellStyle name="Normal 17 3 4 2 3 3 2 2" xfId="29714" xr:uid="{D94B5F11-768C-4549-BE23-FF9CD1EB014B}"/>
    <cellStyle name="Normal 17 3 4 2 3 3 3" xfId="22200" xr:uid="{86622363-9784-4518-BFAE-0EE763334D61}"/>
    <cellStyle name="Normal 17 3 4 2 3 4" xfId="9919" xr:uid="{0091BC10-770A-460D-B4B2-193C21CB33EA}"/>
    <cellStyle name="Normal 17 3 4 2 3 4 2" xfId="26123" xr:uid="{2C9B7575-F855-4FB7-B2B7-E84DD15484ED}"/>
    <cellStyle name="Normal 17 3 4 2 3 5" xfId="18444" xr:uid="{74EF4589-D563-4A76-B028-B8BB855F294D}"/>
    <cellStyle name="Normal 17 3 4 2 4" xfId="2645" xr:uid="{F8B16BB8-9DC9-47F2-958B-3AA5CD2B37F2}"/>
    <cellStyle name="Normal 17 3 4 2 4 2" xfId="6429" xr:uid="{9BFE664C-6024-4D54-827C-582906AFE98C}"/>
    <cellStyle name="Normal 17 3 4 2 4 2 2" xfId="13941" xr:uid="{A106CE82-B0EB-47AE-AA7F-26C57D590D21}"/>
    <cellStyle name="Normal 17 3 4 2 4 2 2 2" xfId="30145" xr:uid="{0ECA23D2-8597-4B54-8897-AE7101549D98}"/>
    <cellStyle name="Normal 17 3 4 2 4 2 3" xfId="22633" xr:uid="{EE4773AD-30FC-457C-BFC5-F00D7091EC46}"/>
    <cellStyle name="Normal 17 3 4 2 4 3" xfId="10341" xr:uid="{91AC1384-B1B1-47D1-9877-6EE7A369623E}"/>
    <cellStyle name="Normal 17 3 4 2 4 3 2" xfId="26545" xr:uid="{CC488394-6977-4B32-AB88-4E5FB2B5B4B2}"/>
    <cellStyle name="Normal 17 3 4 2 4 4" xfId="18867" xr:uid="{85D7C534-B9D4-4F55-BA04-C62E0948C1DC}"/>
    <cellStyle name="Normal 17 3 4 2 5" xfId="3521" xr:uid="{35B28AB0-8E2A-4929-B0A1-3EA7AEA86900}"/>
    <cellStyle name="Normal 17 3 4 2 5 2" xfId="7279" xr:uid="{6410B2BD-F5FA-4752-9F71-1A7739A7729B}"/>
    <cellStyle name="Normal 17 3 4 2 5 2 2" xfId="14789" xr:uid="{A3432F1B-40C4-4BFB-BB11-646B346560EA}"/>
    <cellStyle name="Normal 17 3 4 2 5 2 2 2" xfId="30993" xr:uid="{672A6749-D1E9-4307-A076-AB5B819C2AD4}"/>
    <cellStyle name="Normal 17 3 4 2 5 2 3" xfId="23483" xr:uid="{095911CB-4603-4E8C-A097-20AA33F92D1F}"/>
    <cellStyle name="Normal 17 3 4 2 5 3" xfId="11186" xr:uid="{04FAE524-0326-4495-9D1E-5E84823EE4B1}"/>
    <cellStyle name="Normal 17 3 4 2 5 3 2" xfId="27390" xr:uid="{E6B725A5-1332-403D-AB1C-A828E6742BDE}"/>
    <cellStyle name="Normal 17 3 4 2 5 4" xfId="19737" xr:uid="{59BFD03B-EB97-4A7B-A5D9-5CCE2E5CE60C}"/>
    <cellStyle name="Normal 17 3 4 2 6" xfId="4045" xr:uid="{E841011F-CB06-46D5-BF5C-2267CD54F1A5}"/>
    <cellStyle name="Normal 17 3 4 2 6 2" xfId="7715" xr:uid="{9C6FD7C2-44E6-43CC-B3C6-F945243ED395}"/>
    <cellStyle name="Normal 17 3 4 2 6 2 2" xfId="15222" xr:uid="{B73C0303-03BE-4FE8-946E-EF44B5BF6645}"/>
    <cellStyle name="Normal 17 3 4 2 6 2 2 2" xfId="31426" xr:uid="{5A56298F-6ACD-4913-A69D-EB8385A551D0}"/>
    <cellStyle name="Normal 17 3 4 2 6 2 3" xfId="23919" xr:uid="{0884EE54-A43C-4E4B-BA7F-3BA12115BC66}"/>
    <cellStyle name="Normal 17 3 4 2 6 3" xfId="11608" xr:uid="{70C1597B-3742-4A0F-9E29-431159A6DF80}"/>
    <cellStyle name="Normal 17 3 4 2 6 3 2" xfId="27812" xr:uid="{5F5479F5-F4B1-4DF2-A2C3-548777740D4C}"/>
    <cellStyle name="Normal 17 3 4 2 6 4" xfId="20249" xr:uid="{8B8BA332-A870-486E-B341-17AAA2189D6B}"/>
    <cellStyle name="Normal 17 3 4 2 7" xfId="4470" xr:uid="{1AE074F0-D4E0-4AFB-8068-FAF23F57A79B}"/>
    <cellStyle name="Normal 17 3 4 2 7 2" xfId="8140" xr:uid="{E14303E9-F05F-425D-8A9D-45B990240795}"/>
    <cellStyle name="Normal 17 3 4 2 7 2 2" xfId="15647" xr:uid="{DED12F17-0321-46DE-9618-2B1BBBA95A92}"/>
    <cellStyle name="Normal 17 3 4 2 7 2 2 2" xfId="31851" xr:uid="{1C1EE3D7-8CA3-4D18-B504-47F329059E1D}"/>
    <cellStyle name="Normal 17 3 4 2 7 2 3" xfId="24344" xr:uid="{7B48A387-60A7-4F44-B54A-531BC682D989}"/>
    <cellStyle name="Normal 17 3 4 2 7 3" xfId="12033" xr:uid="{540475CD-A308-45E9-AF2B-22D80ED350F9}"/>
    <cellStyle name="Normal 17 3 4 2 7 3 2" xfId="28237" xr:uid="{E9B57B5F-42DF-49A2-8E36-14EF3E68EC6D}"/>
    <cellStyle name="Normal 17 3 4 2 7 4" xfId="20674" xr:uid="{9CA03C61-14E8-4453-9E2B-2ABA6FF893C1}"/>
    <cellStyle name="Normal 17 3 4 2 8" xfId="4895" xr:uid="{758ECFB5-CC52-4BB1-80CB-D745A7D45166}"/>
    <cellStyle name="Normal 17 3 4 2 8 2" xfId="8563" xr:uid="{66E2000B-CDE2-4346-AE35-2B7D405275EF}"/>
    <cellStyle name="Normal 17 3 4 2 8 2 2" xfId="16070" xr:uid="{05DCC2AD-8FC8-4B91-95AE-0A13F92F90C9}"/>
    <cellStyle name="Normal 17 3 4 2 8 2 2 2" xfId="32274" xr:uid="{CEBC2C8B-9E15-4785-8DE9-AD1C31822748}"/>
    <cellStyle name="Normal 17 3 4 2 8 2 3" xfId="24767" xr:uid="{34DC6354-2D6F-4BE2-A4D7-C47B8D6581A0}"/>
    <cellStyle name="Normal 17 3 4 2 8 3" xfId="12455" xr:uid="{5FC0E365-C038-4C01-B1E2-A943A77297D6}"/>
    <cellStyle name="Normal 17 3 4 2 8 3 2" xfId="28659" xr:uid="{4B5BF8CE-3778-4297-8B01-EC7A4E200B96}"/>
    <cellStyle name="Normal 17 3 4 2 8 4" xfId="21099" xr:uid="{D6D10F61-ED8D-450B-BC9F-B7F75E717116}"/>
    <cellStyle name="Normal 17 3 4 2 9" xfId="5381" xr:uid="{D63BD20F-E975-4A72-A23A-072DFFD264B0}"/>
    <cellStyle name="Normal 17 3 4 2 9 2" xfId="12930" xr:uid="{D3DD0157-57C6-4E8F-B5AB-5B05DC415454}"/>
    <cellStyle name="Normal 17 3 4 2 9 2 2" xfId="29134" xr:uid="{6A011E57-7B2A-47C4-8C9F-64A124401AF6}"/>
    <cellStyle name="Normal 17 3 4 2 9 3" xfId="21585" xr:uid="{7D8195CC-EE2C-401A-B4BA-36FAD9115B9F}"/>
    <cellStyle name="Normal 17 3 4 3" xfId="1986" xr:uid="{98B051A2-68DB-44A7-BA8C-96C66AF25221}"/>
    <cellStyle name="Normal 17 3 4 3 10" xfId="18289" xr:uid="{18DED1FF-9F08-4A9E-91BC-3EA345C91015}"/>
    <cellStyle name="Normal 17 3 4 3 2" xfId="2492" xr:uid="{72429D3D-3BBA-4EEB-9BD4-21E3DD0D6DE5}"/>
    <cellStyle name="Normal 17 3 4 3 2 2" xfId="3339" xr:uid="{93101610-5084-4946-B2E9-5883A096FE3B}"/>
    <cellStyle name="Normal 17 3 4 3 2 2 2" xfId="7121" xr:uid="{82920B3A-0C59-41CD-A251-6DE49F582986}"/>
    <cellStyle name="Normal 17 3 4 3 2 2 2 2" xfId="14632" xr:uid="{BF954AA8-E46B-4279-8ADC-67F2FDBF23AE}"/>
    <cellStyle name="Normal 17 3 4 3 2 2 2 2 2" xfId="30836" xr:uid="{B0A1A2B4-6679-4723-B751-89D3EB22F6AF}"/>
    <cellStyle name="Normal 17 3 4 3 2 2 2 3" xfId="23325" xr:uid="{BD832B9E-0711-447D-908E-EAAE6496B4A2}"/>
    <cellStyle name="Normal 17 3 4 3 2 2 3" xfId="11032" xr:uid="{F142178E-7665-419B-BB29-B0B926C5CF9E}"/>
    <cellStyle name="Normal 17 3 4 3 2 2 3 2" xfId="27236" xr:uid="{C13E6450-E492-4511-8516-875F244BD0DA}"/>
    <cellStyle name="Normal 17 3 4 3 2 2 4" xfId="19559" xr:uid="{95B89306-6281-470A-B9C9-930A2289B584}"/>
    <cellStyle name="Normal 17 3 4 3 2 3" xfId="6276" xr:uid="{861194E0-C339-4398-AA73-A9420016FE59}"/>
    <cellStyle name="Normal 17 3 4 3 2 3 2" xfId="13788" xr:uid="{024513B5-178D-437C-82A8-B7EEFB133819}"/>
    <cellStyle name="Normal 17 3 4 3 2 3 2 2" xfId="29992" xr:uid="{FF0DEA96-DA82-4D11-9839-5B096A4C3741}"/>
    <cellStyle name="Normal 17 3 4 3 2 3 3" xfId="22480" xr:uid="{3A2B5B39-4613-4577-8C0E-8C30DBD1C680}"/>
    <cellStyle name="Normal 17 3 4 3 2 4" xfId="10188" xr:uid="{0B85D125-6FB8-44AF-BC1F-6851098C2321}"/>
    <cellStyle name="Normal 17 3 4 3 2 4 2" xfId="26392" xr:uid="{0FF6F8C6-972E-459D-BF89-528C9C007D09}"/>
    <cellStyle name="Normal 17 3 4 3 2 5" xfId="18714" xr:uid="{7989514B-BDAF-4AD5-8D49-85CA01C65195}"/>
    <cellStyle name="Normal 17 3 4 3 3" xfId="2914" xr:uid="{2CF6C6E7-B35A-484F-8382-8B78E371812B}"/>
    <cellStyle name="Normal 17 3 4 3 3 2" xfId="6698" xr:uid="{D8BA28C4-46E6-4DC8-B255-C4395CD669A9}"/>
    <cellStyle name="Normal 17 3 4 3 3 2 2" xfId="14210" xr:uid="{A0125276-82ED-40FB-937B-97FD1BCE9AF8}"/>
    <cellStyle name="Normal 17 3 4 3 3 2 2 2" xfId="30414" xr:uid="{7C0E2F05-5072-4E96-9F4A-5C43BADF41C4}"/>
    <cellStyle name="Normal 17 3 4 3 3 2 3" xfId="22902" xr:uid="{C02BC4A6-3240-40C7-AB02-73A53A635C32}"/>
    <cellStyle name="Normal 17 3 4 3 3 3" xfId="10610" xr:uid="{151A75C1-3DF3-4694-A10C-DD9551826F3A}"/>
    <cellStyle name="Normal 17 3 4 3 3 3 2" xfId="26814" xr:uid="{59B85D39-EBD3-4CDC-900C-BAE6E13FC24D}"/>
    <cellStyle name="Normal 17 3 4 3 3 4" xfId="19136" xr:uid="{AF1DF035-BFDA-419B-8633-08E2D682ABFA}"/>
    <cellStyle name="Normal 17 3 4 3 4" xfId="3845" xr:uid="{C7F5E005-913C-4F10-83C1-F2580113AF14}"/>
    <cellStyle name="Normal 17 3 4 3 4 2" xfId="7555" xr:uid="{E2F32388-8AAF-48ED-B6C1-75E298F7989D}"/>
    <cellStyle name="Normal 17 3 4 3 4 2 2" xfId="15064" xr:uid="{EF781313-3CCF-42E5-8EFA-431E7AD9BDFD}"/>
    <cellStyle name="Normal 17 3 4 3 4 2 2 2" xfId="31268" xr:uid="{A8C6E02C-E555-448A-8F77-D6E7CA2A416A}"/>
    <cellStyle name="Normal 17 3 4 3 4 2 3" xfId="23759" xr:uid="{5945040B-9FDA-40A3-9E18-CFC29FAE4ADF}"/>
    <cellStyle name="Normal 17 3 4 3 4 3" xfId="11455" xr:uid="{5432D06C-DAB5-4101-9D40-6B6A73D0085B}"/>
    <cellStyle name="Normal 17 3 4 3 4 3 2" xfId="27659" xr:uid="{84C45D36-DA26-4E8D-8619-13FD91458694}"/>
    <cellStyle name="Normal 17 3 4 3 4 4" xfId="20054" xr:uid="{2E8F1B27-DF15-4D8B-8AEB-88D8C517F779}"/>
    <cellStyle name="Normal 17 3 4 3 5" xfId="4314" xr:uid="{3E1E8461-E7D0-4A13-846F-BB0ACFD05937}"/>
    <cellStyle name="Normal 17 3 4 3 5 2" xfId="7984" xr:uid="{CF678EFD-EFC2-4A1B-AF9A-58B752BD0A6B}"/>
    <cellStyle name="Normal 17 3 4 3 5 2 2" xfId="15491" xr:uid="{1DFE691E-1D9C-4557-A860-63791CBACA56}"/>
    <cellStyle name="Normal 17 3 4 3 5 2 2 2" xfId="31695" xr:uid="{981A9A5E-8E19-41C5-80DA-A7CD39DE40D6}"/>
    <cellStyle name="Normal 17 3 4 3 5 2 3" xfId="24188" xr:uid="{96B05FBD-5F3C-41B4-96B4-C59552583FCA}"/>
    <cellStyle name="Normal 17 3 4 3 5 3" xfId="11877" xr:uid="{768B7EAB-BD83-4334-BC09-68DB8320BDBF}"/>
    <cellStyle name="Normal 17 3 4 3 5 3 2" xfId="28081" xr:uid="{0B2F11D8-A78D-4E94-8CC7-EA498C719F43}"/>
    <cellStyle name="Normal 17 3 4 3 5 4" xfId="20518" xr:uid="{2A73AA50-1D37-485F-951E-79386FC218EB}"/>
    <cellStyle name="Normal 17 3 4 3 6" xfId="4739" xr:uid="{C59953C0-8BE7-4512-8B35-050F20AF3753}"/>
    <cellStyle name="Normal 17 3 4 3 6 2" xfId="8409" xr:uid="{2AF28F8A-9AC6-467E-8646-60AD627F53C8}"/>
    <cellStyle name="Normal 17 3 4 3 6 2 2" xfId="15916" xr:uid="{F94E1978-EB12-4964-B8A4-F7A6F2E979C8}"/>
    <cellStyle name="Normal 17 3 4 3 6 2 2 2" xfId="32120" xr:uid="{27151DC7-6B6C-43FB-AADE-AF6241633CC4}"/>
    <cellStyle name="Normal 17 3 4 3 6 2 3" xfId="24613" xr:uid="{87CE9D08-D783-4F9D-9BFB-29A54BDDC995}"/>
    <cellStyle name="Normal 17 3 4 3 6 3" xfId="12302" xr:uid="{84CAF6E1-4863-49CE-84F4-609ED692F39A}"/>
    <cellStyle name="Normal 17 3 4 3 6 3 2" xfId="28506" xr:uid="{CF703B00-93BC-4E22-A6F4-FBF5892C3E3B}"/>
    <cellStyle name="Normal 17 3 4 3 6 4" xfId="20943" xr:uid="{2A413776-F768-4ABA-B062-E58B372AFD21}"/>
    <cellStyle name="Normal 17 3 4 3 7" xfId="5167" xr:uid="{329ADD10-CE7D-4800-B500-86A15F01D728}"/>
    <cellStyle name="Normal 17 3 4 3 7 2" xfId="8832" xr:uid="{665347F3-6A70-4E72-8E15-D7AA98F07483}"/>
    <cellStyle name="Normal 17 3 4 3 7 2 2" xfId="16339" xr:uid="{04AA270F-11A7-4B7B-A192-6EE242A393BA}"/>
    <cellStyle name="Normal 17 3 4 3 7 2 2 2" xfId="32543" xr:uid="{DC703424-52C4-4805-A6E0-040A90C0B56F}"/>
    <cellStyle name="Normal 17 3 4 3 7 2 3" xfId="25036" xr:uid="{D7879ADB-F001-4DC2-8BDB-E3FCC070EF42}"/>
    <cellStyle name="Normal 17 3 4 3 7 3" xfId="12724" xr:uid="{FF8F4CC5-BAE1-487F-BCFF-14C7AA98526B}"/>
    <cellStyle name="Normal 17 3 4 3 7 3 2" xfId="28928" xr:uid="{4CE6AEAF-1BAB-4D62-91D7-D73D72BD1D93}"/>
    <cellStyle name="Normal 17 3 4 3 7 4" xfId="21371" xr:uid="{C46CC6E1-4BB0-45AE-9C70-DC382805D22A}"/>
    <cellStyle name="Normal 17 3 4 3 8" xfId="5838" xr:uid="{E14BCE53-9410-490E-9AB2-EB51DD00B64D}"/>
    <cellStyle name="Normal 17 3 4 3 8 2" xfId="13353" xr:uid="{E68F60B0-0816-4319-8B96-BBEA9B64BA1C}"/>
    <cellStyle name="Normal 17 3 4 3 8 2 2" xfId="29557" xr:uid="{D299F541-3F64-4E6C-B629-1D78DBAD937B}"/>
    <cellStyle name="Normal 17 3 4 3 8 3" xfId="22042" xr:uid="{F764C0F5-0343-4714-9BE9-AF7E24FC2D94}"/>
    <cellStyle name="Normal 17 3 4 3 9" xfId="9765" xr:uid="{8BEDCE29-2CFD-4A9E-BC8F-6CCCB959D0C1}"/>
    <cellStyle name="Normal 17 3 4 3 9 2" xfId="25969" xr:uid="{96DE2BFA-1F54-4257-A704-82819FFA5ECE}"/>
    <cellStyle name="Normal 17 3 4 4" xfId="2090" xr:uid="{33CD72DB-BA18-47B7-8D3A-3F83B38A741E}"/>
    <cellStyle name="Normal 17 3 4 4 2" xfId="3003" xr:uid="{A48FE3A5-5BB1-4E95-93FE-B8C7BAEDB4F2}"/>
    <cellStyle name="Normal 17 3 4 4 2 2" xfId="6785" xr:uid="{77A7642C-EA43-43DF-8075-24C871CE80A8}"/>
    <cellStyle name="Normal 17 3 4 4 2 2 2" xfId="14296" xr:uid="{CEC3ACEF-1529-49C2-9181-722BD5785434}"/>
    <cellStyle name="Normal 17 3 4 4 2 2 2 2" xfId="30500" xr:uid="{54418A7C-95EE-4A61-A2FF-A6138FDE8AA6}"/>
    <cellStyle name="Normal 17 3 4 4 2 2 3" xfId="22989" xr:uid="{EE04C1E5-BCF2-4D06-988D-4BD898D67959}"/>
    <cellStyle name="Normal 17 3 4 4 2 3" xfId="10696" xr:uid="{D79A58EF-0D98-4DB2-BC38-1E532785B6D3}"/>
    <cellStyle name="Normal 17 3 4 4 2 3 2" xfId="26900" xr:uid="{4D3C6ACC-5456-49C6-B8D4-67F8BB622954}"/>
    <cellStyle name="Normal 17 3 4 4 2 4" xfId="19223" xr:uid="{6A220279-AD2F-47F5-8037-1537BC90E6DD}"/>
    <cellStyle name="Normal 17 3 4 4 3" xfId="5929" xr:uid="{530B938A-D5DC-46A2-B37F-FD67AA4BD544}"/>
    <cellStyle name="Normal 17 3 4 4 3 2" xfId="13443" xr:uid="{8CE2B5CF-A28E-4D61-9382-EF0E2775258F}"/>
    <cellStyle name="Normal 17 3 4 4 3 2 2" xfId="29647" xr:uid="{BDBCE575-8548-42B9-AE3B-559025B2D820}"/>
    <cellStyle name="Normal 17 3 4 4 3 3" xfId="22133" xr:uid="{A87F653D-B04A-4ED7-A5B3-31B733392A2C}"/>
    <cellStyle name="Normal 17 3 4 4 4" xfId="9852" xr:uid="{2BA6B9C9-9220-4A90-8DFF-3EBE3966C779}"/>
    <cellStyle name="Normal 17 3 4 4 4 2" xfId="26056" xr:uid="{17CD2CDD-EF53-4886-AFBF-FD910143854E}"/>
    <cellStyle name="Normal 17 3 4 4 5" xfId="18377" xr:uid="{47069807-49ED-40E1-9766-5A0E8E5279C6}"/>
    <cellStyle name="Normal 17 3 4 5" xfId="2578" xr:uid="{828C9C89-0E79-4451-9EF8-683644FFA375}"/>
    <cellStyle name="Normal 17 3 4 5 2" xfId="6362" xr:uid="{22D2784A-C3E6-4866-813D-47F3F0EBBEB8}"/>
    <cellStyle name="Normal 17 3 4 5 2 2" xfId="13874" xr:uid="{BCED8229-8D84-429E-B7C9-00252E133EF9}"/>
    <cellStyle name="Normal 17 3 4 5 2 2 2" xfId="30078" xr:uid="{BFCEE6A8-7279-4A37-B404-114B0D99F103}"/>
    <cellStyle name="Normal 17 3 4 5 2 3" xfId="22566" xr:uid="{CCDF8E0C-E0A7-442E-9DB3-34BE8C199CC3}"/>
    <cellStyle name="Normal 17 3 4 5 3" xfId="10274" xr:uid="{641A362F-8E80-4C5C-A8F0-93DA84BC25F7}"/>
    <cellStyle name="Normal 17 3 4 5 3 2" xfId="26478" xr:uid="{1B537392-C1F9-47E7-96BB-9377FD602053}"/>
    <cellStyle name="Normal 17 3 4 5 4" xfId="18800" xr:uid="{6AC4365A-6261-4DA0-B7C1-A939DF91FA33}"/>
    <cellStyle name="Normal 17 3 4 6" xfId="3454" xr:uid="{35FA1CB7-4570-43E1-9E71-EF6E63D13913}"/>
    <cellStyle name="Normal 17 3 4 6 2" xfId="7212" xr:uid="{255383DD-FDB4-42A5-B949-DBFF43DE5CD3}"/>
    <cellStyle name="Normal 17 3 4 6 2 2" xfId="14722" xr:uid="{9B9E59EE-2462-4B76-A4ED-B1075D648E2F}"/>
    <cellStyle name="Normal 17 3 4 6 2 2 2" xfId="30926" xr:uid="{C51B9694-D4FE-49B6-9E69-A1848802EB1A}"/>
    <cellStyle name="Normal 17 3 4 6 2 3" xfId="23416" xr:uid="{B8706B57-ADF7-4AC3-95B2-053C26E145FD}"/>
    <cellStyle name="Normal 17 3 4 6 3" xfId="11119" xr:uid="{FEF83D50-3563-4C07-938B-77E7C4F40871}"/>
    <cellStyle name="Normal 17 3 4 6 3 2" xfId="27323" xr:uid="{470CEED5-629E-44F1-BDD2-ED3874D26DA0}"/>
    <cellStyle name="Normal 17 3 4 6 4" xfId="19670" xr:uid="{1D20FFE7-EE12-440E-8DC1-8CF032DEBAA0}"/>
    <cellStyle name="Normal 17 3 4 7" xfId="3978" xr:uid="{97382C2C-E819-4B46-8B45-38D7C4728F84}"/>
    <cellStyle name="Normal 17 3 4 7 2" xfId="7648" xr:uid="{6C355DA8-2233-483A-A08E-47208368A662}"/>
    <cellStyle name="Normal 17 3 4 7 2 2" xfId="15155" xr:uid="{AFF6AB7B-D5DD-4693-B1CD-178966F79F74}"/>
    <cellStyle name="Normal 17 3 4 7 2 2 2" xfId="31359" xr:uid="{B0CF5BEA-55F1-464F-9A05-75157F5453C2}"/>
    <cellStyle name="Normal 17 3 4 7 2 3" xfId="23852" xr:uid="{B917F2F7-BF9F-4A0D-8E6E-42D9B23CEEC0}"/>
    <cellStyle name="Normal 17 3 4 7 3" xfId="11541" xr:uid="{5B1E558D-7DDA-42A6-88B0-3BB3D24573C4}"/>
    <cellStyle name="Normal 17 3 4 7 3 2" xfId="27745" xr:uid="{0DBE25EF-DD3A-4013-AB0D-A2580A565F4A}"/>
    <cellStyle name="Normal 17 3 4 7 4" xfId="20182" xr:uid="{23539D1F-329D-4B6C-904F-B36FCB910689}"/>
    <cellStyle name="Normal 17 3 4 8" xfId="4403" xr:uid="{DD8E7DD8-80FF-49E4-B1DC-4A1D91C9B3D0}"/>
    <cellStyle name="Normal 17 3 4 8 2" xfId="8073" xr:uid="{0B4754C8-34E8-495C-B62D-43EAAD247757}"/>
    <cellStyle name="Normal 17 3 4 8 2 2" xfId="15580" xr:uid="{CC0B0B77-43E8-45AF-A525-3276204C6D04}"/>
    <cellStyle name="Normal 17 3 4 8 2 2 2" xfId="31784" xr:uid="{A1378C9B-B43F-4000-B930-C06D81226A8B}"/>
    <cellStyle name="Normal 17 3 4 8 2 3" xfId="24277" xr:uid="{BCD44349-6A96-4B3A-99A0-EF3E02FB27F6}"/>
    <cellStyle name="Normal 17 3 4 8 3" xfId="11966" xr:uid="{A4DB3194-AB8B-421A-AC79-3AF730975187}"/>
    <cellStyle name="Normal 17 3 4 8 3 2" xfId="28170" xr:uid="{711EFAEE-62CA-4E72-8A03-20AE789F7520}"/>
    <cellStyle name="Normal 17 3 4 8 4" xfId="20607" xr:uid="{F24F3530-3C1E-4EF9-8F60-D603CD4DEECE}"/>
    <cellStyle name="Normal 17 3 4 9" xfId="4827" xr:uid="{9BCDC007-9706-483D-B701-5F7820B24E5E}"/>
    <cellStyle name="Normal 17 3 4 9 2" xfId="8496" xr:uid="{69140D8F-79F2-4C85-A1F0-15E481E62712}"/>
    <cellStyle name="Normal 17 3 4 9 2 2" xfId="16003" xr:uid="{DE1CA3C9-1E0F-48E3-9E5D-E45256703382}"/>
    <cellStyle name="Normal 17 3 4 9 2 2 2" xfId="32207" xr:uid="{823A3431-58F1-4BD0-93EB-E45420D3DE7A}"/>
    <cellStyle name="Normal 17 3 4 9 2 3" xfId="24700" xr:uid="{C4127006-C66A-4398-8171-ED345A02014F}"/>
    <cellStyle name="Normal 17 3 4 9 3" xfId="12388" xr:uid="{D6E781BE-E5ED-4351-9A97-5477C6E3097B}"/>
    <cellStyle name="Normal 17 3 4 9 3 2" xfId="28592" xr:uid="{B1010648-1E38-406A-AE2B-D5BAB511CACC}"/>
    <cellStyle name="Normal 17 3 4 9 4" xfId="21031" xr:uid="{FC58B18E-BCEE-47EA-A70D-908B2C1A07E1}"/>
    <cellStyle name="Normal 17 3 5" xfId="544" xr:uid="{25A21DBA-ED4E-492E-9044-5040F233F0E0}"/>
    <cellStyle name="Normal 17 3 5 10" xfId="9452" xr:uid="{F743B426-6536-4002-A7E4-7C0A481EDC1D}"/>
    <cellStyle name="Normal 17 3 5 10 2" xfId="25656" xr:uid="{B3965077-5DA9-446C-BCBF-8302F6ED5E86}"/>
    <cellStyle name="Normal 17 3 5 11" xfId="17968" xr:uid="{6A3A57C6-8740-47E6-AFD4-88959773EF26}"/>
    <cellStyle name="Normal 17 3 5 2" xfId="1987" xr:uid="{1D8CB96D-BF9A-42C2-96D6-46D853EA1603}"/>
    <cellStyle name="Normal 17 3 5 2 10" xfId="18290" xr:uid="{4F90E371-F0D0-4351-86E1-6BC4211257A6}"/>
    <cellStyle name="Normal 17 3 5 2 2" xfId="2493" xr:uid="{70ED1C84-816C-457C-86D8-3C286226F886}"/>
    <cellStyle name="Normal 17 3 5 2 2 2" xfId="3340" xr:uid="{F906C0AE-B212-4E34-BF62-3AB822CA7596}"/>
    <cellStyle name="Normal 17 3 5 2 2 2 2" xfId="7122" xr:uid="{CA3BAF11-B993-4307-84D4-1D793B1E7C0F}"/>
    <cellStyle name="Normal 17 3 5 2 2 2 2 2" xfId="14633" xr:uid="{4EF8C946-9B15-4026-84CC-CC1D1F300F36}"/>
    <cellStyle name="Normal 17 3 5 2 2 2 2 2 2" xfId="30837" xr:uid="{BC1F52E0-692D-4B69-9698-707CB3E0E1B3}"/>
    <cellStyle name="Normal 17 3 5 2 2 2 2 3" xfId="23326" xr:uid="{A4ED014F-81D9-41F3-ACDF-97CF966299EF}"/>
    <cellStyle name="Normal 17 3 5 2 2 2 3" xfId="11033" xr:uid="{45ECF0EC-A47A-4159-8139-25C84342ECC0}"/>
    <cellStyle name="Normal 17 3 5 2 2 2 3 2" xfId="27237" xr:uid="{0BEB8235-5996-4812-B794-A772B250D098}"/>
    <cellStyle name="Normal 17 3 5 2 2 2 4" xfId="19560" xr:uid="{3EF91537-8689-4913-98C1-0072483F7E9F}"/>
    <cellStyle name="Normal 17 3 5 2 2 3" xfId="6277" xr:uid="{968BDAC9-755D-4989-8466-FCEF84BBA5EA}"/>
    <cellStyle name="Normal 17 3 5 2 2 3 2" xfId="13789" xr:uid="{82B5E61D-DD42-489F-AC29-8F26A84CDA80}"/>
    <cellStyle name="Normal 17 3 5 2 2 3 2 2" xfId="29993" xr:uid="{9830BAC6-2B21-48BB-9A2F-EE55DD26327F}"/>
    <cellStyle name="Normal 17 3 5 2 2 3 3" xfId="22481" xr:uid="{5BB7F018-139A-459C-B9B8-51D722AB370C}"/>
    <cellStyle name="Normal 17 3 5 2 2 4" xfId="10189" xr:uid="{529F5BAE-56FB-47B5-8E9D-171942FDE1D3}"/>
    <cellStyle name="Normal 17 3 5 2 2 4 2" xfId="26393" xr:uid="{B3727226-F0DF-418D-8817-E81731A6E2F2}"/>
    <cellStyle name="Normal 17 3 5 2 2 5" xfId="18715" xr:uid="{9C2ABE2E-02D8-459A-9857-B73D757CD4CF}"/>
    <cellStyle name="Normal 17 3 5 2 3" xfId="2915" xr:uid="{378373BE-FE0C-4D1E-AB00-D9811FF30E75}"/>
    <cellStyle name="Normal 17 3 5 2 3 2" xfId="6699" xr:uid="{0508043D-E926-46A6-98A4-B29BCDA34C8D}"/>
    <cellStyle name="Normal 17 3 5 2 3 2 2" xfId="14211" xr:uid="{9B51D732-3661-47F0-833B-34292BBFC902}"/>
    <cellStyle name="Normal 17 3 5 2 3 2 2 2" xfId="30415" xr:uid="{1FB04E37-AD52-4914-834F-F71C4DD253B4}"/>
    <cellStyle name="Normal 17 3 5 2 3 2 3" xfId="22903" xr:uid="{9A496A61-D8D7-4198-B0B3-543BCBE0C3B3}"/>
    <cellStyle name="Normal 17 3 5 2 3 3" xfId="10611" xr:uid="{CC96CC58-58A4-4140-B037-680FB74FE2BC}"/>
    <cellStyle name="Normal 17 3 5 2 3 3 2" xfId="26815" xr:uid="{EB22A029-E3E8-467F-89AA-C74AF71EEE21}"/>
    <cellStyle name="Normal 17 3 5 2 3 4" xfId="19137" xr:uid="{0E711922-6819-4657-B61F-FC09EE5E0398}"/>
    <cellStyle name="Normal 17 3 5 2 4" xfId="3846" xr:uid="{640D6BEF-288C-494F-81E3-F5FB6BAD54D2}"/>
    <cellStyle name="Normal 17 3 5 2 4 2" xfId="7556" xr:uid="{1797F11E-ED37-470C-847E-B725719E4005}"/>
    <cellStyle name="Normal 17 3 5 2 4 2 2" xfId="15065" xr:uid="{BC9ABDDB-6B25-4CBE-9077-2774263BAEC8}"/>
    <cellStyle name="Normal 17 3 5 2 4 2 2 2" xfId="31269" xr:uid="{1E022670-8179-4F5A-A4B3-61A38DDE02B2}"/>
    <cellStyle name="Normal 17 3 5 2 4 2 3" xfId="23760" xr:uid="{9D08D43D-3FCD-4830-8523-AF265852E361}"/>
    <cellStyle name="Normal 17 3 5 2 4 3" xfId="11456" xr:uid="{FB6AE2E3-C0C8-4151-8AA5-2F76BCEB8C12}"/>
    <cellStyle name="Normal 17 3 5 2 4 3 2" xfId="27660" xr:uid="{D3810801-EC22-4D62-96C3-93AEA3AAC84D}"/>
    <cellStyle name="Normal 17 3 5 2 4 4" xfId="20055" xr:uid="{314F682A-F589-45EF-A4F7-9031F212CDA6}"/>
    <cellStyle name="Normal 17 3 5 2 5" xfId="4315" xr:uid="{27402FA2-E12A-4BF8-BC0F-536C27CA463B}"/>
    <cellStyle name="Normal 17 3 5 2 5 2" xfId="7985" xr:uid="{1D2798E4-391C-4BE0-AC2D-C015AC989D26}"/>
    <cellStyle name="Normal 17 3 5 2 5 2 2" xfId="15492" xr:uid="{27916C1B-EE28-468F-A62E-333DF6A39D08}"/>
    <cellStyle name="Normal 17 3 5 2 5 2 2 2" xfId="31696" xr:uid="{88D9F526-50E5-411A-9B4B-FA677E2877C7}"/>
    <cellStyle name="Normal 17 3 5 2 5 2 3" xfId="24189" xr:uid="{EDF410E7-82E1-4581-9AC1-A256C7A42DD0}"/>
    <cellStyle name="Normal 17 3 5 2 5 3" xfId="11878" xr:uid="{E09D3C90-3FD6-4AEE-8ED8-2C8DC81F8AE3}"/>
    <cellStyle name="Normal 17 3 5 2 5 3 2" xfId="28082" xr:uid="{66FA4066-8640-4A48-B9FB-A464DC052081}"/>
    <cellStyle name="Normal 17 3 5 2 5 4" xfId="20519" xr:uid="{17B8E90A-51A4-4732-A785-7123C89DE263}"/>
    <cellStyle name="Normal 17 3 5 2 6" xfId="4740" xr:uid="{BB2F5062-10C8-4FED-9BB4-893CCF25A2BE}"/>
    <cellStyle name="Normal 17 3 5 2 6 2" xfId="8410" xr:uid="{5336E499-5848-44CC-902E-12A560EAFABF}"/>
    <cellStyle name="Normal 17 3 5 2 6 2 2" xfId="15917" xr:uid="{7CE794F9-D75D-4E65-83DE-1B0D5AFAE624}"/>
    <cellStyle name="Normal 17 3 5 2 6 2 2 2" xfId="32121" xr:uid="{088ADE82-7888-4B05-8AC0-E7FC6E12424D}"/>
    <cellStyle name="Normal 17 3 5 2 6 2 3" xfId="24614" xr:uid="{5C96BF21-7880-493C-A7FB-EBB68C1BE469}"/>
    <cellStyle name="Normal 17 3 5 2 6 3" xfId="12303" xr:uid="{37C79BC4-FA56-4C6A-B829-F20862A5BC1B}"/>
    <cellStyle name="Normal 17 3 5 2 6 3 2" xfId="28507" xr:uid="{1C76B13E-702B-4CA0-A887-5C1CA84DF7D7}"/>
    <cellStyle name="Normal 17 3 5 2 6 4" xfId="20944" xr:uid="{400B2C2F-3547-45F4-BC1F-DFD615631FD5}"/>
    <cellStyle name="Normal 17 3 5 2 7" xfId="5168" xr:uid="{CF4C846D-03DB-4F9B-894F-C6A19A9B5B23}"/>
    <cellStyle name="Normal 17 3 5 2 7 2" xfId="8833" xr:uid="{B5D48C9D-26C7-4572-995B-C49ABC4FD19A}"/>
    <cellStyle name="Normal 17 3 5 2 7 2 2" xfId="16340" xr:uid="{9D1C2592-5526-4FA1-9F09-7B015EAEEEC6}"/>
    <cellStyle name="Normal 17 3 5 2 7 2 2 2" xfId="32544" xr:uid="{3ECA8429-7DC7-4A05-AD24-BB849389D831}"/>
    <cellStyle name="Normal 17 3 5 2 7 2 3" xfId="25037" xr:uid="{4CB8CE0C-A735-4D06-AFC0-CB82630636B0}"/>
    <cellStyle name="Normal 17 3 5 2 7 3" xfId="12725" xr:uid="{26EFB43E-F7E2-4E0B-A0EF-6EC8CF3F617F}"/>
    <cellStyle name="Normal 17 3 5 2 7 3 2" xfId="28929" xr:uid="{2AE66196-2215-4F2B-890F-40504532A4A3}"/>
    <cellStyle name="Normal 17 3 5 2 7 4" xfId="21372" xr:uid="{A1043887-1068-41C6-9DED-6A832EA88629}"/>
    <cellStyle name="Normal 17 3 5 2 8" xfId="5839" xr:uid="{24AA9467-85DA-4563-A677-C5E2919032CB}"/>
    <cellStyle name="Normal 17 3 5 2 8 2" xfId="13354" xr:uid="{A45979AB-14B7-4307-8FBF-63549940695F}"/>
    <cellStyle name="Normal 17 3 5 2 8 2 2" xfId="29558" xr:uid="{1C2C677D-C53B-4A55-93F6-83964EA92659}"/>
    <cellStyle name="Normal 17 3 5 2 8 3" xfId="22043" xr:uid="{6B9CBC20-80B0-490D-BE46-CF2CDFA283CA}"/>
    <cellStyle name="Normal 17 3 5 2 9" xfId="9766" xr:uid="{1975E075-C7D6-4173-86AF-358D56F3F191}"/>
    <cellStyle name="Normal 17 3 5 2 9 2" xfId="25970" xr:uid="{A58BECA8-97F9-4A00-B1D2-B161A4074A4B}"/>
    <cellStyle name="Normal 17 3 5 3" xfId="2113" xr:uid="{BC741B3A-7606-45AA-9395-A3C41863106F}"/>
    <cellStyle name="Normal 17 3 5 3 2" xfId="3026" xr:uid="{91F85330-0A63-43BE-B4D9-E60B7134170F}"/>
    <cellStyle name="Normal 17 3 5 3 2 2" xfId="6808" xr:uid="{995459CF-DCEC-4B50-AAFB-8F5EABAD1726}"/>
    <cellStyle name="Normal 17 3 5 3 2 2 2" xfId="14319" xr:uid="{EF7B1EF5-F9F9-4DB2-B26C-9D56E2C5A26D}"/>
    <cellStyle name="Normal 17 3 5 3 2 2 2 2" xfId="30523" xr:uid="{3424976C-F6A2-4635-8ADD-1E822568A6B0}"/>
    <cellStyle name="Normal 17 3 5 3 2 2 3" xfId="23012" xr:uid="{D7E6AFED-9CEA-4495-B0DA-E90589D5AFFA}"/>
    <cellStyle name="Normal 17 3 5 3 2 3" xfId="10719" xr:uid="{85C278CF-9641-4253-A1EF-FD93C77069AC}"/>
    <cellStyle name="Normal 17 3 5 3 2 3 2" xfId="26923" xr:uid="{640F4754-2431-41A7-BCA7-3956710905A6}"/>
    <cellStyle name="Normal 17 3 5 3 2 4" xfId="19246" xr:uid="{54C82B7B-42A0-4F0C-A17F-CD6424723167}"/>
    <cellStyle name="Normal 17 3 5 3 3" xfId="5952" xr:uid="{DA416840-42AE-4745-990F-C55266B3A811}"/>
    <cellStyle name="Normal 17 3 5 3 3 2" xfId="13466" xr:uid="{865144B1-D505-4951-B124-BB7E59EA7631}"/>
    <cellStyle name="Normal 17 3 5 3 3 2 2" xfId="29670" xr:uid="{7AC4DA9D-8A6B-499C-BE98-B344A5FBC37D}"/>
    <cellStyle name="Normal 17 3 5 3 3 3" xfId="22156" xr:uid="{CCA15A22-C671-4058-858B-DD55C89BC426}"/>
    <cellStyle name="Normal 17 3 5 3 4" xfId="9875" xr:uid="{8F6FDF41-693A-4211-91D3-1D37389C0BED}"/>
    <cellStyle name="Normal 17 3 5 3 4 2" xfId="26079" xr:uid="{DB23E635-8A6D-46C0-A3B3-AFB77F31EC6C}"/>
    <cellStyle name="Normal 17 3 5 3 5" xfId="18400" xr:uid="{6A41EC16-08E2-45ED-8DC7-A1DF91A0711A}"/>
    <cellStyle name="Normal 17 3 5 4" xfId="2601" xr:uid="{C36A5990-6B01-4514-8CCF-4D1EFD489AE8}"/>
    <cellStyle name="Normal 17 3 5 4 2" xfId="6385" xr:uid="{FEDC88AA-D8A0-40DC-AA57-2E1E636C6445}"/>
    <cellStyle name="Normal 17 3 5 4 2 2" xfId="13897" xr:uid="{0855E92F-8191-454F-B3E3-B39FC71929A7}"/>
    <cellStyle name="Normal 17 3 5 4 2 2 2" xfId="30101" xr:uid="{E195324F-08D1-4560-93FB-9C5291A30707}"/>
    <cellStyle name="Normal 17 3 5 4 2 3" xfId="22589" xr:uid="{D472074D-0728-4270-B530-A88D755CE8D5}"/>
    <cellStyle name="Normal 17 3 5 4 3" xfId="10297" xr:uid="{DF0A1B4B-8E5E-45EC-91E2-5A629AF83EEB}"/>
    <cellStyle name="Normal 17 3 5 4 3 2" xfId="26501" xr:uid="{B9DC7AEE-481A-4616-B87A-7574F65FD1C1}"/>
    <cellStyle name="Normal 17 3 5 4 4" xfId="18823" xr:uid="{C87A6DE7-05F6-43D4-AF98-24CFD26E3F2A}"/>
    <cellStyle name="Normal 17 3 5 5" xfId="3477" xr:uid="{8F69F0F8-2275-4F45-8916-5B11B9991F28}"/>
    <cellStyle name="Normal 17 3 5 5 2" xfId="7235" xr:uid="{EA6DEC63-7223-46FD-BC4A-5BF26DBECFFC}"/>
    <cellStyle name="Normal 17 3 5 5 2 2" xfId="14745" xr:uid="{0E3127E7-5C61-4CCE-9CF8-1155126ABC7D}"/>
    <cellStyle name="Normal 17 3 5 5 2 2 2" xfId="30949" xr:uid="{DE0FB0C4-4A58-413D-86F2-E38A9FAF367A}"/>
    <cellStyle name="Normal 17 3 5 5 2 3" xfId="23439" xr:uid="{2DADB3FA-A309-4D99-8027-7E455ABA9E0B}"/>
    <cellStyle name="Normal 17 3 5 5 3" xfId="11142" xr:uid="{E072CEBF-A42B-4952-B171-1F468A414021}"/>
    <cellStyle name="Normal 17 3 5 5 3 2" xfId="27346" xr:uid="{BC956240-F6DF-469C-8E47-2AE501213DF7}"/>
    <cellStyle name="Normal 17 3 5 5 4" xfId="19693" xr:uid="{98D57C6C-3E72-4EE4-99B6-DC343F701A62}"/>
    <cellStyle name="Normal 17 3 5 6" xfId="4001" xr:uid="{5F54B462-A20D-4A8B-B8E3-DB4EE2F34381}"/>
    <cellStyle name="Normal 17 3 5 6 2" xfId="7671" xr:uid="{062A6307-4982-4B43-851E-B86279580B53}"/>
    <cellStyle name="Normal 17 3 5 6 2 2" xfId="15178" xr:uid="{CAB3D346-13E7-4006-8162-5E117E9BF67F}"/>
    <cellStyle name="Normal 17 3 5 6 2 2 2" xfId="31382" xr:uid="{09C9812C-5F27-4B34-BF7C-324F4B546C81}"/>
    <cellStyle name="Normal 17 3 5 6 2 3" xfId="23875" xr:uid="{CA9AACD6-5744-47E5-B2C4-14C0AC70FDAE}"/>
    <cellStyle name="Normal 17 3 5 6 3" xfId="11564" xr:uid="{373A33A7-9A26-49B9-A21E-9ADDEBD7FFBC}"/>
    <cellStyle name="Normal 17 3 5 6 3 2" xfId="27768" xr:uid="{49B36F63-9F3B-479A-8E9C-7C90A59D6453}"/>
    <cellStyle name="Normal 17 3 5 6 4" xfId="20205" xr:uid="{7D5BDF8A-7EBD-4183-A628-F84114CAABF0}"/>
    <cellStyle name="Normal 17 3 5 7" xfId="4426" xr:uid="{E329BE0E-4B5C-46F9-B1A0-509CA3137AF7}"/>
    <cellStyle name="Normal 17 3 5 7 2" xfId="8096" xr:uid="{0EC69C5B-66D4-490C-8BBF-4692909B3E4A}"/>
    <cellStyle name="Normal 17 3 5 7 2 2" xfId="15603" xr:uid="{53A7690F-263D-4685-867D-8BD9740CC607}"/>
    <cellStyle name="Normal 17 3 5 7 2 2 2" xfId="31807" xr:uid="{E70D41B2-4430-4B71-BA44-B0080F00E25C}"/>
    <cellStyle name="Normal 17 3 5 7 2 3" xfId="24300" xr:uid="{20B1D89C-6215-47EC-B674-0CC098A41821}"/>
    <cellStyle name="Normal 17 3 5 7 3" xfId="11989" xr:uid="{2C899FEC-A65C-4FD0-9CBF-4E58257C7CFC}"/>
    <cellStyle name="Normal 17 3 5 7 3 2" xfId="28193" xr:uid="{2B11C980-193B-495D-A1E5-2ACC5FAB1605}"/>
    <cellStyle name="Normal 17 3 5 7 4" xfId="20630" xr:uid="{77C63434-D64A-467E-BB20-327B0511EDE9}"/>
    <cellStyle name="Normal 17 3 5 8" xfId="4851" xr:uid="{30CA790F-3464-492C-9BF8-DD6911E15735}"/>
    <cellStyle name="Normal 17 3 5 8 2" xfId="8519" xr:uid="{1DF8A84E-23F8-4918-8E82-BF684555AD55}"/>
    <cellStyle name="Normal 17 3 5 8 2 2" xfId="16026" xr:uid="{3FA6AEFC-5DDF-4F3D-8D69-C3712039C514}"/>
    <cellStyle name="Normal 17 3 5 8 2 2 2" xfId="32230" xr:uid="{6500103A-353B-4C05-86F8-4188338C9246}"/>
    <cellStyle name="Normal 17 3 5 8 2 3" xfId="24723" xr:uid="{F14C16AD-0E36-4D89-BF91-8338322B4245}"/>
    <cellStyle name="Normal 17 3 5 8 3" xfId="12411" xr:uid="{0BCE3FC2-069A-4888-8C66-B89F02039E8B}"/>
    <cellStyle name="Normal 17 3 5 8 3 2" xfId="28615" xr:uid="{6E088AE1-FB88-496F-B383-F0FCFCAE6D3F}"/>
    <cellStyle name="Normal 17 3 5 8 4" xfId="21055" xr:uid="{B409D223-DFC4-4B72-AF23-304B1A778BA8}"/>
    <cellStyle name="Normal 17 3 5 9" xfId="5337" xr:uid="{251B57B2-E556-4A64-A070-814A9969125C}"/>
    <cellStyle name="Normal 17 3 5 9 2" xfId="12886" xr:uid="{CF387915-9391-48F2-AF06-BA9837E456D4}"/>
    <cellStyle name="Normal 17 3 5 9 2 2" xfId="29090" xr:uid="{1EEFCFCF-C2B0-4214-B5F8-8FB399FEB287}"/>
    <cellStyle name="Normal 17 3 5 9 3" xfId="21541" xr:uid="{D7E7BF66-4827-48FC-AC18-A70C7EA7C72A}"/>
    <cellStyle name="Normal 17 3 6" xfId="1988" xr:uid="{69B19430-84E2-49D4-AE05-612ACBC865BD}"/>
    <cellStyle name="Normal 17 3 6 10" xfId="18291" xr:uid="{F1D7F310-98C5-4866-9AA4-9AB089F8450F}"/>
    <cellStyle name="Normal 17 3 6 2" xfId="2494" xr:uid="{71A4B598-0C16-4A7A-8BD4-D37E0CF41B8D}"/>
    <cellStyle name="Normal 17 3 6 2 2" xfId="3341" xr:uid="{7726BAF3-E49F-41AE-B4E8-7C11EF433BFC}"/>
    <cellStyle name="Normal 17 3 6 2 2 2" xfId="7123" xr:uid="{367A54FF-60CC-4BD7-BDC4-956746CBBCF4}"/>
    <cellStyle name="Normal 17 3 6 2 2 2 2" xfId="14634" xr:uid="{FB60A2BE-E46A-4866-B59B-045828BFF016}"/>
    <cellStyle name="Normal 17 3 6 2 2 2 2 2" xfId="30838" xr:uid="{085E95AE-6815-4BEB-95F3-6BFEAD00CCD6}"/>
    <cellStyle name="Normal 17 3 6 2 2 2 3" xfId="23327" xr:uid="{8567D4E2-21C3-47B6-9E21-DB05C9CD4D40}"/>
    <cellStyle name="Normal 17 3 6 2 2 3" xfId="11034" xr:uid="{FAD96ACA-84DE-4DE8-97F8-958210E19DD8}"/>
    <cellStyle name="Normal 17 3 6 2 2 3 2" xfId="27238" xr:uid="{A01FDE70-9DCB-4B09-8201-2CB691EF18CA}"/>
    <cellStyle name="Normal 17 3 6 2 2 4" xfId="19561" xr:uid="{0EFEFF45-6F9E-4CFF-9F17-C2E6C87B8C15}"/>
    <cellStyle name="Normal 17 3 6 2 3" xfId="6278" xr:uid="{83815D64-7639-4F81-9370-E4AAECB07BC2}"/>
    <cellStyle name="Normal 17 3 6 2 3 2" xfId="13790" xr:uid="{F099604C-34E4-4211-9D88-EDDF43E250C6}"/>
    <cellStyle name="Normal 17 3 6 2 3 2 2" xfId="29994" xr:uid="{7017EF05-1246-4B0B-B44D-B58B3B931698}"/>
    <cellStyle name="Normal 17 3 6 2 3 3" xfId="22482" xr:uid="{854EB0BE-4E85-4319-BCB8-7ED3E21D43F3}"/>
    <cellStyle name="Normal 17 3 6 2 4" xfId="10190" xr:uid="{BDB99775-84F7-4E9F-8F4B-A6F8DF34B16F}"/>
    <cellStyle name="Normal 17 3 6 2 4 2" xfId="26394" xr:uid="{5440243B-54B0-46B3-BA10-A5A8B7EA567E}"/>
    <cellStyle name="Normal 17 3 6 2 5" xfId="18716" xr:uid="{C0A19715-AA81-44E4-AC26-CA5D295CBCF8}"/>
    <cellStyle name="Normal 17 3 6 3" xfId="2916" xr:uid="{D679E402-61C5-4897-A830-86C9D7F10F42}"/>
    <cellStyle name="Normal 17 3 6 3 2" xfId="6700" xr:uid="{A68AE57F-BE17-463A-BAFE-820C74AD1254}"/>
    <cellStyle name="Normal 17 3 6 3 2 2" xfId="14212" xr:uid="{10D40115-A5ED-4AD8-A7DB-803127AA0230}"/>
    <cellStyle name="Normal 17 3 6 3 2 2 2" xfId="30416" xr:uid="{2598FFF1-14B0-469F-BA3A-5C9989ED617B}"/>
    <cellStyle name="Normal 17 3 6 3 2 3" xfId="22904" xr:uid="{4E23BDF0-832B-48B5-8C4B-78ED35E3A445}"/>
    <cellStyle name="Normal 17 3 6 3 3" xfId="10612" xr:uid="{FFB4C37A-A325-446A-B58B-67E054C30397}"/>
    <cellStyle name="Normal 17 3 6 3 3 2" xfId="26816" xr:uid="{C24E96A5-BE02-493C-A036-56858D4BFEF7}"/>
    <cellStyle name="Normal 17 3 6 3 4" xfId="19138" xr:uid="{B9EA6722-7318-4B14-AF94-C8A1DBFAB627}"/>
    <cellStyle name="Normal 17 3 6 4" xfId="3847" xr:uid="{73579B3D-966F-4AEE-83F8-B526DDF6D132}"/>
    <cellStyle name="Normal 17 3 6 4 2" xfId="7557" xr:uid="{D2D2195E-E25C-4C2E-B6AF-B243466B3EFA}"/>
    <cellStyle name="Normal 17 3 6 4 2 2" xfId="15066" xr:uid="{9FD364BF-56EA-400D-AD83-E9DCCC516B95}"/>
    <cellStyle name="Normal 17 3 6 4 2 2 2" xfId="31270" xr:uid="{C4D41E6C-E71A-445B-9B75-F5132312EB3A}"/>
    <cellStyle name="Normal 17 3 6 4 2 3" xfId="23761" xr:uid="{C1C94743-238D-4C28-9925-04333C15952C}"/>
    <cellStyle name="Normal 17 3 6 4 3" xfId="11457" xr:uid="{CD41734A-7AC2-4895-B770-4338FF16662D}"/>
    <cellStyle name="Normal 17 3 6 4 3 2" xfId="27661" xr:uid="{8F747B45-EF76-4690-ACC0-49BF83A1F200}"/>
    <cellStyle name="Normal 17 3 6 4 4" xfId="20056" xr:uid="{9704DB95-0180-4466-A1E8-E116B9362E16}"/>
    <cellStyle name="Normal 17 3 6 5" xfId="4316" xr:uid="{37D8F764-3CCD-40A0-83C0-9D0134564028}"/>
    <cellStyle name="Normal 17 3 6 5 2" xfId="7986" xr:uid="{7DE6DF41-4635-4986-AFED-1068526C0D1B}"/>
    <cellStyle name="Normal 17 3 6 5 2 2" xfId="15493" xr:uid="{35C102C3-688E-4111-A3F8-E901A83752FC}"/>
    <cellStyle name="Normal 17 3 6 5 2 2 2" xfId="31697" xr:uid="{AB8A217F-A562-4E46-A3F9-75C432BB7105}"/>
    <cellStyle name="Normal 17 3 6 5 2 3" xfId="24190" xr:uid="{E31A2456-3317-4BED-8E28-091925284055}"/>
    <cellStyle name="Normal 17 3 6 5 3" xfId="11879" xr:uid="{24A27802-B871-460A-B29A-808D7F2F7874}"/>
    <cellStyle name="Normal 17 3 6 5 3 2" xfId="28083" xr:uid="{A8834213-FE53-4F4A-8CFB-9A913A6B055F}"/>
    <cellStyle name="Normal 17 3 6 5 4" xfId="20520" xr:uid="{4C05BBCE-EBE9-4045-A090-B31922C1B9D1}"/>
    <cellStyle name="Normal 17 3 6 6" xfId="4741" xr:uid="{F8C25CC8-AE34-482B-82DD-6456F2F477EC}"/>
    <cellStyle name="Normal 17 3 6 6 2" xfId="8411" xr:uid="{360B42DF-398E-4910-8D3D-AD8ADEDD59FA}"/>
    <cellStyle name="Normal 17 3 6 6 2 2" xfId="15918" xr:uid="{0AE6CF14-49CB-4C4E-A3B6-A89B46EFD3BB}"/>
    <cellStyle name="Normal 17 3 6 6 2 2 2" xfId="32122" xr:uid="{877574E8-2034-4689-AB6C-1D98E4ED4ADF}"/>
    <cellStyle name="Normal 17 3 6 6 2 3" xfId="24615" xr:uid="{E1653F6F-3921-47F8-BB31-ACA162B61B79}"/>
    <cellStyle name="Normal 17 3 6 6 3" xfId="12304" xr:uid="{7A2CD734-F6F0-4164-9157-D2D68D09FD1D}"/>
    <cellStyle name="Normal 17 3 6 6 3 2" xfId="28508" xr:uid="{0A4FA74F-974D-4F81-AA8B-03706631A5D1}"/>
    <cellStyle name="Normal 17 3 6 6 4" xfId="20945" xr:uid="{EED15485-B5AA-46D8-AC13-7AD101490C4F}"/>
    <cellStyle name="Normal 17 3 6 7" xfId="5169" xr:uid="{34EAF100-5468-4B96-9DE1-0D8092EFE0F1}"/>
    <cellStyle name="Normal 17 3 6 7 2" xfId="8834" xr:uid="{EF61DD9A-C313-46C9-8324-8903FA152698}"/>
    <cellStyle name="Normal 17 3 6 7 2 2" xfId="16341" xr:uid="{741C97C8-0A78-47E5-8E43-9BA3D7B2B459}"/>
    <cellStyle name="Normal 17 3 6 7 2 2 2" xfId="32545" xr:uid="{17C70DD8-5CD1-4C55-9E0B-B0E16564F5E9}"/>
    <cellStyle name="Normal 17 3 6 7 2 3" xfId="25038" xr:uid="{D7E6DA04-0A1E-47F3-AAA0-7A861C34A832}"/>
    <cellStyle name="Normal 17 3 6 7 3" xfId="12726" xr:uid="{D951779E-4C1B-4665-8D3B-2B980AEAFD1A}"/>
    <cellStyle name="Normal 17 3 6 7 3 2" xfId="28930" xr:uid="{420E01FF-5677-4361-A012-91335D081251}"/>
    <cellStyle name="Normal 17 3 6 7 4" xfId="21373" xr:uid="{7275E43A-E182-4E69-8C70-16C360B06EFC}"/>
    <cellStyle name="Normal 17 3 6 8" xfId="5840" xr:uid="{856B9140-5162-4330-9355-C33214C9A012}"/>
    <cellStyle name="Normal 17 3 6 8 2" xfId="13355" xr:uid="{6F2BA4C1-9626-4A07-A235-EB4D80E5CCCB}"/>
    <cellStyle name="Normal 17 3 6 8 2 2" xfId="29559" xr:uid="{FCB1E6D8-12C4-4AD9-98AF-F3AF5FC5F18B}"/>
    <cellStyle name="Normal 17 3 6 8 3" xfId="22044" xr:uid="{553276B8-DD5E-4329-8CFA-04118CCA5C9A}"/>
    <cellStyle name="Normal 17 3 6 9" xfId="9767" xr:uid="{F0601CB9-208D-4B7E-9079-0C5413AD11D1}"/>
    <cellStyle name="Normal 17 3 6 9 2" xfId="25971" xr:uid="{A4841593-1C46-4580-9DAE-33333A81C599}"/>
    <cellStyle name="Normal 17 3 7" xfId="2046" xr:uid="{DFCAF4F7-D3A6-4A21-8CAD-732F595D2B3D}"/>
    <cellStyle name="Normal 17 3 7 2" xfId="2959" xr:uid="{FA5BD50D-CFCF-4D1B-BCFD-C57F749127DF}"/>
    <cellStyle name="Normal 17 3 7 2 2" xfId="6741" xr:uid="{2EBCA947-0FCB-4B52-BF7F-1C430C2F9C88}"/>
    <cellStyle name="Normal 17 3 7 2 2 2" xfId="14252" xr:uid="{0CD1AB05-DE7E-4863-ABC7-18F4BB84719B}"/>
    <cellStyle name="Normal 17 3 7 2 2 2 2" xfId="30456" xr:uid="{1212F158-13D2-46C0-B845-D84FAB46901D}"/>
    <cellStyle name="Normal 17 3 7 2 2 3" xfId="22945" xr:uid="{4F2D1DB0-F5FA-4199-83F6-96D5E48A99D3}"/>
    <cellStyle name="Normal 17 3 7 2 3" xfId="10652" xr:uid="{500CB96F-C1D2-4E7C-BCE5-A8390AD201CD}"/>
    <cellStyle name="Normal 17 3 7 2 3 2" xfId="26856" xr:uid="{4F9A05CC-2EAC-4C03-BDE7-D506EA4ABDA8}"/>
    <cellStyle name="Normal 17 3 7 2 4" xfId="19179" xr:uid="{9B94743A-B695-441B-AF9F-AB0073CBA91C}"/>
    <cellStyle name="Normal 17 3 7 3" xfId="5885" xr:uid="{E82655AA-778B-4A7E-9C28-3DE6301D26A8}"/>
    <cellStyle name="Normal 17 3 7 3 2" xfId="13399" xr:uid="{B02AE1DF-FEC4-4B25-986D-DF1DC6F74AFD}"/>
    <cellStyle name="Normal 17 3 7 3 2 2" xfId="29603" xr:uid="{4CEEA5AE-DA8D-454D-B6C4-D536768718E9}"/>
    <cellStyle name="Normal 17 3 7 3 3" xfId="22089" xr:uid="{2052758A-C158-46E9-8D18-40BADB305089}"/>
    <cellStyle name="Normal 17 3 7 4" xfId="9808" xr:uid="{3559A58C-0DC9-4DA7-AFD0-CA46C3E96102}"/>
    <cellStyle name="Normal 17 3 7 4 2" xfId="26012" xr:uid="{BD7C64F0-5557-4124-95AA-AFB9A2CB88BC}"/>
    <cellStyle name="Normal 17 3 7 5" xfId="18333" xr:uid="{29D68708-88F0-4231-882D-E1ACF23194E2}"/>
    <cellStyle name="Normal 17 3 8" xfId="2534" xr:uid="{0C33580C-37C6-48B0-A7B4-994404717B06}"/>
    <cellStyle name="Normal 17 3 8 2" xfId="6318" xr:uid="{763CC8BE-8746-48FF-8967-42309A0728E9}"/>
    <cellStyle name="Normal 17 3 8 2 2" xfId="13830" xr:uid="{6FFC2651-DFE0-4E69-9924-78F74ABAFDBE}"/>
    <cellStyle name="Normal 17 3 8 2 2 2" xfId="30034" xr:uid="{67F04852-3C4F-474F-9BC4-177400DC1656}"/>
    <cellStyle name="Normal 17 3 8 2 3" xfId="22522" xr:uid="{8A9691D6-0932-4A7B-94E5-9AD7C10C4D7B}"/>
    <cellStyle name="Normal 17 3 8 3" xfId="10230" xr:uid="{4C19A2CE-1FDC-49FA-9200-F770CD998488}"/>
    <cellStyle name="Normal 17 3 8 3 2" xfId="26434" xr:uid="{2D2A15E2-B182-411D-A57C-B51AB8195BF9}"/>
    <cellStyle name="Normal 17 3 8 4" xfId="18756" xr:uid="{739FCC5B-C6E3-49D6-9042-B703E06A8EC1}"/>
    <cellStyle name="Normal 17 3 9" xfId="3406" xr:uid="{90785B98-4345-459E-AF98-7D3C0B1ACAC5}"/>
    <cellStyle name="Normal 17 3 9 2" xfId="7168" xr:uid="{083A0B16-33CC-4ADA-B077-2643EBB9866C}"/>
    <cellStyle name="Normal 17 3 9 2 2" xfId="14678" xr:uid="{C90CD27C-6530-4DE2-9ACD-E262B3D548F5}"/>
    <cellStyle name="Normal 17 3 9 2 2 2" xfId="30882" xr:uid="{6D93E86F-45EA-486D-96BF-94E71708F227}"/>
    <cellStyle name="Normal 17 3 9 2 3" xfId="23372" xr:uid="{4BB0FC96-9B25-4A2F-B197-FD6907E37850}"/>
    <cellStyle name="Normal 17 3 9 3" xfId="11075" xr:uid="{16BBAD78-8B6E-4F2F-972D-F0BE0A25EE58}"/>
    <cellStyle name="Normal 17 3 9 3 2" xfId="27279" xr:uid="{90958722-A4C4-4F9B-8DB7-B02DEC91448F}"/>
    <cellStyle name="Normal 17 3 9 4" xfId="19622" xr:uid="{EEE176C5-2700-4F64-9C83-DEA91B406805}"/>
    <cellStyle name="Normal 17 30" xfId="5242" xr:uid="{1FFB730F-1E2D-4E2A-A02D-3143A6CC78FE}"/>
    <cellStyle name="Normal 17 30 2" xfId="12793" xr:uid="{7A7AA300-F60E-48AE-8DAC-BF30A338D4C1}"/>
    <cellStyle name="Normal 17 30 2 2" xfId="28997" xr:uid="{0A344634-202F-44B9-875A-258089355DC6}"/>
    <cellStyle name="Normal 17 30 3" xfId="21446" xr:uid="{C2C1EC4B-753C-4781-B56C-F853B1653CFB}"/>
    <cellStyle name="Normal 17 31" xfId="9382" xr:uid="{9F189457-F7A3-4FC2-BAA3-29258E2F92DB}"/>
    <cellStyle name="Normal 17 31 2" xfId="25586" xr:uid="{2DF3A841-0CC4-4716-95EA-E63BAB17D4AE}"/>
    <cellStyle name="Normal 17 32" xfId="17895" xr:uid="{5DA7B2D7-9E34-4A82-8CA0-1721EDDA7020}"/>
    <cellStyle name="Normal 17 4" xfId="438" xr:uid="{C6E95D7A-C126-4D61-ADA0-B165AD5048AC}"/>
    <cellStyle name="Normal 17 4 10" xfId="4360" xr:uid="{8C247925-1931-4C0E-9ADA-F61F203E19A8}"/>
    <cellStyle name="Normal 17 4 10 2" xfId="8030" xr:uid="{4C82F887-0153-43FF-B126-5EDF8B962602}"/>
    <cellStyle name="Normal 17 4 10 2 2" xfId="15537" xr:uid="{1D0BC671-C8A1-4133-A6F8-7AE7945C13A1}"/>
    <cellStyle name="Normal 17 4 10 2 2 2" xfId="31741" xr:uid="{9D88EE42-19FF-4BDB-9257-F0EE8348B70A}"/>
    <cellStyle name="Normal 17 4 10 2 3" xfId="24234" xr:uid="{0C585D5F-2339-4FAE-8620-C173A9F5ABDE}"/>
    <cellStyle name="Normal 17 4 10 3" xfId="11923" xr:uid="{FDA86AF9-7ACB-4D64-BDE1-7E2852B5B8D6}"/>
    <cellStyle name="Normal 17 4 10 3 2" xfId="28127" xr:uid="{0C5D9A82-E645-48DC-923C-9B8F481188F3}"/>
    <cellStyle name="Normal 17 4 10 4" xfId="20564" xr:uid="{EEF014F5-951C-43FB-B1EC-57EB35D9BC1F}"/>
    <cellStyle name="Normal 17 4 11" xfId="4783" xr:uid="{85208916-46FF-488C-B308-CE5CAB51914D}"/>
    <cellStyle name="Normal 17 4 11 2" xfId="8452" xr:uid="{A7EEAAF8-EC02-4E40-9B72-446546B39D7E}"/>
    <cellStyle name="Normal 17 4 11 2 2" xfId="15959" xr:uid="{9540A943-EBB0-4179-9D2A-60B2BA84A28D}"/>
    <cellStyle name="Normal 17 4 11 2 2 2" xfId="32163" xr:uid="{BA1B293E-D2A5-45AC-9AA2-3216965DBE37}"/>
    <cellStyle name="Normal 17 4 11 2 3" xfId="24656" xr:uid="{A581D12B-22D4-458E-9F94-E9D005FC155D}"/>
    <cellStyle name="Normal 17 4 11 3" xfId="12345" xr:uid="{7D4FD897-ACBD-48E2-8ED6-EC428EED8C89}"/>
    <cellStyle name="Normal 17 4 11 3 2" xfId="28549" xr:uid="{144DEFA2-3234-4828-9C79-85211C43BC48}"/>
    <cellStyle name="Normal 17 4 11 4" xfId="20987" xr:uid="{D80C33E5-DCA2-4CEE-9E06-677117998210}"/>
    <cellStyle name="Normal 17 4 12" xfId="5268" xr:uid="{0A16CC6B-8C82-4A93-BBD3-981BA1AC2826}"/>
    <cellStyle name="Normal 17 4 12 2" xfId="12817" xr:uid="{EEB455E2-E0CD-4403-B6C2-388FE6EBFF4C}"/>
    <cellStyle name="Normal 17 4 12 2 2" xfId="29021" xr:uid="{7117546B-F83A-4FE5-9576-E2D1D08CFF24}"/>
    <cellStyle name="Normal 17 4 12 3" xfId="21472" xr:uid="{13C1A951-ED3E-4634-85C1-321F2DAE484F}"/>
    <cellStyle name="Normal 17 4 13" xfId="9386" xr:uid="{F3666D90-64B3-4CB4-B8CC-86AB28F0BDA9}"/>
    <cellStyle name="Normal 17 4 13 2" xfId="25590" xr:uid="{52450F9F-4919-4881-8781-CD8593CEDEFA}"/>
    <cellStyle name="Normal 17 4 14" xfId="17900" xr:uid="{F538DF22-13EA-41F8-999C-7BE32ACC0E5D}"/>
    <cellStyle name="Normal 17 4 2" xfId="496" xr:uid="{10B27747-834E-4553-879B-5EC5131775F2}"/>
    <cellStyle name="Normal 17 4 2 10" xfId="5293" xr:uid="{0339013F-4DD2-4BAC-99E2-089BBC414618}"/>
    <cellStyle name="Normal 17 4 2 10 2" xfId="12842" xr:uid="{5C64DB13-6657-45D7-8D42-04B0761F1693}"/>
    <cellStyle name="Normal 17 4 2 10 2 2" xfId="29046" xr:uid="{FB6710D5-05D7-4E51-906A-5E71138F3984}"/>
    <cellStyle name="Normal 17 4 2 10 3" xfId="21497" xr:uid="{6ABF5A65-4417-47CA-ACCD-D5CC6D2321AA}"/>
    <cellStyle name="Normal 17 4 2 11" xfId="9408" xr:uid="{8B6AD43E-39FB-4A2F-97CF-0D0137E4FC23}"/>
    <cellStyle name="Normal 17 4 2 11 2" xfId="25612" xr:uid="{63AA8E96-2152-48E4-A112-D3C80DC97CAC}"/>
    <cellStyle name="Normal 17 4 2 12" xfId="17923" xr:uid="{CA84258E-5F71-4098-863C-96A33780267A}"/>
    <cellStyle name="Normal 17 4 2 2" xfId="567" xr:uid="{1B45F9DF-33EC-4CE0-8747-14948D0676D5}"/>
    <cellStyle name="Normal 17 4 2 2 10" xfId="9475" xr:uid="{71E64A49-B78F-4E56-B885-EFEE3F65E0CE}"/>
    <cellStyle name="Normal 17 4 2 2 10 2" xfId="25679" xr:uid="{5E5AE7AB-3FF9-4705-81F6-054A2BB33193}"/>
    <cellStyle name="Normal 17 4 2 2 11" xfId="17991" xr:uid="{22B6CC6B-B0FC-4714-8238-172867C4EA28}"/>
    <cellStyle name="Normal 17 4 2 2 2" xfId="1989" xr:uid="{074B210B-8D66-492A-9580-D2DAF3BA0BA9}"/>
    <cellStyle name="Normal 17 4 2 2 2 10" xfId="18292" xr:uid="{C5407E68-B714-4D6A-97C2-D097B6231AB1}"/>
    <cellStyle name="Normal 17 4 2 2 2 2" xfId="2495" xr:uid="{5E4BF549-17AB-4201-8AF6-483260B109C1}"/>
    <cellStyle name="Normal 17 4 2 2 2 2 2" xfId="3342" xr:uid="{8C503336-C15A-4EFC-9A9A-B801FCD4FAB2}"/>
    <cellStyle name="Normal 17 4 2 2 2 2 2 2" xfId="7124" xr:uid="{AD1EE01C-2BEF-40CA-82D8-F1B1C27755C7}"/>
    <cellStyle name="Normal 17 4 2 2 2 2 2 2 2" xfId="14635" xr:uid="{B78EB0CF-2693-4987-855D-8B3A2380DDE6}"/>
    <cellStyle name="Normal 17 4 2 2 2 2 2 2 2 2" xfId="30839" xr:uid="{1022A090-A68C-45FF-82E1-AC121A8EF329}"/>
    <cellStyle name="Normal 17 4 2 2 2 2 2 2 3" xfId="23328" xr:uid="{3F163B2E-038A-4108-A75E-0B31F7088B12}"/>
    <cellStyle name="Normal 17 4 2 2 2 2 2 3" xfId="11035" xr:uid="{3B8BB039-BAC2-4217-9738-902850258FF7}"/>
    <cellStyle name="Normal 17 4 2 2 2 2 2 3 2" xfId="27239" xr:uid="{1E8DA78F-EFC6-4585-8B63-3B85CFBC1F7A}"/>
    <cellStyle name="Normal 17 4 2 2 2 2 2 4" xfId="19562" xr:uid="{2439B642-62D9-4B8D-ABF6-35B602A7C426}"/>
    <cellStyle name="Normal 17 4 2 2 2 2 3" xfId="6279" xr:uid="{AB751B3C-0B01-4E46-A458-C986DA854E73}"/>
    <cellStyle name="Normal 17 4 2 2 2 2 3 2" xfId="13791" xr:uid="{329F6F17-9A98-4C4A-9868-A63EAA04AD31}"/>
    <cellStyle name="Normal 17 4 2 2 2 2 3 2 2" xfId="29995" xr:uid="{E2D6D8E3-6DCA-46D4-ACDD-9667D245C940}"/>
    <cellStyle name="Normal 17 4 2 2 2 2 3 3" xfId="22483" xr:uid="{2EEBA5B0-9677-40F0-970A-C5D4EF4E785C}"/>
    <cellStyle name="Normal 17 4 2 2 2 2 4" xfId="10191" xr:uid="{EB4E4CEE-18E4-4494-ADDA-04F748431568}"/>
    <cellStyle name="Normal 17 4 2 2 2 2 4 2" xfId="26395" xr:uid="{0CD83004-654D-4DE2-8C1A-32FA62F46DE0}"/>
    <cellStyle name="Normal 17 4 2 2 2 2 5" xfId="18717" xr:uid="{20F23C3B-2890-4AEB-85B3-C8875AEA6EFD}"/>
    <cellStyle name="Normal 17 4 2 2 2 3" xfId="2917" xr:uid="{71B6395D-4CB4-4D52-948C-AD89CFEE1126}"/>
    <cellStyle name="Normal 17 4 2 2 2 3 2" xfId="6701" xr:uid="{317C214D-9DF1-4A3B-A836-2619BF018431}"/>
    <cellStyle name="Normal 17 4 2 2 2 3 2 2" xfId="14213" xr:uid="{54C364FC-AA1A-43FF-BAF6-3C82226E113C}"/>
    <cellStyle name="Normal 17 4 2 2 2 3 2 2 2" xfId="30417" xr:uid="{D24870A7-5F30-4640-A094-A6BF658B0A5B}"/>
    <cellStyle name="Normal 17 4 2 2 2 3 2 3" xfId="22905" xr:uid="{9E45FE72-4175-405D-8A68-1BBD098FEF4C}"/>
    <cellStyle name="Normal 17 4 2 2 2 3 3" xfId="10613" xr:uid="{51416AD8-AD9D-482C-ABE4-3EC17F218A5A}"/>
    <cellStyle name="Normal 17 4 2 2 2 3 3 2" xfId="26817" xr:uid="{A1069C71-346F-44F4-983F-74278A5590F5}"/>
    <cellStyle name="Normal 17 4 2 2 2 3 4" xfId="19139" xr:uid="{9B7001F0-3EB0-4C23-A9AA-5F294296A739}"/>
    <cellStyle name="Normal 17 4 2 2 2 4" xfId="3848" xr:uid="{34C713F4-A319-4A2C-AEB5-9F777747FAEB}"/>
    <cellStyle name="Normal 17 4 2 2 2 4 2" xfId="7558" xr:uid="{8AA92890-3D4D-49BA-894A-63F1831D3869}"/>
    <cellStyle name="Normal 17 4 2 2 2 4 2 2" xfId="15067" xr:uid="{F9E7EF4E-A4B2-4C9F-B478-4C3980C7FAF7}"/>
    <cellStyle name="Normal 17 4 2 2 2 4 2 2 2" xfId="31271" xr:uid="{697BD3FB-FF94-4C16-89A0-BBA5A70B9A89}"/>
    <cellStyle name="Normal 17 4 2 2 2 4 2 3" xfId="23762" xr:uid="{A9A6AC20-82D6-494C-AA50-35421DE2920E}"/>
    <cellStyle name="Normal 17 4 2 2 2 4 3" xfId="11458" xr:uid="{53FA9107-D65F-4193-A41E-5537A3C277E3}"/>
    <cellStyle name="Normal 17 4 2 2 2 4 3 2" xfId="27662" xr:uid="{F9924585-FC55-498C-9D47-87C443F0C29D}"/>
    <cellStyle name="Normal 17 4 2 2 2 4 4" xfId="20057" xr:uid="{0D6FA269-231A-4349-97BF-A6771F908779}"/>
    <cellStyle name="Normal 17 4 2 2 2 5" xfId="4317" xr:uid="{7F5C8E61-C78F-4E4F-8755-B211AE904CF3}"/>
    <cellStyle name="Normal 17 4 2 2 2 5 2" xfId="7987" xr:uid="{9189D8E6-9D1E-4CDE-87C4-EF137510EA3C}"/>
    <cellStyle name="Normal 17 4 2 2 2 5 2 2" xfId="15494" xr:uid="{0AC7092F-76A9-4369-BD98-0DD1BB2E9817}"/>
    <cellStyle name="Normal 17 4 2 2 2 5 2 2 2" xfId="31698" xr:uid="{95E64FE4-39B4-48AE-8CEA-FCBDE6BD5756}"/>
    <cellStyle name="Normal 17 4 2 2 2 5 2 3" xfId="24191" xr:uid="{240F3D26-E057-4FA9-BE88-AD12DFDD4D03}"/>
    <cellStyle name="Normal 17 4 2 2 2 5 3" xfId="11880" xr:uid="{D7563521-05DD-4E5A-8889-560F84831B58}"/>
    <cellStyle name="Normal 17 4 2 2 2 5 3 2" xfId="28084" xr:uid="{B7E0E0CE-1277-4CE4-BE88-5376E5AFEBA6}"/>
    <cellStyle name="Normal 17 4 2 2 2 5 4" xfId="20521" xr:uid="{87B6B4F4-D305-4179-878F-762B229A9BCD}"/>
    <cellStyle name="Normal 17 4 2 2 2 6" xfId="4742" xr:uid="{1DBD3366-9396-45BA-8BBF-F46598C7EEC3}"/>
    <cellStyle name="Normal 17 4 2 2 2 6 2" xfId="8412" xr:uid="{6E9DFC09-93CB-4084-A462-58CC23AB723D}"/>
    <cellStyle name="Normal 17 4 2 2 2 6 2 2" xfId="15919" xr:uid="{76A04442-BC7B-4EFC-8C7F-3871BE20B50E}"/>
    <cellStyle name="Normal 17 4 2 2 2 6 2 2 2" xfId="32123" xr:uid="{29986881-690F-4324-952C-5A8D5BCE0FBD}"/>
    <cellStyle name="Normal 17 4 2 2 2 6 2 3" xfId="24616" xr:uid="{70998DC1-F35B-4A93-87CB-341219E5C4BB}"/>
    <cellStyle name="Normal 17 4 2 2 2 6 3" xfId="12305" xr:uid="{620CFB4D-B0AF-43EA-87BB-F50224BC9B3F}"/>
    <cellStyle name="Normal 17 4 2 2 2 6 3 2" xfId="28509" xr:uid="{00B66539-67FB-4D75-AA7D-3B8E3315D4E1}"/>
    <cellStyle name="Normal 17 4 2 2 2 6 4" xfId="20946" xr:uid="{8C3E12BD-05A0-4DA3-9934-15C784486638}"/>
    <cellStyle name="Normal 17 4 2 2 2 7" xfId="5170" xr:uid="{8D4D22BF-6300-4332-B9A7-CA5571403999}"/>
    <cellStyle name="Normal 17 4 2 2 2 7 2" xfId="8835" xr:uid="{34EC4F0E-4BCE-4AEC-9B58-C506819FFD57}"/>
    <cellStyle name="Normal 17 4 2 2 2 7 2 2" xfId="16342" xr:uid="{3AAB7620-268D-4D69-9138-AE556AEC5121}"/>
    <cellStyle name="Normal 17 4 2 2 2 7 2 2 2" xfId="32546" xr:uid="{3DFD5F20-52F0-455A-B93D-85C66F4EDE8C}"/>
    <cellStyle name="Normal 17 4 2 2 2 7 2 3" xfId="25039" xr:uid="{2C0D0FF8-7BFB-426A-AB2C-8FA6776A136B}"/>
    <cellStyle name="Normal 17 4 2 2 2 7 3" xfId="12727" xr:uid="{98925A4B-872F-4CEB-95E2-5AA6FA4BF289}"/>
    <cellStyle name="Normal 17 4 2 2 2 7 3 2" xfId="28931" xr:uid="{06D3B723-7773-4990-8C52-552A2D5A357A}"/>
    <cellStyle name="Normal 17 4 2 2 2 7 4" xfId="21374" xr:uid="{9348E317-F748-4040-B603-A73B6119A7A3}"/>
    <cellStyle name="Normal 17 4 2 2 2 8" xfId="5841" xr:uid="{5C5390E7-3D93-4820-BAEA-328B4C5E7AFB}"/>
    <cellStyle name="Normal 17 4 2 2 2 8 2" xfId="13356" xr:uid="{381C78DC-FCE2-4268-ABA2-B6F75FC528E8}"/>
    <cellStyle name="Normal 17 4 2 2 2 8 2 2" xfId="29560" xr:uid="{4BCA50F0-5000-4C19-B60B-48F61D0F817A}"/>
    <cellStyle name="Normal 17 4 2 2 2 8 3" xfId="22045" xr:uid="{0814706C-0919-42C6-968C-972C9CD138E8}"/>
    <cellStyle name="Normal 17 4 2 2 2 9" xfId="9768" xr:uid="{38C720F2-166D-4EFB-B83C-9DE05EA434D9}"/>
    <cellStyle name="Normal 17 4 2 2 2 9 2" xfId="25972" xr:uid="{E0EE4A91-F332-40AB-BE5A-A7CCE7564109}"/>
    <cellStyle name="Normal 17 4 2 2 3" xfId="2136" xr:uid="{8434F7BC-73B4-410A-94C6-137B6FEF7949}"/>
    <cellStyle name="Normal 17 4 2 2 3 2" xfId="3049" xr:uid="{F01E4D89-A2BA-4C32-B4D0-F418620C50F4}"/>
    <cellStyle name="Normal 17 4 2 2 3 2 2" xfId="6831" xr:uid="{F342F30D-ECEC-42FE-932D-9715E95AD348}"/>
    <cellStyle name="Normal 17 4 2 2 3 2 2 2" xfId="14342" xr:uid="{B70B3DCC-69FF-4CE8-BCA6-6C99DFAE9A97}"/>
    <cellStyle name="Normal 17 4 2 2 3 2 2 2 2" xfId="30546" xr:uid="{9B08B21D-40F7-453A-A143-B118926185BE}"/>
    <cellStyle name="Normal 17 4 2 2 3 2 2 3" xfId="23035" xr:uid="{D6675759-10EC-470B-A71E-3986F01F14DB}"/>
    <cellStyle name="Normal 17 4 2 2 3 2 3" xfId="10742" xr:uid="{70700A05-40D6-449C-A7C3-2829F3319EFE}"/>
    <cellStyle name="Normal 17 4 2 2 3 2 3 2" xfId="26946" xr:uid="{9FFCB876-D8C3-49BD-BF45-4D8A966A0496}"/>
    <cellStyle name="Normal 17 4 2 2 3 2 4" xfId="19269" xr:uid="{234E6274-5BF2-49F7-A00A-CC99B57F8BD7}"/>
    <cellStyle name="Normal 17 4 2 2 3 3" xfId="5975" xr:uid="{F58E36DE-047A-4783-AB34-156F390732AA}"/>
    <cellStyle name="Normal 17 4 2 2 3 3 2" xfId="13489" xr:uid="{7782BD41-0BFB-4374-803D-43F85E203101}"/>
    <cellStyle name="Normal 17 4 2 2 3 3 2 2" xfId="29693" xr:uid="{9C480799-11F6-465F-ADE9-EBB0D28A856F}"/>
    <cellStyle name="Normal 17 4 2 2 3 3 3" xfId="22179" xr:uid="{FBD37941-A15F-4991-9E4E-E40CE4FD411C}"/>
    <cellStyle name="Normal 17 4 2 2 3 4" xfId="9898" xr:uid="{54B07881-3DF9-472D-BE62-B061A4AD2AFF}"/>
    <cellStyle name="Normal 17 4 2 2 3 4 2" xfId="26102" xr:uid="{5B1F17AE-451A-4FE0-98B3-03FC01119792}"/>
    <cellStyle name="Normal 17 4 2 2 3 5" xfId="18423" xr:uid="{CB8192A5-70BF-45D2-8072-16FC66D34719}"/>
    <cellStyle name="Normal 17 4 2 2 4" xfId="2624" xr:uid="{5B56E65B-4B81-4B42-9F02-EEA3837DFE97}"/>
    <cellStyle name="Normal 17 4 2 2 4 2" xfId="6408" xr:uid="{F6C9E275-FC07-41FC-94A4-48FAA1B9E0E5}"/>
    <cellStyle name="Normal 17 4 2 2 4 2 2" xfId="13920" xr:uid="{41E86753-AE05-4421-9350-B67D1CA6839D}"/>
    <cellStyle name="Normal 17 4 2 2 4 2 2 2" xfId="30124" xr:uid="{33C0D50E-3AE6-4309-978B-47605778688B}"/>
    <cellStyle name="Normal 17 4 2 2 4 2 3" xfId="22612" xr:uid="{7699C9CB-4CDF-47A8-BB9A-E7C2D8ADED63}"/>
    <cellStyle name="Normal 17 4 2 2 4 3" xfId="10320" xr:uid="{20BC1536-69AB-401C-B916-CB7558AFC5F7}"/>
    <cellStyle name="Normal 17 4 2 2 4 3 2" xfId="26524" xr:uid="{23A4D756-56CA-47C5-A9F8-4AE8451D05FA}"/>
    <cellStyle name="Normal 17 4 2 2 4 4" xfId="18846" xr:uid="{1BCDAFFB-BFC0-42BF-9228-4BFFF86FB57F}"/>
    <cellStyle name="Normal 17 4 2 2 5" xfId="3500" xr:uid="{E5BFC57D-CB26-4657-A248-D5409A6309CB}"/>
    <cellStyle name="Normal 17 4 2 2 5 2" xfId="7258" xr:uid="{FFAB67D3-A2EE-423C-9197-8812F4EEED05}"/>
    <cellStyle name="Normal 17 4 2 2 5 2 2" xfId="14768" xr:uid="{D11FAFD9-4F64-4480-B778-9DDFF69D69B9}"/>
    <cellStyle name="Normal 17 4 2 2 5 2 2 2" xfId="30972" xr:uid="{A2F88F6D-B7CD-4A9E-A7CC-A7B0602AD09E}"/>
    <cellStyle name="Normal 17 4 2 2 5 2 3" xfId="23462" xr:uid="{0A54D2BB-7864-40BE-8834-AF65CFF0823C}"/>
    <cellStyle name="Normal 17 4 2 2 5 3" xfId="11165" xr:uid="{E9644FFE-50D8-4412-AE8C-DFB73249415F}"/>
    <cellStyle name="Normal 17 4 2 2 5 3 2" xfId="27369" xr:uid="{3D89195C-22BD-4029-BCD3-4BD31AA3FC3B}"/>
    <cellStyle name="Normal 17 4 2 2 5 4" xfId="19716" xr:uid="{41751FBA-9C92-45B8-AE4C-8CA9762B45EE}"/>
    <cellStyle name="Normal 17 4 2 2 6" xfId="4024" xr:uid="{690492E8-0BD0-424B-8CAD-D0C99118FA9C}"/>
    <cellStyle name="Normal 17 4 2 2 6 2" xfId="7694" xr:uid="{7ECC47A0-6C51-40D1-BE32-E38D15456239}"/>
    <cellStyle name="Normal 17 4 2 2 6 2 2" xfId="15201" xr:uid="{07AE9B0D-CDFD-44F0-B101-6F6BBF4F76F2}"/>
    <cellStyle name="Normal 17 4 2 2 6 2 2 2" xfId="31405" xr:uid="{E13D81F8-D780-450F-904D-85A4B11BD98B}"/>
    <cellStyle name="Normal 17 4 2 2 6 2 3" xfId="23898" xr:uid="{59B9D113-5D3E-43D7-8F03-F5FDF856CF08}"/>
    <cellStyle name="Normal 17 4 2 2 6 3" xfId="11587" xr:uid="{B641F473-7CBB-4C04-BCEE-C79FE31FC839}"/>
    <cellStyle name="Normal 17 4 2 2 6 3 2" xfId="27791" xr:uid="{AA3AD32D-55CA-4D16-90AB-D785F2F9A341}"/>
    <cellStyle name="Normal 17 4 2 2 6 4" xfId="20228" xr:uid="{31859755-EC62-461B-B818-D09D3EA31032}"/>
    <cellStyle name="Normal 17 4 2 2 7" xfId="4449" xr:uid="{C41E6BA2-8FD6-4C98-8346-CE8CBF558DD6}"/>
    <cellStyle name="Normal 17 4 2 2 7 2" xfId="8119" xr:uid="{BF327866-A094-4370-9814-DBB5FE58693C}"/>
    <cellStyle name="Normal 17 4 2 2 7 2 2" xfId="15626" xr:uid="{2EC58E7C-5B65-4F65-BE43-115B6880A57B}"/>
    <cellStyle name="Normal 17 4 2 2 7 2 2 2" xfId="31830" xr:uid="{137D43B4-40A7-415C-8ACC-6E0DE18C7479}"/>
    <cellStyle name="Normal 17 4 2 2 7 2 3" xfId="24323" xr:uid="{E4186CC0-7CD5-4D76-8467-B9A962062577}"/>
    <cellStyle name="Normal 17 4 2 2 7 3" xfId="12012" xr:uid="{AD8EB1DC-FD90-4589-BB5E-5240A7C6D04A}"/>
    <cellStyle name="Normal 17 4 2 2 7 3 2" xfId="28216" xr:uid="{408670D3-8331-4748-8888-8C4DD539564F}"/>
    <cellStyle name="Normal 17 4 2 2 7 4" xfId="20653" xr:uid="{58027D09-E75E-483B-A17F-B736B5FAD061}"/>
    <cellStyle name="Normal 17 4 2 2 8" xfId="4874" xr:uid="{F95B2A3E-98B5-425C-8A08-9F749F5565D4}"/>
    <cellStyle name="Normal 17 4 2 2 8 2" xfId="8542" xr:uid="{1C81C31A-5034-43B6-9A76-043CB434E932}"/>
    <cellStyle name="Normal 17 4 2 2 8 2 2" xfId="16049" xr:uid="{E8CEE5DB-CC7F-4223-B2EA-6FBFB16378CF}"/>
    <cellStyle name="Normal 17 4 2 2 8 2 2 2" xfId="32253" xr:uid="{6C4A451F-2DE8-49EC-855A-3378598CB304}"/>
    <cellStyle name="Normal 17 4 2 2 8 2 3" xfId="24746" xr:uid="{13FE4587-A7A5-4150-9987-FA1F676BE28D}"/>
    <cellStyle name="Normal 17 4 2 2 8 3" xfId="12434" xr:uid="{B57B9D67-07D2-4B98-BBF4-0741CB78EC30}"/>
    <cellStyle name="Normal 17 4 2 2 8 3 2" xfId="28638" xr:uid="{E2474D05-5BC5-4F96-8D11-415A6DFFB89F}"/>
    <cellStyle name="Normal 17 4 2 2 8 4" xfId="21078" xr:uid="{4FBF22C8-9A8E-4990-8080-89AE2B685AEB}"/>
    <cellStyle name="Normal 17 4 2 2 9" xfId="5360" xr:uid="{5C1F7BBC-4DD7-49CB-9D01-EC5BF307F4F5}"/>
    <cellStyle name="Normal 17 4 2 2 9 2" xfId="12909" xr:uid="{DA5625BE-EC7F-44B7-BCEC-D7674744855F}"/>
    <cellStyle name="Normal 17 4 2 2 9 2 2" xfId="29113" xr:uid="{F3EC0757-0647-433B-8E99-42E2281ECA91}"/>
    <cellStyle name="Normal 17 4 2 2 9 3" xfId="21564" xr:uid="{39A34B2E-C711-43A4-9790-870E4571BD8F}"/>
    <cellStyle name="Normal 17 4 2 3" xfId="1990" xr:uid="{9D44A4C5-FFBF-42E0-918A-CF12B042A5CB}"/>
    <cellStyle name="Normal 17 4 2 3 10" xfId="18293" xr:uid="{117DBFBC-D2BD-4A91-98EE-5E51B9E5F24D}"/>
    <cellStyle name="Normal 17 4 2 3 2" xfId="2496" xr:uid="{EC8683EF-ACE0-4ABA-AB5F-E1AE84E572B0}"/>
    <cellStyle name="Normal 17 4 2 3 2 2" xfId="3343" xr:uid="{6B7B9899-EF6B-4B9B-B98A-FDAAB3C6B126}"/>
    <cellStyle name="Normal 17 4 2 3 2 2 2" xfId="7125" xr:uid="{17BAFAC9-CC09-411F-A1EA-AEF47365EB73}"/>
    <cellStyle name="Normal 17 4 2 3 2 2 2 2" xfId="14636" xr:uid="{B7C2E8CD-AEAA-4933-9F12-3E1E17FC8CE6}"/>
    <cellStyle name="Normal 17 4 2 3 2 2 2 2 2" xfId="30840" xr:uid="{E9312CF0-2151-4982-972E-7F195C96B88C}"/>
    <cellStyle name="Normal 17 4 2 3 2 2 2 3" xfId="23329" xr:uid="{63DE4073-C3CC-43F1-88F1-ADE2CCC96D9C}"/>
    <cellStyle name="Normal 17 4 2 3 2 2 3" xfId="11036" xr:uid="{980A9795-1A30-406E-8325-616BB592242A}"/>
    <cellStyle name="Normal 17 4 2 3 2 2 3 2" xfId="27240" xr:uid="{93A798DD-C1CE-4AA2-8DBB-9ED30D7BF389}"/>
    <cellStyle name="Normal 17 4 2 3 2 2 4" xfId="19563" xr:uid="{DA08BC33-9664-4A41-8C58-5B88C8EC028F}"/>
    <cellStyle name="Normal 17 4 2 3 2 3" xfId="6280" xr:uid="{6DDA72BE-0F53-4AE4-9E9C-99A9B31088EA}"/>
    <cellStyle name="Normal 17 4 2 3 2 3 2" xfId="13792" xr:uid="{D7B30CBD-E766-4EE3-92E0-06A6A1B9AD12}"/>
    <cellStyle name="Normal 17 4 2 3 2 3 2 2" xfId="29996" xr:uid="{6F523694-0630-471F-B878-967326FD2A41}"/>
    <cellStyle name="Normal 17 4 2 3 2 3 3" xfId="22484" xr:uid="{4FD6CDDA-E7D8-4952-A946-49BC7C0984C2}"/>
    <cellStyle name="Normal 17 4 2 3 2 4" xfId="10192" xr:uid="{4992E3CA-29D0-44A2-A9E1-FADA459B197F}"/>
    <cellStyle name="Normal 17 4 2 3 2 4 2" xfId="26396" xr:uid="{7D364156-0CEC-4DA0-99D5-52AF26939E88}"/>
    <cellStyle name="Normal 17 4 2 3 2 5" xfId="18718" xr:uid="{C1975CE9-657F-4BFE-8A18-AA617AB498EC}"/>
    <cellStyle name="Normal 17 4 2 3 3" xfId="2918" xr:uid="{20FCDA97-5414-4061-A0C0-C35B4591E9BC}"/>
    <cellStyle name="Normal 17 4 2 3 3 2" xfId="6702" xr:uid="{5FAA064A-78F6-4350-9F41-74C284AC8713}"/>
    <cellStyle name="Normal 17 4 2 3 3 2 2" xfId="14214" xr:uid="{AD09805D-A6B2-4509-8967-DDB4A78D47F7}"/>
    <cellStyle name="Normal 17 4 2 3 3 2 2 2" xfId="30418" xr:uid="{37279501-A70D-49FA-8FE7-C6311E7C18B0}"/>
    <cellStyle name="Normal 17 4 2 3 3 2 3" xfId="22906" xr:uid="{201F81C6-2367-4E2A-BEB5-16174A784837}"/>
    <cellStyle name="Normal 17 4 2 3 3 3" xfId="10614" xr:uid="{AB59F6A7-E79C-4DE7-9A81-8B9CE46761C6}"/>
    <cellStyle name="Normal 17 4 2 3 3 3 2" xfId="26818" xr:uid="{61391A80-36B1-45E3-8989-6B27E0918D06}"/>
    <cellStyle name="Normal 17 4 2 3 3 4" xfId="19140" xr:uid="{4B30F64E-4DCA-4745-AFB8-54D47675A64B}"/>
    <cellStyle name="Normal 17 4 2 3 4" xfId="3849" xr:uid="{37FC9E70-D356-4632-BBF3-B0E53EC04E25}"/>
    <cellStyle name="Normal 17 4 2 3 4 2" xfId="7559" xr:uid="{27C361A1-0351-479C-AD2D-797A0C08134B}"/>
    <cellStyle name="Normal 17 4 2 3 4 2 2" xfId="15068" xr:uid="{A4BD3E6D-109C-4125-BF7C-7DB0E2F4D15F}"/>
    <cellStyle name="Normal 17 4 2 3 4 2 2 2" xfId="31272" xr:uid="{2BEC40BE-DE42-44C8-801B-5D93285D266C}"/>
    <cellStyle name="Normal 17 4 2 3 4 2 3" xfId="23763" xr:uid="{E7B234F6-7624-4C50-A83A-4CE7E76AA0CF}"/>
    <cellStyle name="Normal 17 4 2 3 4 3" xfId="11459" xr:uid="{25102684-BE6D-4AF0-9365-89EB742489FC}"/>
    <cellStyle name="Normal 17 4 2 3 4 3 2" xfId="27663" xr:uid="{7A6E1B4F-ABFE-4F4D-8380-32A959AC6584}"/>
    <cellStyle name="Normal 17 4 2 3 4 4" xfId="20058" xr:uid="{EEBC7C1E-D5C2-470E-8BE3-FE607E7EAE25}"/>
    <cellStyle name="Normal 17 4 2 3 5" xfId="4318" xr:uid="{DA76E691-1D66-4B02-8B67-576C9E1AB618}"/>
    <cellStyle name="Normal 17 4 2 3 5 2" xfId="7988" xr:uid="{8AF1C1C3-9AE7-42AC-9FBC-5E70B9918C4B}"/>
    <cellStyle name="Normal 17 4 2 3 5 2 2" xfId="15495" xr:uid="{78AE62D5-BEA3-48B3-81D0-D0F623418F14}"/>
    <cellStyle name="Normal 17 4 2 3 5 2 2 2" xfId="31699" xr:uid="{BC076798-460D-4919-B9E4-7DA5452A7E32}"/>
    <cellStyle name="Normal 17 4 2 3 5 2 3" xfId="24192" xr:uid="{57D127EC-6FD2-4996-A2B1-45D2FD7B7F2E}"/>
    <cellStyle name="Normal 17 4 2 3 5 3" xfId="11881" xr:uid="{F35D1B8B-09D6-44FC-8075-6B22EB9FE250}"/>
    <cellStyle name="Normal 17 4 2 3 5 3 2" xfId="28085" xr:uid="{B69F2B75-134E-4CB1-A33D-7CEFE4C82A35}"/>
    <cellStyle name="Normal 17 4 2 3 5 4" xfId="20522" xr:uid="{2D9B2DB5-3540-45A4-BBDF-F46CB53A8B5D}"/>
    <cellStyle name="Normal 17 4 2 3 6" xfId="4743" xr:uid="{C56E65E6-B0ED-4CE1-BDCB-C2BD7A475CF9}"/>
    <cellStyle name="Normal 17 4 2 3 6 2" xfId="8413" xr:uid="{C78F5F97-A42E-427B-A869-4B73E717FED9}"/>
    <cellStyle name="Normal 17 4 2 3 6 2 2" xfId="15920" xr:uid="{F7D7024F-1492-488A-A883-E5D197164557}"/>
    <cellStyle name="Normal 17 4 2 3 6 2 2 2" xfId="32124" xr:uid="{262F9188-C29A-4260-8992-49AB0BBF203A}"/>
    <cellStyle name="Normal 17 4 2 3 6 2 3" xfId="24617" xr:uid="{8501C912-EE97-4EAE-9FD3-C7B329780079}"/>
    <cellStyle name="Normal 17 4 2 3 6 3" xfId="12306" xr:uid="{B6FE17FA-3A0F-4F70-AAAA-D9CBE3A878FF}"/>
    <cellStyle name="Normal 17 4 2 3 6 3 2" xfId="28510" xr:uid="{09BAC79E-39CD-43F5-8C54-E9625FDFEE40}"/>
    <cellStyle name="Normal 17 4 2 3 6 4" xfId="20947" xr:uid="{73D287FB-0565-4DE7-9455-AF74B07ED24A}"/>
    <cellStyle name="Normal 17 4 2 3 7" xfId="5171" xr:uid="{3D6C2D27-FC48-464D-8640-90E3EFBAAECE}"/>
    <cellStyle name="Normal 17 4 2 3 7 2" xfId="8836" xr:uid="{AEACDCFC-8E2C-40DA-8747-D0AA28FDC0A2}"/>
    <cellStyle name="Normal 17 4 2 3 7 2 2" xfId="16343" xr:uid="{B973E6FB-1E16-431E-A0C0-8601F29231CB}"/>
    <cellStyle name="Normal 17 4 2 3 7 2 2 2" xfId="32547" xr:uid="{221CDA89-3F97-4337-85B0-B88235BEB228}"/>
    <cellStyle name="Normal 17 4 2 3 7 2 3" xfId="25040" xr:uid="{09506CEB-1C98-44ED-8970-86DE38862C2D}"/>
    <cellStyle name="Normal 17 4 2 3 7 3" xfId="12728" xr:uid="{3B07DF2C-2893-48F4-8F63-51CEC4BE635C}"/>
    <cellStyle name="Normal 17 4 2 3 7 3 2" xfId="28932" xr:uid="{4D9D23F7-B302-4AE2-8DF5-B3439A9E787D}"/>
    <cellStyle name="Normal 17 4 2 3 7 4" xfId="21375" xr:uid="{83B06C58-4052-46CE-A558-59C11FE8AE0E}"/>
    <cellStyle name="Normal 17 4 2 3 8" xfId="5842" xr:uid="{4615BDF3-F752-4D05-AE18-1F64B6A2B167}"/>
    <cellStyle name="Normal 17 4 2 3 8 2" xfId="13357" xr:uid="{43AC260E-88DD-4086-8815-E134C48A102D}"/>
    <cellStyle name="Normal 17 4 2 3 8 2 2" xfId="29561" xr:uid="{6D19284F-FDB5-42D3-94AD-DD73B3449DAB}"/>
    <cellStyle name="Normal 17 4 2 3 8 3" xfId="22046" xr:uid="{9473511A-2804-4A74-8E71-8B8281B8C759}"/>
    <cellStyle name="Normal 17 4 2 3 9" xfId="9769" xr:uid="{0B194A1F-2532-4164-8AC7-43A2B73B2CD5}"/>
    <cellStyle name="Normal 17 4 2 3 9 2" xfId="25973" xr:uid="{CA511E51-5912-430A-9F44-0CF92F9666AB}"/>
    <cellStyle name="Normal 17 4 2 4" xfId="2069" xr:uid="{652923E2-569C-4002-AF70-608FA12E72F3}"/>
    <cellStyle name="Normal 17 4 2 4 2" xfId="2982" xr:uid="{9EF5DFD2-7739-4FF6-B298-ACC72D26402F}"/>
    <cellStyle name="Normal 17 4 2 4 2 2" xfId="6764" xr:uid="{D2E77BBD-08D5-455B-ADC4-5C89A8BAB972}"/>
    <cellStyle name="Normal 17 4 2 4 2 2 2" xfId="14275" xr:uid="{119DFF0D-3511-4BBC-89F6-80FB5BD29CE4}"/>
    <cellStyle name="Normal 17 4 2 4 2 2 2 2" xfId="30479" xr:uid="{8CC1E561-46C1-4F34-A560-770D877C7414}"/>
    <cellStyle name="Normal 17 4 2 4 2 2 3" xfId="22968" xr:uid="{9EAAF85F-A71F-43F6-97EF-3029D524FEE6}"/>
    <cellStyle name="Normal 17 4 2 4 2 3" xfId="10675" xr:uid="{FF1B827F-33B0-4FD4-B351-E17BDD58DA60}"/>
    <cellStyle name="Normal 17 4 2 4 2 3 2" xfId="26879" xr:uid="{273C610E-AE4C-4F75-99BD-B964F95C0292}"/>
    <cellStyle name="Normal 17 4 2 4 2 4" xfId="19202" xr:uid="{437EE1D8-259F-471C-B41C-04F6BAD10EEE}"/>
    <cellStyle name="Normal 17 4 2 4 3" xfId="5908" xr:uid="{CDB150DA-6582-4855-8561-F226B1DC769B}"/>
    <cellStyle name="Normal 17 4 2 4 3 2" xfId="13422" xr:uid="{411E7FAC-DA4D-452A-940D-CE7BB6305013}"/>
    <cellStyle name="Normal 17 4 2 4 3 2 2" xfId="29626" xr:uid="{9B6BC190-9CE1-4FB0-99A0-FB96A672936B}"/>
    <cellStyle name="Normal 17 4 2 4 3 3" xfId="22112" xr:uid="{685C3460-EF3D-45FC-8B48-C18E53051F74}"/>
    <cellStyle name="Normal 17 4 2 4 4" xfId="9831" xr:uid="{07CD1092-ED01-428F-AE36-07463BA0C18A}"/>
    <cellStyle name="Normal 17 4 2 4 4 2" xfId="26035" xr:uid="{E643D336-860A-4C2E-A4D2-2055A1B5311D}"/>
    <cellStyle name="Normal 17 4 2 4 5" xfId="18356" xr:uid="{1A80B83F-26F9-452B-8F39-04182604C724}"/>
    <cellStyle name="Normal 17 4 2 5" xfId="2557" xr:uid="{09DCF644-DBC0-46A2-9185-D3CE31D5E14C}"/>
    <cellStyle name="Normal 17 4 2 5 2" xfId="6341" xr:uid="{F8126ABA-827D-4E43-B024-489349EF56CF}"/>
    <cellStyle name="Normal 17 4 2 5 2 2" xfId="13853" xr:uid="{54D76A01-62F3-43C5-A21E-BDE49295C17E}"/>
    <cellStyle name="Normal 17 4 2 5 2 2 2" xfId="30057" xr:uid="{7947F8F1-FBCA-4AE6-AB16-B81508CA0D11}"/>
    <cellStyle name="Normal 17 4 2 5 2 3" xfId="22545" xr:uid="{628473F4-7F28-4C96-982C-70C442916534}"/>
    <cellStyle name="Normal 17 4 2 5 3" xfId="10253" xr:uid="{A30D5EBD-01FB-46B0-88F9-958890AACD16}"/>
    <cellStyle name="Normal 17 4 2 5 3 2" xfId="26457" xr:uid="{B383E931-9CF7-4172-85BF-9634532EADA1}"/>
    <cellStyle name="Normal 17 4 2 5 4" xfId="18779" xr:uid="{E8E33270-CFD1-41EB-8FEF-D4A67C9870EF}"/>
    <cellStyle name="Normal 17 4 2 6" xfId="3433" xr:uid="{D9D6E6AA-F1CB-431D-B8A1-0467709056EB}"/>
    <cellStyle name="Normal 17 4 2 6 2" xfId="7191" xr:uid="{352A6289-6B00-4A27-B746-8B2AC08D89D9}"/>
    <cellStyle name="Normal 17 4 2 6 2 2" xfId="14701" xr:uid="{A975ED4F-6590-4559-A7C6-477A6127B23B}"/>
    <cellStyle name="Normal 17 4 2 6 2 2 2" xfId="30905" xr:uid="{61E0E7BE-0269-4D7B-98FE-BCD8699082E8}"/>
    <cellStyle name="Normal 17 4 2 6 2 3" xfId="23395" xr:uid="{95AE4A23-F65C-40F4-AC9C-B47E3FBA2698}"/>
    <cellStyle name="Normal 17 4 2 6 3" xfId="11098" xr:uid="{39FCCB7F-8D46-44CC-B19E-2BA2A13E9974}"/>
    <cellStyle name="Normal 17 4 2 6 3 2" xfId="27302" xr:uid="{55D54009-AF5D-4608-ABCF-0E8394718DEE}"/>
    <cellStyle name="Normal 17 4 2 6 4" xfId="19649" xr:uid="{D4867CD1-7713-4CD0-A205-69979C4DAAB8}"/>
    <cellStyle name="Normal 17 4 2 7" xfId="3957" xr:uid="{3071AE16-B8E1-4095-8F77-64133643FD59}"/>
    <cellStyle name="Normal 17 4 2 7 2" xfId="7627" xr:uid="{94EE1296-1988-49E7-AC08-052AD358C03F}"/>
    <cellStyle name="Normal 17 4 2 7 2 2" xfId="15134" xr:uid="{65A6B52E-FB9B-4291-876E-9FDA168F3E45}"/>
    <cellStyle name="Normal 17 4 2 7 2 2 2" xfId="31338" xr:uid="{AD89C3F9-3C00-4DE1-9056-C597814D13D3}"/>
    <cellStyle name="Normal 17 4 2 7 2 3" xfId="23831" xr:uid="{A1D9CF65-4DE7-4E2C-B961-049944A00E83}"/>
    <cellStyle name="Normal 17 4 2 7 3" xfId="11520" xr:uid="{0255800F-D902-435B-82F6-171DD78149E4}"/>
    <cellStyle name="Normal 17 4 2 7 3 2" xfId="27724" xr:uid="{323CA88C-DD27-4AB1-B9B5-CDC6E95C4DFD}"/>
    <cellStyle name="Normal 17 4 2 7 4" xfId="20161" xr:uid="{FFE4E95E-A477-4228-ABCB-8F22A95CB8AF}"/>
    <cellStyle name="Normal 17 4 2 8" xfId="4382" xr:uid="{A609C53E-F809-4BE6-AF39-6AE6573AEDAF}"/>
    <cellStyle name="Normal 17 4 2 8 2" xfId="8052" xr:uid="{18A7E1B2-E81D-455D-ACEF-5942B4B97AB1}"/>
    <cellStyle name="Normal 17 4 2 8 2 2" xfId="15559" xr:uid="{9F641BA4-340F-41C8-A2B3-08C3B3856911}"/>
    <cellStyle name="Normal 17 4 2 8 2 2 2" xfId="31763" xr:uid="{47C2B949-907F-4F99-8F18-ABD661AD540A}"/>
    <cellStyle name="Normal 17 4 2 8 2 3" xfId="24256" xr:uid="{39988EB4-C07D-4720-A749-1B0F657523D8}"/>
    <cellStyle name="Normal 17 4 2 8 3" xfId="11945" xr:uid="{494E312D-0C1B-41B0-8627-6133A7D2C9BD}"/>
    <cellStyle name="Normal 17 4 2 8 3 2" xfId="28149" xr:uid="{A639E295-19AB-4F4E-81A1-85013ABEA698}"/>
    <cellStyle name="Normal 17 4 2 8 4" xfId="20586" xr:uid="{BE2AD31E-171B-4E08-82FA-418B9DC98B83}"/>
    <cellStyle name="Normal 17 4 2 9" xfId="4806" xr:uid="{404F5F47-CCBD-4D1A-AFA8-28F4A6002B33}"/>
    <cellStyle name="Normal 17 4 2 9 2" xfId="8475" xr:uid="{6F48514D-1ED4-4676-B1B9-85E13F85658C}"/>
    <cellStyle name="Normal 17 4 2 9 2 2" xfId="15982" xr:uid="{4D1643A7-E93B-475A-ABCE-25618086FBBE}"/>
    <cellStyle name="Normal 17 4 2 9 2 2 2" xfId="32186" xr:uid="{4EAE6D28-F177-447D-8D6A-65FF89B54802}"/>
    <cellStyle name="Normal 17 4 2 9 2 3" xfId="24679" xr:uid="{B9F53718-A103-4D12-AACC-6C9DA719D392}"/>
    <cellStyle name="Normal 17 4 2 9 3" xfId="12367" xr:uid="{A6B6B196-5B2B-4199-B5A1-480B5E139E06}"/>
    <cellStyle name="Normal 17 4 2 9 3 2" xfId="28571" xr:uid="{75F50B4A-1429-4B38-BD07-92069AB2E178}"/>
    <cellStyle name="Normal 17 4 2 9 4" xfId="21010" xr:uid="{CB9EDAA0-919B-4D4B-911B-EC57B1D5218C}"/>
    <cellStyle name="Normal 17 4 3" xfId="518" xr:uid="{E1D1BE0E-0A4D-47B1-8EC8-ADCBF6ADEF9D}"/>
    <cellStyle name="Normal 17 4 3 10" xfId="5315" xr:uid="{1A7D5783-FE52-45B6-AAF1-54BFAEED0533}"/>
    <cellStyle name="Normal 17 4 3 10 2" xfId="12864" xr:uid="{64D3ECE2-77F6-483C-8373-97DAE19B9E15}"/>
    <cellStyle name="Normal 17 4 3 10 2 2" xfId="29068" xr:uid="{5BA26908-D8B7-49FE-9294-2BC6A9877CB7}"/>
    <cellStyle name="Normal 17 4 3 10 3" xfId="21519" xr:uid="{6203A7C0-3683-4A94-B60F-F990F6CF3D19}"/>
    <cellStyle name="Normal 17 4 3 11" xfId="9430" xr:uid="{C41C5CC4-1CE1-40D5-961B-1780393D0CBC}"/>
    <cellStyle name="Normal 17 4 3 11 2" xfId="25634" xr:uid="{AD1FC1F8-17EB-4ED5-8207-78CC2B9F672E}"/>
    <cellStyle name="Normal 17 4 3 12" xfId="17945" xr:uid="{0CAE39B1-0817-47A9-83C2-5FF9FA930E91}"/>
    <cellStyle name="Normal 17 4 3 2" xfId="589" xr:uid="{437E123A-CEC8-4BCF-A2AD-7CAD2C9B4866}"/>
    <cellStyle name="Normal 17 4 3 2 10" xfId="9497" xr:uid="{60D4BBB0-BA2C-47B6-9080-868E3B848FDF}"/>
    <cellStyle name="Normal 17 4 3 2 10 2" xfId="25701" xr:uid="{C3AF6266-757F-4ABB-8F62-04C46CB8A43E}"/>
    <cellStyle name="Normal 17 4 3 2 11" xfId="18013" xr:uid="{6ECD7723-4D45-4BAA-A82D-65FC293FB7FF}"/>
    <cellStyle name="Normal 17 4 3 2 2" xfId="1991" xr:uid="{67F10DDB-9AAE-4D05-A160-D7654DEC1327}"/>
    <cellStyle name="Normal 17 4 3 2 2 10" xfId="18294" xr:uid="{1B718A59-BE7D-4F50-A866-50C01E6E3FE2}"/>
    <cellStyle name="Normal 17 4 3 2 2 2" xfId="2497" xr:uid="{EBAB43F3-D829-418E-8182-070EF840481A}"/>
    <cellStyle name="Normal 17 4 3 2 2 2 2" xfId="3344" xr:uid="{69FC30F9-0E27-462E-B8BE-FCB7AD5BE5F1}"/>
    <cellStyle name="Normal 17 4 3 2 2 2 2 2" xfId="7126" xr:uid="{2B87488A-3863-4EE0-8CFF-8924BF55EDF1}"/>
    <cellStyle name="Normal 17 4 3 2 2 2 2 2 2" xfId="14637" xr:uid="{2DC2032B-60AB-467C-A441-0BF53167486F}"/>
    <cellStyle name="Normal 17 4 3 2 2 2 2 2 2 2" xfId="30841" xr:uid="{07409AB4-5808-4D1A-8AFF-C2DC8F33DC1D}"/>
    <cellStyle name="Normal 17 4 3 2 2 2 2 2 3" xfId="23330" xr:uid="{FA1A5CDC-B4E9-4E1E-92F3-C97439FA6C58}"/>
    <cellStyle name="Normal 17 4 3 2 2 2 2 3" xfId="11037" xr:uid="{70FA16AE-DDA8-4CE6-A57A-AD5904A10D9B}"/>
    <cellStyle name="Normal 17 4 3 2 2 2 2 3 2" xfId="27241" xr:uid="{4DDF80E0-C606-48FC-9097-C9B5BECAE4B7}"/>
    <cellStyle name="Normal 17 4 3 2 2 2 2 4" xfId="19564" xr:uid="{F6B54B4E-F84E-4136-9471-0C2D0576C24E}"/>
    <cellStyle name="Normal 17 4 3 2 2 2 3" xfId="6281" xr:uid="{D667AC92-13AD-438B-BA08-C399E1B31FF9}"/>
    <cellStyle name="Normal 17 4 3 2 2 2 3 2" xfId="13793" xr:uid="{55913490-F554-4F2E-A85B-9AFB464D4FD7}"/>
    <cellStyle name="Normal 17 4 3 2 2 2 3 2 2" xfId="29997" xr:uid="{D736617B-6EAA-4F8D-B2E1-0B8E80E5AE61}"/>
    <cellStyle name="Normal 17 4 3 2 2 2 3 3" xfId="22485" xr:uid="{C7B303F6-6064-42E0-8E22-F5FA129CB9B9}"/>
    <cellStyle name="Normal 17 4 3 2 2 2 4" xfId="10193" xr:uid="{BCE26C5F-69CF-4624-9EDD-EEC174F729DC}"/>
    <cellStyle name="Normal 17 4 3 2 2 2 4 2" xfId="26397" xr:uid="{57C69603-C7F1-42C6-8956-9853527EDAD9}"/>
    <cellStyle name="Normal 17 4 3 2 2 2 5" xfId="18719" xr:uid="{35D6A905-A120-43D1-949C-82CBA758EB89}"/>
    <cellStyle name="Normal 17 4 3 2 2 3" xfId="2919" xr:uid="{E0998464-2146-45FB-8525-FA9E7CC9863E}"/>
    <cellStyle name="Normal 17 4 3 2 2 3 2" xfId="6703" xr:uid="{ECC9B8C8-D85F-48BD-B930-5D5EB9850D6D}"/>
    <cellStyle name="Normal 17 4 3 2 2 3 2 2" xfId="14215" xr:uid="{6E900ADF-2540-4295-B1B5-7F748CA9A636}"/>
    <cellStyle name="Normal 17 4 3 2 2 3 2 2 2" xfId="30419" xr:uid="{ABF5C8A1-F9B8-4A2F-B267-2C51E4106DC2}"/>
    <cellStyle name="Normal 17 4 3 2 2 3 2 3" xfId="22907" xr:uid="{896DAB39-2BE9-4683-BE48-3BFE2FE4BF5F}"/>
    <cellStyle name="Normal 17 4 3 2 2 3 3" xfId="10615" xr:uid="{D2B9D480-CAA8-4A50-8E79-FA73E146B4D4}"/>
    <cellStyle name="Normal 17 4 3 2 2 3 3 2" xfId="26819" xr:uid="{40657471-75F3-432B-987A-E481183F6A58}"/>
    <cellStyle name="Normal 17 4 3 2 2 3 4" xfId="19141" xr:uid="{39F4440B-FD31-4136-9BDC-418481058001}"/>
    <cellStyle name="Normal 17 4 3 2 2 4" xfId="3850" xr:uid="{78642341-C7C4-417A-9D2D-36B0CB165F56}"/>
    <cellStyle name="Normal 17 4 3 2 2 4 2" xfId="7560" xr:uid="{FF9ACE15-9265-43F2-B163-A277444AE188}"/>
    <cellStyle name="Normal 17 4 3 2 2 4 2 2" xfId="15069" xr:uid="{59E6A39F-1DB5-4682-853E-D564B74BC7AF}"/>
    <cellStyle name="Normal 17 4 3 2 2 4 2 2 2" xfId="31273" xr:uid="{D1C11318-69DA-4E8A-8E05-3E637DAB3172}"/>
    <cellStyle name="Normal 17 4 3 2 2 4 2 3" xfId="23764" xr:uid="{642E28C3-0A87-4759-9A47-115E7835DCF5}"/>
    <cellStyle name="Normal 17 4 3 2 2 4 3" xfId="11460" xr:uid="{26308B3B-3220-4EE3-93A2-025068662C7A}"/>
    <cellStyle name="Normal 17 4 3 2 2 4 3 2" xfId="27664" xr:uid="{507AB30B-F871-46EC-B1FF-5F3F968E41DD}"/>
    <cellStyle name="Normal 17 4 3 2 2 4 4" xfId="20059" xr:uid="{2CDF18AD-BCDB-4DC3-878D-78931C605FE6}"/>
    <cellStyle name="Normal 17 4 3 2 2 5" xfId="4319" xr:uid="{C9E461F8-2CAD-4B6A-A020-24845F2731C2}"/>
    <cellStyle name="Normal 17 4 3 2 2 5 2" xfId="7989" xr:uid="{74E60A9A-AF3D-46AA-84A5-CDDFC983AFDA}"/>
    <cellStyle name="Normal 17 4 3 2 2 5 2 2" xfId="15496" xr:uid="{92611A77-DE3E-44C4-8471-6483A75765EE}"/>
    <cellStyle name="Normal 17 4 3 2 2 5 2 2 2" xfId="31700" xr:uid="{DA24D9DB-60EB-4CDE-BEB0-B678BC759E73}"/>
    <cellStyle name="Normal 17 4 3 2 2 5 2 3" xfId="24193" xr:uid="{149552B8-C9DA-4DC4-87A0-FC739D449BAA}"/>
    <cellStyle name="Normal 17 4 3 2 2 5 3" xfId="11882" xr:uid="{BCAD915F-B7E7-4275-A2D8-A549D3665FAD}"/>
    <cellStyle name="Normal 17 4 3 2 2 5 3 2" xfId="28086" xr:uid="{D477B323-AC11-4885-83E7-03D1E5572DD7}"/>
    <cellStyle name="Normal 17 4 3 2 2 5 4" xfId="20523" xr:uid="{DBE0A679-67FE-47CF-9A2C-F3770A7F2E89}"/>
    <cellStyle name="Normal 17 4 3 2 2 6" xfId="4744" xr:uid="{4F8D5292-7010-48F7-9A46-B1DC9E516D97}"/>
    <cellStyle name="Normal 17 4 3 2 2 6 2" xfId="8414" xr:uid="{7A248B21-FC0B-4883-8997-1D58BA682833}"/>
    <cellStyle name="Normal 17 4 3 2 2 6 2 2" xfId="15921" xr:uid="{D3072136-E3EC-4D4B-A861-96B4D13712F4}"/>
    <cellStyle name="Normal 17 4 3 2 2 6 2 2 2" xfId="32125" xr:uid="{2D2DEEF2-24BD-42D2-AE87-D2AA19F07436}"/>
    <cellStyle name="Normal 17 4 3 2 2 6 2 3" xfId="24618" xr:uid="{9E91E09C-D45B-485A-B2B8-5E4E0549F89C}"/>
    <cellStyle name="Normal 17 4 3 2 2 6 3" xfId="12307" xr:uid="{01B2BBF8-190D-4508-9BE4-A231D929BB1C}"/>
    <cellStyle name="Normal 17 4 3 2 2 6 3 2" xfId="28511" xr:uid="{DB7FCF47-F5B4-4EA0-BE90-10E9DDB7A7B2}"/>
    <cellStyle name="Normal 17 4 3 2 2 6 4" xfId="20948" xr:uid="{DAECFAA9-561F-474F-A0B4-9CD8BAC03DDE}"/>
    <cellStyle name="Normal 17 4 3 2 2 7" xfId="5172" xr:uid="{DE91B4B8-3498-417C-899A-7B9A57004FDB}"/>
    <cellStyle name="Normal 17 4 3 2 2 7 2" xfId="8837" xr:uid="{AFFF93CE-5CCA-404D-8286-670BCE0E002C}"/>
    <cellStyle name="Normal 17 4 3 2 2 7 2 2" xfId="16344" xr:uid="{74D8EE7A-35DB-4EEB-BBDE-7A609B807DBE}"/>
    <cellStyle name="Normal 17 4 3 2 2 7 2 2 2" xfId="32548" xr:uid="{5724C9FF-CC15-41B4-AB8C-988C69DD542C}"/>
    <cellStyle name="Normal 17 4 3 2 2 7 2 3" xfId="25041" xr:uid="{6B656382-2DA9-44C4-A979-C881B61A8C77}"/>
    <cellStyle name="Normal 17 4 3 2 2 7 3" xfId="12729" xr:uid="{C4972C90-676C-43CE-BB6D-E22C2B800D30}"/>
    <cellStyle name="Normal 17 4 3 2 2 7 3 2" xfId="28933" xr:uid="{2DCB67B3-3CA0-44BA-882E-312E7A2A5899}"/>
    <cellStyle name="Normal 17 4 3 2 2 7 4" xfId="21376" xr:uid="{D1C0F033-EF75-447D-9421-5F1973AA447D}"/>
    <cellStyle name="Normal 17 4 3 2 2 8" xfId="5843" xr:uid="{08B9EC8A-BF3B-44CD-970C-272EA98576FD}"/>
    <cellStyle name="Normal 17 4 3 2 2 8 2" xfId="13358" xr:uid="{7B2B63FF-67C8-4727-A015-57DE93FE2F56}"/>
    <cellStyle name="Normal 17 4 3 2 2 8 2 2" xfId="29562" xr:uid="{4916FEB3-56BF-4ECB-B7D5-824C850AB83F}"/>
    <cellStyle name="Normal 17 4 3 2 2 8 3" xfId="22047" xr:uid="{5880EC7D-89EB-4921-85CB-EC0EC149CC27}"/>
    <cellStyle name="Normal 17 4 3 2 2 9" xfId="9770" xr:uid="{A857D240-9868-46E1-9192-A386311FF1F6}"/>
    <cellStyle name="Normal 17 4 3 2 2 9 2" xfId="25974" xr:uid="{106FFF30-E083-4DA8-BB31-AE75C96415EC}"/>
    <cellStyle name="Normal 17 4 3 2 3" xfId="2158" xr:uid="{26036D11-7DEF-4EDE-ACAA-7CB86E085EE9}"/>
    <cellStyle name="Normal 17 4 3 2 3 2" xfId="3071" xr:uid="{91412749-5FB1-4AD7-9EF8-EFFEA1CE6DCF}"/>
    <cellStyle name="Normal 17 4 3 2 3 2 2" xfId="6853" xr:uid="{58A6244E-2976-44D9-98A3-71F7665F3BA6}"/>
    <cellStyle name="Normal 17 4 3 2 3 2 2 2" xfId="14364" xr:uid="{728B4D17-A130-4B96-B19A-FD943CAF26F0}"/>
    <cellStyle name="Normal 17 4 3 2 3 2 2 2 2" xfId="30568" xr:uid="{14FDE75E-31B4-4EB8-9F2E-206CD7A45FE2}"/>
    <cellStyle name="Normal 17 4 3 2 3 2 2 3" xfId="23057" xr:uid="{6D379FFB-20C3-4D4B-987F-EB0D00E57DE6}"/>
    <cellStyle name="Normal 17 4 3 2 3 2 3" xfId="10764" xr:uid="{64AD0921-CE22-4AC3-A958-06E6F83D98D0}"/>
    <cellStyle name="Normal 17 4 3 2 3 2 3 2" xfId="26968" xr:uid="{985F66C4-809D-42EA-B05D-0387E983D068}"/>
    <cellStyle name="Normal 17 4 3 2 3 2 4" xfId="19291" xr:uid="{C94AA917-68E3-4552-9C22-152AD4FF838A}"/>
    <cellStyle name="Normal 17 4 3 2 3 3" xfId="5997" xr:uid="{C2F8587C-776C-49AB-AF04-D3B36B5D1ACA}"/>
    <cellStyle name="Normal 17 4 3 2 3 3 2" xfId="13511" xr:uid="{9A72BDF8-C1DB-42D1-ACF7-5C2A9D3B2F32}"/>
    <cellStyle name="Normal 17 4 3 2 3 3 2 2" xfId="29715" xr:uid="{A1B93946-DF8A-4EA6-8464-3C4C70803D3D}"/>
    <cellStyle name="Normal 17 4 3 2 3 3 3" xfId="22201" xr:uid="{107497FA-12B4-49A9-BCF5-0EE5FF79731B}"/>
    <cellStyle name="Normal 17 4 3 2 3 4" xfId="9920" xr:uid="{98927A88-0215-4AE8-B6A9-E22D8E28C1C8}"/>
    <cellStyle name="Normal 17 4 3 2 3 4 2" xfId="26124" xr:uid="{0FA0E621-E546-48A3-B1A3-5AF2688629D2}"/>
    <cellStyle name="Normal 17 4 3 2 3 5" xfId="18445" xr:uid="{7634C3E8-AA73-4F59-BA5D-DC136CF93F36}"/>
    <cellStyle name="Normal 17 4 3 2 4" xfId="2646" xr:uid="{7DA25655-CD07-4EFD-9406-D974431C3578}"/>
    <cellStyle name="Normal 17 4 3 2 4 2" xfId="6430" xr:uid="{85CD5E09-EB81-49A9-B1A5-3C8ACC794BB1}"/>
    <cellStyle name="Normal 17 4 3 2 4 2 2" xfId="13942" xr:uid="{2ECCCB30-C724-4514-915E-9AA3CCBF6009}"/>
    <cellStyle name="Normal 17 4 3 2 4 2 2 2" xfId="30146" xr:uid="{8B8A288D-7D94-4711-BA4E-4604A8B8ACDB}"/>
    <cellStyle name="Normal 17 4 3 2 4 2 3" xfId="22634" xr:uid="{D0168D62-12E9-41BB-8B3A-1AFEF05AF1BF}"/>
    <cellStyle name="Normal 17 4 3 2 4 3" xfId="10342" xr:uid="{132FE05D-E633-4F8B-88D2-6E463C5C1CB4}"/>
    <cellStyle name="Normal 17 4 3 2 4 3 2" xfId="26546" xr:uid="{8F89025A-35E5-4CE2-88EB-03D02D992CE9}"/>
    <cellStyle name="Normal 17 4 3 2 4 4" xfId="18868" xr:uid="{F5573798-0A7A-45D8-832F-E072AD5DCF60}"/>
    <cellStyle name="Normal 17 4 3 2 5" xfId="3522" xr:uid="{486B5BA1-031A-4EC0-9B6F-304EB1F1990D}"/>
    <cellStyle name="Normal 17 4 3 2 5 2" xfId="7280" xr:uid="{A43C8E01-E316-4B3E-AB0C-72857DFAB655}"/>
    <cellStyle name="Normal 17 4 3 2 5 2 2" xfId="14790" xr:uid="{EB064C0D-A79F-4A15-BC8C-8070F6B538C3}"/>
    <cellStyle name="Normal 17 4 3 2 5 2 2 2" xfId="30994" xr:uid="{31B0165E-511F-45D5-9248-AF363F72F8DF}"/>
    <cellStyle name="Normal 17 4 3 2 5 2 3" xfId="23484" xr:uid="{72CD13E1-978B-48BD-800B-64AC0EE3FAC8}"/>
    <cellStyle name="Normal 17 4 3 2 5 3" xfId="11187" xr:uid="{D58B5706-0CD7-4D38-9A21-70C139CAAFA3}"/>
    <cellStyle name="Normal 17 4 3 2 5 3 2" xfId="27391" xr:uid="{02019F1E-566D-4A3F-994D-DCD960B52B9F}"/>
    <cellStyle name="Normal 17 4 3 2 5 4" xfId="19738" xr:uid="{DA72C9C9-65A6-4F3E-9B94-51FFB1156212}"/>
    <cellStyle name="Normal 17 4 3 2 6" xfId="4046" xr:uid="{0F0D0D24-4208-491E-B2A4-C71784C3490F}"/>
    <cellStyle name="Normal 17 4 3 2 6 2" xfId="7716" xr:uid="{C4F24365-EBA8-42E5-89A7-7157208E3827}"/>
    <cellStyle name="Normal 17 4 3 2 6 2 2" xfId="15223" xr:uid="{2BDE3C31-F1A6-4CFF-9D60-432AE1446C5D}"/>
    <cellStyle name="Normal 17 4 3 2 6 2 2 2" xfId="31427" xr:uid="{8C51C355-16A2-49BF-9C6F-5E04BA29F2A8}"/>
    <cellStyle name="Normal 17 4 3 2 6 2 3" xfId="23920" xr:uid="{494BF441-DADB-46BB-B4DA-8D9B4EE2E700}"/>
    <cellStyle name="Normal 17 4 3 2 6 3" xfId="11609" xr:uid="{1ECF8DD6-BC09-4E9C-8A61-06EBEA5D5FF8}"/>
    <cellStyle name="Normal 17 4 3 2 6 3 2" xfId="27813" xr:uid="{B9109B98-23A9-4006-9423-041FCE999219}"/>
    <cellStyle name="Normal 17 4 3 2 6 4" xfId="20250" xr:uid="{AB013C3D-5E1D-4163-83D2-DB5D7FAB6DFD}"/>
    <cellStyle name="Normal 17 4 3 2 7" xfId="4471" xr:uid="{3253DB02-5703-44F7-9336-A890542AD415}"/>
    <cellStyle name="Normal 17 4 3 2 7 2" xfId="8141" xr:uid="{BCA2AF38-FBA6-488B-9F13-CBA69B033457}"/>
    <cellStyle name="Normal 17 4 3 2 7 2 2" xfId="15648" xr:uid="{51F7819D-6AE2-4F85-908C-010A9107D9E6}"/>
    <cellStyle name="Normal 17 4 3 2 7 2 2 2" xfId="31852" xr:uid="{5CCC4E3E-DD06-4015-B5D7-20FBC33BAD2D}"/>
    <cellStyle name="Normal 17 4 3 2 7 2 3" xfId="24345" xr:uid="{F34F4376-2769-46D8-9C13-72CA843BD062}"/>
    <cellStyle name="Normal 17 4 3 2 7 3" xfId="12034" xr:uid="{F57814FC-12C6-4A6F-8A7D-7230C0F49AEF}"/>
    <cellStyle name="Normal 17 4 3 2 7 3 2" xfId="28238" xr:uid="{7CB099C9-4438-4707-B1F1-92B9BF0C03FA}"/>
    <cellStyle name="Normal 17 4 3 2 7 4" xfId="20675" xr:uid="{6687C2AA-5D45-4010-AA89-A27137491E4A}"/>
    <cellStyle name="Normal 17 4 3 2 8" xfId="4896" xr:uid="{D0CE39B8-5933-4354-9D98-5ECF185F8FCE}"/>
    <cellStyle name="Normal 17 4 3 2 8 2" xfId="8564" xr:uid="{EE21FDD5-D69B-446C-9D01-2488B7BB87FF}"/>
    <cellStyle name="Normal 17 4 3 2 8 2 2" xfId="16071" xr:uid="{CCAFCBB5-EE5E-4745-A899-0D3E467F6307}"/>
    <cellStyle name="Normal 17 4 3 2 8 2 2 2" xfId="32275" xr:uid="{A1EF8591-CD19-4057-A2E3-9AC68693BE32}"/>
    <cellStyle name="Normal 17 4 3 2 8 2 3" xfId="24768" xr:uid="{40E23C4E-0FE1-4994-9F3C-38A0B1864ABF}"/>
    <cellStyle name="Normal 17 4 3 2 8 3" xfId="12456" xr:uid="{CFD56F52-2579-4134-AF05-F6219B27AA57}"/>
    <cellStyle name="Normal 17 4 3 2 8 3 2" xfId="28660" xr:uid="{49F438F0-55C5-4607-93CE-8CA9EB05296F}"/>
    <cellStyle name="Normal 17 4 3 2 8 4" xfId="21100" xr:uid="{24324683-C71D-46D0-B49E-ABDCCBCA58C9}"/>
    <cellStyle name="Normal 17 4 3 2 9" xfId="5382" xr:uid="{25F02092-4640-47C5-87AB-DE3EDBA9CB08}"/>
    <cellStyle name="Normal 17 4 3 2 9 2" xfId="12931" xr:uid="{6D4B2DF5-5448-4706-BC05-D7010A271005}"/>
    <cellStyle name="Normal 17 4 3 2 9 2 2" xfId="29135" xr:uid="{A50E9089-17CE-470B-A530-95816E86B587}"/>
    <cellStyle name="Normal 17 4 3 2 9 3" xfId="21586" xr:uid="{A96A58C7-4BA4-4984-B5E9-21EBC1D0B1A2}"/>
    <cellStyle name="Normal 17 4 3 3" xfId="1992" xr:uid="{41388339-036D-42AB-9205-75627A532C5D}"/>
    <cellStyle name="Normal 17 4 3 3 10" xfId="18295" xr:uid="{D016514D-A776-4445-9FBF-DA0BBD65D1F1}"/>
    <cellStyle name="Normal 17 4 3 3 2" xfId="2498" xr:uid="{72C2B43F-5399-4BEC-8D83-FCAF588597B2}"/>
    <cellStyle name="Normal 17 4 3 3 2 2" xfId="3345" xr:uid="{DF6034C5-A2B1-4DCC-8826-9AC54BA04CD1}"/>
    <cellStyle name="Normal 17 4 3 3 2 2 2" xfId="7127" xr:uid="{4968A175-07CB-4B8D-BA97-3D4882895E05}"/>
    <cellStyle name="Normal 17 4 3 3 2 2 2 2" xfId="14638" xr:uid="{84AF8972-7E7E-4D34-87B8-C170A051FBA3}"/>
    <cellStyle name="Normal 17 4 3 3 2 2 2 2 2" xfId="30842" xr:uid="{441E6B01-38C9-4D33-B4E1-6CEB77F4D904}"/>
    <cellStyle name="Normal 17 4 3 3 2 2 2 3" xfId="23331" xr:uid="{420DD725-241B-45AA-8DBE-E080DC46C11A}"/>
    <cellStyle name="Normal 17 4 3 3 2 2 3" xfId="11038" xr:uid="{CF2F96FA-98E5-4046-9483-301FA5ED5EDE}"/>
    <cellStyle name="Normal 17 4 3 3 2 2 3 2" xfId="27242" xr:uid="{D23E3566-F4DD-4841-BD8E-E4EB493349B3}"/>
    <cellStyle name="Normal 17 4 3 3 2 2 4" xfId="19565" xr:uid="{FB6B6F07-809B-4E7D-8442-CEF10DE98FB9}"/>
    <cellStyle name="Normal 17 4 3 3 2 3" xfId="6282" xr:uid="{1195061C-71C7-460A-A8BA-8FCB17F3B32E}"/>
    <cellStyle name="Normal 17 4 3 3 2 3 2" xfId="13794" xr:uid="{FC2E6500-60CE-42F2-9603-EBB3FFB9A010}"/>
    <cellStyle name="Normal 17 4 3 3 2 3 2 2" xfId="29998" xr:uid="{080F9E25-88B7-4E78-849B-DF3D937185F9}"/>
    <cellStyle name="Normal 17 4 3 3 2 3 3" xfId="22486" xr:uid="{5566C5AA-857B-4047-9110-F8C4336F7B20}"/>
    <cellStyle name="Normal 17 4 3 3 2 4" xfId="10194" xr:uid="{342E889A-B775-42A8-9A49-B41B18F55F8B}"/>
    <cellStyle name="Normal 17 4 3 3 2 4 2" xfId="26398" xr:uid="{BAF5996E-EED5-4BF2-9A34-9531591D74CE}"/>
    <cellStyle name="Normal 17 4 3 3 2 5" xfId="18720" xr:uid="{CD0F28E8-25D2-486C-BD33-32B05D1C6029}"/>
    <cellStyle name="Normal 17 4 3 3 3" xfId="2920" xr:uid="{7E362229-6562-4391-9177-F520854B95AC}"/>
    <cellStyle name="Normal 17 4 3 3 3 2" xfId="6704" xr:uid="{3B4DFBF3-06A2-49C4-984B-383519943908}"/>
    <cellStyle name="Normal 17 4 3 3 3 2 2" xfId="14216" xr:uid="{5A82C932-D242-44B3-A172-09328633EA3C}"/>
    <cellStyle name="Normal 17 4 3 3 3 2 2 2" xfId="30420" xr:uid="{33D094D0-58FE-4A40-9FE6-385A512035C1}"/>
    <cellStyle name="Normal 17 4 3 3 3 2 3" xfId="22908" xr:uid="{389A2C9A-693E-4E5C-8011-96A93542BBEA}"/>
    <cellStyle name="Normal 17 4 3 3 3 3" xfId="10616" xr:uid="{B9F0A365-83C9-44D5-9D38-2A954BC51080}"/>
    <cellStyle name="Normal 17 4 3 3 3 3 2" xfId="26820" xr:uid="{C82D62C1-7D97-4F8C-BE81-8BCC8C1EEB70}"/>
    <cellStyle name="Normal 17 4 3 3 3 4" xfId="19142" xr:uid="{824BB2C8-B313-4F6C-81AE-96261B300E3B}"/>
    <cellStyle name="Normal 17 4 3 3 4" xfId="3851" xr:uid="{9E0A14FE-56A7-44FB-AC82-49B72A002867}"/>
    <cellStyle name="Normal 17 4 3 3 4 2" xfId="7561" xr:uid="{953566FB-7C30-4D13-B4E7-E1E3D3156CA3}"/>
    <cellStyle name="Normal 17 4 3 3 4 2 2" xfId="15070" xr:uid="{3C875874-9E11-4228-A197-DC64B4A5BB2C}"/>
    <cellStyle name="Normal 17 4 3 3 4 2 2 2" xfId="31274" xr:uid="{BF2D0817-F605-4892-A4EF-66D76E520C5A}"/>
    <cellStyle name="Normal 17 4 3 3 4 2 3" xfId="23765" xr:uid="{6BF46609-B605-48F5-8169-FED339591776}"/>
    <cellStyle name="Normal 17 4 3 3 4 3" xfId="11461" xr:uid="{361B0C95-1DCF-45F5-95DB-8DEFE15A8945}"/>
    <cellStyle name="Normal 17 4 3 3 4 3 2" xfId="27665" xr:uid="{1F7195DB-7BB1-4B05-9540-87AE641310C1}"/>
    <cellStyle name="Normal 17 4 3 3 4 4" xfId="20060" xr:uid="{8840B4BE-D7B0-4EB6-89AA-3F5AE18ECDF8}"/>
    <cellStyle name="Normal 17 4 3 3 5" xfId="4320" xr:uid="{3F333BB7-E9D3-46D6-B64A-D2F570FB90C0}"/>
    <cellStyle name="Normal 17 4 3 3 5 2" xfId="7990" xr:uid="{FC586AC1-32F9-47E5-86BC-90F93AC6A41F}"/>
    <cellStyle name="Normal 17 4 3 3 5 2 2" xfId="15497" xr:uid="{3FBA0EB0-4940-47A4-A51B-505D5B27F724}"/>
    <cellStyle name="Normal 17 4 3 3 5 2 2 2" xfId="31701" xr:uid="{978FB51F-958A-431B-AFB7-932322FB414E}"/>
    <cellStyle name="Normal 17 4 3 3 5 2 3" xfId="24194" xr:uid="{0F0F5911-3D41-4B0A-A870-18C9A4C5EC28}"/>
    <cellStyle name="Normal 17 4 3 3 5 3" xfId="11883" xr:uid="{E400F24D-88DA-4D1C-8090-9FC8D8D9EE02}"/>
    <cellStyle name="Normal 17 4 3 3 5 3 2" xfId="28087" xr:uid="{38DCDACD-0BAF-438D-9DFA-8180E342A6B9}"/>
    <cellStyle name="Normal 17 4 3 3 5 4" xfId="20524" xr:uid="{F0528149-2472-46FE-916F-4304A8ECD8D7}"/>
    <cellStyle name="Normal 17 4 3 3 6" xfId="4745" xr:uid="{B37D4EA7-CDAA-4D5D-9C00-9050A849783A}"/>
    <cellStyle name="Normal 17 4 3 3 6 2" xfId="8415" xr:uid="{00202E33-983D-413A-B845-8490F76F1B2C}"/>
    <cellStyle name="Normal 17 4 3 3 6 2 2" xfId="15922" xr:uid="{BCB54C98-7274-415D-8729-C049EAB91854}"/>
    <cellStyle name="Normal 17 4 3 3 6 2 2 2" xfId="32126" xr:uid="{0A1D814D-6414-465B-99E9-41F48337AF29}"/>
    <cellStyle name="Normal 17 4 3 3 6 2 3" xfId="24619" xr:uid="{08E31FE8-CB4F-4478-B579-741E5F5046AF}"/>
    <cellStyle name="Normal 17 4 3 3 6 3" xfId="12308" xr:uid="{86EB9019-B44B-4163-BB45-88EBD7756A9E}"/>
    <cellStyle name="Normal 17 4 3 3 6 3 2" xfId="28512" xr:uid="{397E540C-BA4A-4A5A-A219-56FD7A2919BA}"/>
    <cellStyle name="Normal 17 4 3 3 6 4" xfId="20949" xr:uid="{59F4A8B8-5D55-4BE3-B961-1B5B3E916812}"/>
    <cellStyle name="Normal 17 4 3 3 7" xfId="5173" xr:uid="{F37C1689-E80E-4E48-B19D-21E998B71E73}"/>
    <cellStyle name="Normal 17 4 3 3 7 2" xfId="8838" xr:uid="{D573A5D4-C011-4D87-BA73-E037B25996C9}"/>
    <cellStyle name="Normal 17 4 3 3 7 2 2" xfId="16345" xr:uid="{9A98CA24-43C6-4197-8B4D-F93F68475315}"/>
    <cellStyle name="Normal 17 4 3 3 7 2 2 2" xfId="32549" xr:uid="{2A262EE8-D0EE-400A-9A41-7DF2FF6FED8B}"/>
    <cellStyle name="Normal 17 4 3 3 7 2 3" xfId="25042" xr:uid="{A67ACC8B-5B82-43EB-84C0-3E478334F612}"/>
    <cellStyle name="Normal 17 4 3 3 7 3" xfId="12730" xr:uid="{0AB0801D-8FA3-4D4C-BEBB-48C259D7E8BD}"/>
    <cellStyle name="Normal 17 4 3 3 7 3 2" xfId="28934" xr:uid="{685F9ADF-B0D0-4EAB-8FFD-D6A722820EF4}"/>
    <cellStyle name="Normal 17 4 3 3 7 4" xfId="21377" xr:uid="{3C50D4BD-48A8-4190-A4DC-6D34B555B1E4}"/>
    <cellStyle name="Normal 17 4 3 3 8" xfId="5844" xr:uid="{BCA365C1-3F8B-4797-B803-8C08942AE4C2}"/>
    <cellStyle name="Normal 17 4 3 3 8 2" xfId="13359" xr:uid="{ED8CA56C-B0E1-4CF6-88BB-B987FB64C881}"/>
    <cellStyle name="Normal 17 4 3 3 8 2 2" xfId="29563" xr:uid="{51560730-4B47-46C8-841A-2BBAFAD20CE9}"/>
    <cellStyle name="Normal 17 4 3 3 8 3" xfId="22048" xr:uid="{E631BD2D-DBB2-4B4D-BFD4-95D85A433FC3}"/>
    <cellStyle name="Normal 17 4 3 3 9" xfId="9771" xr:uid="{1A967F79-169C-4BF2-98E2-17B8B2D20930}"/>
    <cellStyle name="Normal 17 4 3 3 9 2" xfId="25975" xr:uid="{54F423CB-191B-43FD-90EE-75329B355735}"/>
    <cellStyle name="Normal 17 4 3 4" xfId="2091" xr:uid="{FBC812CA-6C55-4D76-86AB-331464A35858}"/>
    <cellStyle name="Normal 17 4 3 4 2" xfId="3004" xr:uid="{FFBA2FB9-679D-4D79-A207-419444B71A18}"/>
    <cellStyle name="Normal 17 4 3 4 2 2" xfId="6786" xr:uid="{39C8A394-780F-4B1A-B660-590F6759AF0E}"/>
    <cellStyle name="Normal 17 4 3 4 2 2 2" xfId="14297" xr:uid="{6A82D19F-39B2-451E-8215-6C803107654D}"/>
    <cellStyle name="Normal 17 4 3 4 2 2 2 2" xfId="30501" xr:uid="{A1429C7E-33B8-4958-ADA7-11FFF717FF2D}"/>
    <cellStyle name="Normal 17 4 3 4 2 2 3" xfId="22990" xr:uid="{02FA22F5-DB4B-4269-9CBA-AA929EB28912}"/>
    <cellStyle name="Normal 17 4 3 4 2 3" xfId="10697" xr:uid="{E6B1D258-2F34-4168-96F4-633923201CB4}"/>
    <cellStyle name="Normal 17 4 3 4 2 3 2" xfId="26901" xr:uid="{D879AA0C-B579-4BBA-9792-75951CA6512C}"/>
    <cellStyle name="Normal 17 4 3 4 2 4" xfId="19224" xr:uid="{38CB0C5D-6114-4EF1-A35B-A4A4EE23453E}"/>
    <cellStyle name="Normal 17 4 3 4 3" xfId="5930" xr:uid="{1A109008-AF75-4AFE-A778-67645D506070}"/>
    <cellStyle name="Normal 17 4 3 4 3 2" xfId="13444" xr:uid="{2B885F3D-47FC-4B4C-9E08-5938C22BABFC}"/>
    <cellStyle name="Normal 17 4 3 4 3 2 2" xfId="29648" xr:uid="{2D9B03E9-EA8A-4C9A-9CDD-47ED6573F751}"/>
    <cellStyle name="Normal 17 4 3 4 3 3" xfId="22134" xr:uid="{66B157A4-DA3C-45EA-B336-BBEABD1549BA}"/>
    <cellStyle name="Normal 17 4 3 4 4" xfId="9853" xr:uid="{30DACF92-DE68-4422-8253-83E5D701CF9F}"/>
    <cellStyle name="Normal 17 4 3 4 4 2" xfId="26057" xr:uid="{FC7B7894-9091-4CC6-BA32-680B67833A2C}"/>
    <cellStyle name="Normal 17 4 3 4 5" xfId="18378" xr:uid="{043D6932-306B-424D-A1D5-914C74FACAED}"/>
    <cellStyle name="Normal 17 4 3 5" xfId="2579" xr:uid="{F4A9816E-A3A4-4AA9-BEA8-CB9FBC30C393}"/>
    <cellStyle name="Normal 17 4 3 5 2" xfId="6363" xr:uid="{EB27860C-5C45-4D0A-A2C9-065B8FB11823}"/>
    <cellStyle name="Normal 17 4 3 5 2 2" xfId="13875" xr:uid="{8759B675-9C1F-4AE2-B1A7-0E46817BBE1C}"/>
    <cellStyle name="Normal 17 4 3 5 2 2 2" xfId="30079" xr:uid="{11CB40F4-2D71-46A8-B785-D79D2577D873}"/>
    <cellStyle name="Normal 17 4 3 5 2 3" xfId="22567" xr:uid="{01E160E3-42DD-4D25-8CAD-8B89855FFB89}"/>
    <cellStyle name="Normal 17 4 3 5 3" xfId="10275" xr:uid="{89E295AB-7C32-4039-8587-FA4E7B7D6846}"/>
    <cellStyle name="Normal 17 4 3 5 3 2" xfId="26479" xr:uid="{F020A6FB-813C-4DF7-ACDC-E85CE91E3C33}"/>
    <cellStyle name="Normal 17 4 3 5 4" xfId="18801" xr:uid="{4C7F99C1-F1E7-4DF5-96A4-A5D1D1E1D306}"/>
    <cellStyle name="Normal 17 4 3 6" xfId="3455" xr:uid="{94782CCC-48C7-42B1-98D0-DAC51E09F7A9}"/>
    <cellStyle name="Normal 17 4 3 6 2" xfId="7213" xr:uid="{43673CF0-1BAE-497A-B2D6-85CE7EB7EF42}"/>
    <cellStyle name="Normal 17 4 3 6 2 2" xfId="14723" xr:uid="{D9F930B7-FA56-4CE8-AE7B-06BF2288F3B5}"/>
    <cellStyle name="Normal 17 4 3 6 2 2 2" xfId="30927" xr:uid="{991938EA-D7B3-4668-9D8F-DDFA8A9AC726}"/>
    <cellStyle name="Normal 17 4 3 6 2 3" xfId="23417" xr:uid="{54B333C7-F3D4-48D1-9C5E-CD27F2FB69F5}"/>
    <cellStyle name="Normal 17 4 3 6 3" xfId="11120" xr:uid="{E48EB56C-7F52-4AC3-80FD-AA01B2AABA41}"/>
    <cellStyle name="Normal 17 4 3 6 3 2" xfId="27324" xr:uid="{BE557E3B-B15E-4958-AF62-DFB14A771758}"/>
    <cellStyle name="Normal 17 4 3 6 4" xfId="19671" xr:uid="{233387A3-72EF-49FA-9612-EFAF44A1CD14}"/>
    <cellStyle name="Normal 17 4 3 7" xfId="3979" xr:uid="{9D6F4C20-4EB6-408A-A325-B9D4E7041BC1}"/>
    <cellStyle name="Normal 17 4 3 7 2" xfId="7649" xr:uid="{A118EB8F-DE0E-408F-B138-70C714F471D8}"/>
    <cellStyle name="Normal 17 4 3 7 2 2" xfId="15156" xr:uid="{56D0ECD6-34A0-41E9-92B0-C15650767E70}"/>
    <cellStyle name="Normal 17 4 3 7 2 2 2" xfId="31360" xr:uid="{A935A177-092F-4122-A47F-43BD46388911}"/>
    <cellStyle name="Normal 17 4 3 7 2 3" xfId="23853" xr:uid="{F4BADE3D-FAD9-4AC0-BF15-6CA8111F34A8}"/>
    <cellStyle name="Normal 17 4 3 7 3" xfId="11542" xr:uid="{F47E4944-1AB4-4626-BE87-15291686F0AB}"/>
    <cellStyle name="Normal 17 4 3 7 3 2" xfId="27746" xr:uid="{F4D672C5-F94D-4914-AD07-4B8C78D997F0}"/>
    <cellStyle name="Normal 17 4 3 7 4" xfId="20183" xr:uid="{45EFEE66-4F81-4BA7-B513-B36745B8C257}"/>
    <cellStyle name="Normal 17 4 3 8" xfId="4404" xr:uid="{7897B8A9-7400-472D-855C-6C51AC67BFCB}"/>
    <cellStyle name="Normal 17 4 3 8 2" xfId="8074" xr:uid="{698F0E58-5D66-428C-A855-945E98BD95A2}"/>
    <cellStyle name="Normal 17 4 3 8 2 2" xfId="15581" xr:uid="{763D0FA5-E880-4891-B6D2-EC9B2FAFE21F}"/>
    <cellStyle name="Normal 17 4 3 8 2 2 2" xfId="31785" xr:uid="{BC6D2D78-D189-4958-8CA0-CC857DE34C31}"/>
    <cellStyle name="Normal 17 4 3 8 2 3" xfId="24278" xr:uid="{05869AA7-ACF6-4F9F-B1E6-2F0BCE4400C3}"/>
    <cellStyle name="Normal 17 4 3 8 3" xfId="11967" xr:uid="{9D3476B0-C2B7-4AB0-84CD-FC7417789F00}"/>
    <cellStyle name="Normal 17 4 3 8 3 2" xfId="28171" xr:uid="{D1B96541-E332-4FBA-9589-60BFF9940578}"/>
    <cellStyle name="Normal 17 4 3 8 4" xfId="20608" xr:uid="{EC2334D3-A761-4605-AE66-DF611FC0F4D3}"/>
    <cellStyle name="Normal 17 4 3 9" xfId="4828" xr:uid="{970FD433-95EF-46DB-8CDE-E6199775B59D}"/>
    <cellStyle name="Normal 17 4 3 9 2" xfId="8497" xr:uid="{264E4092-D363-4285-BDF9-71F7B918A674}"/>
    <cellStyle name="Normal 17 4 3 9 2 2" xfId="16004" xr:uid="{D452156C-0425-481A-AF86-604F69882A1B}"/>
    <cellStyle name="Normal 17 4 3 9 2 2 2" xfId="32208" xr:uid="{281CE459-A6BA-44DE-AC23-5661FD1904EC}"/>
    <cellStyle name="Normal 17 4 3 9 2 3" xfId="24701" xr:uid="{2EA8E9FD-8086-467C-829A-7CD8DA537F43}"/>
    <cellStyle name="Normal 17 4 3 9 3" xfId="12389" xr:uid="{8BC09668-5E8B-4E1D-9E77-7FBBABA4B1A6}"/>
    <cellStyle name="Normal 17 4 3 9 3 2" xfId="28593" xr:uid="{E7D22DBB-F11A-44A1-90A0-10CA76EEA421}"/>
    <cellStyle name="Normal 17 4 3 9 4" xfId="21032" xr:uid="{E85288E4-DC88-49CC-A0CD-DABC3336E5BB}"/>
    <cellStyle name="Normal 17 4 4" xfId="545" xr:uid="{F196BE27-77DC-46D4-8519-D6329B20FC10}"/>
    <cellStyle name="Normal 17 4 4 10" xfId="9453" xr:uid="{C540F5F5-A362-4156-84E0-24A48660CD20}"/>
    <cellStyle name="Normal 17 4 4 10 2" xfId="25657" xr:uid="{A72DFB81-3034-4689-8C21-79EF16EB747E}"/>
    <cellStyle name="Normal 17 4 4 11" xfId="17969" xr:uid="{AC35B945-3FA8-474A-A00D-BCEE9144C8D4}"/>
    <cellStyle name="Normal 17 4 4 2" xfId="1993" xr:uid="{BD384D3A-7B2E-4642-AECD-7C0E3E3D4B7B}"/>
    <cellStyle name="Normal 17 4 4 2 10" xfId="18296" xr:uid="{8BEF47CE-AA2E-4AF9-B35E-72F48C4137B8}"/>
    <cellStyle name="Normal 17 4 4 2 2" xfId="2499" xr:uid="{2482829A-949E-4E57-BFEB-F08A21F7BC5D}"/>
    <cellStyle name="Normal 17 4 4 2 2 2" xfId="3346" xr:uid="{D4E72E2E-DA28-40B8-B266-85A8FF2C5B08}"/>
    <cellStyle name="Normal 17 4 4 2 2 2 2" xfId="7128" xr:uid="{A0BAFBD4-EE86-4542-AE07-CCF1928F39CB}"/>
    <cellStyle name="Normal 17 4 4 2 2 2 2 2" xfId="14639" xr:uid="{682363E6-2181-4E12-889E-E2DD7BC2190C}"/>
    <cellStyle name="Normal 17 4 4 2 2 2 2 2 2" xfId="30843" xr:uid="{2ED8A0AF-376C-4256-B41F-76C628655C99}"/>
    <cellStyle name="Normal 17 4 4 2 2 2 2 3" xfId="23332" xr:uid="{72AE4F92-C085-464D-AE71-1FB19149EB49}"/>
    <cellStyle name="Normal 17 4 4 2 2 2 3" xfId="11039" xr:uid="{C56E06F1-2D66-4455-9082-F6AF214E1799}"/>
    <cellStyle name="Normal 17 4 4 2 2 2 3 2" xfId="27243" xr:uid="{4DAF439B-0CF0-4F8B-890A-F0E4C47A25E2}"/>
    <cellStyle name="Normal 17 4 4 2 2 2 4" xfId="19566" xr:uid="{9F6A0708-7071-4C5A-9840-E242C6FFEA13}"/>
    <cellStyle name="Normal 17 4 4 2 2 3" xfId="6283" xr:uid="{840CF0A5-5154-48A1-9B07-441D6F7D6941}"/>
    <cellStyle name="Normal 17 4 4 2 2 3 2" xfId="13795" xr:uid="{9D2CCE0D-C566-450B-A0B5-A0D67E06FEB9}"/>
    <cellStyle name="Normal 17 4 4 2 2 3 2 2" xfId="29999" xr:uid="{DBD4065B-DD61-44A0-A81E-E246D0924379}"/>
    <cellStyle name="Normal 17 4 4 2 2 3 3" xfId="22487" xr:uid="{D67E3816-7FAA-424C-A045-24937F7BD576}"/>
    <cellStyle name="Normal 17 4 4 2 2 4" xfId="10195" xr:uid="{5F5B501D-DAFA-40C2-81C7-1081610F26E1}"/>
    <cellStyle name="Normal 17 4 4 2 2 4 2" xfId="26399" xr:uid="{94C869FA-ABD8-4FF2-818C-BD9762B42A97}"/>
    <cellStyle name="Normal 17 4 4 2 2 5" xfId="18721" xr:uid="{6F6474DB-C85F-4250-9086-88DC143037F6}"/>
    <cellStyle name="Normal 17 4 4 2 3" xfId="2921" xr:uid="{B6CB2A2A-2BEB-4F48-BE76-D40E9D4E26C3}"/>
    <cellStyle name="Normal 17 4 4 2 3 2" xfId="6705" xr:uid="{A2E2ED55-369C-451B-B308-0959DFCE28E5}"/>
    <cellStyle name="Normal 17 4 4 2 3 2 2" xfId="14217" xr:uid="{8BFB8CC8-5274-48FF-B1B8-ABFED357130E}"/>
    <cellStyle name="Normal 17 4 4 2 3 2 2 2" xfId="30421" xr:uid="{64EDDDFB-E570-4EC0-816E-75FAFB60D8A2}"/>
    <cellStyle name="Normal 17 4 4 2 3 2 3" xfId="22909" xr:uid="{4FF3A883-F330-4B79-BE6B-E496A13A4834}"/>
    <cellStyle name="Normal 17 4 4 2 3 3" xfId="10617" xr:uid="{49026BCD-73C3-4CE1-B6C7-BB1742F53A28}"/>
    <cellStyle name="Normal 17 4 4 2 3 3 2" xfId="26821" xr:uid="{DFA8A3F3-B58D-466B-A374-2AC9A96F4DB0}"/>
    <cellStyle name="Normal 17 4 4 2 3 4" xfId="19143" xr:uid="{9DA4A4B4-7CD6-4FBB-A5C1-2B7C5D65C126}"/>
    <cellStyle name="Normal 17 4 4 2 4" xfId="3852" xr:uid="{09A1A48F-2C5B-49F3-9F07-28292C5778F2}"/>
    <cellStyle name="Normal 17 4 4 2 4 2" xfId="7562" xr:uid="{486545ED-7393-4E52-80C5-82142A630D26}"/>
    <cellStyle name="Normal 17 4 4 2 4 2 2" xfId="15071" xr:uid="{7E819A4D-F952-439F-AD2C-B5E3E499077A}"/>
    <cellStyle name="Normal 17 4 4 2 4 2 2 2" xfId="31275" xr:uid="{7211A5D4-2DD8-49A7-9215-F6A29386B155}"/>
    <cellStyle name="Normal 17 4 4 2 4 2 3" xfId="23766" xr:uid="{3735C39D-5AB0-4E50-ADDB-64C151CB7C9E}"/>
    <cellStyle name="Normal 17 4 4 2 4 3" xfId="11462" xr:uid="{CBEC796F-D6B1-4487-9EB2-65A46AAB3197}"/>
    <cellStyle name="Normal 17 4 4 2 4 3 2" xfId="27666" xr:uid="{1ECC7834-6546-4927-9A7B-2538AD65ACB0}"/>
    <cellStyle name="Normal 17 4 4 2 4 4" xfId="20061" xr:uid="{2AE220CD-A902-4276-8E58-B2BAFD678C1F}"/>
    <cellStyle name="Normal 17 4 4 2 5" xfId="4321" xr:uid="{1CD4DB09-A85A-4C5A-A6BA-FADB18D03BA8}"/>
    <cellStyle name="Normal 17 4 4 2 5 2" xfId="7991" xr:uid="{B500B351-A298-4A1C-9B11-5341D3CBDCCE}"/>
    <cellStyle name="Normal 17 4 4 2 5 2 2" xfId="15498" xr:uid="{8DF415A0-8676-4CE8-8DFB-5DA5B8010B63}"/>
    <cellStyle name="Normal 17 4 4 2 5 2 2 2" xfId="31702" xr:uid="{7A83026D-AB7E-4E63-AC09-ADAA99BBAC67}"/>
    <cellStyle name="Normal 17 4 4 2 5 2 3" xfId="24195" xr:uid="{33CF543C-3A5B-4B87-B865-5836A1E276DE}"/>
    <cellStyle name="Normal 17 4 4 2 5 3" xfId="11884" xr:uid="{9ECEDAA0-12A2-4B67-8316-8C5AE7626FB9}"/>
    <cellStyle name="Normal 17 4 4 2 5 3 2" xfId="28088" xr:uid="{9FA36A8C-BD0A-4C35-B1CF-943FD57A4C3E}"/>
    <cellStyle name="Normal 17 4 4 2 5 4" xfId="20525" xr:uid="{3DF95E92-1B3D-4C3D-B8FD-1106AAEDD0B0}"/>
    <cellStyle name="Normal 17 4 4 2 6" xfId="4746" xr:uid="{761BF004-B7F8-4BC8-86A8-029484AD5B3C}"/>
    <cellStyle name="Normal 17 4 4 2 6 2" xfId="8416" xr:uid="{604BB6B0-AAE9-4709-AABD-10FE311E8426}"/>
    <cellStyle name="Normal 17 4 4 2 6 2 2" xfId="15923" xr:uid="{8AD34F10-F134-4B82-ACD8-401CBE998B58}"/>
    <cellStyle name="Normal 17 4 4 2 6 2 2 2" xfId="32127" xr:uid="{071765D9-7217-416E-BDB7-78C729FE1091}"/>
    <cellStyle name="Normal 17 4 4 2 6 2 3" xfId="24620" xr:uid="{8AA8ED6D-341B-4412-9E96-057B8D5252B7}"/>
    <cellStyle name="Normal 17 4 4 2 6 3" xfId="12309" xr:uid="{4A580E1D-F110-4240-B158-13AE17663EAC}"/>
    <cellStyle name="Normal 17 4 4 2 6 3 2" xfId="28513" xr:uid="{4E9BF053-B7B2-4BBA-AF93-DD15B42FFB73}"/>
    <cellStyle name="Normal 17 4 4 2 6 4" xfId="20950" xr:uid="{A90C109B-8316-4C6E-9A21-34E147FB4629}"/>
    <cellStyle name="Normal 17 4 4 2 7" xfId="5174" xr:uid="{300D8EC8-0D8D-4341-B618-5F06272DE57D}"/>
    <cellStyle name="Normal 17 4 4 2 7 2" xfId="8839" xr:uid="{93D5FE63-7347-4390-BB33-CC9CF5B87286}"/>
    <cellStyle name="Normal 17 4 4 2 7 2 2" xfId="16346" xr:uid="{8D8FEB91-021D-4C04-8BCB-9C6526027E60}"/>
    <cellStyle name="Normal 17 4 4 2 7 2 2 2" xfId="32550" xr:uid="{CAF8EFC6-081E-4ED9-A463-90E2B52F1E0F}"/>
    <cellStyle name="Normal 17 4 4 2 7 2 3" xfId="25043" xr:uid="{AAD9964E-4AF9-4AC3-B784-311569F30542}"/>
    <cellStyle name="Normal 17 4 4 2 7 3" xfId="12731" xr:uid="{B4177C28-E2A9-4565-B43C-635F7022135F}"/>
    <cellStyle name="Normal 17 4 4 2 7 3 2" xfId="28935" xr:uid="{41F2C940-9C74-4E11-AA4A-FEFE25041497}"/>
    <cellStyle name="Normal 17 4 4 2 7 4" xfId="21378" xr:uid="{A2397F2D-2E44-4D6D-ADDE-7723EDBA67C6}"/>
    <cellStyle name="Normal 17 4 4 2 8" xfId="5845" xr:uid="{604345C4-30F9-4300-8769-7B010C5750FE}"/>
    <cellStyle name="Normal 17 4 4 2 8 2" xfId="13360" xr:uid="{8D63EC7C-3312-402B-BFDF-1E3ADBD1F129}"/>
    <cellStyle name="Normal 17 4 4 2 8 2 2" xfId="29564" xr:uid="{4CD34689-36F9-4D15-9475-FB3175D31A2D}"/>
    <cellStyle name="Normal 17 4 4 2 8 3" xfId="22049" xr:uid="{1F13D089-21C5-48DD-99E1-7E7F669429CA}"/>
    <cellStyle name="Normal 17 4 4 2 9" xfId="9772" xr:uid="{9F62657A-D32A-4151-917E-10EEA4FBF87F}"/>
    <cellStyle name="Normal 17 4 4 2 9 2" xfId="25976" xr:uid="{E437B4AE-0210-47B9-849F-14089CF96120}"/>
    <cellStyle name="Normal 17 4 4 3" xfId="2114" xr:uid="{5C912CB0-35B0-4E53-8F41-C7C8574F96B5}"/>
    <cellStyle name="Normal 17 4 4 3 2" xfId="3027" xr:uid="{D048281B-CF23-418D-8379-A8D0364791F8}"/>
    <cellStyle name="Normal 17 4 4 3 2 2" xfId="6809" xr:uid="{5813FE8A-EB02-4979-A71B-9D32E5C7CA4F}"/>
    <cellStyle name="Normal 17 4 4 3 2 2 2" xfId="14320" xr:uid="{6A09B043-1D5F-495B-AEEB-7C0E62D0AB45}"/>
    <cellStyle name="Normal 17 4 4 3 2 2 2 2" xfId="30524" xr:uid="{51525963-72AA-411C-882A-2D198B581C07}"/>
    <cellStyle name="Normal 17 4 4 3 2 2 3" xfId="23013" xr:uid="{982B4BD1-FAF0-4E3F-9685-A3BC882B2809}"/>
    <cellStyle name="Normal 17 4 4 3 2 3" xfId="10720" xr:uid="{AF81E847-9168-42A4-B968-D90DBC9E9A98}"/>
    <cellStyle name="Normal 17 4 4 3 2 3 2" xfId="26924" xr:uid="{22440FC9-3801-4CCA-B7D4-33E230D84A06}"/>
    <cellStyle name="Normal 17 4 4 3 2 4" xfId="19247" xr:uid="{EA5E1D90-DB43-43B8-A5EF-7F16BA3982B1}"/>
    <cellStyle name="Normal 17 4 4 3 3" xfId="5953" xr:uid="{05EC794B-5D5E-47FC-B086-88CDA5700FA6}"/>
    <cellStyle name="Normal 17 4 4 3 3 2" xfId="13467" xr:uid="{02E6459F-2915-4120-AA7D-E1F5C54FA386}"/>
    <cellStyle name="Normal 17 4 4 3 3 2 2" xfId="29671" xr:uid="{18A109B2-C92F-4D12-8F7F-0259834E20FF}"/>
    <cellStyle name="Normal 17 4 4 3 3 3" xfId="22157" xr:uid="{319263A9-AC15-4E0F-A0E6-C93D08296FBD}"/>
    <cellStyle name="Normal 17 4 4 3 4" xfId="9876" xr:uid="{30E27B8D-11A5-4AFF-A513-67F94736EFF5}"/>
    <cellStyle name="Normal 17 4 4 3 4 2" xfId="26080" xr:uid="{F85A1E14-67D1-4676-8A87-3862137F592B}"/>
    <cellStyle name="Normal 17 4 4 3 5" xfId="18401" xr:uid="{900D7DBD-8A6E-4B12-9C83-E01822551EEF}"/>
    <cellStyle name="Normal 17 4 4 4" xfId="2602" xr:uid="{358CEF72-0AD9-4C7D-8927-45C009011908}"/>
    <cellStyle name="Normal 17 4 4 4 2" xfId="6386" xr:uid="{AE598389-A066-4FFC-AC41-BA2C8CECF3DB}"/>
    <cellStyle name="Normal 17 4 4 4 2 2" xfId="13898" xr:uid="{1B0E4E13-C893-46CF-ACC3-C12AC20CEED9}"/>
    <cellStyle name="Normal 17 4 4 4 2 2 2" xfId="30102" xr:uid="{2CFFA232-32EE-4C62-821F-83F92974E840}"/>
    <cellStyle name="Normal 17 4 4 4 2 3" xfId="22590" xr:uid="{43E88C95-07C8-41BD-9FD6-B3A3BB77FE70}"/>
    <cellStyle name="Normal 17 4 4 4 3" xfId="10298" xr:uid="{A80A54EA-310D-444C-B867-3034EB955E8D}"/>
    <cellStyle name="Normal 17 4 4 4 3 2" xfId="26502" xr:uid="{837C9380-CF7B-49A5-8B8C-30C1E55A015F}"/>
    <cellStyle name="Normal 17 4 4 4 4" xfId="18824" xr:uid="{334E90AB-C182-4C0C-8871-7B0C112EEDD0}"/>
    <cellStyle name="Normal 17 4 4 5" xfId="3478" xr:uid="{F8775DA8-8415-4D9B-9188-0E38D3C307F4}"/>
    <cellStyle name="Normal 17 4 4 5 2" xfId="7236" xr:uid="{39E6B40F-5A28-445F-AD6F-2F6030AC6CD5}"/>
    <cellStyle name="Normal 17 4 4 5 2 2" xfId="14746" xr:uid="{6CBC6300-0182-4952-B537-45D4640F0061}"/>
    <cellStyle name="Normal 17 4 4 5 2 2 2" xfId="30950" xr:uid="{9EF9806F-F292-4ABF-896F-DDF22F5356DD}"/>
    <cellStyle name="Normal 17 4 4 5 2 3" xfId="23440" xr:uid="{F8746A08-E7A0-4D5D-B5B4-1EFC90CEB356}"/>
    <cellStyle name="Normal 17 4 4 5 3" xfId="11143" xr:uid="{15DED538-3348-4652-A69F-098AAB444C83}"/>
    <cellStyle name="Normal 17 4 4 5 3 2" xfId="27347" xr:uid="{3967A040-E60C-472A-9DD3-1CB01CF3D68F}"/>
    <cellStyle name="Normal 17 4 4 5 4" xfId="19694" xr:uid="{7BB00CA3-CFFC-45A4-AB52-EBC7E8CA08C8}"/>
    <cellStyle name="Normal 17 4 4 6" xfId="4002" xr:uid="{3CA1B77F-79BA-4D21-9673-586A6D8AD464}"/>
    <cellStyle name="Normal 17 4 4 6 2" xfId="7672" xr:uid="{069FF468-E5E5-4871-BB5F-8446F51DA362}"/>
    <cellStyle name="Normal 17 4 4 6 2 2" xfId="15179" xr:uid="{AC97ED62-1FFE-418F-B745-42F50279CCD7}"/>
    <cellStyle name="Normal 17 4 4 6 2 2 2" xfId="31383" xr:uid="{1E0A32C5-ABD4-474F-8C53-15638F641EDE}"/>
    <cellStyle name="Normal 17 4 4 6 2 3" xfId="23876" xr:uid="{D544E743-68B4-4B25-AC23-1AFD006832F7}"/>
    <cellStyle name="Normal 17 4 4 6 3" xfId="11565" xr:uid="{CFB4A0B5-FB13-4F11-BD69-03CEEDED037F}"/>
    <cellStyle name="Normal 17 4 4 6 3 2" xfId="27769" xr:uid="{A454C418-273C-4A8B-9E4B-F26B300FAE4A}"/>
    <cellStyle name="Normal 17 4 4 6 4" xfId="20206" xr:uid="{795F9614-47A8-471D-9FDE-74638322B11D}"/>
    <cellStyle name="Normal 17 4 4 7" xfId="4427" xr:uid="{26727512-CBB9-411D-AB1D-33FD9CA7379D}"/>
    <cellStyle name="Normal 17 4 4 7 2" xfId="8097" xr:uid="{01AAABEF-DD6A-4AB9-B7AA-9F6CD58C2D8A}"/>
    <cellStyle name="Normal 17 4 4 7 2 2" xfId="15604" xr:uid="{B59A209E-9EB4-4149-84CC-00759572D368}"/>
    <cellStyle name="Normal 17 4 4 7 2 2 2" xfId="31808" xr:uid="{57C54259-C488-400C-8B73-634147D774DF}"/>
    <cellStyle name="Normal 17 4 4 7 2 3" xfId="24301" xr:uid="{4D9A704D-503F-4071-B6B9-EDED329F015D}"/>
    <cellStyle name="Normal 17 4 4 7 3" xfId="11990" xr:uid="{E3E6DE4A-6E37-4777-BE48-784828DF3DEE}"/>
    <cellStyle name="Normal 17 4 4 7 3 2" xfId="28194" xr:uid="{FE61D7E8-776A-4BD5-9E2E-FFD0A2998EB4}"/>
    <cellStyle name="Normal 17 4 4 7 4" xfId="20631" xr:uid="{ED2EAFF7-3C57-4676-8A40-0528E36636A6}"/>
    <cellStyle name="Normal 17 4 4 8" xfId="4852" xr:uid="{BFFF8FC4-6083-4C89-BF5C-57F9BA3F0677}"/>
    <cellStyle name="Normal 17 4 4 8 2" xfId="8520" xr:uid="{6F21D6B3-074E-4B41-A40B-54A30047F8C7}"/>
    <cellStyle name="Normal 17 4 4 8 2 2" xfId="16027" xr:uid="{EC00D182-C3E0-4793-8F1A-43C9B40B75E5}"/>
    <cellStyle name="Normal 17 4 4 8 2 2 2" xfId="32231" xr:uid="{A5009CC7-13FB-4DFB-A732-3E4A04CFAE9F}"/>
    <cellStyle name="Normal 17 4 4 8 2 3" xfId="24724" xr:uid="{D381DCD5-11B9-4099-A950-8501EA9E4C87}"/>
    <cellStyle name="Normal 17 4 4 8 3" xfId="12412" xr:uid="{71E57ACD-CB06-4D99-8391-F3FCE1CF1190}"/>
    <cellStyle name="Normal 17 4 4 8 3 2" xfId="28616" xr:uid="{06FDA859-B6A7-4C48-9F2B-B913F9CC4A2E}"/>
    <cellStyle name="Normal 17 4 4 8 4" xfId="21056" xr:uid="{F08B4C98-B40F-45A4-9B7C-FFCA3AAFB8D3}"/>
    <cellStyle name="Normal 17 4 4 9" xfId="5338" xr:uid="{933CA8AE-037A-4B8A-9AD3-C9FDF372194C}"/>
    <cellStyle name="Normal 17 4 4 9 2" xfId="12887" xr:uid="{5E347280-14D2-447E-8303-CDE1EC55340D}"/>
    <cellStyle name="Normal 17 4 4 9 2 2" xfId="29091" xr:uid="{38D5412F-FC4F-4F02-B6C9-9653F21FE1A2}"/>
    <cellStyle name="Normal 17 4 4 9 3" xfId="21542" xr:uid="{7FA6CA90-64CE-41F6-907F-F9C7C9C2D196}"/>
    <cellStyle name="Normal 17 4 5" xfId="1994" xr:uid="{11222469-6605-480E-B87A-43C2EA43D88A}"/>
    <cellStyle name="Normal 17 4 5 10" xfId="18297" xr:uid="{354FF8BA-049D-4A6F-9023-33ABB221D11C}"/>
    <cellStyle name="Normal 17 4 5 2" xfId="2500" xr:uid="{B7B3BF4F-5F38-48CE-9A4F-BAF25F7A9F6C}"/>
    <cellStyle name="Normal 17 4 5 2 2" xfId="3347" xr:uid="{C832143C-2398-44ED-BB37-D42A4E7A8E0D}"/>
    <cellStyle name="Normal 17 4 5 2 2 2" xfId="7129" xr:uid="{24C91EC1-41D5-4144-9B66-4F680E973370}"/>
    <cellStyle name="Normal 17 4 5 2 2 2 2" xfId="14640" xr:uid="{64919C2B-22A1-425B-8D28-C8479605F3D9}"/>
    <cellStyle name="Normal 17 4 5 2 2 2 2 2" xfId="30844" xr:uid="{942BEE05-BC89-4AD7-8E4B-55732D8C60F6}"/>
    <cellStyle name="Normal 17 4 5 2 2 2 3" xfId="23333" xr:uid="{D351EDA2-3C95-497D-A85B-C85B49A78DC8}"/>
    <cellStyle name="Normal 17 4 5 2 2 3" xfId="11040" xr:uid="{AC19C09E-8959-42A3-8652-23E219A23AA1}"/>
    <cellStyle name="Normal 17 4 5 2 2 3 2" xfId="27244" xr:uid="{57955EC7-A37F-45B0-981C-C1055846177E}"/>
    <cellStyle name="Normal 17 4 5 2 2 4" xfId="19567" xr:uid="{018EA724-0000-4644-A81C-D15C4D06E1D3}"/>
    <cellStyle name="Normal 17 4 5 2 3" xfId="6284" xr:uid="{7FAA0242-5D5F-45A5-8720-09529157EA65}"/>
    <cellStyle name="Normal 17 4 5 2 3 2" xfId="13796" xr:uid="{35477BCE-9511-4CBE-98F2-3A77F61B9154}"/>
    <cellStyle name="Normal 17 4 5 2 3 2 2" xfId="30000" xr:uid="{01B7E693-BA93-4614-B20A-FFFD0C3AB06D}"/>
    <cellStyle name="Normal 17 4 5 2 3 3" xfId="22488" xr:uid="{8A7D5B79-70C4-4662-9B06-A61F93A77660}"/>
    <cellStyle name="Normal 17 4 5 2 4" xfId="10196" xr:uid="{5F2E6273-6E95-4E93-BE9E-7937DC7F0278}"/>
    <cellStyle name="Normal 17 4 5 2 4 2" xfId="26400" xr:uid="{55090E10-E19C-411B-AD1A-527107C0C3C1}"/>
    <cellStyle name="Normal 17 4 5 2 5" xfId="18722" xr:uid="{267E18F2-05B3-4C26-BC5F-76C5C87352E7}"/>
    <cellStyle name="Normal 17 4 5 3" xfId="2922" xr:uid="{BB3F6401-AD2D-4D00-A565-DD6BF8E42F37}"/>
    <cellStyle name="Normal 17 4 5 3 2" xfId="6706" xr:uid="{DC61C0D2-D117-4909-8C78-C59675E62393}"/>
    <cellStyle name="Normal 17 4 5 3 2 2" xfId="14218" xr:uid="{F472F368-B9A2-4416-AA25-44129FF755FE}"/>
    <cellStyle name="Normal 17 4 5 3 2 2 2" xfId="30422" xr:uid="{4560CCFB-26EB-4359-96D8-318C5A652EEB}"/>
    <cellStyle name="Normal 17 4 5 3 2 3" xfId="22910" xr:uid="{76F3B0CF-1E1D-4810-98C5-038D90919FFB}"/>
    <cellStyle name="Normal 17 4 5 3 3" xfId="10618" xr:uid="{E2685C9E-B27C-464A-B3AE-E671F54241F0}"/>
    <cellStyle name="Normal 17 4 5 3 3 2" xfId="26822" xr:uid="{EF2C72E7-3D0E-4B96-B2DE-265F080EC22B}"/>
    <cellStyle name="Normal 17 4 5 3 4" xfId="19144" xr:uid="{B3EA2441-66DE-44F3-AD11-2206B83CCAFB}"/>
    <cellStyle name="Normal 17 4 5 4" xfId="3853" xr:uid="{13BF3695-B456-475D-B0FB-EC9CF63A60F6}"/>
    <cellStyle name="Normal 17 4 5 4 2" xfId="7563" xr:uid="{7F286B83-0C48-4C70-9539-359E352B7C3A}"/>
    <cellStyle name="Normal 17 4 5 4 2 2" xfId="15072" xr:uid="{75BC2168-6413-47AE-A27B-FD3957C0F5E2}"/>
    <cellStyle name="Normal 17 4 5 4 2 2 2" xfId="31276" xr:uid="{33898A52-8E40-4809-BE2F-DD471D988D1B}"/>
    <cellStyle name="Normal 17 4 5 4 2 3" xfId="23767" xr:uid="{53C1CB68-445D-4E81-AF66-82A01A9714B3}"/>
    <cellStyle name="Normal 17 4 5 4 3" xfId="11463" xr:uid="{73ECF1E8-0C6D-494B-A734-DC39B8A1A21A}"/>
    <cellStyle name="Normal 17 4 5 4 3 2" xfId="27667" xr:uid="{89DEEAA5-F602-4C7D-862D-BEAC0F60E5EE}"/>
    <cellStyle name="Normal 17 4 5 4 4" xfId="20062" xr:uid="{14119449-FC61-45F1-B255-5C84552305A7}"/>
    <cellStyle name="Normal 17 4 5 5" xfId="4322" xr:uid="{37A988F9-3113-4A7D-B9D2-AE01DA83718C}"/>
    <cellStyle name="Normal 17 4 5 5 2" xfId="7992" xr:uid="{B1646B4E-1817-4B36-9304-F59BB50B444A}"/>
    <cellStyle name="Normal 17 4 5 5 2 2" xfId="15499" xr:uid="{178BF845-3840-4ED4-9D5F-5E1E116BA099}"/>
    <cellStyle name="Normal 17 4 5 5 2 2 2" xfId="31703" xr:uid="{C0523674-5B1C-4E88-82BA-628A05B51AB9}"/>
    <cellStyle name="Normal 17 4 5 5 2 3" xfId="24196" xr:uid="{06158C04-CDA2-44B5-B6AD-62E8E9512731}"/>
    <cellStyle name="Normal 17 4 5 5 3" xfId="11885" xr:uid="{F5FD0979-C9CE-4CEA-8E86-E03A7B8EBEC1}"/>
    <cellStyle name="Normal 17 4 5 5 3 2" xfId="28089" xr:uid="{E587EDDB-4ADE-4DFB-8CF4-7F10ADBB9AF6}"/>
    <cellStyle name="Normal 17 4 5 5 4" xfId="20526" xr:uid="{37E866AA-635F-49CC-BC1D-70C0BA27BA47}"/>
    <cellStyle name="Normal 17 4 5 6" xfId="4747" xr:uid="{5DEC119C-4932-4B75-AE98-13A167E1DC7F}"/>
    <cellStyle name="Normal 17 4 5 6 2" xfId="8417" xr:uid="{06138B4C-DCB7-44C8-8F68-D859A129DE5F}"/>
    <cellStyle name="Normal 17 4 5 6 2 2" xfId="15924" xr:uid="{9BBD8E42-9EB5-4CBF-AE07-CF21FEAF819D}"/>
    <cellStyle name="Normal 17 4 5 6 2 2 2" xfId="32128" xr:uid="{6F5AFF51-AA86-415C-9FF1-A92F8339F37B}"/>
    <cellStyle name="Normal 17 4 5 6 2 3" xfId="24621" xr:uid="{1D10E71B-DBCB-4708-8D98-446D5C4C4F50}"/>
    <cellStyle name="Normal 17 4 5 6 3" xfId="12310" xr:uid="{7C1B1354-68D8-4D13-B303-0159583D5DD3}"/>
    <cellStyle name="Normal 17 4 5 6 3 2" xfId="28514" xr:uid="{84167B82-84B3-4604-AC15-1DAC53576AAB}"/>
    <cellStyle name="Normal 17 4 5 6 4" xfId="20951" xr:uid="{076E827A-72EE-400D-96F6-239D60A1D2DD}"/>
    <cellStyle name="Normal 17 4 5 7" xfId="5175" xr:uid="{B8E4A5CD-A5BB-49B6-B15E-A95D401C7F54}"/>
    <cellStyle name="Normal 17 4 5 7 2" xfId="8840" xr:uid="{A6CD543A-EFBC-47BF-8E69-6E8A7028B6D9}"/>
    <cellStyle name="Normal 17 4 5 7 2 2" xfId="16347" xr:uid="{3666953E-2BEB-4F3B-90C6-84F624A114C3}"/>
    <cellStyle name="Normal 17 4 5 7 2 2 2" xfId="32551" xr:uid="{27F0B06D-392D-4AC7-B8C8-7738073E9A66}"/>
    <cellStyle name="Normal 17 4 5 7 2 3" xfId="25044" xr:uid="{95FDA304-58E7-4C47-AC1F-C20DB51EB466}"/>
    <cellStyle name="Normal 17 4 5 7 3" xfId="12732" xr:uid="{2D91E514-72FD-4D70-B36D-128CD8F8271C}"/>
    <cellStyle name="Normal 17 4 5 7 3 2" xfId="28936" xr:uid="{ADE2099C-9C20-4655-82A2-A0A0D454275E}"/>
    <cellStyle name="Normal 17 4 5 7 4" xfId="21379" xr:uid="{3E0847D1-4FF6-4B4F-A0A4-5BAD697DC63B}"/>
    <cellStyle name="Normal 17 4 5 8" xfId="5846" xr:uid="{434EC786-5E5E-4A0E-881F-068F8EDBA33C}"/>
    <cellStyle name="Normal 17 4 5 8 2" xfId="13361" xr:uid="{34BF9544-3D42-40F6-996F-A398D4DFFE92}"/>
    <cellStyle name="Normal 17 4 5 8 2 2" xfId="29565" xr:uid="{A269F70E-9B97-45C7-9B97-5C43AA67415D}"/>
    <cellStyle name="Normal 17 4 5 8 3" xfId="22050" xr:uid="{8F90DCBA-C3A8-4569-9D81-6439D8E67B6A}"/>
    <cellStyle name="Normal 17 4 5 9" xfId="9773" xr:uid="{178B27BB-211D-4502-86B8-10CB2B164A6E}"/>
    <cellStyle name="Normal 17 4 5 9 2" xfId="25977" xr:uid="{8274D6C7-A678-4B8F-8702-4A652BB54BD2}"/>
    <cellStyle name="Normal 17 4 6" xfId="2047" xr:uid="{F6208501-8CF3-4528-870E-0937F6944C20}"/>
    <cellStyle name="Normal 17 4 6 2" xfId="2960" xr:uid="{35B8FA0A-3D60-4F24-823D-6DECBD7BB9D0}"/>
    <cellStyle name="Normal 17 4 6 2 2" xfId="6742" xr:uid="{848CD8DE-3D3B-46B8-8142-5E426091E6EA}"/>
    <cellStyle name="Normal 17 4 6 2 2 2" xfId="14253" xr:uid="{FBF2A619-2094-4CA3-924C-0DC4F02501B0}"/>
    <cellStyle name="Normal 17 4 6 2 2 2 2" xfId="30457" xr:uid="{ED0DAF52-B32E-40CB-9C56-3787C9C76E24}"/>
    <cellStyle name="Normal 17 4 6 2 2 3" xfId="22946" xr:uid="{B63E0534-849F-4F4C-A1F2-D24FAE69A156}"/>
    <cellStyle name="Normal 17 4 6 2 3" xfId="10653" xr:uid="{06713E3B-161C-40F5-BA90-5A1737255A2C}"/>
    <cellStyle name="Normal 17 4 6 2 3 2" xfId="26857" xr:uid="{E3FC7AD0-AD73-49EE-883D-1208D8746894}"/>
    <cellStyle name="Normal 17 4 6 2 4" xfId="19180" xr:uid="{5FEEF436-C5CF-4DC6-92C6-2FDB12D870A8}"/>
    <cellStyle name="Normal 17 4 6 3" xfId="5886" xr:uid="{47A824F2-5CA2-4FB5-9CF0-84509F2045DB}"/>
    <cellStyle name="Normal 17 4 6 3 2" xfId="13400" xr:uid="{1715DFF0-F039-4975-83F1-37027D90201A}"/>
    <cellStyle name="Normal 17 4 6 3 2 2" xfId="29604" xr:uid="{2D864D01-3174-424F-8BC5-F27DFBB7F652}"/>
    <cellStyle name="Normal 17 4 6 3 3" xfId="22090" xr:uid="{CEEC2087-8781-41B6-A9BE-A61D0E720020}"/>
    <cellStyle name="Normal 17 4 6 4" xfId="9809" xr:uid="{E8B52364-8B89-4440-B762-357EA1A3B7CA}"/>
    <cellStyle name="Normal 17 4 6 4 2" xfId="26013" xr:uid="{4DF9D412-F803-4D01-A019-4241578BAFC6}"/>
    <cellStyle name="Normal 17 4 6 5" xfId="18334" xr:uid="{35F002DB-657C-4555-8EBA-4C2DB1226A33}"/>
    <cellStyle name="Normal 17 4 7" xfId="2535" xr:uid="{1AC015B9-5F34-4732-BE5B-524FEF223630}"/>
    <cellStyle name="Normal 17 4 7 2" xfId="6319" xr:uid="{99FD9D84-86E5-435F-ADB9-C493A02AC483}"/>
    <cellStyle name="Normal 17 4 7 2 2" xfId="13831" xr:uid="{0373735C-D72C-42E7-9170-C5112E8EF6A0}"/>
    <cellStyle name="Normal 17 4 7 2 2 2" xfId="30035" xr:uid="{C3112BF4-A75B-4F95-B33A-BA4784CE6F2C}"/>
    <cellStyle name="Normal 17 4 7 2 3" xfId="22523" xr:uid="{A4FC8ED4-4953-4DB1-8467-87AFE6BF7C32}"/>
    <cellStyle name="Normal 17 4 7 3" xfId="10231" xr:uid="{5F4B765E-021D-4547-A792-72EECB6A0BFC}"/>
    <cellStyle name="Normal 17 4 7 3 2" xfId="26435" xr:uid="{A77D93E5-112E-4966-A496-907E36968530}"/>
    <cellStyle name="Normal 17 4 7 4" xfId="18757" xr:uid="{7FB982CA-1256-4457-8396-CE3E121CB8DE}"/>
    <cellStyle name="Normal 17 4 8" xfId="3408" xr:uid="{8D2CA050-1B3C-40AD-9648-DC5A8E366390}"/>
    <cellStyle name="Normal 17 4 8 2" xfId="7169" xr:uid="{47FAA6FE-BFD5-4A38-89B0-BA52393A0FC7}"/>
    <cellStyle name="Normal 17 4 8 2 2" xfId="14679" xr:uid="{C530A706-9766-4574-A642-8C2F7B3C44F9}"/>
    <cellStyle name="Normal 17 4 8 2 2 2" xfId="30883" xr:uid="{9E8EDB67-97EB-4AC1-9E6C-BD24BDD0C8F9}"/>
    <cellStyle name="Normal 17 4 8 2 3" xfId="23373" xr:uid="{87F6A6AA-02F9-4E1A-AA21-30F71EF52CD3}"/>
    <cellStyle name="Normal 17 4 8 3" xfId="11076" xr:uid="{D3729810-54E6-4655-9B1D-2F75078D418B}"/>
    <cellStyle name="Normal 17 4 8 3 2" xfId="27280" xr:uid="{D3F805FE-3F71-4253-8160-0AC8406DBFC4}"/>
    <cellStyle name="Normal 17 4 8 4" xfId="19624" xr:uid="{0324B792-4C7D-47CD-9C72-ACE788FC8289}"/>
    <cellStyle name="Normal 17 4 9" xfId="3935" xr:uid="{E2F6D847-5180-4B7E-BE28-55CA7B32B547}"/>
    <cellStyle name="Normal 17 4 9 2" xfId="7605" xr:uid="{ED8EBD28-7B17-4797-A2CD-B00B12592EA6}"/>
    <cellStyle name="Normal 17 4 9 2 2" xfId="15112" xr:uid="{C2DC4471-E5CF-486C-BE1C-0B73EE0489FE}"/>
    <cellStyle name="Normal 17 4 9 2 2 2" xfId="31316" xr:uid="{85EF1A2C-4F42-4C90-9E04-718408EF353D}"/>
    <cellStyle name="Normal 17 4 9 2 3" xfId="23809" xr:uid="{CDE95159-39AF-4F3B-94C2-5F48C5A64E93}"/>
    <cellStyle name="Normal 17 4 9 3" xfId="11498" xr:uid="{B23FB93D-C649-4B40-8B1C-AC1FB7AC2BA3}"/>
    <cellStyle name="Normal 17 4 9 3 2" xfId="27702" xr:uid="{DDBC4CDD-8963-41D2-BD98-E91B23BEA573}"/>
    <cellStyle name="Normal 17 4 9 4" xfId="20139" xr:uid="{2B0F880D-9EBA-44E9-B02F-5A0D342DA2A7}"/>
    <cellStyle name="Normal 17 5" xfId="446" xr:uid="{276B8369-3221-4E42-B3B0-E2F283788655}"/>
    <cellStyle name="Normal 17 5 10" xfId="4363" xr:uid="{20F71064-388E-478E-B145-C4ABBC8EDB99}"/>
    <cellStyle name="Normal 17 5 10 2" xfId="8033" xr:uid="{D8D28ECB-2382-4DCA-9829-63E1F78F09A6}"/>
    <cellStyle name="Normal 17 5 10 2 2" xfId="15540" xr:uid="{EAE2243F-32D0-456E-98C4-05C1BA392B2C}"/>
    <cellStyle name="Normal 17 5 10 2 2 2" xfId="31744" xr:uid="{DAF5F797-C8E5-44F1-8059-8CCEFD691849}"/>
    <cellStyle name="Normal 17 5 10 2 3" xfId="24237" xr:uid="{117B9AD6-5CF0-4978-9680-D7CCFB64CB7C}"/>
    <cellStyle name="Normal 17 5 10 3" xfId="11926" xr:uid="{93338F75-EF50-4219-9D5A-4E0C58F7A3C4}"/>
    <cellStyle name="Normal 17 5 10 3 2" xfId="28130" xr:uid="{2121B8F1-A72A-4A22-8A5D-5F0A1CA7347B}"/>
    <cellStyle name="Normal 17 5 10 4" xfId="20567" xr:uid="{F4DDBF8C-16E1-4EEE-954B-7DAEB3DF93DB}"/>
    <cellStyle name="Normal 17 5 11" xfId="4786" xr:uid="{C68DE234-DEB1-4BE3-A704-418DE504AE40}"/>
    <cellStyle name="Normal 17 5 11 2" xfId="8455" xr:uid="{92A02793-7417-462B-BCA2-368CD6D3C6A0}"/>
    <cellStyle name="Normal 17 5 11 2 2" xfId="15962" xr:uid="{26981615-4F87-419E-8EE6-37C57B800C9B}"/>
    <cellStyle name="Normal 17 5 11 2 2 2" xfId="32166" xr:uid="{39606870-F35C-4A72-87F2-AFF9EC96313D}"/>
    <cellStyle name="Normal 17 5 11 2 3" xfId="24659" xr:uid="{43D657EC-E25F-45DE-BA36-2623C02C3A81}"/>
    <cellStyle name="Normal 17 5 11 3" xfId="12348" xr:uid="{4C9A83B3-84EC-47B9-9F61-DA3C15335A74}"/>
    <cellStyle name="Normal 17 5 11 3 2" xfId="28552" xr:uid="{791C11B0-E032-4E97-816C-FDF9B22A6D05}"/>
    <cellStyle name="Normal 17 5 11 4" xfId="20990" xr:uid="{665D69BE-AD40-46B2-9CF2-773F26FBC62D}"/>
    <cellStyle name="Normal 17 5 12" xfId="5271" xr:uid="{91784B81-A42B-4E0B-A159-C2041E985573}"/>
    <cellStyle name="Normal 17 5 12 2" xfId="12820" xr:uid="{EC5F17B6-6051-455F-9280-400E5F3C74C0}"/>
    <cellStyle name="Normal 17 5 12 2 2" xfId="29024" xr:uid="{9476D640-BFDF-4CE5-87C7-B675C4602D8D}"/>
    <cellStyle name="Normal 17 5 12 3" xfId="21475" xr:uid="{FAE37108-E932-487B-9F84-5EEE8D4039D7}"/>
    <cellStyle name="Normal 17 5 13" xfId="9389" xr:uid="{DE260912-205C-44B9-A395-8FA3C8BD6CE1}"/>
    <cellStyle name="Normal 17 5 13 2" xfId="25593" xr:uid="{52091F19-8340-400A-8091-608A5AC1BA5F}"/>
    <cellStyle name="Normal 17 5 14" xfId="17903" xr:uid="{5AAE0ABA-0F39-4390-86C3-911609A68257}"/>
    <cellStyle name="Normal 17 5 2" xfId="499" xr:uid="{17DE1D92-2619-486E-8518-4616E68E9831}"/>
    <cellStyle name="Normal 17 5 2 10" xfId="5296" xr:uid="{1E5A38AB-4B31-41F9-9065-F36E5FC878C6}"/>
    <cellStyle name="Normal 17 5 2 10 2" xfId="12845" xr:uid="{B4AC4085-5C7B-40D7-BF79-D20C367C0665}"/>
    <cellStyle name="Normal 17 5 2 10 2 2" xfId="29049" xr:uid="{958EBCE1-E260-4845-A9B0-6A7184214057}"/>
    <cellStyle name="Normal 17 5 2 10 3" xfId="21500" xr:uid="{3762FB70-FAD0-4B02-990E-72E74EBED791}"/>
    <cellStyle name="Normal 17 5 2 11" xfId="9411" xr:uid="{7B27F767-2BAD-4BFC-A63C-AA93012DD932}"/>
    <cellStyle name="Normal 17 5 2 11 2" xfId="25615" xr:uid="{2D448315-7FA6-43D5-847E-32AEF75B049E}"/>
    <cellStyle name="Normal 17 5 2 12" xfId="17926" xr:uid="{23937CDC-4CEC-4AAA-98FA-698A5C832ED2}"/>
    <cellStyle name="Normal 17 5 2 2" xfId="570" xr:uid="{914B38B9-2AC9-4F85-B9BF-710EE3AA6097}"/>
    <cellStyle name="Normal 17 5 2 2 10" xfId="9478" xr:uid="{A4B968F2-E299-4380-934C-5A5A423E5D5B}"/>
    <cellStyle name="Normal 17 5 2 2 10 2" xfId="25682" xr:uid="{69E09F98-F4E9-4C56-9BFA-126715BCF5F9}"/>
    <cellStyle name="Normal 17 5 2 2 11" xfId="17994" xr:uid="{19730444-F848-46DF-A6B7-6C2B802C3F77}"/>
    <cellStyle name="Normal 17 5 2 2 2" xfId="1995" xr:uid="{D0F821D8-A2A4-40F4-AE57-A3B0353E46B0}"/>
    <cellStyle name="Normal 17 5 2 2 2 10" xfId="18298" xr:uid="{5854D91D-9336-46AF-863A-4C23BBC08943}"/>
    <cellStyle name="Normal 17 5 2 2 2 2" xfId="2501" xr:uid="{0F77B6DB-33E8-42B1-B185-B178556A1807}"/>
    <cellStyle name="Normal 17 5 2 2 2 2 2" xfId="3348" xr:uid="{64018F96-3959-4A3D-A50B-17CA2B5AB9D5}"/>
    <cellStyle name="Normal 17 5 2 2 2 2 2 2" xfId="7130" xr:uid="{3F4AEADF-7085-49EE-A122-17B778CDB438}"/>
    <cellStyle name="Normal 17 5 2 2 2 2 2 2 2" xfId="14641" xr:uid="{B7D1443A-9477-4B34-AC77-339C2B16447D}"/>
    <cellStyle name="Normal 17 5 2 2 2 2 2 2 2 2" xfId="30845" xr:uid="{4A671B65-19D6-4E89-8F70-F01FAA341CB6}"/>
    <cellStyle name="Normal 17 5 2 2 2 2 2 2 3" xfId="23334" xr:uid="{96BE7D90-9F5B-4108-9999-342BB4FCDA3B}"/>
    <cellStyle name="Normal 17 5 2 2 2 2 2 3" xfId="11041" xr:uid="{2B77FFEF-05F7-4C83-BE21-C3EE7499EF80}"/>
    <cellStyle name="Normal 17 5 2 2 2 2 2 3 2" xfId="27245" xr:uid="{94B82954-3DDF-44FE-94C7-8434DD3C8C94}"/>
    <cellStyle name="Normal 17 5 2 2 2 2 2 4" xfId="19568" xr:uid="{6EB7AEFC-6665-4FEE-9FB1-B00A978F90E7}"/>
    <cellStyle name="Normal 17 5 2 2 2 2 3" xfId="6285" xr:uid="{95C80B06-5710-4A07-A185-91F9727F17E7}"/>
    <cellStyle name="Normal 17 5 2 2 2 2 3 2" xfId="13797" xr:uid="{C20C392C-2A0E-4828-B60F-154DCD8FF1A2}"/>
    <cellStyle name="Normal 17 5 2 2 2 2 3 2 2" xfId="30001" xr:uid="{80F4DA58-88BB-4E50-AE5B-6A27CA9CAB5B}"/>
    <cellStyle name="Normal 17 5 2 2 2 2 3 3" xfId="22489" xr:uid="{205EF7EE-75BB-4B39-815B-443C606033D9}"/>
    <cellStyle name="Normal 17 5 2 2 2 2 4" xfId="10197" xr:uid="{11645FDE-2034-4A98-8E7D-56E49B7BCC6E}"/>
    <cellStyle name="Normal 17 5 2 2 2 2 4 2" xfId="26401" xr:uid="{2B58AC61-D3D4-4BA9-84BE-BF6366F23F9B}"/>
    <cellStyle name="Normal 17 5 2 2 2 2 5" xfId="18723" xr:uid="{DF4B9EA1-58C1-45E5-8F77-55EB1D088A01}"/>
    <cellStyle name="Normal 17 5 2 2 2 3" xfId="2923" xr:uid="{15C1301C-4D6C-4C3F-B985-572C8930C923}"/>
    <cellStyle name="Normal 17 5 2 2 2 3 2" xfId="6707" xr:uid="{628910FE-730C-4CCB-AF3A-E842993AE408}"/>
    <cellStyle name="Normal 17 5 2 2 2 3 2 2" xfId="14219" xr:uid="{38B64882-74E4-4845-91C5-27574016B408}"/>
    <cellStyle name="Normal 17 5 2 2 2 3 2 2 2" xfId="30423" xr:uid="{BA5E9DE0-71ED-4023-8EC3-1901E951784C}"/>
    <cellStyle name="Normal 17 5 2 2 2 3 2 3" xfId="22911" xr:uid="{D887705E-E883-4C27-8E26-2CBB51AA3686}"/>
    <cellStyle name="Normal 17 5 2 2 2 3 3" xfId="10619" xr:uid="{2E4B6B76-74F7-4CE4-8578-DBFFD9A26BAE}"/>
    <cellStyle name="Normal 17 5 2 2 2 3 3 2" xfId="26823" xr:uid="{B70C03A3-2B55-4E2D-BCC3-B4E3FCA19ACE}"/>
    <cellStyle name="Normal 17 5 2 2 2 3 4" xfId="19145" xr:uid="{0091279B-8101-4906-8B95-39EFA8D363F4}"/>
    <cellStyle name="Normal 17 5 2 2 2 4" xfId="3854" xr:uid="{82BF1159-9DD8-43BE-8472-D0CAB43EA1B3}"/>
    <cellStyle name="Normal 17 5 2 2 2 4 2" xfId="7564" xr:uid="{DE1599DE-2A6E-4F24-8A45-493EECA9466F}"/>
    <cellStyle name="Normal 17 5 2 2 2 4 2 2" xfId="15073" xr:uid="{6A12A005-FEED-421F-B4C8-49EFCD8986A6}"/>
    <cellStyle name="Normal 17 5 2 2 2 4 2 2 2" xfId="31277" xr:uid="{D597C1C5-0031-40D5-B1E1-97BD32913552}"/>
    <cellStyle name="Normal 17 5 2 2 2 4 2 3" xfId="23768" xr:uid="{2F987EA3-FC2E-4379-BEBD-DB9F4EFC4A0B}"/>
    <cellStyle name="Normal 17 5 2 2 2 4 3" xfId="11464" xr:uid="{D00DF57A-3C18-4ABA-914A-4B71C469745A}"/>
    <cellStyle name="Normal 17 5 2 2 2 4 3 2" xfId="27668" xr:uid="{27CA6F6A-38BE-44D2-A800-41662F07D53E}"/>
    <cellStyle name="Normal 17 5 2 2 2 4 4" xfId="20063" xr:uid="{17B2A743-910C-40D4-9204-A4B3B7D21C87}"/>
    <cellStyle name="Normal 17 5 2 2 2 5" xfId="4323" xr:uid="{12881C62-14D2-4F6A-874A-9368CA64654C}"/>
    <cellStyle name="Normal 17 5 2 2 2 5 2" xfId="7993" xr:uid="{238DB93A-2209-4C34-8932-10D771A703F1}"/>
    <cellStyle name="Normal 17 5 2 2 2 5 2 2" xfId="15500" xr:uid="{E2789D3F-3753-4466-9237-CD5C92A40A72}"/>
    <cellStyle name="Normal 17 5 2 2 2 5 2 2 2" xfId="31704" xr:uid="{0C27C6DC-6596-4785-AEC5-C10B872649EC}"/>
    <cellStyle name="Normal 17 5 2 2 2 5 2 3" xfId="24197" xr:uid="{E66836B5-52F9-46FE-940A-FAA9FACA023D}"/>
    <cellStyle name="Normal 17 5 2 2 2 5 3" xfId="11886" xr:uid="{BE7F71B4-A7C6-453E-B65A-CE3A1E0E744C}"/>
    <cellStyle name="Normal 17 5 2 2 2 5 3 2" xfId="28090" xr:uid="{B064D1C6-6027-4CAF-8A7B-A896C87D8AC4}"/>
    <cellStyle name="Normal 17 5 2 2 2 5 4" xfId="20527" xr:uid="{948098AE-63A6-4C95-B719-A367B96E9265}"/>
    <cellStyle name="Normal 17 5 2 2 2 6" xfId="4748" xr:uid="{6613CDD4-E640-4AD1-9D40-8A95D9D0398B}"/>
    <cellStyle name="Normal 17 5 2 2 2 6 2" xfId="8418" xr:uid="{5840535B-849D-4701-9F66-C989F2575690}"/>
    <cellStyle name="Normal 17 5 2 2 2 6 2 2" xfId="15925" xr:uid="{79294EDA-E509-41F2-B6F4-6C4809FB6D9B}"/>
    <cellStyle name="Normal 17 5 2 2 2 6 2 2 2" xfId="32129" xr:uid="{24D1FBB4-5F49-438F-8888-54C03C88D2DB}"/>
    <cellStyle name="Normal 17 5 2 2 2 6 2 3" xfId="24622" xr:uid="{E1689C44-A676-43C4-A606-4420FD20F110}"/>
    <cellStyle name="Normal 17 5 2 2 2 6 3" xfId="12311" xr:uid="{A8A3DCFA-A53C-4388-9191-41318ED6B43B}"/>
    <cellStyle name="Normal 17 5 2 2 2 6 3 2" xfId="28515" xr:uid="{5FB59A7C-59EA-4046-9E98-E6CF880E22A2}"/>
    <cellStyle name="Normal 17 5 2 2 2 6 4" xfId="20952" xr:uid="{C906E0AB-3CE2-484E-9F21-A84AAE8A7AC3}"/>
    <cellStyle name="Normal 17 5 2 2 2 7" xfId="5176" xr:uid="{9F83335B-8BD2-422A-99B7-30FB243C6889}"/>
    <cellStyle name="Normal 17 5 2 2 2 7 2" xfId="8841" xr:uid="{33E52366-29A0-4163-8D74-9E6F6A37F5D7}"/>
    <cellStyle name="Normal 17 5 2 2 2 7 2 2" xfId="16348" xr:uid="{707AA010-ED1A-4585-8805-FCA37C885162}"/>
    <cellStyle name="Normal 17 5 2 2 2 7 2 2 2" xfId="32552" xr:uid="{EC2276C6-071E-4FD5-B7DB-CA123DE3F0FA}"/>
    <cellStyle name="Normal 17 5 2 2 2 7 2 3" xfId="25045" xr:uid="{CD7B7121-F7DA-4304-95A6-D84248409649}"/>
    <cellStyle name="Normal 17 5 2 2 2 7 3" xfId="12733" xr:uid="{D066DB36-2DE8-4283-B038-E939A047BBC6}"/>
    <cellStyle name="Normal 17 5 2 2 2 7 3 2" xfId="28937" xr:uid="{310ADD92-C392-44E4-A511-8AA15B10095B}"/>
    <cellStyle name="Normal 17 5 2 2 2 7 4" xfId="21380" xr:uid="{FFC9A459-0B12-4A86-8FB2-785D0D88E331}"/>
    <cellStyle name="Normal 17 5 2 2 2 8" xfId="5847" xr:uid="{4A8417DF-0082-40EF-923B-89636A3462BA}"/>
    <cellStyle name="Normal 17 5 2 2 2 8 2" xfId="13362" xr:uid="{D1D79467-ED83-4561-8B86-06B19F0EDAA3}"/>
    <cellStyle name="Normal 17 5 2 2 2 8 2 2" xfId="29566" xr:uid="{5F8C847B-26BD-4518-9CDF-F7C0E08A521B}"/>
    <cellStyle name="Normal 17 5 2 2 2 8 3" xfId="22051" xr:uid="{8EFA9E26-0152-4DE9-BD10-5B1B933857D7}"/>
    <cellStyle name="Normal 17 5 2 2 2 9" xfId="9774" xr:uid="{F0A42A2E-9113-41EA-9E27-01E40528CC19}"/>
    <cellStyle name="Normal 17 5 2 2 2 9 2" xfId="25978" xr:uid="{B56B2C18-2B4C-4709-9F79-934CCE97AABC}"/>
    <cellStyle name="Normal 17 5 2 2 3" xfId="2139" xr:uid="{90AE0BF6-F94C-4EDF-B16B-62229FB019FA}"/>
    <cellStyle name="Normal 17 5 2 2 3 2" xfId="3052" xr:uid="{41E220EE-32A0-4E98-AADD-6236AE373523}"/>
    <cellStyle name="Normal 17 5 2 2 3 2 2" xfId="6834" xr:uid="{1600F747-3F74-4317-B0D3-0727F81FFA0D}"/>
    <cellStyle name="Normal 17 5 2 2 3 2 2 2" xfId="14345" xr:uid="{30437C53-D358-4750-846F-9993C81E7A55}"/>
    <cellStyle name="Normal 17 5 2 2 3 2 2 2 2" xfId="30549" xr:uid="{D8F46093-CBBC-4AF5-B7D2-86DADD979DF4}"/>
    <cellStyle name="Normal 17 5 2 2 3 2 2 3" xfId="23038" xr:uid="{1F04BEA5-B42F-42E6-BCC8-70D17830041A}"/>
    <cellStyle name="Normal 17 5 2 2 3 2 3" xfId="10745" xr:uid="{24AE9CA5-6367-484B-A331-4B37338CDB3D}"/>
    <cellStyle name="Normal 17 5 2 2 3 2 3 2" xfId="26949" xr:uid="{1F501563-BCEB-4105-82A8-C70C84B9F06F}"/>
    <cellStyle name="Normal 17 5 2 2 3 2 4" xfId="19272" xr:uid="{A5C423AF-D97B-44B8-BD30-7E9B8C2FA9A3}"/>
    <cellStyle name="Normal 17 5 2 2 3 3" xfId="5978" xr:uid="{765C4539-9110-4D3B-8777-CA37175E9DA7}"/>
    <cellStyle name="Normal 17 5 2 2 3 3 2" xfId="13492" xr:uid="{38CC1918-6099-4285-8196-53B7F555BBC6}"/>
    <cellStyle name="Normal 17 5 2 2 3 3 2 2" xfId="29696" xr:uid="{2FAE8178-2B29-48AA-895C-82EABB679D9D}"/>
    <cellStyle name="Normal 17 5 2 2 3 3 3" xfId="22182" xr:uid="{34DE0227-588B-4C3F-B4DB-86D167D700C7}"/>
    <cellStyle name="Normal 17 5 2 2 3 4" xfId="9901" xr:uid="{72971C12-AEAE-4660-822F-1E65BADF19FA}"/>
    <cellStyle name="Normal 17 5 2 2 3 4 2" xfId="26105" xr:uid="{F4C09D12-2D0E-43A3-A57B-4E131CB2FE10}"/>
    <cellStyle name="Normal 17 5 2 2 3 5" xfId="18426" xr:uid="{12FE8BAC-6117-4966-A56C-4960E565BB0C}"/>
    <cellStyle name="Normal 17 5 2 2 4" xfId="2627" xr:uid="{CD0FAFC3-A7EF-4A72-8712-911F390868E1}"/>
    <cellStyle name="Normal 17 5 2 2 4 2" xfId="6411" xr:uid="{ED457654-2F28-42D4-B97C-0BFAE77F54B4}"/>
    <cellStyle name="Normal 17 5 2 2 4 2 2" xfId="13923" xr:uid="{EE845B83-939A-47C0-A896-2CFEE0A0C83A}"/>
    <cellStyle name="Normal 17 5 2 2 4 2 2 2" xfId="30127" xr:uid="{4D5F3F1E-DCD8-4089-BEAD-00C165C6EDAE}"/>
    <cellStyle name="Normal 17 5 2 2 4 2 3" xfId="22615" xr:uid="{A591827E-0D05-4EF0-A11C-7815539DC47A}"/>
    <cellStyle name="Normal 17 5 2 2 4 3" xfId="10323" xr:uid="{591F1ED8-9C5C-4B75-B891-74794B09DDD8}"/>
    <cellStyle name="Normal 17 5 2 2 4 3 2" xfId="26527" xr:uid="{FBAABD25-833C-431E-8683-74EEF6727DAD}"/>
    <cellStyle name="Normal 17 5 2 2 4 4" xfId="18849" xr:uid="{71F8B48F-B074-422F-9B54-ECFF7D95BFC7}"/>
    <cellStyle name="Normal 17 5 2 2 5" xfId="3503" xr:uid="{21468F26-04C0-430F-94E0-93D09EED0523}"/>
    <cellStyle name="Normal 17 5 2 2 5 2" xfId="7261" xr:uid="{A4E7B0F7-8290-4CC6-9BC7-C8FF14CD775B}"/>
    <cellStyle name="Normal 17 5 2 2 5 2 2" xfId="14771" xr:uid="{4B4CE030-F8DC-47B4-B3E0-84E488AC064E}"/>
    <cellStyle name="Normal 17 5 2 2 5 2 2 2" xfId="30975" xr:uid="{19065271-A081-447D-BBCC-374CAFEBDF15}"/>
    <cellStyle name="Normal 17 5 2 2 5 2 3" xfId="23465" xr:uid="{FCFB8BEB-3E46-4C43-BCDD-9358D9031492}"/>
    <cellStyle name="Normal 17 5 2 2 5 3" xfId="11168" xr:uid="{9308BF5D-C6B9-4553-B789-67F6C66431A1}"/>
    <cellStyle name="Normal 17 5 2 2 5 3 2" xfId="27372" xr:uid="{E92F3D9F-C6CD-4D32-93E9-FFB408520F80}"/>
    <cellStyle name="Normal 17 5 2 2 5 4" xfId="19719" xr:uid="{04C5DBD1-DA3A-46F5-A926-A749DB940017}"/>
    <cellStyle name="Normal 17 5 2 2 6" xfId="4027" xr:uid="{9267DE4E-06A5-4627-9572-BCDE1823B958}"/>
    <cellStyle name="Normal 17 5 2 2 6 2" xfId="7697" xr:uid="{70D7D895-DD39-4875-AF31-2BF6A88DCB9A}"/>
    <cellStyle name="Normal 17 5 2 2 6 2 2" xfId="15204" xr:uid="{5BFA3E08-FD71-49F8-8AD7-F20B94F447EA}"/>
    <cellStyle name="Normal 17 5 2 2 6 2 2 2" xfId="31408" xr:uid="{F02EED17-3E8D-45C9-AF5B-CCC3CABB2450}"/>
    <cellStyle name="Normal 17 5 2 2 6 2 3" xfId="23901" xr:uid="{3211AE03-A062-42F2-96A8-54A9CF3C7397}"/>
    <cellStyle name="Normal 17 5 2 2 6 3" xfId="11590" xr:uid="{17B98F4B-8ADB-4648-9980-D2D2542E309F}"/>
    <cellStyle name="Normal 17 5 2 2 6 3 2" xfId="27794" xr:uid="{356CDAF3-1BE7-4248-89DC-BDD6317B84EA}"/>
    <cellStyle name="Normal 17 5 2 2 6 4" xfId="20231" xr:uid="{9AC2D9F8-BD8B-413D-AE1C-6DAEA715AB52}"/>
    <cellStyle name="Normal 17 5 2 2 7" xfId="4452" xr:uid="{12D0E3A0-9F2A-48E7-99F6-B4E0C410DBFA}"/>
    <cellStyle name="Normal 17 5 2 2 7 2" xfId="8122" xr:uid="{B366B324-D92A-4C4E-8359-93D84D61AF28}"/>
    <cellStyle name="Normal 17 5 2 2 7 2 2" xfId="15629" xr:uid="{EBC55F69-76ED-44C6-B1A9-E2DF35E9BCBE}"/>
    <cellStyle name="Normal 17 5 2 2 7 2 2 2" xfId="31833" xr:uid="{37171502-614F-4F2B-939E-551728D57972}"/>
    <cellStyle name="Normal 17 5 2 2 7 2 3" xfId="24326" xr:uid="{56D18E33-077C-4070-A298-F750847B237D}"/>
    <cellStyle name="Normal 17 5 2 2 7 3" xfId="12015" xr:uid="{1A656D58-796D-40B4-B6D3-4B6AB439FD9A}"/>
    <cellStyle name="Normal 17 5 2 2 7 3 2" xfId="28219" xr:uid="{B5990B9B-8770-4F1C-970E-BFF5171261A5}"/>
    <cellStyle name="Normal 17 5 2 2 7 4" xfId="20656" xr:uid="{F3ACE2C5-EDB6-4D74-9572-58DCFE8F0E2B}"/>
    <cellStyle name="Normal 17 5 2 2 8" xfId="4877" xr:uid="{761C6D3C-8579-401E-9384-3455F8BC9460}"/>
    <cellStyle name="Normal 17 5 2 2 8 2" xfId="8545" xr:uid="{6DFB904B-F8C0-42E5-A859-C8DF1AB0FCBF}"/>
    <cellStyle name="Normal 17 5 2 2 8 2 2" xfId="16052" xr:uid="{1E8F8294-FD23-4C7E-AA9D-C08A69CA46AB}"/>
    <cellStyle name="Normal 17 5 2 2 8 2 2 2" xfId="32256" xr:uid="{5E89E1CD-80CF-4073-AA25-2078F38C846D}"/>
    <cellStyle name="Normal 17 5 2 2 8 2 3" xfId="24749" xr:uid="{72B51AF9-F393-4A12-A6C1-0B07654E3FA9}"/>
    <cellStyle name="Normal 17 5 2 2 8 3" xfId="12437" xr:uid="{2FA1CBD3-2178-46C5-966A-A53145C74E9D}"/>
    <cellStyle name="Normal 17 5 2 2 8 3 2" xfId="28641" xr:uid="{7E7C19C9-83DD-4D6A-A2BB-925EC02FB2DF}"/>
    <cellStyle name="Normal 17 5 2 2 8 4" xfId="21081" xr:uid="{4207EC08-E869-4749-8C2D-BD3EA2906094}"/>
    <cellStyle name="Normal 17 5 2 2 9" xfId="5363" xr:uid="{66312D48-4EB5-4E61-B122-7D575B91DE6A}"/>
    <cellStyle name="Normal 17 5 2 2 9 2" xfId="12912" xr:uid="{2FF7324C-C283-41D2-8F70-C0A27E613D2E}"/>
    <cellStyle name="Normal 17 5 2 2 9 2 2" xfId="29116" xr:uid="{6D6ED42C-A332-4CA5-BE0A-337928BAEC26}"/>
    <cellStyle name="Normal 17 5 2 2 9 3" xfId="21567" xr:uid="{CFE749FB-A428-4F5B-9B2F-A869A9E1EA0F}"/>
    <cellStyle name="Normal 17 5 2 3" xfId="1996" xr:uid="{BC69CE17-FECB-42C4-9AEF-2D5E1D195EDC}"/>
    <cellStyle name="Normal 17 5 2 3 10" xfId="18299" xr:uid="{C34B3A11-CF62-4288-B426-947845D93278}"/>
    <cellStyle name="Normal 17 5 2 3 2" xfId="2502" xr:uid="{9137F7F9-D12A-426A-9E6E-8BF293663F2D}"/>
    <cellStyle name="Normal 17 5 2 3 2 2" xfId="3349" xr:uid="{E1EC95BE-3EDD-4189-AED2-FE1A55D87FCD}"/>
    <cellStyle name="Normal 17 5 2 3 2 2 2" xfId="7131" xr:uid="{597C51C7-36D3-49AB-AB3B-C670F32CF9B9}"/>
    <cellStyle name="Normal 17 5 2 3 2 2 2 2" xfId="14642" xr:uid="{9C14902D-27C1-4022-8B96-E586FAB39BC4}"/>
    <cellStyle name="Normal 17 5 2 3 2 2 2 2 2" xfId="30846" xr:uid="{E9BE7A80-1B91-413A-9489-B84423DAFBE0}"/>
    <cellStyle name="Normal 17 5 2 3 2 2 2 3" xfId="23335" xr:uid="{D95653D3-46EC-48C0-A44C-8CAA3B070EC4}"/>
    <cellStyle name="Normal 17 5 2 3 2 2 3" xfId="11042" xr:uid="{0220E733-487C-476E-AC70-72D53BFF9A14}"/>
    <cellStyle name="Normal 17 5 2 3 2 2 3 2" xfId="27246" xr:uid="{5048A4E9-40B5-4D48-8E4D-EA101577D2AF}"/>
    <cellStyle name="Normal 17 5 2 3 2 2 4" xfId="19569" xr:uid="{57275E72-4B27-4894-9AFC-170E3CE474FF}"/>
    <cellStyle name="Normal 17 5 2 3 2 3" xfId="6286" xr:uid="{97B64BCE-EDA2-4B6A-8014-5CFFA6C82812}"/>
    <cellStyle name="Normal 17 5 2 3 2 3 2" xfId="13798" xr:uid="{04748E3A-7BCB-471E-AD05-D5C0D98C296D}"/>
    <cellStyle name="Normal 17 5 2 3 2 3 2 2" xfId="30002" xr:uid="{438F61C3-656F-4F10-A9E5-7B3DB01F7F9B}"/>
    <cellStyle name="Normal 17 5 2 3 2 3 3" xfId="22490" xr:uid="{2A04FB81-FF24-4853-B55B-B7B531938124}"/>
    <cellStyle name="Normal 17 5 2 3 2 4" xfId="10198" xr:uid="{80BFE5BD-238E-457E-8EFF-BC93615F849B}"/>
    <cellStyle name="Normal 17 5 2 3 2 4 2" xfId="26402" xr:uid="{A2C17CCF-3097-4DD0-A071-D4E4DF4E0CED}"/>
    <cellStyle name="Normal 17 5 2 3 2 5" xfId="18724" xr:uid="{5186D10D-98A7-4F1C-B11F-281098AF4A04}"/>
    <cellStyle name="Normal 17 5 2 3 3" xfId="2924" xr:uid="{EF50C333-CD1F-432B-A4E4-AC253A3A50A8}"/>
    <cellStyle name="Normal 17 5 2 3 3 2" xfId="6708" xr:uid="{00A2DE48-14B3-43E7-94F1-C69294DA0C23}"/>
    <cellStyle name="Normal 17 5 2 3 3 2 2" xfId="14220" xr:uid="{5EDCE8F0-6F26-45BE-A6AA-CBE8BCAC1266}"/>
    <cellStyle name="Normal 17 5 2 3 3 2 2 2" xfId="30424" xr:uid="{9CB0508F-655D-4C9D-A8F9-F560EBF71B6B}"/>
    <cellStyle name="Normal 17 5 2 3 3 2 3" xfId="22912" xr:uid="{2CE862A8-322F-421D-8789-E0CAA7F54446}"/>
    <cellStyle name="Normal 17 5 2 3 3 3" xfId="10620" xr:uid="{041802EA-3487-42C1-AADF-B9F40E3A48FC}"/>
    <cellStyle name="Normal 17 5 2 3 3 3 2" xfId="26824" xr:uid="{7501691D-6A30-4E34-B985-E51E98948E69}"/>
    <cellStyle name="Normal 17 5 2 3 3 4" xfId="19146" xr:uid="{1D6ECBB4-674D-4C5C-BB25-DC581693D94B}"/>
    <cellStyle name="Normal 17 5 2 3 4" xfId="3855" xr:uid="{854A60B7-268A-4683-9D6D-FDEF5809B5B0}"/>
    <cellStyle name="Normal 17 5 2 3 4 2" xfId="7565" xr:uid="{33A6F9A1-A576-4A01-9BE1-F43DC5FF9305}"/>
    <cellStyle name="Normal 17 5 2 3 4 2 2" xfId="15074" xr:uid="{1EBEA5DB-0027-4200-9883-223901A7DD58}"/>
    <cellStyle name="Normal 17 5 2 3 4 2 2 2" xfId="31278" xr:uid="{5B7ADA31-C73F-4A0E-8A6C-FF953F752105}"/>
    <cellStyle name="Normal 17 5 2 3 4 2 3" xfId="23769" xr:uid="{DA5FFDE1-E8AA-4CE5-BE45-D78386B110FC}"/>
    <cellStyle name="Normal 17 5 2 3 4 3" xfId="11465" xr:uid="{F87C647E-7D41-462C-89C1-3E8BA2CE772A}"/>
    <cellStyle name="Normal 17 5 2 3 4 3 2" xfId="27669" xr:uid="{9A33B84A-9155-41D9-BCC7-D60CB7CAB7F6}"/>
    <cellStyle name="Normal 17 5 2 3 4 4" xfId="20064" xr:uid="{C200F2F3-1359-4DE3-9658-CB6D330E422F}"/>
    <cellStyle name="Normal 17 5 2 3 5" xfId="4324" xr:uid="{0641CF50-5940-42BF-AAF3-B31D931D1637}"/>
    <cellStyle name="Normal 17 5 2 3 5 2" xfId="7994" xr:uid="{34725D1E-4D6E-4C64-AFDB-0185CE34DF44}"/>
    <cellStyle name="Normal 17 5 2 3 5 2 2" xfId="15501" xr:uid="{433AC0D2-400D-475A-AF6B-69D378AC060C}"/>
    <cellStyle name="Normal 17 5 2 3 5 2 2 2" xfId="31705" xr:uid="{6AD02C0C-D15F-4173-9819-20A8B6879AB3}"/>
    <cellStyle name="Normal 17 5 2 3 5 2 3" xfId="24198" xr:uid="{6FE0E950-C118-4D88-AA90-53C7CD55B80C}"/>
    <cellStyle name="Normal 17 5 2 3 5 3" xfId="11887" xr:uid="{BB823D28-2698-4B1A-9081-49B32A352B21}"/>
    <cellStyle name="Normal 17 5 2 3 5 3 2" xfId="28091" xr:uid="{5D0331C8-71B5-4ED3-A4D9-3096B28B7407}"/>
    <cellStyle name="Normal 17 5 2 3 5 4" xfId="20528" xr:uid="{86FEEF4A-5351-45D2-B740-C849A67790CB}"/>
    <cellStyle name="Normal 17 5 2 3 6" xfId="4749" xr:uid="{CA946334-C013-445F-B07E-9C4EF3660716}"/>
    <cellStyle name="Normal 17 5 2 3 6 2" xfId="8419" xr:uid="{8C91D065-F71F-4B17-86A2-0FBB92C26104}"/>
    <cellStyle name="Normal 17 5 2 3 6 2 2" xfId="15926" xr:uid="{77FFEFCE-BFE5-4B0A-90EC-52EBAD02A259}"/>
    <cellStyle name="Normal 17 5 2 3 6 2 2 2" xfId="32130" xr:uid="{D246EA7B-165E-470D-B87A-5FBC88FDBEDF}"/>
    <cellStyle name="Normal 17 5 2 3 6 2 3" xfId="24623" xr:uid="{1BA2A266-3266-4289-8345-8780A62EE17F}"/>
    <cellStyle name="Normal 17 5 2 3 6 3" xfId="12312" xr:uid="{932353AE-22E3-42BC-9FAE-A5B65350560E}"/>
    <cellStyle name="Normal 17 5 2 3 6 3 2" xfId="28516" xr:uid="{1EED3F6D-197C-4535-AE70-3A1FFDA4271C}"/>
    <cellStyle name="Normal 17 5 2 3 6 4" xfId="20953" xr:uid="{EFEA50CC-0209-4164-9ECC-4EE689FEDDFB}"/>
    <cellStyle name="Normal 17 5 2 3 7" xfId="5177" xr:uid="{AF90A2BB-EC66-49FD-B1E6-C9EE7091191B}"/>
    <cellStyle name="Normal 17 5 2 3 7 2" xfId="8842" xr:uid="{EE2ABA21-298A-4126-885D-352A674E3847}"/>
    <cellStyle name="Normal 17 5 2 3 7 2 2" xfId="16349" xr:uid="{D7A322EE-A4E7-4CB3-AB6E-51C52A57FFEC}"/>
    <cellStyle name="Normal 17 5 2 3 7 2 2 2" xfId="32553" xr:uid="{99748DE2-6C97-4911-9D47-A4AABC7EAB9C}"/>
    <cellStyle name="Normal 17 5 2 3 7 2 3" xfId="25046" xr:uid="{1FEBD1FC-13AA-4FFF-AA33-52B82F1B1FCB}"/>
    <cellStyle name="Normal 17 5 2 3 7 3" xfId="12734" xr:uid="{E89332DC-2484-41F6-A89A-7A283D5C67D5}"/>
    <cellStyle name="Normal 17 5 2 3 7 3 2" xfId="28938" xr:uid="{9124F8DB-25EE-4FB4-AE4A-2F5F64109ED8}"/>
    <cellStyle name="Normal 17 5 2 3 7 4" xfId="21381" xr:uid="{624036DE-B8DD-4197-A4B8-D09B7ADF7B37}"/>
    <cellStyle name="Normal 17 5 2 3 8" xfId="5848" xr:uid="{96A39A3F-95E1-4FF1-B803-5050D64D41A7}"/>
    <cellStyle name="Normal 17 5 2 3 8 2" xfId="13363" xr:uid="{D9972051-46B6-448F-ABA7-B3B52C3C2F72}"/>
    <cellStyle name="Normal 17 5 2 3 8 2 2" xfId="29567" xr:uid="{841BE0E4-A3E3-4C65-91DA-BCF2D15038A5}"/>
    <cellStyle name="Normal 17 5 2 3 8 3" xfId="22052" xr:uid="{2B0BD9B2-C649-4714-8FAC-0CC04216791E}"/>
    <cellStyle name="Normal 17 5 2 3 9" xfId="9775" xr:uid="{7B43E9CE-1935-4F89-80A4-9ADDE1DA819F}"/>
    <cellStyle name="Normal 17 5 2 3 9 2" xfId="25979" xr:uid="{20E6E507-A34C-4599-8E60-89CBA5D39EA1}"/>
    <cellStyle name="Normal 17 5 2 4" xfId="2072" xr:uid="{78CFDFBC-B39C-4D8C-BA98-950C25A6246D}"/>
    <cellStyle name="Normal 17 5 2 4 2" xfId="2985" xr:uid="{04120FF9-7F5E-4C41-8255-AFF5B4D70FD1}"/>
    <cellStyle name="Normal 17 5 2 4 2 2" xfId="6767" xr:uid="{17897882-A988-4F43-8D2E-46CF40278C6C}"/>
    <cellStyle name="Normal 17 5 2 4 2 2 2" xfId="14278" xr:uid="{14829D7F-9F3D-4C5A-B7F8-51114F51B226}"/>
    <cellStyle name="Normal 17 5 2 4 2 2 2 2" xfId="30482" xr:uid="{1C3F1C19-F33F-4ACF-AD22-DE7749E075C8}"/>
    <cellStyle name="Normal 17 5 2 4 2 2 3" xfId="22971" xr:uid="{B8BC7D07-C1B7-4ADC-9BC9-D182556E31A4}"/>
    <cellStyle name="Normal 17 5 2 4 2 3" xfId="10678" xr:uid="{BAE1C229-F2C1-4E55-B43E-BEB516B7C40F}"/>
    <cellStyle name="Normal 17 5 2 4 2 3 2" xfId="26882" xr:uid="{70DDA2EB-4F5D-4771-9216-F49A8BA5E663}"/>
    <cellStyle name="Normal 17 5 2 4 2 4" xfId="19205" xr:uid="{50A2EDB1-3BC3-49E2-935E-6F77624D8CBC}"/>
    <cellStyle name="Normal 17 5 2 4 3" xfId="5911" xr:uid="{586D0F1D-C8CF-4F4F-9507-2649D2B439DB}"/>
    <cellStyle name="Normal 17 5 2 4 3 2" xfId="13425" xr:uid="{CFEF1C44-35D8-46F8-8BAC-2DCF58DE62E5}"/>
    <cellStyle name="Normal 17 5 2 4 3 2 2" xfId="29629" xr:uid="{EC25AB80-6931-49C4-B15A-77CDB586EDCB}"/>
    <cellStyle name="Normal 17 5 2 4 3 3" xfId="22115" xr:uid="{5C4906BD-F633-417B-B11E-2AE576A7C3D6}"/>
    <cellStyle name="Normal 17 5 2 4 4" xfId="9834" xr:uid="{AEDCBA1F-5957-4DAC-8A19-30E72CB8C5C9}"/>
    <cellStyle name="Normal 17 5 2 4 4 2" xfId="26038" xr:uid="{E7136BD5-7532-4FA1-800D-73CDD7E85AEB}"/>
    <cellStyle name="Normal 17 5 2 4 5" xfId="18359" xr:uid="{CE002510-9AF0-4BCC-BC8E-25EB661C1074}"/>
    <cellStyle name="Normal 17 5 2 5" xfId="2560" xr:uid="{4F62902C-16CF-4066-AA18-55A1C5E00974}"/>
    <cellStyle name="Normal 17 5 2 5 2" xfId="6344" xr:uid="{7410B30D-7C2F-49FE-ABDB-76AAA1CB61BB}"/>
    <cellStyle name="Normal 17 5 2 5 2 2" xfId="13856" xr:uid="{AC220659-571E-4503-A306-1C4F63DC1F5C}"/>
    <cellStyle name="Normal 17 5 2 5 2 2 2" xfId="30060" xr:uid="{39679298-6B7E-498A-9711-8D0309D44A8E}"/>
    <cellStyle name="Normal 17 5 2 5 2 3" xfId="22548" xr:uid="{02B28B12-ED0F-4940-958A-9C086AEEB254}"/>
    <cellStyle name="Normal 17 5 2 5 3" xfId="10256" xr:uid="{EC2FA324-9DC4-4824-AFE3-A1265A88D385}"/>
    <cellStyle name="Normal 17 5 2 5 3 2" xfId="26460" xr:uid="{A42CCE27-A50E-4959-916B-53A645F6323D}"/>
    <cellStyle name="Normal 17 5 2 5 4" xfId="18782" xr:uid="{FE78186E-E9FD-4C06-A97E-841F792690FA}"/>
    <cellStyle name="Normal 17 5 2 6" xfId="3436" xr:uid="{ED9C3723-DDCA-49B0-B624-648FF056EA1A}"/>
    <cellStyle name="Normal 17 5 2 6 2" xfId="7194" xr:uid="{BA706911-C74F-443B-B2CF-B736261CB3FF}"/>
    <cellStyle name="Normal 17 5 2 6 2 2" xfId="14704" xr:uid="{5ECC756F-6BD7-4439-86FC-1C10D4EF532C}"/>
    <cellStyle name="Normal 17 5 2 6 2 2 2" xfId="30908" xr:uid="{583416FC-7B7B-4965-AB81-EBAAC18C1843}"/>
    <cellStyle name="Normal 17 5 2 6 2 3" xfId="23398" xr:uid="{DFB0299B-69BF-40E3-94B5-AA5B7E17C616}"/>
    <cellStyle name="Normal 17 5 2 6 3" xfId="11101" xr:uid="{3CC9DFE9-11F1-4E51-952A-639A0FB5F0D1}"/>
    <cellStyle name="Normal 17 5 2 6 3 2" xfId="27305" xr:uid="{EFD831CA-B103-422D-ACEC-9F217E72F00A}"/>
    <cellStyle name="Normal 17 5 2 6 4" xfId="19652" xr:uid="{A876AE8F-FA8F-4ABD-A433-A2DB26B31426}"/>
    <cellStyle name="Normal 17 5 2 7" xfId="3960" xr:uid="{56B35367-A3BB-48F0-B1EE-474CEC4279D9}"/>
    <cellStyle name="Normal 17 5 2 7 2" xfId="7630" xr:uid="{D9011987-A4D5-4E5E-9B38-F793655516C6}"/>
    <cellStyle name="Normal 17 5 2 7 2 2" xfId="15137" xr:uid="{C4CBDBC6-5AC4-4878-8897-183DD786BD05}"/>
    <cellStyle name="Normal 17 5 2 7 2 2 2" xfId="31341" xr:uid="{6630E29A-2310-42E1-8733-02BF9E431504}"/>
    <cellStyle name="Normal 17 5 2 7 2 3" xfId="23834" xr:uid="{D9136468-9260-4AD9-A1D1-963365E9E094}"/>
    <cellStyle name="Normal 17 5 2 7 3" xfId="11523" xr:uid="{99A87E1D-E4BD-4039-8914-53F47A87A7EA}"/>
    <cellStyle name="Normal 17 5 2 7 3 2" xfId="27727" xr:uid="{4DA83366-F9B2-463B-BDEE-F67F022B62DB}"/>
    <cellStyle name="Normal 17 5 2 7 4" xfId="20164" xr:uid="{2D764F85-5D71-43BA-A2FD-12B5968D1B11}"/>
    <cellStyle name="Normal 17 5 2 8" xfId="4385" xr:uid="{4BD984ED-C018-4971-B679-50B67DF962F0}"/>
    <cellStyle name="Normal 17 5 2 8 2" xfId="8055" xr:uid="{7BDDAA20-4FCF-41AD-AD20-0FE40394BFF7}"/>
    <cellStyle name="Normal 17 5 2 8 2 2" xfId="15562" xr:uid="{96134D1B-8EFF-4F04-87D4-89532E59F30B}"/>
    <cellStyle name="Normal 17 5 2 8 2 2 2" xfId="31766" xr:uid="{9BEB91DA-49D7-49E8-8F57-3C80E64A18D0}"/>
    <cellStyle name="Normal 17 5 2 8 2 3" xfId="24259" xr:uid="{1CF1F889-62DF-4B90-8C87-A36FBC5287AD}"/>
    <cellStyle name="Normal 17 5 2 8 3" xfId="11948" xr:uid="{2B49F851-3CC3-4E3E-89F2-B6806D9CAB53}"/>
    <cellStyle name="Normal 17 5 2 8 3 2" xfId="28152" xr:uid="{21548414-B9AA-4D97-B551-3061E4A89EB8}"/>
    <cellStyle name="Normal 17 5 2 8 4" xfId="20589" xr:uid="{43E5F88E-20BC-4090-9D8E-E2144312BCD4}"/>
    <cellStyle name="Normal 17 5 2 9" xfId="4809" xr:uid="{268F6EB5-F939-42C5-BBA4-9D53A4E7C032}"/>
    <cellStyle name="Normal 17 5 2 9 2" xfId="8478" xr:uid="{C3268F08-358F-436C-B5BF-A0F4C30B0B92}"/>
    <cellStyle name="Normal 17 5 2 9 2 2" xfId="15985" xr:uid="{B4AC7A33-2284-46EB-9C3B-4555504F9C9B}"/>
    <cellStyle name="Normal 17 5 2 9 2 2 2" xfId="32189" xr:uid="{BB0DCFD2-2C5E-4F71-BB54-9A8785B14609}"/>
    <cellStyle name="Normal 17 5 2 9 2 3" xfId="24682" xr:uid="{9B41BECF-E7D3-4301-B374-4E9A0C11EA50}"/>
    <cellStyle name="Normal 17 5 2 9 3" xfId="12370" xr:uid="{F2DF2806-84D1-4FE3-8637-C9950D9AA987}"/>
    <cellStyle name="Normal 17 5 2 9 3 2" xfId="28574" xr:uid="{D399DE11-CECB-473F-8983-AD11AD8521D2}"/>
    <cellStyle name="Normal 17 5 2 9 4" xfId="21013" xr:uid="{ACED2D02-6994-41D8-993F-1C5FC91A19D2}"/>
    <cellStyle name="Normal 17 5 3" xfId="521" xr:uid="{DA3094A3-4F7F-4E27-8CB3-414ABBA6BA5D}"/>
    <cellStyle name="Normal 17 5 3 10" xfId="5318" xr:uid="{82925B58-A270-46F4-B223-F33E4A31C849}"/>
    <cellStyle name="Normal 17 5 3 10 2" xfId="12867" xr:uid="{BCA67679-A500-41F6-BB8D-2FB9A7E30383}"/>
    <cellStyle name="Normal 17 5 3 10 2 2" xfId="29071" xr:uid="{DE567173-C24C-48CE-8ABB-6DC17FC27105}"/>
    <cellStyle name="Normal 17 5 3 10 3" xfId="21522" xr:uid="{A0A6B596-0892-4CFF-8EB2-ED22A6A60F95}"/>
    <cellStyle name="Normal 17 5 3 11" xfId="9433" xr:uid="{182F149B-7173-462E-88B0-EA622E06F7DA}"/>
    <cellStyle name="Normal 17 5 3 11 2" xfId="25637" xr:uid="{79AB65B3-E0E2-4865-A751-09E6D7D0D7D9}"/>
    <cellStyle name="Normal 17 5 3 12" xfId="17948" xr:uid="{53182B74-B994-431B-B2C6-DD04CEAC23C0}"/>
    <cellStyle name="Normal 17 5 3 2" xfId="592" xr:uid="{8731D71E-CEC3-450E-BE22-13E63CB363C0}"/>
    <cellStyle name="Normal 17 5 3 2 10" xfId="9500" xr:uid="{910B97B4-5332-4E74-824A-3613F69F72FF}"/>
    <cellStyle name="Normal 17 5 3 2 10 2" xfId="25704" xr:uid="{74F40F64-38AE-486A-9EAE-0A688421AD63}"/>
    <cellStyle name="Normal 17 5 3 2 11" xfId="18016" xr:uid="{D63F19FA-33B1-44A1-983C-4BEDCED3C864}"/>
    <cellStyle name="Normal 17 5 3 2 2" xfId="1997" xr:uid="{9734F57C-DD51-408A-85A5-C28EDF3EC43D}"/>
    <cellStyle name="Normal 17 5 3 2 2 10" xfId="18300" xr:uid="{028DC99D-EF77-474B-82C3-F463691F81E6}"/>
    <cellStyle name="Normal 17 5 3 2 2 2" xfId="2503" xr:uid="{385CAA52-504D-4060-8530-100083B68FF8}"/>
    <cellStyle name="Normal 17 5 3 2 2 2 2" xfId="3350" xr:uid="{EAB349D9-2E13-42E6-8ACE-29D2D739454A}"/>
    <cellStyle name="Normal 17 5 3 2 2 2 2 2" xfId="7132" xr:uid="{ADB82455-F9C5-405E-B5E6-4C419A1DE106}"/>
    <cellStyle name="Normal 17 5 3 2 2 2 2 2 2" xfId="14643" xr:uid="{A54361F8-FD30-4234-968B-10C9C00B9ABF}"/>
    <cellStyle name="Normal 17 5 3 2 2 2 2 2 2 2" xfId="30847" xr:uid="{2B20D237-0D31-439D-9914-E910D28F2A48}"/>
    <cellStyle name="Normal 17 5 3 2 2 2 2 2 3" xfId="23336" xr:uid="{FC5E0810-44E4-452C-9788-518077AF5359}"/>
    <cellStyle name="Normal 17 5 3 2 2 2 2 3" xfId="11043" xr:uid="{865D4044-828D-4D1B-8817-8CBBFF2ABB66}"/>
    <cellStyle name="Normal 17 5 3 2 2 2 2 3 2" xfId="27247" xr:uid="{98178E76-3F6F-45D5-9F70-04A0988E1BD1}"/>
    <cellStyle name="Normal 17 5 3 2 2 2 2 4" xfId="19570" xr:uid="{C2394939-0C73-4AF8-BE9D-658CF4086BA8}"/>
    <cellStyle name="Normal 17 5 3 2 2 2 3" xfId="6287" xr:uid="{B8691054-0264-49B3-A1B8-358D1E186954}"/>
    <cellStyle name="Normal 17 5 3 2 2 2 3 2" xfId="13799" xr:uid="{01D2324D-42DD-45E1-B5A4-E85579C6AF72}"/>
    <cellStyle name="Normal 17 5 3 2 2 2 3 2 2" xfId="30003" xr:uid="{1288C7B1-D463-4EAD-9734-461F2ADE7424}"/>
    <cellStyle name="Normal 17 5 3 2 2 2 3 3" xfId="22491" xr:uid="{74ACC89A-1092-4863-9F30-4000AE419363}"/>
    <cellStyle name="Normal 17 5 3 2 2 2 4" xfId="10199" xr:uid="{A5D30A59-34C6-4001-99EE-C252364309FE}"/>
    <cellStyle name="Normal 17 5 3 2 2 2 4 2" xfId="26403" xr:uid="{E4EEE266-0A36-4E89-B86D-C503F455A2F7}"/>
    <cellStyle name="Normal 17 5 3 2 2 2 5" xfId="18725" xr:uid="{199EB96B-99C0-4CE7-A07E-157CEBF8F451}"/>
    <cellStyle name="Normal 17 5 3 2 2 3" xfId="2925" xr:uid="{9558A412-ECE1-41D6-B648-9F424848D399}"/>
    <cellStyle name="Normal 17 5 3 2 2 3 2" xfId="6709" xr:uid="{3494D244-5780-4BF6-A31F-9A2EFA1D2248}"/>
    <cellStyle name="Normal 17 5 3 2 2 3 2 2" xfId="14221" xr:uid="{7EDA67E2-79F8-468E-8803-DDF7B3A8F700}"/>
    <cellStyle name="Normal 17 5 3 2 2 3 2 2 2" xfId="30425" xr:uid="{91B8FC5A-9349-43E5-AE09-E5DDD927DFA0}"/>
    <cellStyle name="Normal 17 5 3 2 2 3 2 3" xfId="22913" xr:uid="{625B9CAB-997A-486C-986B-800441EC5426}"/>
    <cellStyle name="Normal 17 5 3 2 2 3 3" xfId="10621" xr:uid="{40C402DD-8EBE-420C-8C8F-9FD2178BF3C0}"/>
    <cellStyle name="Normal 17 5 3 2 2 3 3 2" xfId="26825" xr:uid="{5E15C5C2-6A74-4E4E-B69F-FE9CC0E53145}"/>
    <cellStyle name="Normal 17 5 3 2 2 3 4" xfId="19147" xr:uid="{DF5A55E3-021D-4133-A5B7-341E3C7ACC20}"/>
    <cellStyle name="Normal 17 5 3 2 2 4" xfId="3856" xr:uid="{663EDFC1-7608-4C95-BB79-E5B89564E830}"/>
    <cellStyle name="Normal 17 5 3 2 2 4 2" xfId="7566" xr:uid="{7B23871C-8B27-4D43-AD40-12FDFC4D8395}"/>
    <cellStyle name="Normal 17 5 3 2 2 4 2 2" xfId="15075" xr:uid="{9725E76F-F1DD-4F04-9F11-B62058219206}"/>
    <cellStyle name="Normal 17 5 3 2 2 4 2 2 2" xfId="31279" xr:uid="{EA847C0B-AD23-44EB-9CBB-2BE68304BBCB}"/>
    <cellStyle name="Normal 17 5 3 2 2 4 2 3" xfId="23770" xr:uid="{B31CCCF6-467A-437A-9E29-F09721FCDA3A}"/>
    <cellStyle name="Normal 17 5 3 2 2 4 3" xfId="11466" xr:uid="{CEA3EE69-7B93-42F9-9B32-AB92907B7AD5}"/>
    <cellStyle name="Normal 17 5 3 2 2 4 3 2" xfId="27670" xr:uid="{06136A8F-3B46-421F-B2C2-4F1BC7BA18C7}"/>
    <cellStyle name="Normal 17 5 3 2 2 4 4" xfId="20065" xr:uid="{E0C8A7B2-B7BB-49CC-84C8-CC8B192BD909}"/>
    <cellStyle name="Normal 17 5 3 2 2 5" xfId="4325" xr:uid="{DF0CA404-E357-405E-87B9-37A477021A7D}"/>
    <cellStyle name="Normal 17 5 3 2 2 5 2" xfId="7995" xr:uid="{7CBB0790-4234-4FBA-9EE8-4FED06C7CB78}"/>
    <cellStyle name="Normal 17 5 3 2 2 5 2 2" xfId="15502" xr:uid="{5559F89E-2D79-4F94-99CE-5837F351CEE9}"/>
    <cellStyle name="Normal 17 5 3 2 2 5 2 2 2" xfId="31706" xr:uid="{F3508086-48EB-4248-B4A9-466D8DB9083E}"/>
    <cellStyle name="Normal 17 5 3 2 2 5 2 3" xfId="24199" xr:uid="{058745A0-6C8A-44BD-B227-A75639730B2A}"/>
    <cellStyle name="Normal 17 5 3 2 2 5 3" xfId="11888" xr:uid="{D4150FE9-CFC4-452A-85B8-7D93B26B483D}"/>
    <cellStyle name="Normal 17 5 3 2 2 5 3 2" xfId="28092" xr:uid="{9310C01F-4B1B-4EB6-A3D4-7E8C33FE7E7D}"/>
    <cellStyle name="Normal 17 5 3 2 2 5 4" xfId="20529" xr:uid="{C8A466A9-58E2-408F-BBA2-87068CBCA708}"/>
    <cellStyle name="Normal 17 5 3 2 2 6" xfId="4750" xr:uid="{D6E4C0C1-B8DF-48EA-A3FA-53C4CF3E9AEE}"/>
    <cellStyle name="Normal 17 5 3 2 2 6 2" xfId="8420" xr:uid="{BFFB7C30-5DC9-4297-88FE-E34F019C8C20}"/>
    <cellStyle name="Normal 17 5 3 2 2 6 2 2" xfId="15927" xr:uid="{93B4D9C4-52B7-4A3C-B4AB-1EEDDDDA55F5}"/>
    <cellStyle name="Normal 17 5 3 2 2 6 2 2 2" xfId="32131" xr:uid="{64E920CD-F1E7-4B52-9A1B-EF9AC4D7ADC4}"/>
    <cellStyle name="Normal 17 5 3 2 2 6 2 3" xfId="24624" xr:uid="{552EA97D-92C6-460E-91AB-8CF5E446680D}"/>
    <cellStyle name="Normal 17 5 3 2 2 6 3" xfId="12313" xr:uid="{BB5A02DE-8AE2-40C7-9610-9D64365A394C}"/>
    <cellStyle name="Normal 17 5 3 2 2 6 3 2" xfId="28517" xr:uid="{BA87C9E3-B5FF-4453-9A85-8400645E2205}"/>
    <cellStyle name="Normal 17 5 3 2 2 6 4" xfId="20954" xr:uid="{57B4781F-8C96-42FD-8997-4CA969CC2578}"/>
    <cellStyle name="Normal 17 5 3 2 2 7" xfId="5178" xr:uid="{59EDF2B0-D5FA-4801-94A8-43CC137162EE}"/>
    <cellStyle name="Normal 17 5 3 2 2 7 2" xfId="8843" xr:uid="{FA028842-A7D6-4173-8261-3F869180BF0C}"/>
    <cellStyle name="Normal 17 5 3 2 2 7 2 2" xfId="16350" xr:uid="{7CF2392C-0A2D-41AE-9F45-D5B7F296294E}"/>
    <cellStyle name="Normal 17 5 3 2 2 7 2 2 2" xfId="32554" xr:uid="{67894B05-D935-42E7-B9C1-331375E07AC2}"/>
    <cellStyle name="Normal 17 5 3 2 2 7 2 3" xfId="25047" xr:uid="{B72872F9-C73A-4A0E-AC61-AEA75DB66561}"/>
    <cellStyle name="Normal 17 5 3 2 2 7 3" xfId="12735" xr:uid="{5432F443-A650-4EC4-AF0B-9DF3F49BDF3B}"/>
    <cellStyle name="Normal 17 5 3 2 2 7 3 2" xfId="28939" xr:uid="{1F1C065E-70AF-40EB-A89A-2FF27C458E81}"/>
    <cellStyle name="Normal 17 5 3 2 2 7 4" xfId="21382" xr:uid="{9B55D1D8-42E2-455E-B99D-4F378797713F}"/>
    <cellStyle name="Normal 17 5 3 2 2 8" xfId="5849" xr:uid="{E10392DD-CC1E-400B-9377-F6CBE24DC770}"/>
    <cellStyle name="Normal 17 5 3 2 2 8 2" xfId="13364" xr:uid="{CD1468BA-D634-4C5D-A0C8-10692B93846C}"/>
    <cellStyle name="Normal 17 5 3 2 2 8 2 2" xfId="29568" xr:uid="{7ABB837D-2561-4A9B-BE45-D76614A1BD05}"/>
    <cellStyle name="Normal 17 5 3 2 2 8 3" xfId="22053" xr:uid="{E53B5890-42E7-408A-97C0-67F9C5D4F3E5}"/>
    <cellStyle name="Normal 17 5 3 2 2 9" xfId="9776" xr:uid="{908E8FF8-D600-489B-BB50-FC97D0D8C0B3}"/>
    <cellStyle name="Normal 17 5 3 2 2 9 2" xfId="25980" xr:uid="{9C5931C5-85E6-4D36-B5C3-FDBD56C22786}"/>
    <cellStyle name="Normal 17 5 3 2 3" xfId="2161" xr:uid="{2A4F749B-B9AD-41D4-A532-B15578CEC78A}"/>
    <cellStyle name="Normal 17 5 3 2 3 2" xfId="3074" xr:uid="{78BA86B5-8B03-4ECC-93B0-7FB3C5C5DBE9}"/>
    <cellStyle name="Normal 17 5 3 2 3 2 2" xfId="6856" xr:uid="{48ABDF57-269E-413C-9EE7-87655F8FFEDF}"/>
    <cellStyle name="Normal 17 5 3 2 3 2 2 2" xfId="14367" xr:uid="{39053221-7D00-4C65-8E76-F1A0A17363E6}"/>
    <cellStyle name="Normal 17 5 3 2 3 2 2 2 2" xfId="30571" xr:uid="{99FA465A-D792-45D2-80DC-4F81E8C62634}"/>
    <cellStyle name="Normal 17 5 3 2 3 2 2 3" xfId="23060" xr:uid="{EEA5BEB1-9C57-4BDE-9C85-92B4D1D3FC35}"/>
    <cellStyle name="Normal 17 5 3 2 3 2 3" xfId="10767" xr:uid="{52FE4CA2-2BC4-4307-8A3C-E7893FE9643C}"/>
    <cellStyle name="Normal 17 5 3 2 3 2 3 2" xfId="26971" xr:uid="{6F6F25F0-E9DB-4163-B41B-DCD82720C13A}"/>
    <cellStyle name="Normal 17 5 3 2 3 2 4" xfId="19294" xr:uid="{289C6765-B1A7-4F3B-BDB6-078C2A7F59D0}"/>
    <cellStyle name="Normal 17 5 3 2 3 3" xfId="6000" xr:uid="{0FD04866-43CE-457E-97A3-54C234C983E6}"/>
    <cellStyle name="Normal 17 5 3 2 3 3 2" xfId="13514" xr:uid="{214AE99C-B386-49CE-A00B-AEB0E4F1D1CC}"/>
    <cellStyle name="Normal 17 5 3 2 3 3 2 2" xfId="29718" xr:uid="{000210CB-B55C-4189-BD21-28B0457FC27C}"/>
    <cellStyle name="Normal 17 5 3 2 3 3 3" xfId="22204" xr:uid="{448977EC-746E-433C-89BF-3F84A4E7E37B}"/>
    <cellStyle name="Normal 17 5 3 2 3 4" xfId="9923" xr:uid="{0514DAC6-5336-4B14-9A93-BE4C359555A2}"/>
    <cellStyle name="Normal 17 5 3 2 3 4 2" xfId="26127" xr:uid="{7DE9DB2A-38E5-4D42-B4C7-0E818F980A7D}"/>
    <cellStyle name="Normal 17 5 3 2 3 5" xfId="18448" xr:uid="{7D81135C-8FCC-4363-AE62-5151596BAC6B}"/>
    <cellStyle name="Normal 17 5 3 2 4" xfId="2649" xr:uid="{E1049442-43D2-4D86-AA1B-0AD03FE41430}"/>
    <cellStyle name="Normal 17 5 3 2 4 2" xfId="6433" xr:uid="{47DCF12E-ABB1-4E41-9E25-A051ED18FFA4}"/>
    <cellStyle name="Normal 17 5 3 2 4 2 2" xfId="13945" xr:uid="{CB7CD76F-EC9C-4D3A-A849-5CC03B67445F}"/>
    <cellStyle name="Normal 17 5 3 2 4 2 2 2" xfId="30149" xr:uid="{9BAA048E-3003-4476-8499-7D9632189097}"/>
    <cellStyle name="Normal 17 5 3 2 4 2 3" xfId="22637" xr:uid="{11954363-AF52-48BC-BF34-85F940C1FA25}"/>
    <cellStyle name="Normal 17 5 3 2 4 3" xfId="10345" xr:uid="{C17053F6-3475-417E-9466-39C9CB3340D2}"/>
    <cellStyle name="Normal 17 5 3 2 4 3 2" xfId="26549" xr:uid="{0D33E570-0E88-477E-8C24-639D5403C5DA}"/>
    <cellStyle name="Normal 17 5 3 2 4 4" xfId="18871" xr:uid="{42BCDEB9-D765-4D1E-B875-AF09A433FCD7}"/>
    <cellStyle name="Normal 17 5 3 2 5" xfId="3525" xr:uid="{0B9CA914-CE2F-43DC-ACF1-6A2944E8DCA1}"/>
    <cellStyle name="Normal 17 5 3 2 5 2" xfId="7283" xr:uid="{CAF00CDB-C991-48CA-A128-E8788187E26A}"/>
    <cellStyle name="Normal 17 5 3 2 5 2 2" xfId="14793" xr:uid="{01DE5EE1-0DBC-4269-ACFB-CEDCDD615AE2}"/>
    <cellStyle name="Normal 17 5 3 2 5 2 2 2" xfId="30997" xr:uid="{4EB32FEA-88A6-4B6F-9882-6067865FD954}"/>
    <cellStyle name="Normal 17 5 3 2 5 2 3" xfId="23487" xr:uid="{E2C18FD0-6881-4822-B4EB-E28E49F863AB}"/>
    <cellStyle name="Normal 17 5 3 2 5 3" xfId="11190" xr:uid="{11AD8541-88EA-46DD-A745-152A3656C25A}"/>
    <cellStyle name="Normal 17 5 3 2 5 3 2" xfId="27394" xr:uid="{1490FAA7-2DE9-4214-B324-E0B7A14A6C54}"/>
    <cellStyle name="Normal 17 5 3 2 5 4" xfId="19741" xr:uid="{58226BE3-DAE0-463F-88C4-28B2B4B52AA1}"/>
    <cellStyle name="Normal 17 5 3 2 6" xfId="4049" xr:uid="{3392B13C-349D-4A85-A653-29B43C5502BC}"/>
    <cellStyle name="Normal 17 5 3 2 6 2" xfId="7719" xr:uid="{32E79316-9491-4431-A2D4-F641B950D738}"/>
    <cellStyle name="Normal 17 5 3 2 6 2 2" xfId="15226" xr:uid="{E33C4D41-0576-45D2-86F8-57BF1AC2CB6A}"/>
    <cellStyle name="Normal 17 5 3 2 6 2 2 2" xfId="31430" xr:uid="{BB7AF6EF-B39A-4610-8746-62246B798514}"/>
    <cellStyle name="Normal 17 5 3 2 6 2 3" xfId="23923" xr:uid="{3DFD5B57-7A29-4DD4-BB97-03DAED72F162}"/>
    <cellStyle name="Normal 17 5 3 2 6 3" xfId="11612" xr:uid="{DD58D915-203A-4BC0-B182-E03E24A17A46}"/>
    <cellStyle name="Normal 17 5 3 2 6 3 2" xfId="27816" xr:uid="{A6A843C0-DAD5-457B-B622-E892DB132210}"/>
    <cellStyle name="Normal 17 5 3 2 6 4" xfId="20253" xr:uid="{E6B36EBA-68C5-4198-AB6E-389A48FBA5AF}"/>
    <cellStyle name="Normal 17 5 3 2 7" xfId="4474" xr:uid="{36CC5DAC-70F5-409E-8A46-64FB94A9C82C}"/>
    <cellStyle name="Normal 17 5 3 2 7 2" xfId="8144" xr:uid="{6D58C0E0-CA34-49E5-A8D6-AFD5F35F8FC1}"/>
    <cellStyle name="Normal 17 5 3 2 7 2 2" xfId="15651" xr:uid="{2A411197-C979-43D5-AAED-77258B8DEFE6}"/>
    <cellStyle name="Normal 17 5 3 2 7 2 2 2" xfId="31855" xr:uid="{6728D24B-518D-456F-B665-918E0957107D}"/>
    <cellStyle name="Normal 17 5 3 2 7 2 3" xfId="24348" xr:uid="{3745F5AA-3225-4DA2-BE65-F64EAC183C0F}"/>
    <cellStyle name="Normal 17 5 3 2 7 3" xfId="12037" xr:uid="{7E483400-4C73-4F6D-A9B8-081FD5F35AED}"/>
    <cellStyle name="Normal 17 5 3 2 7 3 2" xfId="28241" xr:uid="{87E9251F-9E95-457D-AAB4-08C55BC68AC4}"/>
    <cellStyle name="Normal 17 5 3 2 7 4" xfId="20678" xr:uid="{F73D1C64-CC38-496C-8934-D94362EDB16A}"/>
    <cellStyle name="Normal 17 5 3 2 8" xfId="4899" xr:uid="{A79A5841-521A-4F32-ABC2-99EA3BC24139}"/>
    <cellStyle name="Normal 17 5 3 2 8 2" xfId="8567" xr:uid="{C175E642-54A8-4241-83ED-07EA72FE5DA7}"/>
    <cellStyle name="Normal 17 5 3 2 8 2 2" xfId="16074" xr:uid="{7553E274-BF3B-4069-BCE5-E70AF59ED114}"/>
    <cellStyle name="Normal 17 5 3 2 8 2 2 2" xfId="32278" xr:uid="{2590FAFA-B073-4586-97BF-A9CED27EB629}"/>
    <cellStyle name="Normal 17 5 3 2 8 2 3" xfId="24771" xr:uid="{16B7B900-4679-462A-9B5B-8A9158711C8E}"/>
    <cellStyle name="Normal 17 5 3 2 8 3" xfId="12459" xr:uid="{C786DBDF-FC28-4ED8-A801-96E520F0F60B}"/>
    <cellStyle name="Normal 17 5 3 2 8 3 2" xfId="28663" xr:uid="{3CC67E83-ADF1-4308-B5E0-CE16BC263961}"/>
    <cellStyle name="Normal 17 5 3 2 8 4" xfId="21103" xr:uid="{5C633EC7-D464-46CD-A2AD-6684DB12A77A}"/>
    <cellStyle name="Normal 17 5 3 2 9" xfId="5385" xr:uid="{D3BCC0AA-8F81-4392-B070-AD02880BA0D2}"/>
    <cellStyle name="Normal 17 5 3 2 9 2" xfId="12934" xr:uid="{B6E3EE34-7E24-407F-AA67-E4B0830AB6BD}"/>
    <cellStyle name="Normal 17 5 3 2 9 2 2" xfId="29138" xr:uid="{0C219556-23BD-4B07-87ED-58CC8D48B853}"/>
    <cellStyle name="Normal 17 5 3 2 9 3" xfId="21589" xr:uid="{764DF12D-779D-4ED3-A8B1-BED090BDF4E0}"/>
    <cellStyle name="Normal 17 5 3 3" xfId="1998" xr:uid="{CE974F61-0F62-44EE-AD01-D9CDC3D65843}"/>
    <cellStyle name="Normal 17 5 3 3 10" xfId="18301" xr:uid="{2E288FBC-3328-4440-98B6-F3EE3902BF74}"/>
    <cellStyle name="Normal 17 5 3 3 2" xfId="2504" xr:uid="{362277A8-F66C-4EED-A174-617B9DED0CF7}"/>
    <cellStyle name="Normal 17 5 3 3 2 2" xfId="3351" xr:uid="{E80997C8-9D11-44FE-91E1-CABA9A0444B0}"/>
    <cellStyle name="Normal 17 5 3 3 2 2 2" xfId="7133" xr:uid="{1E7DDF0D-0798-4FBC-8004-18E964823297}"/>
    <cellStyle name="Normal 17 5 3 3 2 2 2 2" xfId="14644" xr:uid="{FC9BD21E-30F8-42C4-B019-120E5B682952}"/>
    <cellStyle name="Normal 17 5 3 3 2 2 2 2 2" xfId="30848" xr:uid="{ACF09502-6DC5-40B0-A154-B8240048584F}"/>
    <cellStyle name="Normal 17 5 3 3 2 2 2 3" xfId="23337" xr:uid="{EDBDCC12-7604-4964-9097-CB6B034EA7E6}"/>
    <cellStyle name="Normal 17 5 3 3 2 2 3" xfId="11044" xr:uid="{81239A63-4966-4396-A780-294C402DA20F}"/>
    <cellStyle name="Normal 17 5 3 3 2 2 3 2" xfId="27248" xr:uid="{6EE19921-B58C-40F2-9BC3-7F0E3C7A7DBA}"/>
    <cellStyle name="Normal 17 5 3 3 2 2 4" xfId="19571" xr:uid="{096C2C90-2A83-4305-95C6-C7CEFB9AD1A6}"/>
    <cellStyle name="Normal 17 5 3 3 2 3" xfId="6288" xr:uid="{B5D2BE25-9959-4776-B01D-A4931DEFEF23}"/>
    <cellStyle name="Normal 17 5 3 3 2 3 2" xfId="13800" xr:uid="{CED285FC-12AE-4640-8738-618131C2AFCD}"/>
    <cellStyle name="Normal 17 5 3 3 2 3 2 2" xfId="30004" xr:uid="{C84AEBA6-7D58-4207-A2F9-2EDC399285B4}"/>
    <cellStyle name="Normal 17 5 3 3 2 3 3" xfId="22492" xr:uid="{B0FECF97-12A9-46EE-BFE7-AFE4682DEF74}"/>
    <cellStyle name="Normal 17 5 3 3 2 4" xfId="10200" xr:uid="{A0227566-7204-43AC-9415-604FB8ADBF5B}"/>
    <cellStyle name="Normal 17 5 3 3 2 4 2" xfId="26404" xr:uid="{49AC6190-CB9F-4827-8177-94A8BA6E0A96}"/>
    <cellStyle name="Normal 17 5 3 3 2 5" xfId="18726" xr:uid="{3108B4A3-71DA-4A6D-9608-C997382933E4}"/>
    <cellStyle name="Normal 17 5 3 3 3" xfId="2926" xr:uid="{448A5B00-8B23-4052-A9EF-8702EAE998A5}"/>
    <cellStyle name="Normal 17 5 3 3 3 2" xfId="6710" xr:uid="{FB70748F-B7D1-46B3-996F-E83DA7936D74}"/>
    <cellStyle name="Normal 17 5 3 3 3 2 2" xfId="14222" xr:uid="{845D8A49-DB27-4EAC-AF26-92F8EC71935E}"/>
    <cellStyle name="Normal 17 5 3 3 3 2 2 2" xfId="30426" xr:uid="{9F01DC35-259C-4E0D-9944-71A29C53753C}"/>
    <cellStyle name="Normal 17 5 3 3 3 2 3" xfId="22914" xr:uid="{552E7EEF-5CC9-4859-B3C9-2620DA3EEA98}"/>
    <cellStyle name="Normal 17 5 3 3 3 3" xfId="10622" xr:uid="{4BF18E45-A491-4625-947F-E61E7BD6A8AB}"/>
    <cellStyle name="Normal 17 5 3 3 3 3 2" xfId="26826" xr:uid="{84160ABF-1D46-4A69-BF4E-2962C5E5EDD2}"/>
    <cellStyle name="Normal 17 5 3 3 3 4" xfId="19148" xr:uid="{E39CB7EC-8DC4-4433-ADDA-CF23DE973FE7}"/>
    <cellStyle name="Normal 17 5 3 3 4" xfId="3857" xr:uid="{CECA5B8C-E9BB-4459-807D-C85B2158334D}"/>
    <cellStyle name="Normal 17 5 3 3 4 2" xfId="7567" xr:uid="{2D0F5BAD-936B-44AE-8A64-65EFCA3B6AEA}"/>
    <cellStyle name="Normal 17 5 3 3 4 2 2" xfId="15076" xr:uid="{05A2ACC4-46D4-4E80-B6F1-6B9CAFD356DD}"/>
    <cellStyle name="Normal 17 5 3 3 4 2 2 2" xfId="31280" xr:uid="{AC8FB491-EA33-40C5-B796-97A6949E6689}"/>
    <cellStyle name="Normal 17 5 3 3 4 2 3" xfId="23771" xr:uid="{3A7CBE77-E506-43B9-A4BB-4B252E6FBACD}"/>
    <cellStyle name="Normal 17 5 3 3 4 3" xfId="11467" xr:uid="{AB7B3E92-0C4E-457C-8058-CB290C46CB82}"/>
    <cellStyle name="Normal 17 5 3 3 4 3 2" xfId="27671" xr:uid="{1DD22831-259B-440D-8CFA-ED0C3F17F0E2}"/>
    <cellStyle name="Normal 17 5 3 3 4 4" xfId="20066" xr:uid="{5DA9D50A-4EF8-4058-AF8F-07BC9AA8C58F}"/>
    <cellStyle name="Normal 17 5 3 3 5" xfId="4326" xr:uid="{8FEDE5A7-D3E3-4F8D-9493-89A1FCC0B034}"/>
    <cellStyle name="Normal 17 5 3 3 5 2" xfId="7996" xr:uid="{7E3325C1-86ED-4DB2-97CE-DF62C19422A5}"/>
    <cellStyle name="Normal 17 5 3 3 5 2 2" xfId="15503" xr:uid="{1DFBD1DE-D16A-4032-A6C4-71EB4500E1B2}"/>
    <cellStyle name="Normal 17 5 3 3 5 2 2 2" xfId="31707" xr:uid="{FB188685-F4D9-4968-B802-FF33DFBE8D70}"/>
    <cellStyle name="Normal 17 5 3 3 5 2 3" xfId="24200" xr:uid="{56FAB66F-7D9F-48F5-8080-4F805684A6D5}"/>
    <cellStyle name="Normal 17 5 3 3 5 3" xfId="11889" xr:uid="{A4CD7511-8EBA-4A57-8591-24EEEDB5DB84}"/>
    <cellStyle name="Normal 17 5 3 3 5 3 2" xfId="28093" xr:uid="{DAA99F74-21AD-466F-A10F-79DA6BFE2752}"/>
    <cellStyle name="Normal 17 5 3 3 5 4" xfId="20530" xr:uid="{AE0385F0-1A32-42F8-9133-80B7BF53189B}"/>
    <cellStyle name="Normal 17 5 3 3 6" xfId="4751" xr:uid="{064A3D89-D4E6-407F-9390-4D70B97952CB}"/>
    <cellStyle name="Normal 17 5 3 3 6 2" xfId="8421" xr:uid="{A0CDFFCD-C8B0-4680-BB53-B2DA28161031}"/>
    <cellStyle name="Normal 17 5 3 3 6 2 2" xfId="15928" xr:uid="{3FC6D776-FF53-47DF-AECB-C74E2F011665}"/>
    <cellStyle name="Normal 17 5 3 3 6 2 2 2" xfId="32132" xr:uid="{0B1B6315-1F41-448F-9158-8C768692DAC3}"/>
    <cellStyle name="Normal 17 5 3 3 6 2 3" xfId="24625" xr:uid="{866E400B-AC8E-4A1A-9837-7FB65563CBD4}"/>
    <cellStyle name="Normal 17 5 3 3 6 3" xfId="12314" xr:uid="{5EAAEAFE-A87D-442B-9CB7-25C4E99FFD18}"/>
    <cellStyle name="Normal 17 5 3 3 6 3 2" xfId="28518" xr:uid="{B2A5BBE5-65D6-4FBA-B7AF-47915C179A84}"/>
    <cellStyle name="Normal 17 5 3 3 6 4" xfId="20955" xr:uid="{238A605D-303D-4382-943A-A950E6799D12}"/>
    <cellStyle name="Normal 17 5 3 3 7" xfId="5179" xr:uid="{A76C49F5-EBBA-46BA-889D-3C6A2D4EB623}"/>
    <cellStyle name="Normal 17 5 3 3 7 2" xfId="8844" xr:uid="{FEF2F4EA-4EF7-46FF-A384-BF0480D47E71}"/>
    <cellStyle name="Normal 17 5 3 3 7 2 2" xfId="16351" xr:uid="{F09FAAA0-D24B-4A77-A9A4-299F5F9B3092}"/>
    <cellStyle name="Normal 17 5 3 3 7 2 2 2" xfId="32555" xr:uid="{5661A3E5-8E9F-48FA-91F7-3C87619BA932}"/>
    <cellStyle name="Normal 17 5 3 3 7 2 3" xfId="25048" xr:uid="{C61F0F5D-14C1-4338-8C19-895660ED2E21}"/>
    <cellStyle name="Normal 17 5 3 3 7 3" xfId="12736" xr:uid="{060DB591-B297-44AE-8226-1FA4EFEF5446}"/>
    <cellStyle name="Normal 17 5 3 3 7 3 2" xfId="28940" xr:uid="{3F23C78D-692B-430E-8B5B-E867E0A55AAD}"/>
    <cellStyle name="Normal 17 5 3 3 7 4" xfId="21383" xr:uid="{F3C21D50-D326-4B5E-9BCF-2B9AAB0D595F}"/>
    <cellStyle name="Normal 17 5 3 3 8" xfId="5850" xr:uid="{976BDEC7-2206-43F1-9583-B2610CB53CE1}"/>
    <cellStyle name="Normal 17 5 3 3 8 2" xfId="13365" xr:uid="{550A317D-2FC5-4C91-81DE-833F0091DDE6}"/>
    <cellStyle name="Normal 17 5 3 3 8 2 2" xfId="29569" xr:uid="{6C8B1827-0C2F-408E-B00E-534694722344}"/>
    <cellStyle name="Normal 17 5 3 3 8 3" xfId="22054" xr:uid="{9C1D5472-C1FE-45D8-9831-006C3344A64D}"/>
    <cellStyle name="Normal 17 5 3 3 9" xfId="9777" xr:uid="{1DB35BBC-E6F7-4596-903D-8159C16451DB}"/>
    <cellStyle name="Normal 17 5 3 3 9 2" xfId="25981" xr:uid="{69CCE86E-E30B-42C2-91CC-3E8DE373BB50}"/>
    <cellStyle name="Normal 17 5 3 4" xfId="2094" xr:uid="{6AB2BD7D-372D-452B-8F0D-1E68A605E59E}"/>
    <cellStyle name="Normal 17 5 3 4 2" xfId="3007" xr:uid="{F4A4936D-6B04-4E86-B6BE-872B95734314}"/>
    <cellStyle name="Normal 17 5 3 4 2 2" xfId="6789" xr:uid="{19382832-39A5-41C4-AB63-0370DEF105AC}"/>
    <cellStyle name="Normal 17 5 3 4 2 2 2" xfId="14300" xr:uid="{66AF7DED-01C8-422E-B4B1-6E4953534BAF}"/>
    <cellStyle name="Normal 17 5 3 4 2 2 2 2" xfId="30504" xr:uid="{D2439E3A-45DE-4631-8FD5-B62C4439526F}"/>
    <cellStyle name="Normal 17 5 3 4 2 2 3" xfId="22993" xr:uid="{728ADCF9-0311-4595-A021-B2346FE957B5}"/>
    <cellStyle name="Normal 17 5 3 4 2 3" xfId="10700" xr:uid="{679549C1-287B-464E-A90D-515A974A7A2C}"/>
    <cellStyle name="Normal 17 5 3 4 2 3 2" xfId="26904" xr:uid="{B2FA55D4-A3F9-4882-B44C-E5A8ED9E851C}"/>
    <cellStyle name="Normal 17 5 3 4 2 4" xfId="19227" xr:uid="{97A6E25D-A248-4621-BB21-FA6C5AF92C5D}"/>
    <cellStyle name="Normal 17 5 3 4 3" xfId="5933" xr:uid="{BE5E6AE6-F282-43CF-BC2D-8BE2AB0885D0}"/>
    <cellStyle name="Normal 17 5 3 4 3 2" xfId="13447" xr:uid="{7837AB6F-99B9-4BD6-BB37-7FAF21FAE6F5}"/>
    <cellStyle name="Normal 17 5 3 4 3 2 2" xfId="29651" xr:uid="{778896AC-C86E-4ED6-8949-A017C02824A5}"/>
    <cellStyle name="Normal 17 5 3 4 3 3" xfId="22137" xr:uid="{415CB2EE-78FB-4417-A32F-FBD67C1469AF}"/>
    <cellStyle name="Normal 17 5 3 4 4" xfId="9856" xr:uid="{4F8CE137-3876-4992-9DD7-3FA91FB451A8}"/>
    <cellStyle name="Normal 17 5 3 4 4 2" xfId="26060" xr:uid="{26003BAD-DBA2-4C82-85C1-502E6A373480}"/>
    <cellStyle name="Normal 17 5 3 4 5" xfId="18381" xr:uid="{1940A9DB-02BB-4A1A-B042-8160687B0388}"/>
    <cellStyle name="Normal 17 5 3 5" xfId="2582" xr:uid="{F6DB21C9-618F-40F2-A2E6-0A4008F3F873}"/>
    <cellStyle name="Normal 17 5 3 5 2" xfId="6366" xr:uid="{419485C7-BDA1-4E0C-BE06-C22ED4BA8F1B}"/>
    <cellStyle name="Normal 17 5 3 5 2 2" xfId="13878" xr:uid="{D456626C-69ED-4D62-88C8-52E69CD8448F}"/>
    <cellStyle name="Normal 17 5 3 5 2 2 2" xfId="30082" xr:uid="{CDB8E3AC-6B3C-4A67-A79A-A440D50109D4}"/>
    <cellStyle name="Normal 17 5 3 5 2 3" xfId="22570" xr:uid="{D459A107-519B-4A73-BD4A-53717BE31FA8}"/>
    <cellStyle name="Normal 17 5 3 5 3" xfId="10278" xr:uid="{A1DEA85A-EBC0-463F-9FE6-6124C47A939D}"/>
    <cellStyle name="Normal 17 5 3 5 3 2" xfId="26482" xr:uid="{FBBA8731-62ED-4AD3-95AA-BAEE399C8C88}"/>
    <cellStyle name="Normal 17 5 3 5 4" xfId="18804" xr:uid="{89C46A91-4B90-4500-A44D-0E4E706009C2}"/>
    <cellStyle name="Normal 17 5 3 6" xfId="3458" xr:uid="{B764DE74-95AB-4414-A9A9-16EB4B11E464}"/>
    <cellStyle name="Normal 17 5 3 6 2" xfId="7216" xr:uid="{AE5B86A6-A3CA-4E4B-A686-BC2774C4AD83}"/>
    <cellStyle name="Normal 17 5 3 6 2 2" xfId="14726" xr:uid="{C4A0AC82-714C-4D0C-9D93-D6AA0A7654C7}"/>
    <cellStyle name="Normal 17 5 3 6 2 2 2" xfId="30930" xr:uid="{CCA40395-D8FF-4A8F-B8F0-94E39DE36552}"/>
    <cellStyle name="Normal 17 5 3 6 2 3" xfId="23420" xr:uid="{6D76CB6C-F982-4C87-907C-92DA95BFE8B9}"/>
    <cellStyle name="Normal 17 5 3 6 3" xfId="11123" xr:uid="{333BBACB-983A-4719-B07E-AD621847E7BF}"/>
    <cellStyle name="Normal 17 5 3 6 3 2" xfId="27327" xr:uid="{45DE9583-AA75-4402-B507-4DCAE88817FD}"/>
    <cellStyle name="Normal 17 5 3 6 4" xfId="19674" xr:uid="{504928F6-3D79-46F3-BA87-96E30B90DDEE}"/>
    <cellStyle name="Normal 17 5 3 7" xfId="3982" xr:uid="{E612D7C6-2148-435A-845E-10B55E545754}"/>
    <cellStyle name="Normal 17 5 3 7 2" xfId="7652" xr:uid="{B08F8C4A-A696-457C-BF0B-CA6FDADEDCBB}"/>
    <cellStyle name="Normal 17 5 3 7 2 2" xfId="15159" xr:uid="{B6E87EDF-4ED7-41CD-A93F-F248D279F677}"/>
    <cellStyle name="Normal 17 5 3 7 2 2 2" xfId="31363" xr:uid="{BFAD16FD-2C1A-4171-965E-6795BA3810A6}"/>
    <cellStyle name="Normal 17 5 3 7 2 3" xfId="23856" xr:uid="{AB5DF3A7-9DBF-44CE-87D2-C831484B27C7}"/>
    <cellStyle name="Normal 17 5 3 7 3" xfId="11545" xr:uid="{D5C4FECE-86CC-4836-8638-23F8666CF796}"/>
    <cellStyle name="Normal 17 5 3 7 3 2" xfId="27749" xr:uid="{4CC18A3E-FB9B-4FBB-8713-65F512EE22B9}"/>
    <cellStyle name="Normal 17 5 3 7 4" xfId="20186" xr:uid="{71509265-A50B-4271-A470-0C740E83BFD7}"/>
    <cellStyle name="Normal 17 5 3 8" xfId="4407" xr:uid="{072F325C-2F99-427B-902F-3BF982A54004}"/>
    <cellStyle name="Normal 17 5 3 8 2" xfId="8077" xr:uid="{4D4C8EE4-9B38-4224-B16E-8D1411A9F1FB}"/>
    <cellStyle name="Normal 17 5 3 8 2 2" xfId="15584" xr:uid="{04A045F1-C2C0-4907-A813-57BAEE91BC5A}"/>
    <cellStyle name="Normal 17 5 3 8 2 2 2" xfId="31788" xr:uid="{3E8311C4-0655-4612-B58D-39EDE152024E}"/>
    <cellStyle name="Normal 17 5 3 8 2 3" xfId="24281" xr:uid="{76DFB903-6AED-400D-97E5-A530F7663AF8}"/>
    <cellStyle name="Normal 17 5 3 8 3" xfId="11970" xr:uid="{B3DAAB4F-E3F2-4EEB-8186-D17EC117CD9A}"/>
    <cellStyle name="Normal 17 5 3 8 3 2" xfId="28174" xr:uid="{6372BF5E-3942-4C28-B9EF-7EF36ACFCB88}"/>
    <cellStyle name="Normal 17 5 3 8 4" xfId="20611" xr:uid="{CEF3158F-EC16-4453-BA72-EF58533BBB0B}"/>
    <cellStyle name="Normal 17 5 3 9" xfId="4831" xr:uid="{64FCBAAF-60AD-46FC-8C32-7A70B94D25CA}"/>
    <cellStyle name="Normal 17 5 3 9 2" xfId="8500" xr:uid="{8218154D-3A2C-477D-ABB0-B5D05BBF5439}"/>
    <cellStyle name="Normal 17 5 3 9 2 2" xfId="16007" xr:uid="{6FF9BA62-188D-4631-B635-494ABFB37B66}"/>
    <cellStyle name="Normal 17 5 3 9 2 2 2" xfId="32211" xr:uid="{D8480502-88DF-4507-B550-1C2716A80291}"/>
    <cellStyle name="Normal 17 5 3 9 2 3" xfId="24704" xr:uid="{5C7A102A-B51D-4B63-88FA-EADF2B80518A}"/>
    <cellStyle name="Normal 17 5 3 9 3" xfId="12392" xr:uid="{78A19D02-BD10-42F3-AB0D-5D054FD60ED9}"/>
    <cellStyle name="Normal 17 5 3 9 3 2" xfId="28596" xr:uid="{3F79D1D9-F93C-4673-AB4D-C4205DF52F53}"/>
    <cellStyle name="Normal 17 5 3 9 4" xfId="21035" xr:uid="{2483DDF2-FAD4-4C4D-BE6F-5C41300930D6}"/>
    <cellStyle name="Normal 17 5 4" xfId="548" xr:uid="{F79C5EB7-08EF-4E94-A19E-C3B01384716C}"/>
    <cellStyle name="Normal 17 5 4 10" xfId="9456" xr:uid="{ADFBD2DF-0A16-4818-A4E9-EC5EFFA01D51}"/>
    <cellStyle name="Normal 17 5 4 10 2" xfId="25660" xr:uid="{150431DD-BEED-4CA0-953A-AFBE09981B14}"/>
    <cellStyle name="Normal 17 5 4 11" xfId="17972" xr:uid="{93B2AA9D-C4E9-4EBB-8187-5D2562F02FF6}"/>
    <cellStyle name="Normal 17 5 4 2" xfId="1999" xr:uid="{6A6FF3B3-F30C-49F2-8BE1-5E1CB35AE394}"/>
    <cellStyle name="Normal 17 5 4 2 10" xfId="18302" xr:uid="{C63F3A79-EC40-4F78-B5C7-1D7CDC3CACDD}"/>
    <cellStyle name="Normal 17 5 4 2 2" xfId="2505" xr:uid="{41BEEBFE-2FD0-49A3-AA0D-0BCE5052771C}"/>
    <cellStyle name="Normal 17 5 4 2 2 2" xfId="3352" xr:uid="{2C2AD0F5-73FA-4FF7-953C-1212C4F90C47}"/>
    <cellStyle name="Normal 17 5 4 2 2 2 2" xfId="7134" xr:uid="{08E442D4-B52C-4EFC-9EF1-AA76DDFF1E74}"/>
    <cellStyle name="Normal 17 5 4 2 2 2 2 2" xfId="14645" xr:uid="{3FB9C20E-0B0E-450B-82C4-90C43BDA1DD0}"/>
    <cellStyle name="Normal 17 5 4 2 2 2 2 2 2" xfId="30849" xr:uid="{8CE5905C-56AE-4F9E-8467-87A7C34D5E79}"/>
    <cellStyle name="Normal 17 5 4 2 2 2 2 3" xfId="23338" xr:uid="{D0D397A4-0420-4642-8746-783BEFD47F7F}"/>
    <cellStyle name="Normal 17 5 4 2 2 2 3" xfId="11045" xr:uid="{001C484F-C115-4732-A1C2-220B8AE29305}"/>
    <cellStyle name="Normal 17 5 4 2 2 2 3 2" xfId="27249" xr:uid="{89200374-B890-48D7-B025-B033F513CDD3}"/>
    <cellStyle name="Normal 17 5 4 2 2 2 4" xfId="19572" xr:uid="{3A7D59ED-A94C-4548-86EC-C5A8B7027EFB}"/>
    <cellStyle name="Normal 17 5 4 2 2 3" xfId="6289" xr:uid="{DA2C5BB2-1092-4D22-8D37-887BF307C3A7}"/>
    <cellStyle name="Normal 17 5 4 2 2 3 2" xfId="13801" xr:uid="{1B0482BF-8509-4214-87DD-34D56BFD7AB7}"/>
    <cellStyle name="Normal 17 5 4 2 2 3 2 2" xfId="30005" xr:uid="{1B00A9A8-1A4E-444C-8080-A19DDA26BE74}"/>
    <cellStyle name="Normal 17 5 4 2 2 3 3" xfId="22493" xr:uid="{B7ACD098-8E60-47BD-BDF0-9269B94111BA}"/>
    <cellStyle name="Normal 17 5 4 2 2 4" xfId="10201" xr:uid="{9A91D9AB-1EAD-4229-A607-D83B5AFC1ADC}"/>
    <cellStyle name="Normal 17 5 4 2 2 4 2" xfId="26405" xr:uid="{535F2134-1145-4600-BBEC-16C505988FFD}"/>
    <cellStyle name="Normal 17 5 4 2 2 5" xfId="18727" xr:uid="{C9AC3386-4093-4C05-8A0E-2EACECAEFDD1}"/>
    <cellStyle name="Normal 17 5 4 2 3" xfId="2927" xr:uid="{6527ADBE-1BE5-4044-A0AC-0A4385BF8224}"/>
    <cellStyle name="Normal 17 5 4 2 3 2" xfId="6711" xr:uid="{BA37442F-60C7-4D0B-9021-B1F3CF7A45C5}"/>
    <cellStyle name="Normal 17 5 4 2 3 2 2" xfId="14223" xr:uid="{61139D0C-0C22-4DC2-AB7F-8BC130F79678}"/>
    <cellStyle name="Normal 17 5 4 2 3 2 2 2" xfId="30427" xr:uid="{B1A68E7B-D032-45E1-9960-F45AD9BE96B1}"/>
    <cellStyle name="Normal 17 5 4 2 3 2 3" xfId="22915" xr:uid="{5974C00E-87AF-492E-9190-933A45599C57}"/>
    <cellStyle name="Normal 17 5 4 2 3 3" xfId="10623" xr:uid="{413A73D5-4344-4CB1-AD1B-A2581C3B031A}"/>
    <cellStyle name="Normal 17 5 4 2 3 3 2" xfId="26827" xr:uid="{C259345E-AF7D-4F69-958D-82E0B97830F8}"/>
    <cellStyle name="Normal 17 5 4 2 3 4" xfId="19149" xr:uid="{313310C4-0FAF-4FA9-98C5-56F141050ED9}"/>
    <cellStyle name="Normal 17 5 4 2 4" xfId="3858" xr:uid="{871FFE85-9416-4549-A523-55B77AC2FB52}"/>
    <cellStyle name="Normal 17 5 4 2 4 2" xfId="7568" xr:uid="{390D2D7D-B1D4-46BB-982E-08E513933A22}"/>
    <cellStyle name="Normal 17 5 4 2 4 2 2" xfId="15077" xr:uid="{C8A49764-12C8-43F8-8CFE-B210845698D7}"/>
    <cellStyle name="Normal 17 5 4 2 4 2 2 2" xfId="31281" xr:uid="{9FD81778-6AF2-4D0C-B35C-F3455E3BE814}"/>
    <cellStyle name="Normal 17 5 4 2 4 2 3" xfId="23772" xr:uid="{8727902C-E1C0-4EE8-8855-449E1D873772}"/>
    <cellStyle name="Normal 17 5 4 2 4 3" xfId="11468" xr:uid="{C3162F2A-36A2-40E2-8296-11E5DB1A4513}"/>
    <cellStyle name="Normal 17 5 4 2 4 3 2" xfId="27672" xr:uid="{8517513A-3CCD-45CF-8FE7-CFACF5081528}"/>
    <cellStyle name="Normal 17 5 4 2 4 4" xfId="20067" xr:uid="{D87226B0-67AB-4506-B2BC-ECFC68778880}"/>
    <cellStyle name="Normal 17 5 4 2 5" xfId="4327" xr:uid="{8F3FFA5D-675B-476A-B5B1-38D3CB7F5B91}"/>
    <cellStyle name="Normal 17 5 4 2 5 2" xfId="7997" xr:uid="{163527FB-1611-4FBF-AF07-265C4ED02B88}"/>
    <cellStyle name="Normal 17 5 4 2 5 2 2" xfId="15504" xr:uid="{5ABA5EFD-7E74-40FD-9F4B-F7A96706DC6A}"/>
    <cellStyle name="Normal 17 5 4 2 5 2 2 2" xfId="31708" xr:uid="{F3E39E23-D9A3-499F-AA6B-85E9AB12D121}"/>
    <cellStyle name="Normal 17 5 4 2 5 2 3" xfId="24201" xr:uid="{5DC2D427-C3AD-438F-9475-3E5DED90869B}"/>
    <cellStyle name="Normal 17 5 4 2 5 3" xfId="11890" xr:uid="{C2C94BF4-11CC-4270-A345-7ACF2AFFC5C0}"/>
    <cellStyle name="Normal 17 5 4 2 5 3 2" xfId="28094" xr:uid="{8CAD7E4C-6A6C-4F71-B020-A9F297B0180B}"/>
    <cellStyle name="Normal 17 5 4 2 5 4" xfId="20531" xr:uid="{05BB0BB5-3189-407C-A219-56EBB520814C}"/>
    <cellStyle name="Normal 17 5 4 2 6" xfId="4752" xr:uid="{A047F9EE-4196-493A-A66F-E64B24240D77}"/>
    <cellStyle name="Normal 17 5 4 2 6 2" xfId="8422" xr:uid="{424BE8CA-1A8F-4789-93A8-92EC7DA41334}"/>
    <cellStyle name="Normal 17 5 4 2 6 2 2" xfId="15929" xr:uid="{4DFCEF3B-DC14-4BF5-8C25-7EAE7FEE9DA3}"/>
    <cellStyle name="Normal 17 5 4 2 6 2 2 2" xfId="32133" xr:uid="{B004467C-24A2-4082-B608-DBB1AB96DA4E}"/>
    <cellStyle name="Normal 17 5 4 2 6 2 3" xfId="24626" xr:uid="{45790FAA-C172-4D31-9EFB-5B6F19597718}"/>
    <cellStyle name="Normal 17 5 4 2 6 3" xfId="12315" xr:uid="{9BD18C5B-BE2C-4C46-AECE-1B784B268467}"/>
    <cellStyle name="Normal 17 5 4 2 6 3 2" xfId="28519" xr:uid="{696057E5-AFF5-404D-9D83-DD36F21011E3}"/>
    <cellStyle name="Normal 17 5 4 2 6 4" xfId="20956" xr:uid="{DB48D343-8A53-457D-8844-0F764A75B896}"/>
    <cellStyle name="Normal 17 5 4 2 7" xfId="5180" xr:uid="{80F6257C-13F3-4A5A-B858-64556876EBE3}"/>
    <cellStyle name="Normal 17 5 4 2 7 2" xfId="8845" xr:uid="{560BBBE5-9D00-4E09-BB2A-B291F00A76D5}"/>
    <cellStyle name="Normal 17 5 4 2 7 2 2" xfId="16352" xr:uid="{D1FFC86D-7992-4C7C-B72A-29D8654CA3C3}"/>
    <cellStyle name="Normal 17 5 4 2 7 2 2 2" xfId="32556" xr:uid="{7206FFFD-8F91-4BEF-A039-001EF7E6DCD2}"/>
    <cellStyle name="Normal 17 5 4 2 7 2 3" xfId="25049" xr:uid="{DD83FCD3-AB93-4367-B71A-DCB4C2576A12}"/>
    <cellStyle name="Normal 17 5 4 2 7 3" xfId="12737" xr:uid="{CF8172E4-C3EE-436F-8DC4-1D8BBE25F0DD}"/>
    <cellStyle name="Normal 17 5 4 2 7 3 2" xfId="28941" xr:uid="{A9E04E50-D355-4B18-BC19-19481CEB5D59}"/>
    <cellStyle name="Normal 17 5 4 2 7 4" xfId="21384" xr:uid="{6C9B446B-C601-4D85-9305-919588429ADB}"/>
    <cellStyle name="Normal 17 5 4 2 8" xfId="5851" xr:uid="{1ABC1507-F476-49B4-AD0A-121875D8E37A}"/>
    <cellStyle name="Normal 17 5 4 2 8 2" xfId="13366" xr:uid="{72BDBC41-2EF3-4950-8BE1-10C1C234421F}"/>
    <cellStyle name="Normal 17 5 4 2 8 2 2" xfId="29570" xr:uid="{55FF8940-0DEA-41EA-BEE9-5C15AC161B87}"/>
    <cellStyle name="Normal 17 5 4 2 8 3" xfId="22055" xr:uid="{3A96DADC-C69E-4B61-A719-8BF8F70B73EF}"/>
    <cellStyle name="Normal 17 5 4 2 9" xfId="9778" xr:uid="{775B009F-CF7E-4DFA-8D72-F107121580E8}"/>
    <cellStyle name="Normal 17 5 4 2 9 2" xfId="25982" xr:uid="{E0D72687-AC08-45CA-A130-EB772CB0FCE9}"/>
    <cellStyle name="Normal 17 5 4 3" xfId="2117" xr:uid="{5BCE2EB5-5740-42A0-B260-55E5F9DA09EB}"/>
    <cellStyle name="Normal 17 5 4 3 2" xfId="3030" xr:uid="{CE501F9C-24B6-4BAE-A51F-FC9D9318F120}"/>
    <cellStyle name="Normal 17 5 4 3 2 2" xfId="6812" xr:uid="{FF6A6FF0-9141-4265-8581-EEE5533D2D7A}"/>
    <cellStyle name="Normal 17 5 4 3 2 2 2" xfId="14323" xr:uid="{04D9F1FE-C1D2-4015-BE44-54F64147B301}"/>
    <cellStyle name="Normal 17 5 4 3 2 2 2 2" xfId="30527" xr:uid="{A63E9BA9-DD92-4E58-81B8-2AB46B249968}"/>
    <cellStyle name="Normal 17 5 4 3 2 2 3" xfId="23016" xr:uid="{AE2633F4-2C25-4E0F-8897-EAE967D84CA8}"/>
    <cellStyle name="Normal 17 5 4 3 2 3" xfId="10723" xr:uid="{DD874152-096F-4F71-8548-96745B93503D}"/>
    <cellStyle name="Normal 17 5 4 3 2 3 2" xfId="26927" xr:uid="{13BCD3FB-1F10-487F-B1B9-0BEFCAD079BB}"/>
    <cellStyle name="Normal 17 5 4 3 2 4" xfId="19250" xr:uid="{419C4BE9-EC0D-43AD-8B5F-20B9ED512DC7}"/>
    <cellStyle name="Normal 17 5 4 3 3" xfId="5956" xr:uid="{43665886-5C64-4E0E-AC4B-A01683D80752}"/>
    <cellStyle name="Normal 17 5 4 3 3 2" xfId="13470" xr:uid="{30E037AF-D0D1-4E38-930D-D9D03D32628D}"/>
    <cellStyle name="Normal 17 5 4 3 3 2 2" xfId="29674" xr:uid="{E71D32D9-05EC-4267-98AA-27EF0C57B1B6}"/>
    <cellStyle name="Normal 17 5 4 3 3 3" xfId="22160" xr:uid="{ACB78C87-04C3-4086-BE18-0B767EFF6863}"/>
    <cellStyle name="Normal 17 5 4 3 4" xfId="9879" xr:uid="{24A68EE5-B0A9-40B4-8C6B-6B3E56C95912}"/>
    <cellStyle name="Normal 17 5 4 3 4 2" xfId="26083" xr:uid="{5B73F77B-273B-4366-AD95-164842E8B238}"/>
    <cellStyle name="Normal 17 5 4 3 5" xfId="18404" xr:uid="{FD602F8F-DDDE-4FEE-B2BC-C33497930879}"/>
    <cellStyle name="Normal 17 5 4 4" xfId="2605" xr:uid="{6C9E83BA-1A59-46A9-9203-398B674CEA09}"/>
    <cellStyle name="Normal 17 5 4 4 2" xfId="6389" xr:uid="{76185542-A347-41B1-917A-CCF967D4E4A8}"/>
    <cellStyle name="Normal 17 5 4 4 2 2" xfId="13901" xr:uid="{68183F07-FFB2-4737-8C98-FF7D6EEC0F9C}"/>
    <cellStyle name="Normal 17 5 4 4 2 2 2" xfId="30105" xr:uid="{D7A89035-8C59-4A3F-8B70-824338A6F3B2}"/>
    <cellStyle name="Normal 17 5 4 4 2 3" xfId="22593" xr:uid="{985661E1-3EF3-497F-9D55-295A5E0BE7CC}"/>
    <cellStyle name="Normal 17 5 4 4 3" xfId="10301" xr:uid="{76C88E14-E121-47A1-AACF-11CBBADF9936}"/>
    <cellStyle name="Normal 17 5 4 4 3 2" xfId="26505" xr:uid="{E922D15D-C6FB-4EED-BCFA-17B70546F328}"/>
    <cellStyle name="Normal 17 5 4 4 4" xfId="18827" xr:uid="{F01CF8FF-AC50-44FA-8575-EA1C634DBBB5}"/>
    <cellStyle name="Normal 17 5 4 5" xfId="3481" xr:uid="{48C40D51-C68D-4ACD-A314-A839BF02DB6A}"/>
    <cellStyle name="Normal 17 5 4 5 2" xfId="7239" xr:uid="{E130BE0D-73B0-47E1-B7D1-575BF1F77143}"/>
    <cellStyle name="Normal 17 5 4 5 2 2" xfId="14749" xr:uid="{D2F6F2F4-F58F-445C-BC44-31304072AE98}"/>
    <cellStyle name="Normal 17 5 4 5 2 2 2" xfId="30953" xr:uid="{E8C1A946-6CE1-4A24-A634-5396BEB3C2BC}"/>
    <cellStyle name="Normal 17 5 4 5 2 3" xfId="23443" xr:uid="{603A6521-F4DC-46AE-98DA-16A3F5009411}"/>
    <cellStyle name="Normal 17 5 4 5 3" xfId="11146" xr:uid="{5BB3C410-4244-4D16-BA4A-909B02E0E2D2}"/>
    <cellStyle name="Normal 17 5 4 5 3 2" xfId="27350" xr:uid="{2A50D1D9-4BBF-4FAB-ACE6-6776B527584C}"/>
    <cellStyle name="Normal 17 5 4 5 4" xfId="19697" xr:uid="{4632FAAA-D725-44E7-A420-EFA3B9EC8BCD}"/>
    <cellStyle name="Normal 17 5 4 6" xfId="4005" xr:uid="{2C44055A-1D4A-4EE6-946A-18AACC6BEB16}"/>
    <cellStyle name="Normal 17 5 4 6 2" xfId="7675" xr:uid="{AD915537-9501-424A-ABBC-8DBED0C81AC4}"/>
    <cellStyle name="Normal 17 5 4 6 2 2" xfId="15182" xr:uid="{E72056A0-4D94-4CD8-8580-1CD8C7302C78}"/>
    <cellStyle name="Normal 17 5 4 6 2 2 2" xfId="31386" xr:uid="{309CDD97-5B33-4C6D-9D6D-5004A5617C04}"/>
    <cellStyle name="Normal 17 5 4 6 2 3" xfId="23879" xr:uid="{73915786-FC64-4EC8-B74F-4985F1500378}"/>
    <cellStyle name="Normal 17 5 4 6 3" xfId="11568" xr:uid="{D22E5486-F0BB-4CC5-A93D-E8341ECDBE87}"/>
    <cellStyle name="Normal 17 5 4 6 3 2" xfId="27772" xr:uid="{1CDF070E-AB3E-43CF-9EDF-8313FE3D601E}"/>
    <cellStyle name="Normal 17 5 4 6 4" xfId="20209" xr:uid="{C98D0FCB-98B8-4B1E-A1C5-06768D74161D}"/>
    <cellStyle name="Normal 17 5 4 7" xfId="4430" xr:uid="{674E869F-0138-42C4-B164-8955A747C202}"/>
    <cellStyle name="Normal 17 5 4 7 2" xfId="8100" xr:uid="{78E35EA9-DC88-4EAA-B72F-D5822727523D}"/>
    <cellStyle name="Normal 17 5 4 7 2 2" xfId="15607" xr:uid="{1DBF6AA3-40B8-434D-919C-A7B5151E3F7F}"/>
    <cellStyle name="Normal 17 5 4 7 2 2 2" xfId="31811" xr:uid="{12FCE3E3-A28D-43A5-8596-24CEA3F65D20}"/>
    <cellStyle name="Normal 17 5 4 7 2 3" xfId="24304" xr:uid="{BF285DBD-CD4F-42A9-AAF8-C1F6B15D0D04}"/>
    <cellStyle name="Normal 17 5 4 7 3" xfId="11993" xr:uid="{7762039F-68B4-4462-B4B6-27EDC42501AE}"/>
    <cellStyle name="Normal 17 5 4 7 3 2" xfId="28197" xr:uid="{3A5470DD-549C-4AEB-86C4-BA47DA25DB86}"/>
    <cellStyle name="Normal 17 5 4 7 4" xfId="20634" xr:uid="{C411FD18-C4A2-48E5-83A7-25536EF81055}"/>
    <cellStyle name="Normal 17 5 4 8" xfId="4855" xr:uid="{036D638F-52EA-49C7-8AEF-1C1F5CB66460}"/>
    <cellStyle name="Normal 17 5 4 8 2" xfId="8523" xr:uid="{215EFFF9-C45D-4C96-B816-E08CC2CB6C07}"/>
    <cellStyle name="Normal 17 5 4 8 2 2" xfId="16030" xr:uid="{CC889367-C8AE-48DA-A9FC-E28BAA229283}"/>
    <cellStyle name="Normal 17 5 4 8 2 2 2" xfId="32234" xr:uid="{5DAD8636-6B3D-4D60-9108-D2D801B02494}"/>
    <cellStyle name="Normal 17 5 4 8 2 3" xfId="24727" xr:uid="{3CCA428C-B457-46C6-A367-C501041DFD1B}"/>
    <cellStyle name="Normal 17 5 4 8 3" xfId="12415" xr:uid="{DE465758-8495-403B-8063-A22C41DE3CEC}"/>
    <cellStyle name="Normal 17 5 4 8 3 2" xfId="28619" xr:uid="{C4C302B7-DDDF-454F-9844-86CE36E56680}"/>
    <cellStyle name="Normal 17 5 4 8 4" xfId="21059" xr:uid="{C00C7CDE-58A9-4FBE-A31B-129DC3237A71}"/>
    <cellStyle name="Normal 17 5 4 9" xfId="5341" xr:uid="{9FAC6265-1C8C-462E-862B-4D6BBC236BBB}"/>
    <cellStyle name="Normal 17 5 4 9 2" xfId="12890" xr:uid="{0F7ADB15-4967-4AC0-93A2-A0734FA115DA}"/>
    <cellStyle name="Normal 17 5 4 9 2 2" xfId="29094" xr:uid="{2AFF0331-467C-4B8C-B625-43535094EE3F}"/>
    <cellStyle name="Normal 17 5 4 9 3" xfId="21545" xr:uid="{E54E0117-9B44-4A62-9AB0-67F4E45D971F}"/>
    <cellStyle name="Normal 17 5 5" xfId="2000" xr:uid="{DA1129F0-2731-4FB8-9414-AD2FAD8F98E8}"/>
    <cellStyle name="Normal 17 5 5 10" xfId="18303" xr:uid="{B59BADBB-1868-40FA-9411-665BF0D61497}"/>
    <cellStyle name="Normal 17 5 5 2" xfId="2506" xr:uid="{55E8D738-FE70-4F2D-BA01-C2D30BBE7E1F}"/>
    <cellStyle name="Normal 17 5 5 2 2" xfId="3353" xr:uid="{91E664E0-18E7-43D7-878B-A2A06D5F6690}"/>
    <cellStyle name="Normal 17 5 5 2 2 2" xfId="7135" xr:uid="{39666314-0758-4C71-8AFB-50EBD39D8C24}"/>
    <cellStyle name="Normal 17 5 5 2 2 2 2" xfId="14646" xr:uid="{C7024F66-DE7E-4112-864C-642C41010DF4}"/>
    <cellStyle name="Normal 17 5 5 2 2 2 2 2" xfId="30850" xr:uid="{5E9B5155-5169-480E-BB0F-8B29F126D819}"/>
    <cellStyle name="Normal 17 5 5 2 2 2 3" xfId="23339" xr:uid="{C01FE6BA-263F-431C-B289-748FFC83D0F3}"/>
    <cellStyle name="Normal 17 5 5 2 2 3" xfId="11046" xr:uid="{655F294C-04E1-4CE5-A840-929680AC8664}"/>
    <cellStyle name="Normal 17 5 5 2 2 3 2" xfId="27250" xr:uid="{A2AA47FD-D053-4044-BCF1-AE6ADE59FF71}"/>
    <cellStyle name="Normal 17 5 5 2 2 4" xfId="19573" xr:uid="{5592B486-C70C-4B8F-96E9-F192EE1EADB0}"/>
    <cellStyle name="Normal 17 5 5 2 3" xfId="6290" xr:uid="{6C18BBFC-BF84-4DDA-BF8C-C8EA31AD4E39}"/>
    <cellStyle name="Normal 17 5 5 2 3 2" xfId="13802" xr:uid="{4BFFD1DB-9416-4AAD-B06C-85DA6B12B28C}"/>
    <cellStyle name="Normal 17 5 5 2 3 2 2" xfId="30006" xr:uid="{72EB909A-B16B-4FA4-8F72-A5A25B20139F}"/>
    <cellStyle name="Normal 17 5 5 2 3 3" xfId="22494" xr:uid="{9AEAE9A5-3D5D-428D-A5EF-7732638E3D86}"/>
    <cellStyle name="Normal 17 5 5 2 4" xfId="10202" xr:uid="{6FDE0729-08A7-41DC-8DE2-7126549D8948}"/>
    <cellStyle name="Normal 17 5 5 2 4 2" xfId="26406" xr:uid="{74242354-74AE-4670-B2A3-2F1B2BC7A86F}"/>
    <cellStyle name="Normal 17 5 5 2 5" xfId="18728" xr:uid="{9E0D97ED-E7B1-44C7-935A-A8C50D98CD55}"/>
    <cellStyle name="Normal 17 5 5 3" xfId="2928" xr:uid="{9B0D170D-3277-4987-A7F6-2F0930340A0D}"/>
    <cellStyle name="Normal 17 5 5 3 2" xfId="6712" xr:uid="{AB8F9BCE-A3AB-4C60-934E-2E98AA9F5DE9}"/>
    <cellStyle name="Normal 17 5 5 3 2 2" xfId="14224" xr:uid="{D0A92BC0-D038-43B7-B7E1-F57871FF33F3}"/>
    <cellStyle name="Normal 17 5 5 3 2 2 2" xfId="30428" xr:uid="{100AAF77-23E3-40D1-9A46-EA514624B8CB}"/>
    <cellStyle name="Normal 17 5 5 3 2 3" xfId="22916" xr:uid="{934A2FEC-EB5D-46F2-9754-D316C662556B}"/>
    <cellStyle name="Normal 17 5 5 3 3" xfId="10624" xr:uid="{26F24967-7F57-4044-8423-B7898B2F27BF}"/>
    <cellStyle name="Normal 17 5 5 3 3 2" xfId="26828" xr:uid="{483132A5-A852-4C63-94C5-0CED68DCEC7C}"/>
    <cellStyle name="Normal 17 5 5 3 4" xfId="19150" xr:uid="{3E8F8ECD-6F54-467B-8C16-0BEAA24E8DCF}"/>
    <cellStyle name="Normal 17 5 5 4" xfId="3859" xr:uid="{2E9172EA-4BB1-4214-BDD7-9D65A9295057}"/>
    <cellStyle name="Normal 17 5 5 4 2" xfId="7569" xr:uid="{4C0B6A63-4A23-4099-8C22-13BFC78DF961}"/>
    <cellStyle name="Normal 17 5 5 4 2 2" xfId="15078" xr:uid="{616D9AAE-3EDE-4D2B-A8C5-430D851C0B3D}"/>
    <cellStyle name="Normal 17 5 5 4 2 2 2" xfId="31282" xr:uid="{B67C765D-5823-4D5D-A5CA-4177C06F3C31}"/>
    <cellStyle name="Normal 17 5 5 4 2 3" xfId="23773" xr:uid="{EA267061-5745-40C2-9976-891E7265AE1D}"/>
    <cellStyle name="Normal 17 5 5 4 3" xfId="11469" xr:uid="{B7CA0C3A-644F-45CD-AC3C-9919E42788DB}"/>
    <cellStyle name="Normal 17 5 5 4 3 2" xfId="27673" xr:uid="{51DD7B9E-C9AC-4B7E-9307-5236B1C519EB}"/>
    <cellStyle name="Normal 17 5 5 4 4" xfId="20068" xr:uid="{E795EC9F-0255-4227-A454-BC5E9CD943FD}"/>
    <cellStyle name="Normal 17 5 5 5" xfId="4328" xr:uid="{C97FCFB2-5D5A-4C11-A932-00A076D7C4AE}"/>
    <cellStyle name="Normal 17 5 5 5 2" xfId="7998" xr:uid="{2DF5F2D0-843B-4C58-955D-B42AF26F7F04}"/>
    <cellStyle name="Normal 17 5 5 5 2 2" xfId="15505" xr:uid="{E5BEE8EC-F616-481D-8849-0AF5FA4A1392}"/>
    <cellStyle name="Normal 17 5 5 5 2 2 2" xfId="31709" xr:uid="{740D793B-7418-49CF-969C-A11FC2F974F2}"/>
    <cellStyle name="Normal 17 5 5 5 2 3" xfId="24202" xr:uid="{2C940439-7CD5-4E00-BC2D-AB7FA6C22308}"/>
    <cellStyle name="Normal 17 5 5 5 3" xfId="11891" xr:uid="{BE8A2319-CF22-4170-837E-745BC8D4795C}"/>
    <cellStyle name="Normal 17 5 5 5 3 2" xfId="28095" xr:uid="{ECD63962-CCE3-427C-BD0C-63417EC6F4AC}"/>
    <cellStyle name="Normal 17 5 5 5 4" xfId="20532" xr:uid="{C8F57ED4-367C-45E8-93AB-8064DC40D53E}"/>
    <cellStyle name="Normal 17 5 5 6" xfId="4753" xr:uid="{84165C1F-A4B2-4F75-96B1-4CF319189EC1}"/>
    <cellStyle name="Normal 17 5 5 6 2" xfId="8423" xr:uid="{2173FF45-5139-4D5A-9868-7221F3F17B86}"/>
    <cellStyle name="Normal 17 5 5 6 2 2" xfId="15930" xr:uid="{59F7E452-B786-45FC-94B0-2945CCEC9606}"/>
    <cellStyle name="Normal 17 5 5 6 2 2 2" xfId="32134" xr:uid="{521036FE-4A0D-478B-BEA2-02ADB7E82E70}"/>
    <cellStyle name="Normal 17 5 5 6 2 3" xfId="24627" xr:uid="{8D13190D-5E07-47EF-9F9E-23A34971050F}"/>
    <cellStyle name="Normal 17 5 5 6 3" xfId="12316" xr:uid="{5720B61A-E97A-4DC6-9056-16EEF515A590}"/>
    <cellStyle name="Normal 17 5 5 6 3 2" xfId="28520" xr:uid="{EDC2D649-9DA1-48B0-AC50-23B07CE9FC48}"/>
    <cellStyle name="Normal 17 5 5 6 4" xfId="20957" xr:uid="{6684E489-281A-43AE-BBC7-5DA654E88D95}"/>
    <cellStyle name="Normal 17 5 5 7" xfId="5181" xr:uid="{49FDE11E-C4DB-4BB0-A2F0-4DF7F0080887}"/>
    <cellStyle name="Normal 17 5 5 7 2" xfId="8846" xr:uid="{1BC3F9CC-87C4-449D-B001-F6139FF33722}"/>
    <cellStyle name="Normal 17 5 5 7 2 2" xfId="16353" xr:uid="{D6FFE3E7-4AFA-439A-A8D2-CC1DBC371B12}"/>
    <cellStyle name="Normal 17 5 5 7 2 2 2" xfId="32557" xr:uid="{797956BD-FA80-41D5-913D-D4B91DDD630A}"/>
    <cellStyle name="Normal 17 5 5 7 2 3" xfId="25050" xr:uid="{2C9A6793-A800-459C-9438-46A68C0701D2}"/>
    <cellStyle name="Normal 17 5 5 7 3" xfId="12738" xr:uid="{0348DE7B-F596-4439-A155-D9F8F9707B48}"/>
    <cellStyle name="Normal 17 5 5 7 3 2" xfId="28942" xr:uid="{BAAA7E85-161D-46F7-8CC5-CEDF7621EB3A}"/>
    <cellStyle name="Normal 17 5 5 7 4" xfId="21385" xr:uid="{F2E0812B-FB18-4A1B-A2CD-47FFB9C3A336}"/>
    <cellStyle name="Normal 17 5 5 8" xfId="5852" xr:uid="{B7E2EA62-360C-445B-A693-CBFA0F70C6B8}"/>
    <cellStyle name="Normal 17 5 5 8 2" xfId="13367" xr:uid="{21270D98-AAFB-4D81-A95A-C1B87CEAB3D6}"/>
    <cellStyle name="Normal 17 5 5 8 2 2" xfId="29571" xr:uid="{42D92273-9FE3-473B-829F-64115730BB11}"/>
    <cellStyle name="Normal 17 5 5 8 3" xfId="22056" xr:uid="{8184713E-DD08-484A-BED8-D235FEC57C0F}"/>
    <cellStyle name="Normal 17 5 5 9" xfId="9779" xr:uid="{DE9D7D7E-7C30-4440-8D93-2DA1BD40C9EC}"/>
    <cellStyle name="Normal 17 5 5 9 2" xfId="25983" xr:uid="{BDF73757-4534-4F55-9EBC-247E0FD868FB}"/>
    <cellStyle name="Normal 17 5 6" xfId="2050" xr:uid="{D31B392C-CF64-4E14-A6AF-5014DB056BB9}"/>
    <cellStyle name="Normal 17 5 6 2" xfId="2963" xr:uid="{C554078C-858A-4E33-986B-44EFD0F932DF}"/>
    <cellStyle name="Normal 17 5 6 2 2" xfId="6745" xr:uid="{A8687C63-E7B7-44F9-A68C-05CC1C30018E}"/>
    <cellStyle name="Normal 17 5 6 2 2 2" xfId="14256" xr:uid="{99965AD0-C704-49FB-90EB-A08F61891E7A}"/>
    <cellStyle name="Normal 17 5 6 2 2 2 2" xfId="30460" xr:uid="{6161401A-5DD3-40B0-A70C-D56E6477694F}"/>
    <cellStyle name="Normal 17 5 6 2 2 3" xfId="22949" xr:uid="{6F43740A-8D92-42DD-9EA7-80BCAEEB43A2}"/>
    <cellStyle name="Normal 17 5 6 2 3" xfId="10656" xr:uid="{05F8E664-6ECA-4165-9C1C-1B038DBC22B0}"/>
    <cellStyle name="Normal 17 5 6 2 3 2" xfId="26860" xr:uid="{BF0D3FAA-0AD5-4BEA-B3DE-A1A57C9F316E}"/>
    <cellStyle name="Normal 17 5 6 2 4" xfId="19183" xr:uid="{FCF53FFB-072F-4C0B-A80C-2874A02177E9}"/>
    <cellStyle name="Normal 17 5 6 3" xfId="5889" xr:uid="{46770E2A-6D05-46D9-A5B0-301966C213EC}"/>
    <cellStyle name="Normal 17 5 6 3 2" xfId="13403" xr:uid="{CED42B50-ADD3-4838-A316-297CC9DB3A1B}"/>
    <cellStyle name="Normal 17 5 6 3 2 2" xfId="29607" xr:uid="{DBB89314-428A-4FC6-845B-80C7A484E425}"/>
    <cellStyle name="Normal 17 5 6 3 3" xfId="22093" xr:uid="{EEF7DD2D-FD63-4127-A834-EB673A335421}"/>
    <cellStyle name="Normal 17 5 6 4" xfId="9812" xr:uid="{F14BCF5F-734C-4645-9E0F-C832A307E709}"/>
    <cellStyle name="Normal 17 5 6 4 2" xfId="26016" xr:uid="{EBE2C672-1C2D-4340-AF36-A239AE7A43B6}"/>
    <cellStyle name="Normal 17 5 6 5" xfId="18337" xr:uid="{B24CED1D-9982-4B5E-A979-6C0AE648C453}"/>
    <cellStyle name="Normal 17 5 7" xfId="2538" xr:uid="{6FF66BDB-E5F6-46A6-9A8A-1AD18F12BC5F}"/>
    <cellStyle name="Normal 17 5 7 2" xfId="6322" xr:uid="{92E13912-3D81-427E-BEA6-CA890C646DC0}"/>
    <cellStyle name="Normal 17 5 7 2 2" xfId="13834" xr:uid="{A0D4750E-4CE4-4458-AB32-E6FB72A6C676}"/>
    <cellStyle name="Normal 17 5 7 2 2 2" xfId="30038" xr:uid="{B32C58DB-53F0-4AB2-B50E-44A972D03D57}"/>
    <cellStyle name="Normal 17 5 7 2 3" xfId="22526" xr:uid="{13D8B002-5AB0-4AB6-986D-37D7E0EE49F2}"/>
    <cellStyle name="Normal 17 5 7 3" xfId="10234" xr:uid="{35461F00-FBF7-488A-AF4F-C4AD5DC8156D}"/>
    <cellStyle name="Normal 17 5 7 3 2" xfId="26438" xr:uid="{D1B3AC9E-AE57-48F7-A442-EFCC7A2BDD62}"/>
    <cellStyle name="Normal 17 5 7 4" xfId="18760" xr:uid="{93B31D68-3369-40A3-BD64-E5356D810EA6}"/>
    <cellStyle name="Normal 17 5 8" xfId="3411" xr:uid="{3945669C-8FD8-4B1A-AB75-10C29F62B02B}"/>
    <cellStyle name="Normal 17 5 8 2" xfId="7172" xr:uid="{AB172551-FB75-44F2-ACC2-AEF7B2A5E10B}"/>
    <cellStyle name="Normal 17 5 8 2 2" xfId="14682" xr:uid="{EFC7193C-2963-4D6B-BF39-8A6E3CA14057}"/>
    <cellStyle name="Normal 17 5 8 2 2 2" xfId="30886" xr:uid="{9FD0369A-168A-49B9-8BB9-FA069B55EC6A}"/>
    <cellStyle name="Normal 17 5 8 2 3" xfId="23376" xr:uid="{E7D46C75-FBB5-491A-A909-B7A70513698C}"/>
    <cellStyle name="Normal 17 5 8 3" xfId="11079" xr:uid="{6DAEEF82-62BC-41F4-8CDA-69225ABB2FCC}"/>
    <cellStyle name="Normal 17 5 8 3 2" xfId="27283" xr:uid="{92BA697A-BF86-4904-92F3-5FE6325A250C}"/>
    <cellStyle name="Normal 17 5 8 4" xfId="19627" xr:uid="{AB778365-6A6A-48A7-9342-25CB47C80F19}"/>
    <cellStyle name="Normal 17 5 9" xfId="3938" xr:uid="{02B5B4FE-81D3-41E8-A82A-2E5254C66376}"/>
    <cellStyle name="Normal 17 5 9 2" xfId="7608" xr:uid="{B76A16C5-6D75-4C1C-AB4E-45FC8D902E38}"/>
    <cellStyle name="Normal 17 5 9 2 2" xfId="15115" xr:uid="{91280B6F-0B57-404A-A3EA-DAA27BBF87D5}"/>
    <cellStyle name="Normal 17 5 9 2 2 2" xfId="31319" xr:uid="{7F5A323B-5C97-4581-A1D4-CD7C93005BF0}"/>
    <cellStyle name="Normal 17 5 9 2 3" xfId="23812" xr:uid="{17EB58BD-2DDD-41FD-BAEA-ABA7D9F2F6B6}"/>
    <cellStyle name="Normal 17 5 9 3" xfId="11501" xr:uid="{730FF128-2C64-408F-8902-98AF7E9A143D}"/>
    <cellStyle name="Normal 17 5 9 3 2" xfId="27705" xr:uid="{36F28470-081A-4AEA-8D43-5F401048DF3B}"/>
    <cellStyle name="Normal 17 5 9 4" xfId="20142" xr:uid="{C2530D5F-18EB-4E29-83D5-F6A3DCDC14BB}"/>
    <cellStyle name="Normal 17 6" xfId="491" xr:uid="{4A85F7E6-94D0-4094-80F2-6B5A8D2A9766}"/>
    <cellStyle name="Normal 17 6 10" xfId="4377" xr:uid="{190E1EB5-4C71-4886-B176-E6D9290F3EE6}"/>
    <cellStyle name="Normal 17 6 10 2" xfId="8047" xr:uid="{CD2857B5-B92A-48DE-87B1-EC0123000E5D}"/>
    <cellStyle name="Normal 17 6 10 2 2" xfId="15554" xr:uid="{C6383853-3D9E-45B1-A4C6-7BB475434768}"/>
    <cellStyle name="Normal 17 6 10 2 2 2" xfId="31758" xr:uid="{489E26D1-78C1-425C-9D97-95C57D045FC7}"/>
    <cellStyle name="Normal 17 6 10 2 3" xfId="24251" xr:uid="{E8DC4568-997A-4D34-B5C0-8130A9098ADC}"/>
    <cellStyle name="Normal 17 6 10 3" xfId="11940" xr:uid="{50F1F573-1784-47D9-9471-FDC299D4C06C}"/>
    <cellStyle name="Normal 17 6 10 3 2" xfId="28144" xr:uid="{5F24F808-80CF-4C66-9DFA-67A73A3C8011}"/>
    <cellStyle name="Normal 17 6 10 4" xfId="20581" xr:uid="{2FEF5C5C-432A-4474-86A3-67A1D4575E26}"/>
    <cellStyle name="Normal 17 6 11" xfId="4801" xr:uid="{129AB698-D007-4315-B8EC-1EEF16B8E944}"/>
    <cellStyle name="Normal 17 6 11 2" xfId="8470" xr:uid="{9F9682B9-EC03-4350-8873-E0EB9F394001}"/>
    <cellStyle name="Normal 17 6 11 2 2" xfId="15977" xr:uid="{13192FEA-67E2-47A7-BA1F-8C1A366D0233}"/>
    <cellStyle name="Normal 17 6 11 2 2 2" xfId="32181" xr:uid="{C669D442-0389-456D-B266-FA350C81AE93}"/>
    <cellStyle name="Normal 17 6 11 2 3" xfId="24674" xr:uid="{621D6564-6D04-48BC-8C2E-5505806E04AA}"/>
    <cellStyle name="Normal 17 6 11 3" xfId="12362" xr:uid="{92085A40-92D3-4643-9920-DECF0E078B30}"/>
    <cellStyle name="Normal 17 6 11 3 2" xfId="28566" xr:uid="{213CB726-C83E-47A6-B586-A8189F1DBFB4}"/>
    <cellStyle name="Normal 17 6 11 4" xfId="21005" xr:uid="{89D5F992-D582-4A54-BD91-0427E75580D8}"/>
    <cellStyle name="Normal 17 6 12" xfId="5288" xr:uid="{48D4FFE8-5F1A-4A12-8D9D-B796D5A9DBDE}"/>
    <cellStyle name="Normal 17 6 12 2" xfId="12837" xr:uid="{19AF172F-84C1-43B6-875C-BDED0A309FFC}"/>
    <cellStyle name="Normal 17 6 12 2 2" xfId="29041" xr:uid="{70DFF444-931B-43F4-9FF5-E426E225C34E}"/>
    <cellStyle name="Normal 17 6 12 3" xfId="21492" xr:uid="{BB5AEFE0-0075-4784-8BFD-E79FB3F24904}"/>
    <cellStyle name="Normal 17 6 13" xfId="9403" xr:uid="{96CCAA8A-E3FA-4AB6-9174-47E8764259F7}"/>
    <cellStyle name="Normal 17 6 13 2" xfId="25607" xr:uid="{62896EC4-06A6-49B2-8917-4F4B00CBC425}"/>
    <cellStyle name="Normal 17 6 14" xfId="17918" xr:uid="{E00C9BA2-1E0D-48B2-BD66-5C3765A97301}"/>
    <cellStyle name="Normal 17 6 2" xfId="513" xr:uid="{733C4FE8-5434-4CB2-9720-76798E703718}"/>
    <cellStyle name="Normal 17 6 2 10" xfId="5310" xr:uid="{8D0E46B3-A189-440D-B604-D3A770F6A957}"/>
    <cellStyle name="Normal 17 6 2 10 2" xfId="12859" xr:uid="{648571FF-D0A3-4665-87A0-18E9626D1761}"/>
    <cellStyle name="Normal 17 6 2 10 2 2" xfId="29063" xr:uid="{4E6E4F26-A0F9-4D3B-BB6A-B7D81813A510}"/>
    <cellStyle name="Normal 17 6 2 10 3" xfId="21514" xr:uid="{69BF4496-3724-4E5B-B5B7-988209F30826}"/>
    <cellStyle name="Normal 17 6 2 11" xfId="9425" xr:uid="{3B964FCF-8977-4C71-9ECF-A1C92ACB80C0}"/>
    <cellStyle name="Normal 17 6 2 11 2" xfId="25629" xr:uid="{E439CEBF-2CC7-43E0-9A8E-8E6E21EE93AB}"/>
    <cellStyle name="Normal 17 6 2 12" xfId="17940" xr:uid="{D29EE70C-CA84-47D9-9754-48C242FB532A}"/>
    <cellStyle name="Normal 17 6 2 2" xfId="584" xr:uid="{1210C733-4805-4E8B-A9C0-ECFF9C079925}"/>
    <cellStyle name="Normal 17 6 2 2 10" xfId="9492" xr:uid="{25141D5F-DA12-421F-9854-B93AD066EEEC}"/>
    <cellStyle name="Normal 17 6 2 2 10 2" xfId="25696" xr:uid="{2C5F2144-ABA5-4AC4-BAC1-F02854D30ED9}"/>
    <cellStyle name="Normal 17 6 2 2 11" xfId="18008" xr:uid="{2DD5828B-EA29-48AF-B195-D4D28DA9AACA}"/>
    <cellStyle name="Normal 17 6 2 2 2" xfId="2001" xr:uid="{2F7EBFDA-359B-4955-98D5-87E9118F76CA}"/>
    <cellStyle name="Normal 17 6 2 2 2 10" xfId="18304" xr:uid="{315C7F96-D6CB-46F7-ADC2-CA51C2913353}"/>
    <cellStyle name="Normal 17 6 2 2 2 2" xfId="2507" xr:uid="{1551217C-4D92-445B-A25F-DC4317CF788F}"/>
    <cellStyle name="Normal 17 6 2 2 2 2 2" xfId="3354" xr:uid="{B63ED0BE-D2AD-498C-AA81-0663BC8699EA}"/>
    <cellStyle name="Normal 17 6 2 2 2 2 2 2" xfId="7136" xr:uid="{A606E3AC-F0F9-4233-9437-C344A0F3D7CF}"/>
    <cellStyle name="Normal 17 6 2 2 2 2 2 2 2" xfId="14647" xr:uid="{F2D28CB3-77F5-4620-B26F-F9B60475D773}"/>
    <cellStyle name="Normal 17 6 2 2 2 2 2 2 2 2" xfId="30851" xr:uid="{7C566D54-8980-4BB7-8FB0-B30869B6D7C4}"/>
    <cellStyle name="Normal 17 6 2 2 2 2 2 2 3" xfId="23340" xr:uid="{AD83281B-81F2-4802-9980-685D32F132A2}"/>
    <cellStyle name="Normal 17 6 2 2 2 2 2 3" xfId="11047" xr:uid="{FD82D5EE-96F2-4EB9-88A3-38D855F41339}"/>
    <cellStyle name="Normal 17 6 2 2 2 2 2 3 2" xfId="27251" xr:uid="{D0F0DC2E-EE4D-4599-A6FE-1F3D7B7456E3}"/>
    <cellStyle name="Normal 17 6 2 2 2 2 2 4" xfId="19574" xr:uid="{E9CE18AB-3CCF-4ACE-BC66-7431A31B09B3}"/>
    <cellStyle name="Normal 17 6 2 2 2 2 3" xfId="6291" xr:uid="{9D7F6D74-AA51-43FF-BA44-C5D7C37C9448}"/>
    <cellStyle name="Normal 17 6 2 2 2 2 3 2" xfId="13803" xr:uid="{3889F54B-CB41-4A35-9FB2-9AB63B0B2D64}"/>
    <cellStyle name="Normal 17 6 2 2 2 2 3 2 2" xfId="30007" xr:uid="{31B77EBA-0F79-49FC-8DBE-387CFE5CAA3D}"/>
    <cellStyle name="Normal 17 6 2 2 2 2 3 3" xfId="22495" xr:uid="{A6FEF3B1-D4F3-4467-BCA1-16CBF2B75CED}"/>
    <cellStyle name="Normal 17 6 2 2 2 2 4" xfId="10203" xr:uid="{4B6BB860-E34E-4E8C-987E-918B7EF8BE7C}"/>
    <cellStyle name="Normal 17 6 2 2 2 2 4 2" xfId="26407" xr:uid="{2C00677F-D42B-4ADD-80B9-9176A32B612C}"/>
    <cellStyle name="Normal 17 6 2 2 2 2 5" xfId="18729" xr:uid="{86A9444C-3692-48EF-A01A-1F64346AF360}"/>
    <cellStyle name="Normal 17 6 2 2 2 3" xfId="2929" xr:uid="{C4F0E712-F809-4462-B028-CFE01039FDB2}"/>
    <cellStyle name="Normal 17 6 2 2 2 3 2" xfId="6713" xr:uid="{BC2D3119-34B7-494E-A9B3-6D826C22EB8B}"/>
    <cellStyle name="Normal 17 6 2 2 2 3 2 2" xfId="14225" xr:uid="{6F5E07C5-1F10-45E2-8AB6-DCCFA182D202}"/>
    <cellStyle name="Normal 17 6 2 2 2 3 2 2 2" xfId="30429" xr:uid="{EA3EAF17-9877-4D1C-8041-053C162D28A2}"/>
    <cellStyle name="Normal 17 6 2 2 2 3 2 3" xfId="22917" xr:uid="{E773AEE5-3FE4-4498-861C-0DFD173774B3}"/>
    <cellStyle name="Normal 17 6 2 2 2 3 3" xfId="10625" xr:uid="{950ADA2E-76CF-4D65-8D57-A7CCE923A0D5}"/>
    <cellStyle name="Normal 17 6 2 2 2 3 3 2" xfId="26829" xr:uid="{E324C8CD-DFF7-44F2-9BEE-62157F3ADAA4}"/>
    <cellStyle name="Normal 17 6 2 2 2 3 4" xfId="19151" xr:uid="{A5B91786-FCF1-49C4-A46F-68CB01433FCD}"/>
    <cellStyle name="Normal 17 6 2 2 2 4" xfId="3860" xr:uid="{61AD2C0E-5DF7-4A88-BAB5-9B29F7FD9AFF}"/>
    <cellStyle name="Normal 17 6 2 2 2 4 2" xfId="7570" xr:uid="{468F9B05-249F-4053-B24A-983C79696CC1}"/>
    <cellStyle name="Normal 17 6 2 2 2 4 2 2" xfId="15079" xr:uid="{8B9E2E77-FC65-40D9-AC8E-B16DD61D9F95}"/>
    <cellStyle name="Normal 17 6 2 2 2 4 2 2 2" xfId="31283" xr:uid="{70618ED2-3149-4700-9C4E-1F61804FFC49}"/>
    <cellStyle name="Normal 17 6 2 2 2 4 2 3" xfId="23774" xr:uid="{9D00EEAC-7417-427D-96EC-C1B614AB64B1}"/>
    <cellStyle name="Normal 17 6 2 2 2 4 3" xfId="11470" xr:uid="{590FF96E-45BB-4297-A4BD-0C0137DB639D}"/>
    <cellStyle name="Normal 17 6 2 2 2 4 3 2" xfId="27674" xr:uid="{1778C58D-114B-4E26-A97D-189ACE0DF505}"/>
    <cellStyle name="Normal 17 6 2 2 2 4 4" xfId="20069" xr:uid="{E1B98202-80EF-4E86-B638-A308AA992E60}"/>
    <cellStyle name="Normal 17 6 2 2 2 5" xfId="4329" xr:uid="{B787BA54-5D12-4D68-9264-87DBE74E7F2D}"/>
    <cellStyle name="Normal 17 6 2 2 2 5 2" xfId="7999" xr:uid="{754B31C3-19E3-4C52-AA5F-3EEA01BB04B3}"/>
    <cellStyle name="Normal 17 6 2 2 2 5 2 2" xfId="15506" xr:uid="{A862EB54-293F-473E-BBFD-0CD0074D2126}"/>
    <cellStyle name="Normal 17 6 2 2 2 5 2 2 2" xfId="31710" xr:uid="{B0209B3E-D52E-4FBB-B46F-B77E18523A6A}"/>
    <cellStyle name="Normal 17 6 2 2 2 5 2 3" xfId="24203" xr:uid="{AD322B24-5015-493F-AF4D-6AF16E945230}"/>
    <cellStyle name="Normal 17 6 2 2 2 5 3" xfId="11892" xr:uid="{4967777C-0F79-4EB5-9842-2EF363A571D2}"/>
    <cellStyle name="Normal 17 6 2 2 2 5 3 2" xfId="28096" xr:uid="{8B2A5B5D-83D7-4F04-A55D-071446A19E16}"/>
    <cellStyle name="Normal 17 6 2 2 2 5 4" xfId="20533" xr:uid="{A8C38691-E512-4D85-8666-ECAF4DB9DF0D}"/>
    <cellStyle name="Normal 17 6 2 2 2 6" xfId="4754" xr:uid="{4D99DB04-DC53-4DAF-92CF-0C3D6A081005}"/>
    <cellStyle name="Normal 17 6 2 2 2 6 2" xfId="8424" xr:uid="{64191C1A-F2BC-4E97-8C9E-C6421420100A}"/>
    <cellStyle name="Normal 17 6 2 2 2 6 2 2" xfId="15931" xr:uid="{4DAA91EC-AC3E-4281-9DEA-A2CC2A152507}"/>
    <cellStyle name="Normal 17 6 2 2 2 6 2 2 2" xfId="32135" xr:uid="{3D8FD225-8DE4-4555-9D82-6508E56C57A0}"/>
    <cellStyle name="Normal 17 6 2 2 2 6 2 3" xfId="24628" xr:uid="{7E67D2EC-C1D6-4FAF-B621-A99D35DE48E7}"/>
    <cellStyle name="Normal 17 6 2 2 2 6 3" xfId="12317" xr:uid="{261D24C3-1787-4E60-AA82-66F1F15F3567}"/>
    <cellStyle name="Normal 17 6 2 2 2 6 3 2" xfId="28521" xr:uid="{135084D3-92DA-4E19-8C43-33A1C47293EA}"/>
    <cellStyle name="Normal 17 6 2 2 2 6 4" xfId="20958" xr:uid="{96172EA6-B470-470B-91C2-E0BFFC79720A}"/>
    <cellStyle name="Normal 17 6 2 2 2 7" xfId="5182" xr:uid="{804090CE-7897-443E-90FE-391783E70A88}"/>
    <cellStyle name="Normal 17 6 2 2 2 7 2" xfId="8847" xr:uid="{3F0F1416-EA3C-415A-97FA-EF2BC4E7D38D}"/>
    <cellStyle name="Normal 17 6 2 2 2 7 2 2" xfId="16354" xr:uid="{AC5618FF-171C-468B-9E5B-CE66D84EAD88}"/>
    <cellStyle name="Normal 17 6 2 2 2 7 2 2 2" xfId="32558" xr:uid="{4B65AEF0-6073-4985-8E44-5B7F9048D326}"/>
    <cellStyle name="Normal 17 6 2 2 2 7 2 3" xfId="25051" xr:uid="{799648FD-62C4-4BFB-B41E-BF6E251A0A63}"/>
    <cellStyle name="Normal 17 6 2 2 2 7 3" xfId="12739" xr:uid="{F83809FE-987F-4D6E-92A8-DD594AFF9147}"/>
    <cellStyle name="Normal 17 6 2 2 2 7 3 2" xfId="28943" xr:uid="{6C892594-AB4B-4756-8099-30995B2FAFFB}"/>
    <cellStyle name="Normal 17 6 2 2 2 7 4" xfId="21386" xr:uid="{86A23D17-CEAC-4DA3-9CD4-F8014FA03577}"/>
    <cellStyle name="Normal 17 6 2 2 2 8" xfId="5853" xr:uid="{2C9707DA-2728-4AC8-A66C-476AD252D8E9}"/>
    <cellStyle name="Normal 17 6 2 2 2 8 2" xfId="13368" xr:uid="{1D2235D5-5558-43CF-8F78-912589DE96B5}"/>
    <cellStyle name="Normal 17 6 2 2 2 8 2 2" xfId="29572" xr:uid="{2A387ED7-4515-47D4-A35E-3AE9CE3A2AA6}"/>
    <cellStyle name="Normal 17 6 2 2 2 8 3" xfId="22057" xr:uid="{2DC9D3C0-73A6-4DB6-9316-308ACCD0656C}"/>
    <cellStyle name="Normal 17 6 2 2 2 9" xfId="9780" xr:uid="{44DAB12A-791E-498F-BE03-0998B9A9BC6A}"/>
    <cellStyle name="Normal 17 6 2 2 2 9 2" xfId="25984" xr:uid="{197C61F2-5D3D-4CEF-985F-F4C266EED859}"/>
    <cellStyle name="Normal 17 6 2 2 3" xfId="2153" xr:uid="{FC6AF3A1-2D90-47BD-9B88-37726F8FFD91}"/>
    <cellStyle name="Normal 17 6 2 2 3 2" xfId="3066" xr:uid="{242DB408-71AF-4885-BFA1-C84983C7419F}"/>
    <cellStyle name="Normal 17 6 2 2 3 2 2" xfId="6848" xr:uid="{65BB2669-AC9F-409A-BC87-0B58C460974F}"/>
    <cellStyle name="Normal 17 6 2 2 3 2 2 2" xfId="14359" xr:uid="{3F7AB32A-2427-4997-A0BC-0D700A5A22B6}"/>
    <cellStyle name="Normal 17 6 2 2 3 2 2 2 2" xfId="30563" xr:uid="{796EFFDA-62EA-4A12-9205-7A83B9A9E2F4}"/>
    <cellStyle name="Normal 17 6 2 2 3 2 2 3" xfId="23052" xr:uid="{A445B6C3-D310-46C6-B2B6-1982AC81EEEC}"/>
    <cellStyle name="Normal 17 6 2 2 3 2 3" xfId="10759" xr:uid="{36407673-7F12-40A4-8CB8-7CA8403FFB76}"/>
    <cellStyle name="Normal 17 6 2 2 3 2 3 2" xfId="26963" xr:uid="{E96CE220-33FF-4051-9D39-2FCDAA0FA3F7}"/>
    <cellStyle name="Normal 17 6 2 2 3 2 4" xfId="19286" xr:uid="{9EE70C4D-CE9E-41AB-8322-39AA1E7B80FB}"/>
    <cellStyle name="Normal 17 6 2 2 3 3" xfId="5992" xr:uid="{4144CBA4-9D77-4BC5-B28A-C570AEAE3157}"/>
    <cellStyle name="Normal 17 6 2 2 3 3 2" xfId="13506" xr:uid="{7B0F6761-808E-4EB2-8151-40B95D56D316}"/>
    <cellStyle name="Normal 17 6 2 2 3 3 2 2" xfId="29710" xr:uid="{F27D7CF8-86F4-4BE1-AFAB-27D467A10B12}"/>
    <cellStyle name="Normal 17 6 2 2 3 3 3" xfId="22196" xr:uid="{305A4B22-42AD-426A-862F-A634506EC383}"/>
    <cellStyle name="Normal 17 6 2 2 3 4" xfId="9915" xr:uid="{BB252DCB-0D50-4BC1-A171-0954A1423D79}"/>
    <cellStyle name="Normal 17 6 2 2 3 4 2" xfId="26119" xr:uid="{8E5E013E-E981-415D-9964-85EDA9CE4176}"/>
    <cellStyle name="Normal 17 6 2 2 3 5" xfId="18440" xr:uid="{3256B4EB-B22D-452F-8254-C462F7D16B2E}"/>
    <cellStyle name="Normal 17 6 2 2 4" xfId="2641" xr:uid="{07E14DEC-F542-4813-9479-D08B08F83AF1}"/>
    <cellStyle name="Normal 17 6 2 2 4 2" xfId="6425" xr:uid="{A9E87142-E959-47BD-967E-A88B6BA84788}"/>
    <cellStyle name="Normal 17 6 2 2 4 2 2" xfId="13937" xr:uid="{CE0283A2-01DA-4A9D-B32E-F138A0162222}"/>
    <cellStyle name="Normal 17 6 2 2 4 2 2 2" xfId="30141" xr:uid="{B45CBF8F-2415-44CB-A378-52534CD0075F}"/>
    <cellStyle name="Normal 17 6 2 2 4 2 3" xfId="22629" xr:uid="{E08E3351-55C8-49D8-8836-1F2D38637BDF}"/>
    <cellStyle name="Normal 17 6 2 2 4 3" xfId="10337" xr:uid="{35252130-C401-4AA2-8565-001F90A982E9}"/>
    <cellStyle name="Normal 17 6 2 2 4 3 2" xfId="26541" xr:uid="{47AB4B35-68BF-4A3A-A02F-A51DBD5A01E1}"/>
    <cellStyle name="Normal 17 6 2 2 4 4" xfId="18863" xr:uid="{7AFB21A6-1C84-4577-AEE4-573F63DE73F4}"/>
    <cellStyle name="Normal 17 6 2 2 5" xfId="3517" xr:uid="{ECE49F74-DE83-48AA-BAB6-1375205B0E1C}"/>
    <cellStyle name="Normal 17 6 2 2 5 2" xfId="7275" xr:uid="{75F50615-D98B-40B5-9B93-7C5ECB72F689}"/>
    <cellStyle name="Normal 17 6 2 2 5 2 2" xfId="14785" xr:uid="{C434150B-1A3C-4997-A10F-27A9BBECDA96}"/>
    <cellStyle name="Normal 17 6 2 2 5 2 2 2" xfId="30989" xr:uid="{A93865CC-8090-4701-B207-B6D08F268CF3}"/>
    <cellStyle name="Normal 17 6 2 2 5 2 3" xfId="23479" xr:uid="{6672C181-3194-4C5E-8844-ED839ED78FBC}"/>
    <cellStyle name="Normal 17 6 2 2 5 3" xfId="11182" xr:uid="{BCC621DB-5C8D-44EF-B444-57737D2E3DEF}"/>
    <cellStyle name="Normal 17 6 2 2 5 3 2" xfId="27386" xr:uid="{A8D183CC-C3CE-4424-AF7A-AAF36B248CFB}"/>
    <cellStyle name="Normal 17 6 2 2 5 4" xfId="19733" xr:uid="{C113957B-E793-4148-A1F8-BF1C1608F9AB}"/>
    <cellStyle name="Normal 17 6 2 2 6" xfId="4041" xr:uid="{7DB90D16-E543-4CB7-AE38-D06C62A6AC7E}"/>
    <cellStyle name="Normal 17 6 2 2 6 2" xfId="7711" xr:uid="{7C90853E-3999-438B-91D5-5894D2BE6252}"/>
    <cellStyle name="Normal 17 6 2 2 6 2 2" xfId="15218" xr:uid="{A408E8B7-EF07-49BC-9574-C59CE1EDAE20}"/>
    <cellStyle name="Normal 17 6 2 2 6 2 2 2" xfId="31422" xr:uid="{821E987F-6C08-447E-84D6-13324CEA249E}"/>
    <cellStyle name="Normal 17 6 2 2 6 2 3" xfId="23915" xr:uid="{B9B500B7-0271-43C0-8E32-DCFDA2FE0B87}"/>
    <cellStyle name="Normal 17 6 2 2 6 3" xfId="11604" xr:uid="{ABE02A0A-3B67-4C04-AD16-B4B3D7CCF51E}"/>
    <cellStyle name="Normal 17 6 2 2 6 3 2" xfId="27808" xr:uid="{C1FA8617-C314-477D-B06D-6743C72D1805}"/>
    <cellStyle name="Normal 17 6 2 2 6 4" xfId="20245" xr:uid="{F91325B0-C0BD-468C-B77B-BD45AFF6C5C0}"/>
    <cellStyle name="Normal 17 6 2 2 7" xfId="4466" xr:uid="{56B6D75E-8451-4971-8CA4-1C6C1FDB057D}"/>
    <cellStyle name="Normal 17 6 2 2 7 2" xfId="8136" xr:uid="{B13E1CFD-7B2C-4BCE-B003-D3625906B49E}"/>
    <cellStyle name="Normal 17 6 2 2 7 2 2" xfId="15643" xr:uid="{896C6F22-3F6C-448E-8CFD-141014061DC3}"/>
    <cellStyle name="Normal 17 6 2 2 7 2 2 2" xfId="31847" xr:uid="{5CE8EE30-DDA0-4410-BB0B-53C292D7C2DB}"/>
    <cellStyle name="Normal 17 6 2 2 7 2 3" xfId="24340" xr:uid="{ECD32247-83F2-4146-A8D5-BD3553F76882}"/>
    <cellStyle name="Normal 17 6 2 2 7 3" xfId="12029" xr:uid="{35D37478-C595-4EC9-8EF7-04902152F2C4}"/>
    <cellStyle name="Normal 17 6 2 2 7 3 2" xfId="28233" xr:uid="{CD188383-83B9-4213-B947-4D2766F26AF3}"/>
    <cellStyle name="Normal 17 6 2 2 7 4" xfId="20670" xr:uid="{E1BEE98E-EC11-4DE3-B984-D7EFA6F1F5FD}"/>
    <cellStyle name="Normal 17 6 2 2 8" xfId="4891" xr:uid="{6007540C-43C8-4F9F-B3BC-9A9E1C22DD60}"/>
    <cellStyle name="Normal 17 6 2 2 8 2" xfId="8559" xr:uid="{CDADB680-B8AD-4116-81DA-AB0B22147CB0}"/>
    <cellStyle name="Normal 17 6 2 2 8 2 2" xfId="16066" xr:uid="{B2F3D4CE-E7F2-4C06-9412-5B8815174EEB}"/>
    <cellStyle name="Normal 17 6 2 2 8 2 2 2" xfId="32270" xr:uid="{9C0295FA-34E9-4322-8EA8-DA8292009566}"/>
    <cellStyle name="Normal 17 6 2 2 8 2 3" xfId="24763" xr:uid="{B320007E-6AE9-48BA-8FDA-480218A312FC}"/>
    <cellStyle name="Normal 17 6 2 2 8 3" xfId="12451" xr:uid="{D6D7AC3C-37C3-4F3B-A1A4-5B9DD4ECFB40}"/>
    <cellStyle name="Normal 17 6 2 2 8 3 2" xfId="28655" xr:uid="{EF3519CA-30DB-4296-88F8-2C2721F558DB}"/>
    <cellStyle name="Normal 17 6 2 2 8 4" xfId="21095" xr:uid="{0F1CBCF2-6504-457C-8458-91D87E55C857}"/>
    <cellStyle name="Normal 17 6 2 2 9" xfId="5377" xr:uid="{CFE4A6DB-0AA1-495C-AE13-1CC286EF6205}"/>
    <cellStyle name="Normal 17 6 2 2 9 2" xfId="12926" xr:uid="{CF41EB2C-66E2-4B4D-8724-BFB385DCD6BD}"/>
    <cellStyle name="Normal 17 6 2 2 9 2 2" xfId="29130" xr:uid="{72D0B55E-0FB1-4EA0-8E23-DA8CED2707D6}"/>
    <cellStyle name="Normal 17 6 2 2 9 3" xfId="21581" xr:uid="{B8F61A05-A53C-4F78-8ED0-303C37685BC5}"/>
    <cellStyle name="Normal 17 6 2 3" xfId="2002" xr:uid="{AE82C518-80C9-4CD0-8B37-7DE7570A3741}"/>
    <cellStyle name="Normal 17 6 2 3 10" xfId="18305" xr:uid="{21335F3C-08A7-4F1C-848C-1C4794A85715}"/>
    <cellStyle name="Normal 17 6 2 3 2" xfId="2508" xr:uid="{6E3FADB9-1156-4BE9-A243-BA0AEC2544B5}"/>
    <cellStyle name="Normal 17 6 2 3 2 2" xfId="3355" xr:uid="{FCC16357-F062-4C68-BF77-048C488EC1F0}"/>
    <cellStyle name="Normal 17 6 2 3 2 2 2" xfId="7137" xr:uid="{096CC042-37CC-419D-9B17-4A554B659DD3}"/>
    <cellStyle name="Normal 17 6 2 3 2 2 2 2" xfId="14648" xr:uid="{72A7E348-C4BE-49A4-9718-D8762BA40BD1}"/>
    <cellStyle name="Normal 17 6 2 3 2 2 2 2 2" xfId="30852" xr:uid="{32C29667-2F23-405F-AC26-3639384A1103}"/>
    <cellStyle name="Normal 17 6 2 3 2 2 2 3" xfId="23341" xr:uid="{A6A23587-E7A3-469D-A347-1C7F2ABECB68}"/>
    <cellStyle name="Normal 17 6 2 3 2 2 3" xfId="11048" xr:uid="{1F04B350-B45A-4454-8B14-EE90A1131FCD}"/>
    <cellStyle name="Normal 17 6 2 3 2 2 3 2" xfId="27252" xr:uid="{2A402FB2-E202-46D4-B75D-99EDB062E8EB}"/>
    <cellStyle name="Normal 17 6 2 3 2 2 4" xfId="19575" xr:uid="{26CDDC65-C76D-47C8-977A-C7BC982B8713}"/>
    <cellStyle name="Normal 17 6 2 3 2 3" xfId="6292" xr:uid="{70EAFAE2-8EF8-477D-BF0E-3C33AB866DC8}"/>
    <cellStyle name="Normal 17 6 2 3 2 3 2" xfId="13804" xr:uid="{FC02A5E0-B087-41E6-80FD-671803AA8EF4}"/>
    <cellStyle name="Normal 17 6 2 3 2 3 2 2" xfId="30008" xr:uid="{601230B4-CDA5-4D32-B408-2B9264895D13}"/>
    <cellStyle name="Normal 17 6 2 3 2 3 3" xfId="22496" xr:uid="{351C95DE-B1E5-46FF-9743-7988B452A088}"/>
    <cellStyle name="Normal 17 6 2 3 2 4" xfId="10204" xr:uid="{3B52CEF7-C566-4811-A4B4-9C8B9E877C28}"/>
    <cellStyle name="Normal 17 6 2 3 2 4 2" xfId="26408" xr:uid="{A7D436BB-7FDD-41D8-9A72-C8807EAA67AE}"/>
    <cellStyle name="Normal 17 6 2 3 2 5" xfId="18730" xr:uid="{9DDDF5F6-18BE-4D6C-B9E7-B11B958EF902}"/>
    <cellStyle name="Normal 17 6 2 3 3" xfId="2930" xr:uid="{E3CECDCC-8175-46D5-8103-E442DA4C678C}"/>
    <cellStyle name="Normal 17 6 2 3 3 2" xfId="6714" xr:uid="{744CB03C-AA3C-45B7-B08D-466A85B0938A}"/>
    <cellStyle name="Normal 17 6 2 3 3 2 2" xfId="14226" xr:uid="{1669DC54-14CE-497D-ACEC-B9B2D42F850E}"/>
    <cellStyle name="Normal 17 6 2 3 3 2 2 2" xfId="30430" xr:uid="{93F51AEC-21D3-42B2-A550-D0C3041A0A22}"/>
    <cellStyle name="Normal 17 6 2 3 3 2 3" xfId="22918" xr:uid="{07DD346F-1FBA-4076-89F0-EBAAB13212FB}"/>
    <cellStyle name="Normal 17 6 2 3 3 3" xfId="10626" xr:uid="{55352B99-8B61-4514-8D4F-D26152EFA787}"/>
    <cellStyle name="Normal 17 6 2 3 3 3 2" xfId="26830" xr:uid="{9A2EFBB7-175A-4E5E-82B2-B6A50F7122FC}"/>
    <cellStyle name="Normal 17 6 2 3 3 4" xfId="19152" xr:uid="{DAB5FB9A-EC1F-4803-B71E-7D2BD7B76503}"/>
    <cellStyle name="Normal 17 6 2 3 4" xfId="3861" xr:uid="{35F41E2F-555C-4EA3-9C52-D270D2B6B81E}"/>
    <cellStyle name="Normal 17 6 2 3 4 2" xfId="7571" xr:uid="{1F933CA1-CCB1-4D91-815F-A80B76EB982B}"/>
    <cellStyle name="Normal 17 6 2 3 4 2 2" xfId="15080" xr:uid="{BDF006D1-E7A1-406F-9758-25E8297067C3}"/>
    <cellStyle name="Normal 17 6 2 3 4 2 2 2" xfId="31284" xr:uid="{62DF360F-6C37-47ED-AB60-688804F1F19B}"/>
    <cellStyle name="Normal 17 6 2 3 4 2 3" xfId="23775" xr:uid="{0FBD78B8-99C0-4E23-801B-C4F90334462C}"/>
    <cellStyle name="Normal 17 6 2 3 4 3" xfId="11471" xr:uid="{1F95F8D7-C881-48D7-A2E1-79A3F62D9C2C}"/>
    <cellStyle name="Normal 17 6 2 3 4 3 2" xfId="27675" xr:uid="{5ACA1D41-D976-4F1E-8036-75E6EDAC2F4A}"/>
    <cellStyle name="Normal 17 6 2 3 4 4" xfId="20070" xr:uid="{C5B03028-0C05-41AF-8D06-34440B11B497}"/>
    <cellStyle name="Normal 17 6 2 3 5" xfId="4330" xr:uid="{1E0A79E3-5F3A-4F58-AA7C-4271A7C62D11}"/>
    <cellStyle name="Normal 17 6 2 3 5 2" xfId="8000" xr:uid="{B8C21BC7-3234-4A6C-955A-52BEA6EE2482}"/>
    <cellStyle name="Normal 17 6 2 3 5 2 2" xfId="15507" xr:uid="{B8BD7AC3-F474-4C3B-AB14-DE61F32C8068}"/>
    <cellStyle name="Normal 17 6 2 3 5 2 2 2" xfId="31711" xr:uid="{E06CBE94-59C6-4CC7-9758-97E447A70AD8}"/>
    <cellStyle name="Normal 17 6 2 3 5 2 3" xfId="24204" xr:uid="{7D4A7602-BA69-485F-B2E0-4E576BA4525C}"/>
    <cellStyle name="Normal 17 6 2 3 5 3" xfId="11893" xr:uid="{ECE03CED-E98C-4102-9DA3-F56B25EDA21F}"/>
    <cellStyle name="Normal 17 6 2 3 5 3 2" xfId="28097" xr:uid="{74165241-04FD-4B2F-9F73-C5A7D685F600}"/>
    <cellStyle name="Normal 17 6 2 3 5 4" xfId="20534" xr:uid="{F4873843-ED27-4264-9CA7-AEF7A15FC3C0}"/>
    <cellStyle name="Normal 17 6 2 3 6" xfId="4755" xr:uid="{90558BB4-BDED-45FA-9BD0-8917F568194C}"/>
    <cellStyle name="Normal 17 6 2 3 6 2" xfId="8425" xr:uid="{FC963281-83D1-4A22-B60A-2E2B9D4FDB41}"/>
    <cellStyle name="Normal 17 6 2 3 6 2 2" xfId="15932" xr:uid="{DC02D415-3F3A-4357-B7E7-B2851D3C6451}"/>
    <cellStyle name="Normal 17 6 2 3 6 2 2 2" xfId="32136" xr:uid="{6022E4CE-0625-4B11-99CA-75D5B127843A}"/>
    <cellStyle name="Normal 17 6 2 3 6 2 3" xfId="24629" xr:uid="{001EDB11-2903-4239-B29C-8D6ACD2E289A}"/>
    <cellStyle name="Normal 17 6 2 3 6 3" xfId="12318" xr:uid="{A77AEB56-86AE-4C9D-87F0-06D514EF7422}"/>
    <cellStyle name="Normal 17 6 2 3 6 3 2" xfId="28522" xr:uid="{6583EB17-18EC-45FE-B932-CE9BA3B4893C}"/>
    <cellStyle name="Normal 17 6 2 3 6 4" xfId="20959" xr:uid="{C6E287B7-7E74-4B4D-A0BC-EC260B0EA0E1}"/>
    <cellStyle name="Normal 17 6 2 3 7" xfId="5183" xr:uid="{1CF2B33E-4166-411F-8AB1-9034C2873213}"/>
    <cellStyle name="Normal 17 6 2 3 7 2" xfId="8848" xr:uid="{AD559FEC-B68E-478C-8103-1A71CEB85CF9}"/>
    <cellStyle name="Normal 17 6 2 3 7 2 2" xfId="16355" xr:uid="{3618062B-2ACF-4D21-A366-95CFB71C83C8}"/>
    <cellStyle name="Normal 17 6 2 3 7 2 2 2" xfId="32559" xr:uid="{9B7C08D7-8675-47BE-A9A7-1BB664429591}"/>
    <cellStyle name="Normal 17 6 2 3 7 2 3" xfId="25052" xr:uid="{4F9AF07B-8100-4CE5-A7A2-ED8CB5786309}"/>
    <cellStyle name="Normal 17 6 2 3 7 3" xfId="12740" xr:uid="{8EA445A9-8350-42FC-A207-4F8A2DE4A595}"/>
    <cellStyle name="Normal 17 6 2 3 7 3 2" xfId="28944" xr:uid="{BD9ADF24-6509-4461-A43B-2FF3D0743B09}"/>
    <cellStyle name="Normal 17 6 2 3 7 4" xfId="21387" xr:uid="{AE6A583F-73D9-4C2D-9596-178BDBABAE31}"/>
    <cellStyle name="Normal 17 6 2 3 8" xfId="5854" xr:uid="{62574D30-7A07-4A13-9C8C-5710F50AF67C}"/>
    <cellStyle name="Normal 17 6 2 3 8 2" xfId="13369" xr:uid="{E966D84B-E511-4BBA-9738-DE3E9660C238}"/>
    <cellStyle name="Normal 17 6 2 3 8 2 2" xfId="29573" xr:uid="{A0ED0538-412E-46E9-8507-2F57A29F1ACA}"/>
    <cellStyle name="Normal 17 6 2 3 8 3" xfId="22058" xr:uid="{542C338C-2655-4BEA-8E9B-A8A3E807D44A}"/>
    <cellStyle name="Normal 17 6 2 3 9" xfId="9781" xr:uid="{96B20A51-C39D-4F6D-B0BE-90516FCA8287}"/>
    <cellStyle name="Normal 17 6 2 3 9 2" xfId="25985" xr:uid="{498B3B37-F9B8-4C9E-9D19-58D149D5B3F1}"/>
    <cellStyle name="Normal 17 6 2 4" xfId="2086" xr:uid="{FB87DD6A-5603-43E0-8131-DD7C75271D31}"/>
    <cellStyle name="Normal 17 6 2 4 2" xfId="2999" xr:uid="{AF19F6C5-D18E-4804-A365-3372D6AA78E3}"/>
    <cellStyle name="Normal 17 6 2 4 2 2" xfId="6781" xr:uid="{CA82BE9C-CE0E-4092-AAAD-674C1F1BED65}"/>
    <cellStyle name="Normal 17 6 2 4 2 2 2" xfId="14292" xr:uid="{4FFEA0AE-FD56-425D-B50B-B464AC0CA7D5}"/>
    <cellStyle name="Normal 17 6 2 4 2 2 2 2" xfId="30496" xr:uid="{15BA62C5-A3C5-427F-8669-746AA9B91E65}"/>
    <cellStyle name="Normal 17 6 2 4 2 2 3" xfId="22985" xr:uid="{565FF865-B487-4571-BE4E-8969446C5070}"/>
    <cellStyle name="Normal 17 6 2 4 2 3" xfId="10692" xr:uid="{303CAE2B-B4E3-4F61-A159-2B6A0C3DF08C}"/>
    <cellStyle name="Normal 17 6 2 4 2 3 2" xfId="26896" xr:uid="{21BA853E-8476-4E5F-AB27-B78305AA5ABA}"/>
    <cellStyle name="Normal 17 6 2 4 2 4" xfId="19219" xr:uid="{3B1093B5-575E-4E06-A364-6DFAFEC232E8}"/>
    <cellStyle name="Normal 17 6 2 4 3" xfId="5925" xr:uid="{6B8972F5-71D9-4E41-AB20-A53E1A1C6D12}"/>
    <cellStyle name="Normal 17 6 2 4 3 2" xfId="13439" xr:uid="{759BF1C7-D710-4528-8A04-6899C61B9BB9}"/>
    <cellStyle name="Normal 17 6 2 4 3 2 2" xfId="29643" xr:uid="{CF7F59D0-79D8-4C26-B409-1788B56F0A9A}"/>
    <cellStyle name="Normal 17 6 2 4 3 3" xfId="22129" xr:uid="{8662C86B-9ACA-4E95-B61E-84050D1E6D40}"/>
    <cellStyle name="Normal 17 6 2 4 4" xfId="9848" xr:uid="{4B1077EA-4B36-452D-9D6A-02FC3EAB0E60}"/>
    <cellStyle name="Normal 17 6 2 4 4 2" xfId="26052" xr:uid="{10994D46-5C48-4696-983E-579998F77048}"/>
    <cellStyle name="Normal 17 6 2 4 5" xfId="18373" xr:uid="{19D7581B-83CA-462F-B91B-6559167295BC}"/>
    <cellStyle name="Normal 17 6 2 5" xfId="2574" xr:uid="{71CA23F4-0723-433C-9A0A-8513CF503D2E}"/>
    <cellStyle name="Normal 17 6 2 5 2" xfId="6358" xr:uid="{87B5617D-5186-45A0-8A20-B1B7F8AF3234}"/>
    <cellStyle name="Normal 17 6 2 5 2 2" xfId="13870" xr:uid="{BFA3B708-FB39-4105-8870-683FB08ADC22}"/>
    <cellStyle name="Normal 17 6 2 5 2 2 2" xfId="30074" xr:uid="{7EBF5A45-7E1C-4B26-A58C-E67670E7649D}"/>
    <cellStyle name="Normal 17 6 2 5 2 3" xfId="22562" xr:uid="{A5F7A7EC-6E3B-4416-8295-EF320C5A0B21}"/>
    <cellStyle name="Normal 17 6 2 5 3" xfId="10270" xr:uid="{08B048D3-9E9C-4FFA-AB9B-6900E01EBB47}"/>
    <cellStyle name="Normal 17 6 2 5 3 2" xfId="26474" xr:uid="{42C9882A-1DBB-46DC-B729-F9642694C3B5}"/>
    <cellStyle name="Normal 17 6 2 5 4" xfId="18796" xr:uid="{C1262A94-3F28-406B-969D-F3A94423BD76}"/>
    <cellStyle name="Normal 17 6 2 6" xfId="3450" xr:uid="{F8907E25-7124-4C94-885C-254010BD1526}"/>
    <cellStyle name="Normal 17 6 2 6 2" xfId="7208" xr:uid="{6E2666EC-8BB2-4839-96B1-D071870C1899}"/>
    <cellStyle name="Normal 17 6 2 6 2 2" xfId="14718" xr:uid="{719EF348-56E9-493C-A583-170AD204B368}"/>
    <cellStyle name="Normal 17 6 2 6 2 2 2" xfId="30922" xr:uid="{BDCE9B49-97CA-4ACA-8528-30A8309EEE34}"/>
    <cellStyle name="Normal 17 6 2 6 2 3" xfId="23412" xr:uid="{E6EDB1FB-661F-45CA-96DB-AF4E6AEDFF2D}"/>
    <cellStyle name="Normal 17 6 2 6 3" xfId="11115" xr:uid="{4EE2F0AF-2EC4-4E20-8A37-B5947C4CAB00}"/>
    <cellStyle name="Normal 17 6 2 6 3 2" xfId="27319" xr:uid="{E8DE2B86-C94C-4140-A50D-193869C7AC22}"/>
    <cellStyle name="Normal 17 6 2 6 4" xfId="19666" xr:uid="{3FB10527-12BA-4B23-A615-E0832533BF0C}"/>
    <cellStyle name="Normal 17 6 2 7" xfId="3974" xr:uid="{A45D843D-2612-483F-98B4-CAF83C720510}"/>
    <cellStyle name="Normal 17 6 2 7 2" xfId="7644" xr:uid="{59583A47-100C-4ABB-BF51-F0B5B9A8A85A}"/>
    <cellStyle name="Normal 17 6 2 7 2 2" xfId="15151" xr:uid="{792D7641-6622-4E3A-92FA-F39DC3050B59}"/>
    <cellStyle name="Normal 17 6 2 7 2 2 2" xfId="31355" xr:uid="{A54BF689-86FE-4129-9D76-0C7C168577FB}"/>
    <cellStyle name="Normal 17 6 2 7 2 3" xfId="23848" xr:uid="{17210EA6-C400-4145-93F6-5FCA0BF5D937}"/>
    <cellStyle name="Normal 17 6 2 7 3" xfId="11537" xr:uid="{65E2FE81-26E3-44A2-8F5F-1B187C4F6A03}"/>
    <cellStyle name="Normal 17 6 2 7 3 2" xfId="27741" xr:uid="{3616036C-B7BF-404B-9499-136034B88EC9}"/>
    <cellStyle name="Normal 17 6 2 7 4" xfId="20178" xr:uid="{4A0A252F-C87C-4ECF-BE5F-2BAF4BD8486B}"/>
    <cellStyle name="Normal 17 6 2 8" xfId="4399" xr:uid="{D4AA3F45-8EE2-4E77-837E-27F7F8B2C375}"/>
    <cellStyle name="Normal 17 6 2 8 2" xfId="8069" xr:uid="{3AFDABED-5AD8-4B63-AF27-DD745AED343C}"/>
    <cellStyle name="Normal 17 6 2 8 2 2" xfId="15576" xr:uid="{96C5144E-B4AB-4319-B315-6FF43A225371}"/>
    <cellStyle name="Normal 17 6 2 8 2 2 2" xfId="31780" xr:uid="{13697F95-FEDA-461D-AD19-48C361224D02}"/>
    <cellStyle name="Normal 17 6 2 8 2 3" xfId="24273" xr:uid="{41F836D8-FD29-4D22-A66B-098EDC175E8B}"/>
    <cellStyle name="Normal 17 6 2 8 3" xfId="11962" xr:uid="{71720CFD-BE8A-42FE-9D8C-1F6653FA2D79}"/>
    <cellStyle name="Normal 17 6 2 8 3 2" xfId="28166" xr:uid="{5C2DEFAF-8AFD-49A1-8A32-E5DDB7CE1931}"/>
    <cellStyle name="Normal 17 6 2 8 4" xfId="20603" xr:uid="{DE528325-C453-412D-8183-B7179B77E79A}"/>
    <cellStyle name="Normal 17 6 2 9" xfId="4823" xr:uid="{D7A8A54C-9526-42B0-A5A2-4933EBD77F07}"/>
    <cellStyle name="Normal 17 6 2 9 2" xfId="8492" xr:uid="{83B2DD67-3DAB-458B-9BD8-0EA32B078EEE}"/>
    <cellStyle name="Normal 17 6 2 9 2 2" xfId="15999" xr:uid="{6488D1DE-C758-4FB3-A047-2CAC8B5AF149}"/>
    <cellStyle name="Normal 17 6 2 9 2 2 2" xfId="32203" xr:uid="{C07E363F-5378-49F4-B97D-F6C26669B357}"/>
    <cellStyle name="Normal 17 6 2 9 2 3" xfId="24696" xr:uid="{B320DBC6-2435-4B3F-9224-8EEA5E3021B7}"/>
    <cellStyle name="Normal 17 6 2 9 3" xfId="12384" xr:uid="{536F3401-37D9-40B6-BBCC-7E28190F8ABA}"/>
    <cellStyle name="Normal 17 6 2 9 3 2" xfId="28588" xr:uid="{D6752DE3-3862-4F85-BCA0-009805121EA4}"/>
    <cellStyle name="Normal 17 6 2 9 4" xfId="21027" xr:uid="{4909B4AF-C511-4B2E-A264-8AB127F1CDDF}"/>
    <cellStyle name="Normal 17 6 3" xfId="535" xr:uid="{39990C94-12ED-463D-B78E-9FAC93439664}"/>
    <cellStyle name="Normal 17 6 3 10" xfId="5332" xr:uid="{17E1F6FD-8B2D-4A09-8C11-B6F2B3D11CAF}"/>
    <cellStyle name="Normal 17 6 3 10 2" xfId="12881" xr:uid="{F0DC4593-F976-4A95-9766-7E296E0D13E9}"/>
    <cellStyle name="Normal 17 6 3 10 2 2" xfId="29085" xr:uid="{A053B6BD-AF34-4C85-8D76-845007C65C7B}"/>
    <cellStyle name="Normal 17 6 3 10 3" xfId="21536" xr:uid="{509C28C5-5DF4-46B6-9589-C82798CCE808}"/>
    <cellStyle name="Normal 17 6 3 11" xfId="9447" xr:uid="{25CAD63E-50FA-4630-892F-D80418B5F9FE}"/>
    <cellStyle name="Normal 17 6 3 11 2" xfId="25651" xr:uid="{7F8C07D6-9264-4094-AD5C-7F82511738C9}"/>
    <cellStyle name="Normal 17 6 3 12" xfId="17962" xr:uid="{21E80889-5D22-4574-B321-F5FDEC13F233}"/>
    <cellStyle name="Normal 17 6 3 2" xfId="606" xr:uid="{F489BE3D-D7AC-4B43-91D4-2735BE09B8C7}"/>
    <cellStyle name="Normal 17 6 3 2 10" xfId="9514" xr:uid="{E51ADE95-CCE7-4907-B917-906DDB45AC20}"/>
    <cellStyle name="Normal 17 6 3 2 10 2" xfId="25718" xr:uid="{3C9155A2-A229-4B2B-B0E6-F0016C361C54}"/>
    <cellStyle name="Normal 17 6 3 2 11" xfId="18030" xr:uid="{7B66651F-A266-49F9-A9D9-279FEE9F3644}"/>
    <cellStyle name="Normal 17 6 3 2 2" xfId="2003" xr:uid="{EA1E3D40-9396-42C4-94AD-2FA9400627DF}"/>
    <cellStyle name="Normal 17 6 3 2 2 10" xfId="18306" xr:uid="{63578325-CF0F-45FA-9906-234EF333EA41}"/>
    <cellStyle name="Normal 17 6 3 2 2 2" xfId="2509" xr:uid="{CFEC4F5E-A530-4C46-BF45-28E01B1006DF}"/>
    <cellStyle name="Normal 17 6 3 2 2 2 2" xfId="3356" xr:uid="{43033FB9-4106-4A0B-91E1-BA1BB270DF96}"/>
    <cellStyle name="Normal 17 6 3 2 2 2 2 2" xfId="7138" xr:uid="{DF1932EA-97F6-40C7-BC01-EAE0CD8E1875}"/>
    <cellStyle name="Normal 17 6 3 2 2 2 2 2 2" xfId="14649" xr:uid="{A8C9160B-55D9-4299-A5DE-C19C925387D7}"/>
    <cellStyle name="Normal 17 6 3 2 2 2 2 2 2 2" xfId="30853" xr:uid="{F57F92B9-E03E-42E6-BB65-FDDE46129468}"/>
    <cellStyle name="Normal 17 6 3 2 2 2 2 2 3" xfId="23342" xr:uid="{2E4F1A30-7159-449E-866F-D3A387721733}"/>
    <cellStyle name="Normal 17 6 3 2 2 2 2 3" xfId="11049" xr:uid="{793B507A-86FE-41A6-B937-70ACFFB40244}"/>
    <cellStyle name="Normal 17 6 3 2 2 2 2 3 2" xfId="27253" xr:uid="{CE918A8D-46F2-4C62-BB9E-C70CD2F2F700}"/>
    <cellStyle name="Normal 17 6 3 2 2 2 2 4" xfId="19576" xr:uid="{30BCDF88-00B3-4115-A631-EB6648871545}"/>
    <cellStyle name="Normal 17 6 3 2 2 2 3" xfId="6293" xr:uid="{23D01D00-8E1C-4C92-A3C3-483922855BF2}"/>
    <cellStyle name="Normal 17 6 3 2 2 2 3 2" xfId="13805" xr:uid="{8B39B2DE-6BA1-4488-A24A-4EFD553806BE}"/>
    <cellStyle name="Normal 17 6 3 2 2 2 3 2 2" xfId="30009" xr:uid="{0E430120-189F-4F4C-BAC5-03C7D19546C4}"/>
    <cellStyle name="Normal 17 6 3 2 2 2 3 3" xfId="22497" xr:uid="{F7B8B32B-9AC6-424B-8FE1-4C16152A1A2A}"/>
    <cellStyle name="Normal 17 6 3 2 2 2 4" xfId="10205" xr:uid="{DADCCE3C-7574-48D5-848B-DDFF917088F9}"/>
    <cellStyle name="Normal 17 6 3 2 2 2 4 2" xfId="26409" xr:uid="{69D675D9-3BE3-48F9-A170-190B2A7DCC0F}"/>
    <cellStyle name="Normal 17 6 3 2 2 2 5" xfId="18731" xr:uid="{97E31402-7ED7-48C6-B11D-B05CBB29C613}"/>
    <cellStyle name="Normal 17 6 3 2 2 3" xfId="2931" xr:uid="{F22F7FF0-7FFE-42E6-854E-F4B03E241D60}"/>
    <cellStyle name="Normal 17 6 3 2 2 3 2" xfId="6715" xr:uid="{BF5DADAB-E773-4FE0-B149-8C4BB5F4DAED}"/>
    <cellStyle name="Normal 17 6 3 2 2 3 2 2" xfId="14227" xr:uid="{74EE4050-8081-4D1C-8FBD-97851877D51B}"/>
    <cellStyle name="Normal 17 6 3 2 2 3 2 2 2" xfId="30431" xr:uid="{592BA5ED-2AFF-46F3-9F7F-EE2D1440D632}"/>
    <cellStyle name="Normal 17 6 3 2 2 3 2 3" xfId="22919" xr:uid="{50B9C72D-85FD-4006-984F-87C8291940E7}"/>
    <cellStyle name="Normal 17 6 3 2 2 3 3" xfId="10627" xr:uid="{C16D78F5-0A2A-49F5-91AA-B572104BEB88}"/>
    <cellStyle name="Normal 17 6 3 2 2 3 3 2" xfId="26831" xr:uid="{76EFEE7D-2EDB-44CB-A562-54692F9F8978}"/>
    <cellStyle name="Normal 17 6 3 2 2 3 4" xfId="19153" xr:uid="{604FF5B2-B046-42D0-BA62-E506499409CD}"/>
    <cellStyle name="Normal 17 6 3 2 2 4" xfId="3862" xr:uid="{2DEDBB27-BE6B-4D10-A27A-E1CF04C9E70D}"/>
    <cellStyle name="Normal 17 6 3 2 2 4 2" xfId="7572" xr:uid="{C94B791A-2471-4372-8628-F7E5ED5882F1}"/>
    <cellStyle name="Normal 17 6 3 2 2 4 2 2" xfId="15081" xr:uid="{75085268-ECC9-4190-A080-A1AED899EDDC}"/>
    <cellStyle name="Normal 17 6 3 2 2 4 2 2 2" xfId="31285" xr:uid="{0B7A1D97-5900-46FE-94DB-A069176F4C3A}"/>
    <cellStyle name="Normal 17 6 3 2 2 4 2 3" xfId="23776" xr:uid="{E3E679A3-8904-47C3-8781-DC62FDD4B1D3}"/>
    <cellStyle name="Normal 17 6 3 2 2 4 3" xfId="11472" xr:uid="{77D8D4EC-1BF3-4755-8194-25A1076D7734}"/>
    <cellStyle name="Normal 17 6 3 2 2 4 3 2" xfId="27676" xr:uid="{AF8E25AB-C78C-4092-B98E-943474399699}"/>
    <cellStyle name="Normal 17 6 3 2 2 4 4" xfId="20071" xr:uid="{8B7DA278-29B9-499F-8D12-CF813270D134}"/>
    <cellStyle name="Normal 17 6 3 2 2 5" xfId="4331" xr:uid="{D95E035E-B433-44B1-AD8F-B4293EEABF04}"/>
    <cellStyle name="Normal 17 6 3 2 2 5 2" xfId="8001" xr:uid="{9FEE5944-9F8D-4B8E-9F04-6118C8672A12}"/>
    <cellStyle name="Normal 17 6 3 2 2 5 2 2" xfId="15508" xr:uid="{D3501050-CE9E-44F2-9211-C9CA70DC3378}"/>
    <cellStyle name="Normal 17 6 3 2 2 5 2 2 2" xfId="31712" xr:uid="{607C60A1-D0D0-4F8F-81F2-5F3D6066AADB}"/>
    <cellStyle name="Normal 17 6 3 2 2 5 2 3" xfId="24205" xr:uid="{4684654F-057E-4EA2-A337-15B6C6CDECCA}"/>
    <cellStyle name="Normal 17 6 3 2 2 5 3" xfId="11894" xr:uid="{609CA44E-640A-4203-BB73-3FA51A58DC1D}"/>
    <cellStyle name="Normal 17 6 3 2 2 5 3 2" xfId="28098" xr:uid="{DFE47BB6-F619-4A7E-BF80-46D035E08DE8}"/>
    <cellStyle name="Normal 17 6 3 2 2 5 4" xfId="20535" xr:uid="{FC242023-6EB5-4CF5-9D3A-EFCFAC1005F2}"/>
    <cellStyle name="Normal 17 6 3 2 2 6" xfId="4756" xr:uid="{B7D51A49-5AAD-4278-A9AC-06C27EBA0958}"/>
    <cellStyle name="Normal 17 6 3 2 2 6 2" xfId="8426" xr:uid="{8F32D8B7-B57D-47C2-9B2D-F15C85886725}"/>
    <cellStyle name="Normal 17 6 3 2 2 6 2 2" xfId="15933" xr:uid="{5A68810E-18A6-404E-83AA-AF24143ACB97}"/>
    <cellStyle name="Normal 17 6 3 2 2 6 2 2 2" xfId="32137" xr:uid="{28CD135B-BB23-4762-B4E8-9DF01B9D7CD1}"/>
    <cellStyle name="Normal 17 6 3 2 2 6 2 3" xfId="24630" xr:uid="{5C2EED0C-9C23-4BC3-8114-71442A38D3DB}"/>
    <cellStyle name="Normal 17 6 3 2 2 6 3" xfId="12319" xr:uid="{49D2F6E1-C019-401A-8DB8-6665AB425DA6}"/>
    <cellStyle name="Normal 17 6 3 2 2 6 3 2" xfId="28523" xr:uid="{E8203F39-4846-4805-BB6F-069D4B684BA0}"/>
    <cellStyle name="Normal 17 6 3 2 2 6 4" xfId="20960" xr:uid="{0EC94264-B793-4A4C-A033-2BB0227A0C10}"/>
    <cellStyle name="Normal 17 6 3 2 2 7" xfId="5184" xr:uid="{ACD727EE-DBA9-48F5-BDE6-F6B6B5D6188F}"/>
    <cellStyle name="Normal 17 6 3 2 2 7 2" xfId="8849" xr:uid="{B6E20187-E02C-46AC-B36E-9577A72AA61C}"/>
    <cellStyle name="Normal 17 6 3 2 2 7 2 2" xfId="16356" xr:uid="{DC0BF5EB-8F88-4D96-A11A-E15535F56B3F}"/>
    <cellStyle name="Normal 17 6 3 2 2 7 2 2 2" xfId="32560" xr:uid="{BA23AF2A-AED9-4AAE-B812-6A86135752B8}"/>
    <cellStyle name="Normal 17 6 3 2 2 7 2 3" xfId="25053" xr:uid="{45781B38-B52C-4259-801A-AB973BE15F6A}"/>
    <cellStyle name="Normal 17 6 3 2 2 7 3" xfId="12741" xr:uid="{4A6FA74A-EF16-43F8-994F-F98276C68F23}"/>
    <cellStyle name="Normal 17 6 3 2 2 7 3 2" xfId="28945" xr:uid="{75875531-E1D0-448F-AED1-F5C311A00D64}"/>
    <cellStyle name="Normal 17 6 3 2 2 7 4" xfId="21388" xr:uid="{6A39FCF1-C6B3-4AED-B1AD-9F8B679F8AF8}"/>
    <cellStyle name="Normal 17 6 3 2 2 8" xfId="5855" xr:uid="{FB423FE8-F7DD-49EC-8B45-20A361B9A70D}"/>
    <cellStyle name="Normal 17 6 3 2 2 8 2" xfId="13370" xr:uid="{16E11F7F-EA17-45C0-8BE8-1529D8794CA6}"/>
    <cellStyle name="Normal 17 6 3 2 2 8 2 2" xfId="29574" xr:uid="{BB465752-CDCF-4855-8A54-54C246E27397}"/>
    <cellStyle name="Normal 17 6 3 2 2 8 3" xfId="22059" xr:uid="{F3102C18-FF92-4C6E-A273-4EF69271FA9F}"/>
    <cellStyle name="Normal 17 6 3 2 2 9" xfId="9782" xr:uid="{FD9063D3-6A6D-45D8-8EE3-FD6A6C9FB6E1}"/>
    <cellStyle name="Normal 17 6 3 2 2 9 2" xfId="25986" xr:uid="{88F2A039-E762-4E9C-81DE-C63FBF50FEDA}"/>
    <cellStyle name="Normal 17 6 3 2 3" xfId="2175" xr:uid="{9D0F23E0-F67D-4F1F-B136-4AC91B3C176D}"/>
    <cellStyle name="Normal 17 6 3 2 3 2" xfId="3088" xr:uid="{344C7310-18F3-438C-8EA8-99452604A91B}"/>
    <cellStyle name="Normal 17 6 3 2 3 2 2" xfId="6870" xr:uid="{64DD1A04-9AAE-45D9-B23F-CB3069AAB829}"/>
    <cellStyle name="Normal 17 6 3 2 3 2 2 2" xfId="14381" xr:uid="{2D7F3D82-19E0-4902-9342-12E45023066D}"/>
    <cellStyle name="Normal 17 6 3 2 3 2 2 2 2" xfId="30585" xr:uid="{66DA89AF-A5BA-46BF-9A64-E8A7267E6869}"/>
    <cellStyle name="Normal 17 6 3 2 3 2 2 3" xfId="23074" xr:uid="{2E525490-2327-4690-9965-57C7C6C51B59}"/>
    <cellStyle name="Normal 17 6 3 2 3 2 3" xfId="10781" xr:uid="{2DE611E5-5B5A-468E-A539-69D7695688DB}"/>
    <cellStyle name="Normal 17 6 3 2 3 2 3 2" xfId="26985" xr:uid="{1F1C2288-0659-49EE-BCEF-38F710E9632F}"/>
    <cellStyle name="Normal 17 6 3 2 3 2 4" xfId="19308" xr:uid="{BEADB252-7B3A-4A82-A04C-A94188ED52D2}"/>
    <cellStyle name="Normal 17 6 3 2 3 3" xfId="6014" xr:uid="{B7431E33-E8A5-4209-A2F5-4C4AE83C3738}"/>
    <cellStyle name="Normal 17 6 3 2 3 3 2" xfId="13528" xr:uid="{6787957D-E7C5-4D84-8E43-D01D8B211ACB}"/>
    <cellStyle name="Normal 17 6 3 2 3 3 2 2" xfId="29732" xr:uid="{41C5BBF7-E5C5-4DBB-ADFC-490E3C538E6C}"/>
    <cellStyle name="Normal 17 6 3 2 3 3 3" xfId="22218" xr:uid="{1F284AB5-2C58-4AE6-8CDB-11A3878A3A78}"/>
    <cellStyle name="Normal 17 6 3 2 3 4" xfId="9937" xr:uid="{3853CF90-7FDC-4318-B8FE-AEF248351011}"/>
    <cellStyle name="Normal 17 6 3 2 3 4 2" xfId="26141" xr:uid="{D3A9A076-8E90-427C-B0A5-1EC26DDE19D2}"/>
    <cellStyle name="Normal 17 6 3 2 3 5" xfId="18462" xr:uid="{0FE51A2B-B0E6-4C32-A94A-6284719C54AF}"/>
    <cellStyle name="Normal 17 6 3 2 4" xfId="2663" xr:uid="{F8F37D3E-4AC2-41DB-9078-1DFBB3AE5C46}"/>
    <cellStyle name="Normal 17 6 3 2 4 2" xfId="6447" xr:uid="{0E9C19C1-D9A6-43AE-9FE4-7983BB7770C6}"/>
    <cellStyle name="Normal 17 6 3 2 4 2 2" xfId="13959" xr:uid="{472B773C-C143-42A6-B7A3-AB9FB5B4E539}"/>
    <cellStyle name="Normal 17 6 3 2 4 2 2 2" xfId="30163" xr:uid="{116D7A65-13D6-4F6D-A872-EE3303E0FB35}"/>
    <cellStyle name="Normal 17 6 3 2 4 2 3" xfId="22651" xr:uid="{DAB5DE0C-F511-461C-ADED-FC6991633824}"/>
    <cellStyle name="Normal 17 6 3 2 4 3" xfId="10359" xr:uid="{A0C2B63C-46AC-4D4B-9A5C-E8974E52478D}"/>
    <cellStyle name="Normal 17 6 3 2 4 3 2" xfId="26563" xr:uid="{19360071-0F03-4888-9AB0-2639D227F030}"/>
    <cellStyle name="Normal 17 6 3 2 4 4" xfId="18885" xr:uid="{C93A6B90-7762-4292-B621-241FBFB2CE4D}"/>
    <cellStyle name="Normal 17 6 3 2 5" xfId="3539" xr:uid="{789324FB-66F1-493E-874D-9BA77D1A73C9}"/>
    <cellStyle name="Normal 17 6 3 2 5 2" xfId="7297" xr:uid="{8EE0C39A-0522-4B07-8471-7B61471DA414}"/>
    <cellStyle name="Normal 17 6 3 2 5 2 2" xfId="14807" xr:uid="{2B5D4C13-CADA-40F7-8705-943230FA8F81}"/>
    <cellStyle name="Normal 17 6 3 2 5 2 2 2" xfId="31011" xr:uid="{933308DF-29A7-4A5A-B811-90BA885C73C7}"/>
    <cellStyle name="Normal 17 6 3 2 5 2 3" xfId="23501" xr:uid="{725F71ED-CED5-4C47-A484-DD00BA12FD74}"/>
    <cellStyle name="Normal 17 6 3 2 5 3" xfId="11204" xr:uid="{590DE90E-3776-420E-AF96-8407991B8822}"/>
    <cellStyle name="Normal 17 6 3 2 5 3 2" xfId="27408" xr:uid="{0F60BAC1-536D-4F2F-B888-3BAD8E7C54C4}"/>
    <cellStyle name="Normal 17 6 3 2 5 4" xfId="19755" xr:uid="{48F979AE-CE3F-44E4-90CA-8EF26ABF89AD}"/>
    <cellStyle name="Normal 17 6 3 2 6" xfId="4063" xr:uid="{80BDC8CB-A0C5-48E2-9C95-463378433B1D}"/>
    <cellStyle name="Normal 17 6 3 2 6 2" xfId="7733" xr:uid="{9C70BA34-C56F-4E78-B019-2A9CBB12CCA9}"/>
    <cellStyle name="Normal 17 6 3 2 6 2 2" xfId="15240" xr:uid="{9AE4F26D-CA31-4AF9-AD35-9DA68B2A6E6D}"/>
    <cellStyle name="Normal 17 6 3 2 6 2 2 2" xfId="31444" xr:uid="{578663E4-0445-49B2-BFAA-FCDEDF886A38}"/>
    <cellStyle name="Normal 17 6 3 2 6 2 3" xfId="23937" xr:uid="{A1CDFE30-90C3-4762-B583-CFC11552B861}"/>
    <cellStyle name="Normal 17 6 3 2 6 3" xfId="11626" xr:uid="{A600CA21-4E18-4845-9862-DC2511741B50}"/>
    <cellStyle name="Normal 17 6 3 2 6 3 2" xfId="27830" xr:uid="{4BF93023-46CF-4F6C-84F6-7906232740B5}"/>
    <cellStyle name="Normal 17 6 3 2 6 4" xfId="20267" xr:uid="{A87C4EBC-69DF-4CD5-A829-D52FF96EAFF2}"/>
    <cellStyle name="Normal 17 6 3 2 7" xfId="4488" xr:uid="{D4249982-0D69-4D87-8FE0-B3C418667888}"/>
    <cellStyle name="Normal 17 6 3 2 7 2" xfId="8158" xr:uid="{7A2936DD-F423-4BEF-8255-D373A03B6714}"/>
    <cellStyle name="Normal 17 6 3 2 7 2 2" xfId="15665" xr:uid="{77A7F19A-2F47-4F48-AF69-BC28C6296B9A}"/>
    <cellStyle name="Normal 17 6 3 2 7 2 2 2" xfId="31869" xr:uid="{2A074111-C81C-4308-9233-79FD7C05D871}"/>
    <cellStyle name="Normal 17 6 3 2 7 2 3" xfId="24362" xr:uid="{DEE5CDEE-BFC0-441D-970E-9D7B774C6C0E}"/>
    <cellStyle name="Normal 17 6 3 2 7 3" xfId="12051" xr:uid="{0C735296-94AA-4CBC-826B-17D94DFA8886}"/>
    <cellStyle name="Normal 17 6 3 2 7 3 2" xfId="28255" xr:uid="{4021EA14-4DC7-4941-B5B7-6F6BAFAC29A4}"/>
    <cellStyle name="Normal 17 6 3 2 7 4" xfId="20692" xr:uid="{50026750-F790-4E0E-BE8C-59FDE51D5828}"/>
    <cellStyle name="Normal 17 6 3 2 8" xfId="4913" xr:uid="{9AC46C13-6CD9-43AA-9C2D-4B113A3B8CBA}"/>
    <cellStyle name="Normal 17 6 3 2 8 2" xfId="8581" xr:uid="{4401F9DD-C6D3-4163-907D-5CE021D99994}"/>
    <cellStyle name="Normal 17 6 3 2 8 2 2" xfId="16088" xr:uid="{51D45CE9-1893-4457-A219-60BCFCC574DD}"/>
    <cellStyle name="Normal 17 6 3 2 8 2 2 2" xfId="32292" xr:uid="{1B4914B8-49B9-460B-9CBD-6F7CEE42AD90}"/>
    <cellStyle name="Normal 17 6 3 2 8 2 3" xfId="24785" xr:uid="{8C84F0EE-2B24-4833-9DD8-9263D90A251A}"/>
    <cellStyle name="Normal 17 6 3 2 8 3" xfId="12473" xr:uid="{F494484E-62B3-4F20-A8F0-225167A6DF53}"/>
    <cellStyle name="Normal 17 6 3 2 8 3 2" xfId="28677" xr:uid="{DF7F3850-D97C-4F82-AB0D-C0515B6400DC}"/>
    <cellStyle name="Normal 17 6 3 2 8 4" xfId="21117" xr:uid="{98E14353-529B-4600-973B-47B6FDB40DAF}"/>
    <cellStyle name="Normal 17 6 3 2 9" xfId="5399" xr:uid="{E6EB4219-379D-4174-8A6B-063E97F93C9F}"/>
    <cellStyle name="Normal 17 6 3 2 9 2" xfId="12948" xr:uid="{AAD50A71-87B9-420C-B80C-092452B221A3}"/>
    <cellStyle name="Normal 17 6 3 2 9 2 2" xfId="29152" xr:uid="{BE3BCA29-D259-45B9-B927-4B8D8FCF0463}"/>
    <cellStyle name="Normal 17 6 3 2 9 3" xfId="21603" xr:uid="{64E8292A-2466-4556-BDB4-0BA897D5F533}"/>
    <cellStyle name="Normal 17 6 3 3" xfId="2004" xr:uid="{C3BD3B72-085D-4A17-BC69-672BD329B649}"/>
    <cellStyle name="Normal 17 6 3 3 10" xfId="18307" xr:uid="{13FB72D1-7614-4FBC-8311-E02EF1B086BB}"/>
    <cellStyle name="Normal 17 6 3 3 2" xfId="2510" xr:uid="{51795FE1-7ACF-498D-AEDD-E20A4E65FF63}"/>
    <cellStyle name="Normal 17 6 3 3 2 2" xfId="3357" xr:uid="{6446DD23-8441-448F-A956-5D0FD6468EAB}"/>
    <cellStyle name="Normal 17 6 3 3 2 2 2" xfId="7139" xr:uid="{1E29CC83-4BB5-4B4F-A942-93C45FD711B7}"/>
    <cellStyle name="Normal 17 6 3 3 2 2 2 2" xfId="14650" xr:uid="{82CDEEDE-22B4-43B4-8B74-1296BBDFCC85}"/>
    <cellStyle name="Normal 17 6 3 3 2 2 2 2 2" xfId="30854" xr:uid="{78B003B6-91EB-4CA5-9879-8BDE678AC0CE}"/>
    <cellStyle name="Normal 17 6 3 3 2 2 2 3" xfId="23343" xr:uid="{42459B9B-CA57-4983-ABB6-AF29098BF411}"/>
    <cellStyle name="Normal 17 6 3 3 2 2 3" xfId="11050" xr:uid="{26F1AACD-74CB-4E02-9FD6-78AB7BDA9164}"/>
    <cellStyle name="Normal 17 6 3 3 2 2 3 2" xfId="27254" xr:uid="{3F967E86-4586-4288-93ED-C6E2C62F23F0}"/>
    <cellStyle name="Normal 17 6 3 3 2 2 4" xfId="19577" xr:uid="{9C8C8F2F-D7C7-4B40-95C9-EA756988D6D4}"/>
    <cellStyle name="Normal 17 6 3 3 2 3" xfId="6294" xr:uid="{871D3D49-6ABC-4CC0-BA93-38577B6D432E}"/>
    <cellStyle name="Normal 17 6 3 3 2 3 2" xfId="13806" xr:uid="{0E46543A-52A5-42FE-A63A-8DD871EE9638}"/>
    <cellStyle name="Normal 17 6 3 3 2 3 2 2" xfId="30010" xr:uid="{CB4AF009-D644-4925-B457-3376EB7B07FD}"/>
    <cellStyle name="Normal 17 6 3 3 2 3 3" xfId="22498" xr:uid="{A4EF0B24-4710-4060-B96A-83ECD5DC27D4}"/>
    <cellStyle name="Normal 17 6 3 3 2 4" xfId="10206" xr:uid="{F8011C15-E435-4F9A-AC89-1E4336AAB31E}"/>
    <cellStyle name="Normal 17 6 3 3 2 4 2" xfId="26410" xr:uid="{C1F6A64E-BAE0-46E6-8362-096C0AB0D45C}"/>
    <cellStyle name="Normal 17 6 3 3 2 5" xfId="18732" xr:uid="{EC1D38E6-1619-4EAF-B1C8-42BCB71FE518}"/>
    <cellStyle name="Normal 17 6 3 3 3" xfId="2932" xr:uid="{946752FB-C656-4770-9E1F-CE83A3CF87EA}"/>
    <cellStyle name="Normal 17 6 3 3 3 2" xfId="6716" xr:uid="{CF191DCA-6707-4DA1-8D60-1B1977E05518}"/>
    <cellStyle name="Normal 17 6 3 3 3 2 2" xfId="14228" xr:uid="{68A3BDBF-BA5E-4BD0-BE87-FD551B898DC5}"/>
    <cellStyle name="Normal 17 6 3 3 3 2 2 2" xfId="30432" xr:uid="{33FF9B43-8D68-483A-9531-8F943B712B51}"/>
    <cellStyle name="Normal 17 6 3 3 3 2 3" xfId="22920" xr:uid="{C7211CAC-0D57-4650-9AE4-3B3138C039E1}"/>
    <cellStyle name="Normal 17 6 3 3 3 3" xfId="10628" xr:uid="{5FC9F0D0-74FA-45AE-9B1F-EBC71724596D}"/>
    <cellStyle name="Normal 17 6 3 3 3 3 2" xfId="26832" xr:uid="{983BAD08-B4ED-4F63-AFF5-CBCACD6D3A7E}"/>
    <cellStyle name="Normal 17 6 3 3 3 4" xfId="19154" xr:uid="{5BC0B2B8-6540-449E-A3A3-2CC705332C65}"/>
    <cellStyle name="Normal 17 6 3 3 4" xfId="3863" xr:uid="{D474DB53-6AD9-4F90-8E78-0EC7F99805A1}"/>
    <cellStyle name="Normal 17 6 3 3 4 2" xfId="7573" xr:uid="{FC95D215-D667-4ABF-B7B2-6DB12D5F8553}"/>
    <cellStyle name="Normal 17 6 3 3 4 2 2" xfId="15082" xr:uid="{739460F1-FAD4-4E5B-8495-BF9080620C03}"/>
    <cellStyle name="Normal 17 6 3 3 4 2 2 2" xfId="31286" xr:uid="{FFD75985-B266-4445-BB63-8299FBE9F166}"/>
    <cellStyle name="Normal 17 6 3 3 4 2 3" xfId="23777" xr:uid="{A9026056-7D96-490C-A3F1-5AFE078DF32B}"/>
    <cellStyle name="Normal 17 6 3 3 4 3" xfId="11473" xr:uid="{DA1B51EA-4EAC-458B-BEBA-78ADD4440A75}"/>
    <cellStyle name="Normal 17 6 3 3 4 3 2" xfId="27677" xr:uid="{B03636D9-97CC-427F-9300-BA1185929258}"/>
    <cellStyle name="Normal 17 6 3 3 4 4" xfId="20072" xr:uid="{897BE007-F1C2-42B9-9EF5-60DAE6CB5DDA}"/>
    <cellStyle name="Normal 17 6 3 3 5" xfId="4332" xr:uid="{F5D8CEE7-A40C-4813-8FE2-85544599108E}"/>
    <cellStyle name="Normal 17 6 3 3 5 2" xfId="8002" xr:uid="{02063EC9-6A57-41D6-86DE-944EB0246E3C}"/>
    <cellStyle name="Normal 17 6 3 3 5 2 2" xfId="15509" xr:uid="{D020FD25-0180-4224-904A-EE91AD0615E4}"/>
    <cellStyle name="Normal 17 6 3 3 5 2 2 2" xfId="31713" xr:uid="{605074FB-1481-4B9B-8449-29B847B17490}"/>
    <cellStyle name="Normal 17 6 3 3 5 2 3" xfId="24206" xr:uid="{C106E517-7D6B-445D-942A-0CEF4ACA033F}"/>
    <cellStyle name="Normal 17 6 3 3 5 3" xfId="11895" xr:uid="{B9A7CE1E-0823-416E-AFA2-1FC95E29E418}"/>
    <cellStyle name="Normal 17 6 3 3 5 3 2" xfId="28099" xr:uid="{74D9AF38-FD8C-4083-918C-0B7CCFF834C1}"/>
    <cellStyle name="Normal 17 6 3 3 5 4" xfId="20536" xr:uid="{751C8146-E571-4F9E-9ABD-9731E643263F}"/>
    <cellStyle name="Normal 17 6 3 3 6" xfId="4757" xr:uid="{1602D82B-6203-4BD1-98CD-C7BCE80E5E89}"/>
    <cellStyle name="Normal 17 6 3 3 6 2" xfId="8427" xr:uid="{3F01302F-1459-4619-8278-6A2CF93E24D9}"/>
    <cellStyle name="Normal 17 6 3 3 6 2 2" xfId="15934" xr:uid="{6BEB8844-EE7A-431D-A4C8-8EB616AED420}"/>
    <cellStyle name="Normal 17 6 3 3 6 2 2 2" xfId="32138" xr:uid="{3778C8FD-E4D5-4594-8FC6-0D153FDA7B27}"/>
    <cellStyle name="Normal 17 6 3 3 6 2 3" xfId="24631" xr:uid="{7688EE56-C944-499F-88D4-2FE28327D58A}"/>
    <cellStyle name="Normal 17 6 3 3 6 3" xfId="12320" xr:uid="{50093868-6BCB-4A76-9A41-5E11FB9BE2FC}"/>
    <cellStyle name="Normal 17 6 3 3 6 3 2" xfId="28524" xr:uid="{EB7AF749-0481-4C0C-81AD-5E85AE6FC7C4}"/>
    <cellStyle name="Normal 17 6 3 3 6 4" xfId="20961" xr:uid="{B911C321-0805-4476-931A-DE9912B7017A}"/>
    <cellStyle name="Normal 17 6 3 3 7" xfId="5185" xr:uid="{02020CF7-DBBD-4054-9E3E-75D2FC9B64BB}"/>
    <cellStyle name="Normal 17 6 3 3 7 2" xfId="8850" xr:uid="{7B0131D3-04CC-4D1C-AF8B-471C3126784B}"/>
    <cellStyle name="Normal 17 6 3 3 7 2 2" xfId="16357" xr:uid="{9E59E769-97D9-45AA-A5BB-2AC0986B8B6E}"/>
    <cellStyle name="Normal 17 6 3 3 7 2 2 2" xfId="32561" xr:uid="{DCDB6749-11E3-469F-B82D-FF4B949B8AA4}"/>
    <cellStyle name="Normal 17 6 3 3 7 2 3" xfId="25054" xr:uid="{B9150640-F9AA-4986-82FA-7AA74E427EF1}"/>
    <cellStyle name="Normal 17 6 3 3 7 3" xfId="12742" xr:uid="{84891B9E-418C-4643-AA40-6B54788D281C}"/>
    <cellStyle name="Normal 17 6 3 3 7 3 2" xfId="28946" xr:uid="{187F9432-0E55-4F1B-A082-44DBBA1444A9}"/>
    <cellStyle name="Normal 17 6 3 3 7 4" xfId="21389" xr:uid="{F57B7098-6B61-41EC-AA61-8A0220E85643}"/>
    <cellStyle name="Normal 17 6 3 3 8" xfId="5856" xr:uid="{8D7D5BC0-E893-4D3E-AF61-D412FF7007BB}"/>
    <cellStyle name="Normal 17 6 3 3 8 2" xfId="13371" xr:uid="{BEF26780-602E-486A-AEC5-283955501DA5}"/>
    <cellStyle name="Normal 17 6 3 3 8 2 2" xfId="29575" xr:uid="{27805FC5-FFDD-4976-A053-E45AD308B8FB}"/>
    <cellStyle name="Normal 17 6 3 3 8 3" xfId="22060" xr:uid="{39AC674C-5C22-47A9-94D6-622CAFDA0D64}"/>
    <cellStyle name="Normal 17 6 3 3 9" xfId="9783" xr:uid="{B12526CC-7E88-4F14-9F2C-AD37180CBD85}"/>
    <cellStyle name="Normal 17 6 3 3 9 2" xfId="25987" xr:uid="{0FE3A0CD-019F-4F25-BBF8-17F09B162440}"/>
    <cellStyle name="Normal 17 6 3 4" xfId="2108" xr:uid="{CB424B99-F011-4606-898B-087551FD4217}"/>
    <cellStyle name="Normal 17 6 3 4 2" xfId="3021" xr:uid="{CA59EBDD-90BB-4BD0-9124-1A555558EE3A}"/>
    <cellStyle name="Normal 17 6 3 4 2 2" xfId="6803" xr:uid="{A00A4C34-66D4-4486-8798-9EDD1EF48F43}"/>
    <cellStyle name="Normal 17 6 3 4 2 2 2" xfId="14314" xr:uid="{55A64B13-1B9F-4B9A-8F87-10944830CAD8}"/>
    <cellStyle name="Normal 17 6 3 4 2 2 2 2" xfId="30518" xr:uid="{73A3EC87-AF05-48A9-AF23-BEA061639DB1}"/>
    <cellStyle name="Normal 17 6 3 4 2 2 3" xfId="23007" xr:uid="{47B505E1-F108-48CC-87E0-D4A45DE114F7}"/>
    <cellStyle name="Normal 17 6 3 4 2 3" xfId="10714" xr:uid="{78386B99-6591-4DE8-9951-36329E2DF1DD}"/>
    <cellStyle name="Normal 17 6 3 4 2 3 2" xfId="26918" xr:uid="{A5BC7431-F1B6-48FE-BA95-3279ECDC053C}"/>
    <cellStyle name="Normal 17 6 3 4 2 4" xfId="19241" xr:uid="{63AFDFE1-E863-45D8-A39F-AB6F37DFBF58}"/>
    <cellStyle name="Normal 17 6 3 4 3" xfId="5947" xr:uid="{259469B7-4A7B-403C-BDCF-2B7290E2D2C1}"/>
    <cellStyle name="Normal 17 6 3 4 3 2" xfId="13461" xr:uid="{21B70EEB-ABCC-4F9A-B328-331C5667E3A3}"/>
    <cellStyle name="Normal 17 6 3 4 3 2 2" xfId="29665" xr:uid="{8FFC3206-C060-450C-A1FD-5AA4FADE1368}"/>
    <cellStyle name="Normal 17 6 3 4 3 3" xfId="22151" xr:uid="{1D87ED5C-5484-4AEA-B562-75619670ED06}"/>
    <cellStyle name="Normal 17 6 3 4 4" xfId="9870" xr:uid="{34720615-72A1-4B65-8EF9-64F43049B988}"/>
    <cellStyle name="Normal 17 6 3 4 4 2" xfId="26074" xr:uid="{06ADB052-2C01-4E96-9F7E-099455C6675E}"/>
    <cellStyle name="Normal 17 6 3 4 5" xfId="18395" xr:uid="{C40E1910-6881-4D61-9941-703D8EB9422B}"/>
    <cellStyle name="Normal 17 6 3 5" xfId="2596" xr:uid="{5886F245-FE02-45E6-924D-E0EBC33EA578}"/>
    <cellStyle name="Normal 17 6 3 5 2" xfId="6380" xr:uid="{072B0B70-DFAB-4F91-AEB4-1731AFB94094}"/>
    <cellStyle name="Normal 17 6 3 5 2 2" xfId="13892" xr:uid="{C817BD0B-CF15-486F-9695-72BF0BB145CB}"/>
    <cellStyle name="Normal 17 6 3 5 2 2 2" xfId="30096" xr:uid="{09CB1EE8-856A-4014-B783-9E355F3B6C10}"/>
    <cellStyle name="Normal 17 6 3 5 2 3" xfId="22584" xr:uid="{21FA61CD-5930-45C0-BBDA-F3E0C9261716}"/>
    <cellStyle name="Normal 17 6 3 5 3" xfId="10292" xr:uid="{B316932C-E377-4DC2-B0B8-4631BBDF35DE}"/>
    <cellStyle name="Normal 17 6 3 5 3 2" xfId="26496" xr:uid="{B4424D4C-3A05-4079-B695-FD786239831F}"/>
    <cellStyle name="Normal 17 6 3 5 4" xfId="18818" xr:uid="{C2473956-093A-402C-BFA9-C62754E7D8BF}"/>
    <cellStyle name="Normal 17 6 3 6" xfId="3472" xr:uid="{BE99FFFF-C1F9-4925-A9E0-4361BE4A8576}"/>
    <cellStyle name="Normal 17 6 3 6 2" xfId="7230" xr:uid="{5CEAEE29-33BA-4C4C-BF62-4777C5106AF9}"/>
    <cellStyle name="Normal 17 6 3 6 2 2" xfId="14740" xr:uid="{B8F5E4BA-5F1B-4BE7-B97E-C8CFA2BB243F}"/>
    <cellStyle name="Normal 17 6 3 6 2 2 2" xfId="30944" xr:uid="{689FB22A-3701-4610-B06B-A37D330C5FCE}"/>
    <cellStyle name="Normal 17 6 3 6 2 3" xfId="23434" xr:uid="{B777A3D4-3913-4330-B89A-D98F450E0B9E}"/>
    <cellStyle name="Normal 17 6 3 6 3" xfId="11137" xr:uid="{BC9F4EAA-9C1D-4C20-B4EE-5AA00D6B24EB}"/>
    <cellStyle name="Normal 17 6 3 6 3 2" xfId="27341" xr:uid="{BE354471-DE12-4EC7-8592-C9EE2BF4A77F}"/>
    <cellStyle name="Normal 17 6 3 6 4" xfId="19688" xr:uid="{8259EF98-2662-4188-BEE7-90AE6AE9E0CE}"/>
    <cellStyle name="Normal 17 6 3 7" xfId="3996" xr:uid="{F21A9CE3-A340-47A8-8DE1-6E12141CA47A}"/>
    <cellStyle name="Normal 17 6 3 7 2" xfId="7666" xr:uid="{DE834170-EDC5-4345-A4CD-D14743395C05}"/>
    <cellStyle name="Normal 17 6 3 7 2 2" xfId="15173" xr:uid="{A1D81375-9A2F-45F3-A018-308EBED6F1CF}"/>
    <cellStyle name="Normal 17 6 3 7 2 2 2" xfId="31377" xr:uid="{EE4D454C-BB1C-46A3-A89A-2732E729AB44}"/>
    <cellStyle name="Normal 17 6 3 7 2 3" xfId="23870" xr:uid="{162E17B8-346E-41E1-96B1-19059E7627F6}"/>
    <cellStyle name="Normal 17 6 3 7 3" xfId="11559" xr:uid="{4DFE2D06-7801-48A6-B247-BBE5313613E1}"/>
    <cellStyle name="Normal 17 6 3 7 3 2" xfId="27763" xr:uid="{F0A0EC72-7E05-4E66-A198-F1A670D4BFDC}"/>
    <cellStyle name="Normal 17 6 3 7 4" xfId="20200" xr:uid="{D4CF5791-9CD9-4A41-9A02-9A63EFC641EA}"/>
    <cellStyle name="Normal 17 6 3 8" xfId="4421" xr:uid="{26ADED54-35DF-4B3B-91FC-387815FDC9C4}"/>
    <cellStyle name="Normal 17 6 3 8 2" xfId="8091" xr:uid="{D9089C22-A701-4982-9B5C-0BE45FA29706}"/>
    <cellStyle name="Normal 17 6 3 8 2 2" xfId="15598" xr:uid="{5EBDC136-D820-40F8-9815-B765E811ACC2}"/>
    <cellStyle name="Normal 17 6 3 8 2 2 2" xfId="31802" xr:uid="{5724BA3C-2E7B-4B40-A7CD-4973344D0C21}"/>
    <cellStyle name="Normal 17 6 3 8 2 3" xfId="24295" xr:uid="{A5B0326A-E18B-49F3-802B-9BBCA6E68C1B}"/>
    <cellStyle name="Normal 17 6 3 8 3" xfId="11984" xr:uid="{B42D2AA4-D657-432D-822E-443BCE016BEB}"/>
    <cellStyle name="Normal 17 6 3 8 3 2" xfId="28188" xr:uid="{7A3BFD8D-4981-4AF1-BBC8-6F928FEFEA42}"/>
    <cellStyle name="Normal 17 6 3 8 4" xfId="20625" xr:uid="{7DA7C10B-854B-4930-BF46-C685F70DE4F2}"/>
    <cellStyle name="Normal 17 6 3 9" xfId="4845" xr:uid="{46C48555-9EB0-43AB-B990-6869E13677F1}"/>
    <cellStyle name="Normal 17 6 3 9 2" xfId="8514" xr:uid="{4045FD1A-5590-4499-B520-06954E843FE5}"/>
    <cellStyle name="Normal 17 6 3 9 2 2" xfId="16021" xr:uid="{21915A84-387A-48E2-B2B4-CA3F2979232B}"/>
    <cellStyle name="Normal 17 6 3 9 2 2 2" xfId="32225" xr:uid="{3C616AEF-0EA3-4E3E-8883-2DB8526194BF}"/>
    <cellStyle name="Normal 17 6 3 9 2 3" xfId="24718" xr:uid="{A0066A53-8F44-4A1C-9B44-71EE393E7053}"/>
    <cellStyle name="Normal 17 6 3 9 3" xfId="12406" xr:uid="{FCEF95FC-47F8-4A4C-8BF4-D67B6B572D40}"/>
    <cellStyle name="Normal 17 6 3 9 3 2" xfId="28610" xr:uid="{3C75482D-2A1F-4CA1-B44E-C8FCD8D560D1}"/>
    <cellStyle name="Normal 17 6 3 9 4" xfId="21049" xr:uid="{93EF33DC-6EC0-4F29-A014-EB393F70A533}"/>
    <cellStyle name="Normal 17 6 4" xfId="562" xr:uid="{D154E418-8D33-47B7-81FF-743C2DAFDA68}"/>
    <cellStyle name="Normal 17 6 4 10" xfId="9470" xr:uid="{CA30963D-3B7E-4A14-B2D0-860F7A45F4FB}"/>
    <cellStyle name="Normal 17 6 4 10 2" xfId="25674" xr:uid="{8F2BC748-F0C1-482B-B761-00E5AF0E9412}"/>
    <cellStyle name="Normal 17 6 4 11" xfId="17986" xr:uid="{C3CEE57F-1A95-41C5-8DEA-CDBF10F22E90}"/>
    <cellStyle name="Normal 17 6 4 2" xfId="2005" xr:uid="{59FB77F3-DBFD-4A24-87A7-5ACDAA88EF07}"/>
    <cellStyle name="Normal 17 6 4 2 10" xfId="18308" xr:uid="{6FE7410C-850D-488C-9207-25C94C8EB0E2}"/>
    <cellStyle name="Normal 17 6 4 2 2" xfId="2511" xr:uid="{206B2ED1-9537-45A8-A0BE-94746F214BC2}"/>
    <cellStyle name="Normal 17 6 4 2 2 2" xfId="3358" xr:uid="{C5249B8C-AC4D-4EFC-A3E5-603B4AFF4D6A}"/>
    <cellStyle name="Normal 17 6 4 2 2 2 2" xfId="7140" xr:uid="{B7162903-1BEA-4C71-ADCF-2600AD49F57D}"/>
    <cellStyle name="Normal 17 6 4 2 2 2 2 2" xfId="14651" xr:uid="{711D2ABD-7C08-489C-BCC7-0023AFAC165C}"/>
    <cellStyle name="Normal 17 6 4 2 2 2 2 2 2" xfId="30855" xr:uid="{51BC2F40-A597-49DD-9CDD-5FB7B9C42256}"/>
    <cellStyle name="Normal 17 6 4 2 2 2 2 3" xfId="23344" xr:uid="{61C1C59B-9AA6-46C7-BB63-063E98CD2F5F}"/>
    <cellStyle name="Normal 17 6 4 2 2 2 3" xfId="11051" xr:uid="{3889D4FB-90D9-4F73-90E5-BD1575974100}"/>
    <cellStyle name="Normal 17 6 4 2 2 2 3 2" xfId="27255" xr:uid="{D0A21D74-495A-4EAA-A7CE-F45F2D680626}"/>
    <cellStyle name="Normal 17 6 4 2 2 2 4" xfId="19578" xr:uid="{6ACC1000-37EA-4D59-8FCE-F49D626BF8C6}"/>
    <cellStyle name="Normal 17 6 4 2 2 3" xfId="6295" xr:uid="{E38892E4-360B-4451-9440-900542C39305}"/>
    <cellStyle name="Normal 17 6 4 2 2 3 2" xfId="13807" xr:uid="{469803B9-CAA3-47A3-9511-C91306E28C64}"/>
    <cellStyle name="Normal 17 6 4 2 2 3 2 2" xfId="30011" xr:uid="{5779618D-6DAE-43E8-9F89-ECBDEBB93E6B}"/>
    <cellStyle name="Normal 17 6 4 2 2 3 3" xfId="22499" xr:uid="{514F7150-5DF2-4B90-A74D-27DB0671E87B}"/>
    <cellStyle name="Normal 17 6 4 2 2 4" xfId="10207" xr:uid="{3893921B-90B8-4B4C-A529-7A2C7B225CD7}"/>
    <cellStyle name="Normal 17 6 4 2 2 4 2" xfId="26411" xr:uid="{85086B8E-8003-4A02-AA4C-199ECF2654B8}"/>
    <cellStyle name="Normal 17 6 4 2 2 5" xfId="18733" xr:uid="{B419B00A-4003-4F5C-839C-3DD06EB51DEA}"/>
    <cellStyle name="Normal 17 6 4 2 3" xfId="2933" xr:uid="{3B159A8E-A6E1-407F-AEFC-0B54C8589D3F}"/>
    <cellStyle name="Normal 17 6 4 2 3 2" xfId="6717" xr:uid="{2248DB4C-B653-4503-BDD3-4DDC9A92A433}"/>
    <cellStyle name="Normal 17 6 4 2 3 2 2" xfId="14229" xr:uid="{7FFF05B7-1705-4A03-B1BB-C7D401AD91F5}"/>
    <cellStyle name="Normal 17 6 4 2 3 2 2 2" xfId="30433" xr:uid="{0F979DEA-5E1A-42D2-8938-F9A2B4DEFA9B}"/>
    <cellStyle name="Normal 17 6 4 2 3 2 3" xfId="22921" xr:uid="{E8E00154-A1A5-4FF7-A19D-BFC3BE07FEE6}"/>
    <cellStyle name="Normal 17 6 4 2 3 3" xfId="10629" xr:uid="{48FFB4D4-0327-4125-8B2A-255B1FE833F2}"/>
    <cellStyle name="Normal 17 6 4 2 3 3 2" xfId="26833" xr:uid="{02A18EE4-E41C-4DF1-9099-746DA4A8D415}"/>
    <cellStyle name="Normal 17 6 4 2 3 4" xfId="19155" xr:uid="{DBE2BA0F-E43F-40A5-AB5E-68F3BAEC0881}"/>
    <cellStyle name="Normal 17 6 4 2 4" xfId="3864" xr:uid="{CE04EA7C-4C21-4CC2-9DAC-2B0AB9482A3F}"/>
    <cellStyle name="Normal 17 6 4 2 4 2" xfId="7574" xr:uid="{2D79C0C1-F485-491F-B70E-BE5FB0EF8542}"/>
    <cellStyle name="Normal 17 6 4 2 4 2 2" xfId="15083" xr:uid="{AD48F3A5-3018-4D1E-AA42-82C194EC38D9}"/>
    <cellStyle name="Normal 17 6 4 2 4 2 2 2" xfId="31287" xr:uid="{0F6F0847-CEBA-4854-A00B-6924D748D4FE}"/>
    <cellStyle name="Normal 17 6 4 2 4 2 3" xfId="23778" xr:uid="{E041D9AA-AE6C-4F67-8659-172D6252F924}"/>
    <cellStyle name="Normal 17 6 4 2 4 3" xfId="11474" xr:uid="{AC31BD86-70F9-412B-92C1-DB41FD57F080}"/>
    <cellStyle name="Normal 17 6 4 2 4 3 2" xfId="27678" xr:uid="{9B911F40-E4BB-451B-B950-8910C6133C2B}"/>
    <cellStyle name="Normal 17 6 4 2 4 4" xfId="20073" xr:uid="{A61E8DFE-25F8-4FCF-8FF2-0EECCBF58753}"/>
    <cellStyle name="Normal 17 6 4 2 5" xfId="4333" xr:uid="{8598877D-2724-4324-A494-463E64743B9B}"/>
    <cellStyle name="Normal 17 6 4 2 5 2" xfId="8003" xr:uid="{8D0B6203-48E1-4316-B556-C4645997687A}"/>
    <cellStyle name="Normal 17 6 4 2 5 2 2" xfId="15510" xr:uid="{4FCE034E-07B1-4C54-99B5-0E983DCB32F2}"/>
    <cellStyle name="Normal 17 6 4 2 5 2 2 2" xfId="31714" xr:uid="{94D6F481-C8DC-4C92-8520-96463A30C287}"/>
    <cellStyle name="Normal 17 6 4 2 5 2 3" xfId="24207" xr:uid="{14318C5E-3A1B-42CA-9DCA-509F064E42FD}"/>
    <cellStyle name="Normal 17 6 4 2 5 3" xfId="11896" xr:uid="{A6D648A9-B704-4220-A101-4BC8DD50BCDD}"/>
    <cellStyle name="Normal 17 6 4 2 5 3 2" xfId="28100" xr:uid="{BD9C9DB3-3003-45F5-87DE-2B22A9D676C0}"/>
    <cellStyle name="Normal 17 6 4 2 5 4" xfId="20537" xr:uid="{33821906-00E7-4B74-A7DA-A633D271B5A3}"/>
    <cellStyle name="Normal 17 6 4 2 6" xfId="4758" xr:uid="{765356AC-9A05-41A5-BEBD-3884CC32FEDB}"/>
    <cellStyle name="Normal 17 6 4 2 6 2" xfId="8428" xr:uid="{8EE06326-F5A9-4860-9410-A475D6BF64CE}"/>
    <cellStyle name="Normal 17 6 4 2 6 2 2" xfId="15935" xr:uid="{86D060FD-7F85-49F6-8034-FC7C7F0CC682}"/>
    <cellStyle name="Normal 17 6 4 2 6 2 2 2" xfId="32139" xr:uid="{ADB0804E-D57A-4D1D-8F89-32C8AACBD997}"/>
    <cellStyle name="Normal 17 6 4 2 6 2 3" xfId="24632" xr:uid="{F344C094-2800-44A1-9A92-28DDC12475A0}"/>
    <cellStyle name="Normal 17 6 4 2 6 3" xfId="12321" xr:uid="{F6EFF8EA-AE1E-4240-9CC8-E3FD1CBE2B15}"/>
    <cellStyle name="Normal 17 6 4 2 6 3 2" xfId="28525" xr:uid="{125B8804-BBC7-4DB3-ADC6-159423236DD3}"/>
    <cellStyle name="Normal 17 6 4 2 6 4" xfId="20962" xr:uid="{FE2ACFFD-CA15-4D9C-8817-87D31DB298B7}"/>
    <cellStyle name="Normal 17 6 4 2 7" xfId="5186" xr:uid="{4284D1F2-DB57-4ACB-BE4D-D85E4882ABFB}"/>
    <cellStyle name="Normal 17 6 4 2 7 2" xfId="8851" xr:uid="{194AE6AA-40DB-4E10-A027-C31310B59D02}"/>
    <cellStyle name="Normal 17 6 4 2 7 2 2" xfId="16358" xr:uid="{AFC7F83C-244A-4749-8F78-354EE4B81338}"/>
    <cellStyle name="Normal 17 6 4 2 7 2 2 2" xfId="32562" xr:uid="{325168AE-1A4D-4793-ADA4-6263A420700A}"/>
    <cellStyle name="Normal 17 6 4 2 7 2 3" xfId="25055" xr:uid="{7685FBFC-7819-424E-A2EF-7197467BF5A0}"/>
    <cellStyle name="Normal 17 6 4 2 7 3" xfId="12743" xr:uid="{67129406-D2DA-40DD-A543-016394E8047C}"/>
    <cellStyle name="Normal 17 6 4 2 7 3 2" xfId="28947" xr:uid="{70B61D7F-1C78-4294-8837-BFDC2959CC45}"/>
    <cellStyle name="Normal 17 6 4 2 7 4" xfId="21390" xr:uid="{1ED6474D-27D6-4377-BC0F-59904DE55AC1}"/>
    <cellStyle name="Normal 17 6 4 2 8" xfId="5857" xr:uid="{82603F5D-AC24-4770-99F0-550984D8E6F7}"/>
    <cellStyle name="Normal 17 6 4 2 8 2" xfId="13372" xr:uid="{3071A091-D2B1-4669-8803-3157463998D7}"/>
    <cellStyle name="Normal 17 6 4 2 8 2 2" xfId="29576" xr:uid="{8C73C0C1-8527-46EF-9C64-2C2917B25F66}"/>
    <cellStyle name="Normal 17 6 4 2 8 3" xfId="22061" xr:uid="{F641555B-0337-4EE0-8A5C-413B0B630ABC}"/>
    <cellStyle name="Normal 17 6 4 2 9" xfId="9784" xr:uid="{42001F92-5C62-480D-9AE4-E2531F79F401}"/>
    <cellStyle name="Normal 17 6 4 2 9 2" xfId="25988" xr:uid="{3A893158-E812-4329-9941-0D7E65552127}"/>
    <cellStyle name="Normal 17 6 4 3" xfId="2131" xr:uid="{F48E1117-F529-4186-B76F-7089791499B7}"/>
    <cellStyle name="Normal 17 6 4 3 2" xfId="3044" xr:uid="{06470893-407A-4096-80C4-C6A647A3A2EE}"/>
    <cellStyle name="Normal 17 6 4 3 2 2" xfId="6826" xr:uid="{925166A3-E071-4B72-AF3A-21A806E82F5F}"/>
    <cellStyle name="Normal 17 6 4 3 2 2 2" xfId="14337" xr:uid="{06B533CB-C4F6-48EC-AAA1-13BBF590893B}"/>
    <cellStyle name="Normal 17 6 4 3 2 2 2 2" xfId="30541" xr:uid="{AC35CDA4-6ACB-4E00-92B0-A752770BED1C}"/>
    <cellStyle name="Normal 17 6 4 3 2 2 3" xfId="23030" xr:uid="{8FFA934E-AA3D-40E5-8D46-31B8B01112CE}"/>
    <cellStyle name="Normal 17 6 4 3 2 3" xfId="10737" xr:uid="{7C373A5B-35DD-4B66-B58D-CA5ACB62ED92}"/>
    <cellStyle name="Normal 17 6 4 3 2 3 2" xfId="26941" xr:uid="{56EE2816-D26D-4D71-B25A-7540AC71F992}"/>
    <cellStyle name="Normal 17 6 4 3 2 4" xfId="19264" xr:uid="{D46CF230-1EC5-46E6-9289-55306AD00704}"/>
    <cellStyle name="Normal 17 6 4 3 3" xfId="5970" xr:uid="{76438F25-0AB8-4BE0-933E-42DD23D65BD7}"/>
    <cellStyle name="Normal 17 6 4 3 3 2" xfId="13484" xr:uid="{AAC853A1-3EAA-405C-9DE5-94C11E4658C6}"/>
    <cellStyle name="Normal 17 6 4 3 3 2 2" xfId="29688" xr:uid="{3A176A8E-52D4-4A9E-B0F0-05D7D523FD46}"/>
    <cellStyle name="Normal 17 6 4 3 3 3" xfId="22174" xr:uid="{2F109465-D138-49DC-9AFF-4F5DCBD4DF3C}"/>
    <cellStyle name="Normal 17 6 4 3 4" xfId="9893" xr:uid="{7CC810C0-2090-4523-8F55-5EDAAFF85BE6}"/>
    <cellStyle name="Normal 17 6 4 3 4 2" xfId="26097" xr:uid="{6E2454B4-5289-4CFF-AF56-A7A68709D696}"/>
    <cellStyle name="Normal 17 6 4 3 5" xfId="18418" xr:uid="{C0F57C5E-1B87-4808-9380-20078FB247D4}"/>
    <cellStyle name="Normal 17 6 4 4" xfId="2619" xr:uid="{542CF52D-CDBF-4337-92EB-FE4DCAD1A792}"/>
    <cellStyle name="Normal 17 6 4 4 2" xfId="6403" xr:uid="{7F248DC3-569C-4151-BF1A-66481C1E0062}"/>
    <cellStyle name="Normal 17 6 4 4 2 2" xfId="13915" xr:uid="{BAAAA054-457D-4F3F-AE03-720E540BD388}"/>
    <cellStyle name="Normal 17 6 4 4 2 2 2" xfId="30119" xr:uid="{2489A944-A4BF-420D-A4E8-F9F563C1FAB6}"/>
    <cellStyle name="Normal 17 6 4 4 2 3" xfId="22607" xr:uid="{6D39A3C9-F014-4E37-A7D2-C506AFE1BA10}"/>
    <cellStyle name="Normal 17 6 4 4 3" xfId="10315" xr:uid="{630C715A-8C34-44D5-BE80-8870C55525C8}"/>
    <cellStyle name="Normal 17 6 4 4 3 2" xfId="26519" xr:uid="{8F77B188-1139-44AD-8A5B-392298C3983F}"/>
    <cellStyle name="Normal 17 6 4 4 4" xfId="18841" xr:uid="{DCFC437D-A021-4928-98E1-7E0C694D4055}"/>
    <cellStyle name="Normal 17 6 4 5" xfId="3495" xr:uid="{B5094AEB-A8D1-4C12-9A8A-D1A28E8F8BD4}"/>
    <cellStyle name="Normal 17 6 4 5 2" xfId="7253" xr:uid="{1E8DE297-3700-4929-8ADB-33A81CEAC099}"/>
    <cellStyle name="Normal 17 6 4 5 2 2" xfId="14763" xr:uid="{96E1FA19-BF40-45F5-ADC4-CCF6CDEC602C}"/>
    <cellStyle name="Normal 17 6 4 5 2 2 2" xfId="30967" xr:uid="{F8982EB0-A0C5-4209-9B2E-358462311DC9}"/>
    <cellStyle name="Normal 17 6 4 5 2 3" xfId="23457" xr:uid="{021624BE-04D6-44C0-A6E3-6F1D5ED46BB1}"/>
    <cellStyle name="Normal 17 6 4 5 3" xfId="11160" xr:uid="{3C5377C0-8A91-40E8-8332-5D755AA514CC}"/>
    <cellStyle name="Normal 17 6 4 5 3 2" xfId="27364" xr:uid="{788A5A41-B351-41FC-BC3F-E56FD537D894}"/>
    <cellStyle name="Normal 17 6 4 5 4" xfId="19711" xr:uid="{F7013E38-78BE-48C5-8600-E77B4A8EA4B1}"/>
    <cellStyle name="Normal 17 6 4 6" xfId="4019" xr:uid="{D75DC3E6-6319-45CA-B64C-C64A999BA7A3}"/>
    <cellStyle name="Normal 17 6 4 6 2" xfId="7689" xr:uid="{166C132E-D26A-4E04-BE2B-6BD9667F195A}"/>
    <cellStyle name="Normal 17 6 4 6 2 2" xfId="15196" xr:uid="{3391BCB6-8BEB-4E7D-996C-18DDFD5D6E96}"/>
    <cellStyle name="Normal 17 6 4 6 2 2 2" xfId="31400" xr:uid="{C15C4BE3-8B4A-4EF9-B5B6-CD83C19BA51F}"/>
    <cellStyle name="Normal 17 6 4 6 2 3" xfId="23893" xr:uid="{E0293631-4E22-4C3C-B760-80A982746270}"/>
    <cellStyle name="Normal 17 6 4 6 3" xfId="11582" xr:uid="{0410366A-CAF8-4886-AFE4-C2D33F44CD79}"/>
    <cellStyle name="Normal 17 6 4 6 3 2" xfId="27786" xr:uid="{4AD79007-D804-412F-A2E8-EEEE80053885}"/>
    <cellStyle name="Normal 17 6 4 6 4" xfId="20223" xr:uid="{DA029AE4-60A4-4B22-A147-489BF477E583}"/>
    <cellStyle name="Normal 17 6 4 7" xfId="4444" xr:uid="{70ABB83B-1407-4F3F-B8E6-82EEEA6D3B01}"/>
    <cellStyle name="Normal 17 6 4 7 2" xfId="8114" xr:uid="{E421BC8E-82B3-443D-BAF4-2AC2D516EF68}"/>
    <cellStyle name="Normal 17 6 4 7 2 2" xfId="15621" xr:uid="{52BF0CAF-8F74-4680-A90F-F662CC68DCE8}"/>
    <cellStyle name="Normal 17 6 4 7 2 2 2" xfId="31825" xr:uid="{E2E871B1-7753-4AA5-BE0C-BA738F441F39}"/>
    <cellStyle name="Normal 17 6 4 7 2 3" xfId="24318" xr:uid="{66AA1F81-4DC2-4F9D-B5FD-FADB34FE6ED7}"/>
    <cellStyle name="Normal 17 6 4 7 3" xfId="12007" xr:uid="{13DD061F-B531-49B7-8583-8A6083125A52}"/>
    <cellStyle name="Normal 17 6 4 7 3 2" xfId="28211" xr:uid="{CDE46615-4D65-4764-9D6F-F74E64EE6833}"/>
    <cellStyle name="Normal 17 6 4 7 4" xfId="20648" xr:uid="{7DB79EB1-F55C-4F0A-ADF3-311E8B0C6C61}"/>
    <cellStyle name="Normal 17 6 4 8" xfId="4869" xr:uid="{C9351505-13F6-44AA-8EC5-E1AE0F4FE6ED}"/>
    <cellStyle name="Normal 17 6 4 8 2" xfId="8537" xr:uid="{796D651D-0ABC-4A7A-A87C-477C44888DC4}"/>
    <cellStyle name="Normal 17 6 4 8 2 2" xfId="16044" xr:uid="{2612A1D0-295E-4B8B-9F2E-E491E198DA80}"/>
    <cellStyle name="Normal 17 6 4 8 2 2 2" xfId="32248" xr:uid="{FA997B21-0D10-4FF7-BF33-E94FF65F967A}"/>
    <cellStyle name="Normal 17 6 4 8 2 3" xfId="24741" xr:uid="{96F44D4E-AAB9-4BCB-BFDE-0038BA54AAAE}"/>
    <cellStyle name="Normal 17 6 4 8 3" xfId="12429" xr:uid="{84C18E49-A93E-442F-82C5-162E1C92E4E2}"/>
    <cellStyle name="Normal 17 6 4 8 3 2" xfId="28633" xr:uid="{7C6EB548-2F75-4EF5-9FD2-72D147FEFB12}"/>
    <cellStyle name="Normal 17 6 4 8 4" xfId="21073" xr:uid="{A2513EAB-A212-461D-B0AA-98689D8C7C07}"/>
    <cellStyle name="Normal 17 6 4 9" xfId="5355" xr:uid="{160175C9-0EC6-49DC-B9A5-E3CB9B256EE4}"/>
    <cellStyle name="Normal 17 6 4 9 2" xfId="12904" xr:uid="{F5A940A2-0EB7-4ACB-BFAB-240A95A6D192}"/>
    <cellStyle name="Normal 17 6 4 9 2 2" xfId="29108" xr:uid="{CBCD7A62-43BC-4AC7-9C39-CBE31D1F48B6}"/>
    <cellStyle name="Normal 17 6 4 9 3" xfId="21559" xr:uid="{1118B99D-B0E7-4035-9721-C0B0713D2666}"/>
    <cellStyle name="Normal 17 6 5" xfId="2006" xr:uid="{3FF7D23B-EDAC-47C0-896D-F82F534830DD}"/>
    <cellStyle name="Normal 17 6 5 10" xfId="18309" xr:uid="{EE545D63-2047-4332-B0CB-6EBB4C1B5026}"/>
    <cellStyle name="Normal 17 6 5 2" xfId="2512" xr:uid="{FAB00783-F7F5-4D72-8B40-0A70D31A522E}"/>
    <cellStyle name="Normal 17 6 5 2 2" xfId="3359" xr:uid="{C2205D16-E33E-43D3-BD38-AF1E83D43CAB}"/>
    <cellStyle name="Normal 17 6 5 2 2 2" xfId="7141" xr:uid="{F8602FB1-B4B9-4867-8AEF-79E44AED4B19}"/>
    <cellStyle name="Normal 17 6 5 2 2 2 2" xfId="14652" xr:uid="{4E239D05-5B45-458D-9FB8-83D66F272FF3}"/>
    <cellStyle name="Normal 17 6 5 2 2 2 2 2" xfId="30856" xr:uid="{FFA58BDA-92EC-408E-B285-D29E14A5276D}"/>
    <cellStyle name="Normal 17 6 5 2 2 2 3" xfId="23345" xr:uid="{08215C46-32EB-4F1A-8C7D-BE58F5EE733C}"/>
    <cellStyle name="Normal 17 6 5 2 2 3" xfId="11052" xr:uid="{D5885A15-40F5-42BE-B00E-035CAA7C3AA9}"/>
    <cellStyle name="Normal 17 6 5 2 2 3 2" xfId="27256" xr:uid="{661CE878-DC22-4DCF-9845-92E68B5D4A75}"/>
    <cellStyle name="Normal 17 6 5 2 2 4" xfId="19579" xr:uid="{40AF6F85-BEA6-4E0D-B1F3-7E675834880A}"/>
    <cellStyle name="Normal 17 6 5 2 3" xfId="6296" xr:uid="{304BA742-0C3E-428E-916B-B5347788F89E}"/>
    <cellStyle name="Normal 17 6 5 2 3 2" xfId="13808" xr:uid="{47354486-A5FC-4D20-AAB4-B9758ED72CFB}"/>
    <cellStyle name="Normal 17 6 5 2 3 2 2" xfId="30012" xr:uid="{8C6665B0-77EE-4D84-889D-F1B74EAE74F7}"/>
    <cellStyle name="Normal 17 6 5 2 3 3" xfId="22500" xr:uid="{BFBE8BC9-268C-46F4-B367-C9207429E116}"/>
    <cellStyle name="Normal 17 6 5 2 4" xfId="10208" xr:uid="{D7E6A14D-C62D-490D-A326-58CD222D29A8}"/>
    <cellStyle name="Normal 17 6 5 2 4 2" xfId="26412" xr:uid="{5C4708AB-6DE3-4432-AEDD-68EBB3AAC62E}"/>
    <cellStyle name="Normal 17 6 5 2 5" xfId="18734" xr:uid="{18DFC3B8-FE1C-487B-A07D-650AD4CCA0C9}"/>
    <cellStyle name="Normal 17 6 5 3" xfId="2934" xr:uid="{0FC2D099-DA59-4A86-B605-2116E8EAC661}"/>
    <cellStyle name="Normal 17 6 5 3 2" xfId="6718" xr:uid="{FF9415B8-85C9-4902-8301-83BD15D002D4}"/>
    <cellStyle name="Normal 17 6 5 3 2 2" xfId="14230" xr:uid="{E3E5AC8F-465F-46DD-AC2D-CE62F2040C66}"/>
    <cellStyle name="Normal 17 6 5 3 2 2 2" xfId="30434" xr:uid="{ED8522F0-A9B2-49B4-BF9E-A60904213F73}"/>
    <cellStyle name="Normal 17 6 5 3 2 3" xfId="22922" xr:uid="{D938D8C1-139E-4E69-A2C9-6D82059BB40A}"/>
    <cellStyle name="Normal 17 6 5 3 3" xfId="10630" xr:uid="{3A05D7DE-2140-422B-8351-43A5C26DAD41}"/>
    <cellStyle name="Normal 17 6 5 3 3 2" xfId="26834" xr:uid="{DE5E20A5-2F33-4E49-A851-CBB99F09A359}"/>
    <cellStyle name="Normal 17 6 5 3 4" xfId="19156" xr:uid="{DF0EC51B-B9A5-4ECC-84DB-AC16C7669A57}"/>
    <cellStyle name="Normal 17 6 5 4" xfId="3865" xr:uid="{1135BB09-4C83-471F-B67A-883E34DDA213}"/>
    <cellStyle name="Normal 17 6 5 4 2" xfId="7575" xr:uid="{AEB44A54-1D31-4475-9CB2-0CBC24683764}"/>
    <cellStyle name="Normal 17 6 5 4 2 2" xfId="15084" xr:uid="{878642E2-4538-418B-90D7-D87FEF1050FD}"/>
    <cellStyle name="Normal 17 6 5 4 2 2 2" xfId="31288" xr:uid="{100D782C-06A5-4049-980F-9E5D41BD5C97}"/>
    <cellStyle name="Normal 17 6 5 4 2 3" xfId="23779" xr:uid="{65573BD3-9458-4EE8-9964-75DA17395942}"/>
    <cellStyle name="Normal 17 6 5 4 3" xfId="11475" xr:uid="{C5D928E0-7D40-4474-B412-CEBFDEE8A022}"/>
    <cellStyle name="Normal 17 6 5 4 3 2" xfId="27679" xr:uid="{772C12F6-2919-4404-ACEE-23EE4FA69DD7}"/>
    <cellStyle name="Normal 17 6 5 4 4" xfId="20074" xr:uid="{C4779DF5-E943-4B4E-AB0C-AB7A30D92965}"/>
    <cellStyle name="Normal 17 6 5 5" xfId="4334" xr:uid="{F3E0FFA6-B6DE-4F92-8F92-D85FAA9DD1B5}"/>
    <cellStyle name="Normal 17 6 5 5 2" xfId="8004" xr:uid="{3EFCBAC8-1B3F-4754-AF9B-27FCC6454A5B}"/>
    <cellStyle name="Normal 17 6 5 5 2 2" xfId="15511" xr:uid="{150F2626-7330-4AEF-B5BC-B13C6268311F}"/>
    <cellStyle name="Normal 17 6 5 5 2 2 2" xfId="31715" xr:uid="{2E9D1B59-82CD-4C5C-9005-92314BFD6075}"/>
    <cellStyle name="Normal 17 6 5 5 2 3" xfId="24208" xr:uid="{535A686B-D463-4E87-BE25-1D52F1F85DA4}"/>
    <cellStyle name="Normal 17 6 5 5 3" xfId="11897" xr:uid="{27ED957C-F3E8-4400-B91C-92C9C698C568}"/>
    <cellStyle name="Normal 17 6 5 5 3 2" xfId="28101" xr:uid="{055F6737-2E14-4E68-A3EB-A6558AE10802}"/>
    <cellStyle name="Normal 17 6 5 5 4" xfId="20538" xr:uid="{A8FC6BD0-3C2F-4291-8EB1-7ED21BFF16BD}"/>
    <cellStyle name="Normal 17 6 5 6" xfId="4759" xr:uid="{4DF360B0-2669-4455-920F-FEBDF8214119}"/>
    <cellStyle name="Normal 17 6 5 6 2" xfId="8429" xr:uid="{69E1F615-1275-417B-A7A7-2279167651DC}"/>
    <cellStyle name="Normal 17 6 5 6 2 2" xfId="15936" xr:uid="{D96FAED2-34D4-452C-9062-AD64BA2C7F15}"/>
    <cellStyle name="Normal 17 6 5 6 2 2 2" xfId="32140" xr:uid="{E9F18F27-6D36-4153-87C5-4895F555E4B1}"/>
    <cellStyle name="Normal 17 6 5 6 2 3" xfId="24633" xr:uid="{14272761-03BE-41F7-B91C-8D2EAE50ACCB}"/>
    <cellStyle name="Normal 17 6 5 6 3" xfId="12322" xr:uid="{2A5DD944-FC3D-45ED-B679-E64E7B45B082}"/>
    <cellStyle name="Normal 17 6 5 6 3 2" xfId="28526" xr:uid="{8BA1CA22-BEBF-4E0C-9A56-FA4AA6086506}"/>
    <cellStyle name="Normal 17 6 5 6 4" xfId="20963" xr:uid="{A46E95E1-47C4-487F-BDF6-DA4677CB2A4F}"/>
    <cellStyle name="Normal 17 6 5 7" xfId="5187" xr:uid="{A1E0AB83-7451-4F28-A614-F6FBC282A097}"/>
    <cellStyle name="Normal 17 6 5 7 2" xfId="8852" xr:uid="{7DF6FCAB-945A-4FDD-88D8-B38FCB289CE6}"/>
    <cellStyle name="Normal 17 6 5 7 2 2" xfId="16359" xr:uid="{C8FA3BA5-CB73-4523-9FBF-708AE9C1EE47}"/>
    <cellStyle name="Normal 17 6 5 7 2 2 2" xfId="32563" xr:uid="{30F99108-FD38-4348-81F2-F025C9A56353}"/>
    <cellStyle name="Normal 17 6 5 7 2 3" xfId="25056" xr:uid="{6ECE8FF9-ABA8-47F0-8C4A-1294C8AA2F70}"/>
    <cellStyle name="Normal 17 6 5 7 3" xfId="12744" xr:uid="{AD7C48A8-A0A6-4C8A-B954-2FDDC9612CD6}"/>
    <cellStyle name="Normal 17 6 5 7 3 2" xfId="28948" xr:uid="{7CF9FC73-1933-4086-BF2B-8349436750D1}"/>
    <cellStyle name="Normal 17 6 5 7 4" xfId="21391" xr:uid="{2DA26764-1D6E-4E86-86CB-C25B23549C66}"/>
    <cellStyle name="Normal 17 6 5 8" xfId="5858" xr:uid="{40E7DA35-EB10-4BC9-AB6A-196694627DB0}"/>
    <cellStyle name="Normal 17 6 5 8 2" xfId="13373" xr:uid="{CE591F0A-701E-4E43-9F6D-5D733FCB8582}"/>
    <cellStyle name="Normal 17 6 5 8 2 2" xfId="29577" xr:uid="{00E8DF9F-2DEA-4EA5-9468-5BD57678E640}"/>
    <cellStyle name="Normal 17 6 5 8 3" xfId="22062" xr:uid="{4FF0F535-FE79-475D-AD3F-CB2FFC605A9A}"/>
    <cellStyle name="Normal 17 6 5 9" xfId="9785" xr:uid="{9A35E44D-7FC7-4B42-B2FF-81A7C9828FD7}"/>
    <cellStyle name="Normal 17 6 5 9 2" xfId="25989" xr:uid="{2BE012FD-F512-4138-912E-5A2E1A707AD9}"/>
    <cellStyle name="Normal 17 6 6" xfId="2064" xr:uid="{D48BE627-FB3A-4B8D-8692-9E291F7A8CC1}"/>
    <cellStyle name="Normal 17 6 6 2" xfId="2977" xr:uid="{9F96D7F9-8CA7-461E-88AD-01C54A34CD31}"/>
    <cellStyle name="Normal 17 6 6 2 2" xfId="6759" xr:uid="{E022D937-2B28-45CC-8D10-5B65646BD328}"/>
    <cellStyle name="Normal 17 6 6 2 2 2" xfId="14270" xr:uid="{2B283D16-EA7A-40B4-953C-801D56B32AF1}"/>
    <cellStyle name="Normal 17 6 6 2 2 2 2" xfId="30474" xr:uid="{4971F5AA-726C-48EA-8070-898A3EA15016}"/>
    <cellStyle name="Normal 17 6 6 2 2 3" xfId="22963" xr:uid="{5C417552-77A3-4188-84FB-0814E2DBE7F6}"/>
    <cellStyle name="Normal 17 6 6 2 3" xfId="10670" xr:uid="{827EF99B-4F21-439C-8109-05EDE321B4A9}"/>
    <cellStyle name="Normal 17 6 6 2 3 2" xfId="26874" xr:uid="{49806775-8E84-4665-A766-AF438482B231}"/>
    <cellStyle name="Normal 17 6 6 2 4" xfId="19197" xr:uid="{0C8A05CB-85D6-48C9-8445-BD0AA4AE008A}"/>
    <cellStyle name="Normal 17 6 6 3" xfId="5903" xr:uid="{5A0F1238-9E21-4AEE-B94D-C92FF002D8F1}"/>
    <cellStyle name="Normal 17 6 6 3 2" xfId="13417" xr:uid="{B08C8DBB-180D-4E62-96D6-06F1ED93E73D}"/>
    <cellStyle name="Normal 17 6 6 3 2 2" xfId="29621" xr:uid="{B1F1358F-63D8-45C2-9B3A-02A5619E83A6}"/>
    <cellStyle name="Normal 17 6 6 3 3" xfId="22107" xr:uid="{5260F29C-E650-4B83-8A42-47D13B8405D9}"/>
    <cellStyle name="Normal 17 6 6 4" xfId="9826" xr:uid="{DF6D9B79-B691-48FE-971D-5E52B767CB32}"/>
    <cellStyle name="Normal 17 6 6 4 2" xfId="26030" xr:uid="{24A6F112-C60B-4B36-9A8C-F14584436439}"/>
    <cellStyle name="Normal 17 6 6 5" xfId="18351" xr:uid="{8A9180EC-C915-443D-9E9B-D3501FB384BF}"/>
    <cellStyle name="Normal 17 6 7" xfId="2552" xr:uid="{C8A8D62B-F295-44F3-BB4C-2D013382555B}"/>
    <cellStyle name="Normal 17 6 7 2" xfId="6336" xr:uid="{BD2334D1-0B63-4F66-A3D7-DECAE20790AB}"/>
    <cellStyle name="Normal 17 6 7 2 2" xfId="13848" xr:uid="{1CD5AE05-CBF7-4D4D-BCEC-C78AAD666714}"/>
    <cellStyle name="Normal 17 6 7 2 2 2" xfId="30052" xr:uid="{9D8800F9-BF52-4BD5-967B-5C285FDB23BF}"/>
    <cellStyle name="Normal 17 6 7 2 3" xfId="22540" xr:uid="{4D9BF1F2-AB54-4930-A0E5-21C2DFAB5F5D}"/>
    <cellStyle name="Normal 17 6 7 3" xfId="10248" xr:uid="{ED74FB24-4B77-40EB-840E-38A269F83EC8}"/>
    <cellStyle name="Normal 17 6 7 3 2" xfId="26452" xr:uid="{EC5A9801-4902-4482-9A55-29EF19314A44}"/>
    <cellStyle name="Normal 17 6 7 4" xfId="18774" xr:uid="{3F41510B-9E44-46F5-AA6C-D50ED38714C8}"/>
    <cellStyle name="Normal 17 6 8" xfId="3428" xr:uid="{F972263E-64A4-427A-BD35-CAB2B9E636CD}"/>
    <cellStyle name="Normal 17 6 8 2" xfId="7186" xr:uid="{90EF7731-1C62-4F4D-8676-B20BD6C2F4E5}"/>
    <cellStyle name="Normal 17 6 8 2 2" xfId="14696" xr:uid="{D0A89F2B-860A-4666-813F-8E297F5EE9D6}"/>
    <cellStyle name="Normal 17 6 8 2 2 2" xfId="30900" xr:uid="{B7E846C7-A119-431C-B293-B7A78578FCDA}"/>
    <cellStyle name="Normal 17 6 8 2 3" xfId="23390" xr:uid="{D58CC60A-7FDC-44D8-BD85-D7D7CBD76500}"/>
    <cellStyle name="Normal 17 6 8 3" xfId="11093" xr:uid="{904075DE-D2C4-4494-96E4-64E2EA02F0C3}"/>
    <cellStyle name="Normal 17 6 8 3 2" xfId="27297" xr:uid="{778AB108-677F-48E7-9AB0-294DB245B9E2}"/>
    <cellStyle name="Normal 17 6 8 4" xfId="19644" xr:uid="{3EAE7088-A8BC-4931-8C98-4F6A7958D30F}"/>
    <cellStyle name="Normal 17 6 9" xfId="3952" xr:uid="{51B5EACC-AB1A-4841-BDFF-E2995764E89E}"/>
    <cellStyle name="Normal 17 6 9 2" xfId="7622" xr:uid="{BA690099-79DE-4964-B971-FF23FA1D8359}"/>
    <cellStyle name="Normal 17 6 9 2 2" xfId="15129" xr:uid="{F915B2F7-0BE8-404A-A08A-BD345CB97EA8}"/>
    <cellStyle name="Normal 17 6 9 2 2 2" xfId="31333" xr:uid="{52D008A3-C0DF-47D6-92C9-DF177390A47D}"/>
    <cellStyle name="Normal 17 6 9 2 3" xfId="23826" xr:uid="{C662E452-1BD5-4B1D-95C0-73D995063E4A}"/>
    <cellStyle name="Normal 17 6 9 3" xfId="11515" xr:uid="{D544A4D4-1D42-4E77-B729-7971345BCCD5}"/>
    <cellStyle name="Normal 17 6 9 3 2" xfId="27719" xr:uid="{7CB906CF-F6F1-4951-A917-3D6343541493}"/>
    <cellStyle name="Normal 17 6 9 4" xfId="20156" xr:uid="{BB9D22AA-929E-45F7-A0E3-C3CD41C08237}"/>
    <cellStyle name="Normal 17 7" xfId="492" xr:uid="{FE2F18EC-E3CB-4E71-B159-BAC3F8DFE9EE}"/>
    <cellStyle name="Normal 17 7 10" xfId="4378" xr:uid="{548BDAFA-7CDA-454F-843E-283F24FD5A38}"/>
    <cellStyle name="Normal 17 7 10 2" xfId="8048" xr:uid="{B93C4056-6BD7-43F9-AF4B-D119704F98CD}"/>
    <cellStyle name="Normal 17 7 10 2 2" xfId="15555" xr:uid="{D9C68742-5D10-4707-AE5C-E24AC191E423}"/>
    <cellStyle name="Normal 17 7 10 2 2 2" xfId="31759" xr:uid="{980A508A-DBDC-4E7F-863D-15C622DEE64F}"/>
    <cellStyle name="Normal 17 7 10 2 3" xfId="24252" xr:uid="{A95F09BD-06A1-4752-A5DF-A06260C8638A}"/>
    <cellStyle name="Normal 17 7 10 3" xfId="11941" xr:uid="{2830774E-2D67-4E68-B621-803AD80ACC6D}"/>
    <cellStyle name="Normal 17 7 10 3 2" xfId="28145" xr:uid="{EEA23192-F427-437E-983B-079B7FAEBD52}"/>
    <cellStyle name="Normal 17 7 10 4" xfId="20582" xr:uid="{4F2B0FC9-B58C-4D86-9072-9F55D174335C}"/>
    <cellStyle name="Normal 17 7 11" xfId="4802" xr:uid="{56F038CC-353C-4CE9-BB12-7C634F3407F1}"/>
    <cellStyle name="Normal 17 7 11 2" xfId="8471" xr:uid="{687B46BF-CDC3-4AFA-9286-B2C5880A8219}"/>
    <cellStyle name="Normal 17 7 11 2 2" xfId="15978" xr:uid="{585546D3-5A62-4380-A692-545EF3728880}"/>
    <cellStyle name="Normal 17 7 11 2 2 2" xfId="32182" xr:uid="{086DC236-C09F-49DB-8E27-25FCE6CFF5A5}"/>
    <cellStyle name="Normal 17 7 11 2 3" xfId="24675" xr:uid="{DBF73B59-7E4D-42E2-A75D-BD44CEB5EC36}"/>
    <cellStyle name="Normal 17 7 11 3" xfId="12363" xr:uid="{01912323-CA43-4AB6-8D57-EAA3291D7285}"/>
    <cellStyle name="Normal 17 7 11 3 2" xfId="28567" xr:uid="{2584A45F-EB10-4387-8A65-5CF012D7231E}"/>
    <cellStyle name="Normal 17 7 11 4" xfId="21006" xr:uid="{BF74F311-96DF-4833-B41E-9C4B64938ADA}"/>
    <cellStyle name="Normal 17 7 12" xfId="5289" xr:uid="{F7DDE0CF-3216-42A0-8799-62B2EA6C26FA}"/>
    <cellStyle name="Normal 17 7 12 2" xfId="12838" xr:uid="{B28D8A8E-2ECB-4CCF-8D8E-C8A3B180B91E}"/>
    <cellStyle name="Normal 17 7 12 2 2" xfId="29042" xr:uid="{3380A3A1-2CFB-4505-9DF1-69C8C83F0B5F}"/>
    <cellStyle name="Normal 17 7 12 3" xfId="21493" xr:uid="{9CB1C072-2927-40D7-B2DA-C174CE77A90A}"/>
    <cellStyle name="Normal 17 7 13" xfId="9404" xr:uid="{5C8342EC-4A33-4C23-9499-74506D942328}"/>
    <cellStyle name="Normal 17 7 13 2" xfId="25608" xr:uid="{CF06978D-C1F1-4410-87D3-4FD76361FCA0}"/>
    <cellStyle name="Normal 17 7 14" xfId="17919" xr:uid="{22626CD4-A8CC-4477-BD1F-A25B27897BA1}"/>
    <cellStyle name="Normal 17 7 2" xfId="514" xr:uid="{ECAD8B25-5864-4EC7-AEF6-7E4190835AA6}"/>
    <cellStyle name="Normal 17 7 2 10" xfId="5311" xr:uid="{EC7CCB49-D37C-4104-BE27-B94FC61A8078}"/>
    <cellStyle name="Normal 17 7 2 10 2" xfId="12860" xr:uid="{8E52F8D7-43F0-425C-B849-037899637D5E}"/>
    <cellStyle name="Normal 17 7 2 10 2 2" xfId="29064" xr:uid="{07EB73FA-F887-4671-8581-5BE1C6466278}"/>
    <cellStyle name="Normal 17 7 2 10 3" xfId="21515" xr:uid="{145EDBF4-624E-4F5F-B7A2-4F1D01FE766D}"/>
    <cellStyle name="Normal 17 7 2 11" xfId="9426" xr:uid="{37B430BC-B113-4647-BC2F-2F464F5CD943}"/>
    <cellStyle name="Normal 17 7 2 11 2" xfId="25630" xr:uid="{21E9E3BD-2DE7-4F9A-8872-FA721D09396F}"/>
    <cellStyle name="Normal 17 7 2 12" xfId="17941" xr:uid="{731840BC-84B3-4EFD-B4B8-0F12B41CC01F}"/>
    <cellStyle name="Normal 17 7 2 2" xfId="585" xr:uid="{8F867910-98AF-4ED5-86B0-816D1C9CA45C}"/>
    <cellStyle name="Normal 17 7 2 2 10" xfId="9493" xr:uid="{F2316590-67A4-4711-922B-93AF178689B3}"/>
    <cellStyle name="Normal 17 7 2 2 10 2" xfId="25697" xr:uid="{8E5B80DE-CCC7-403E-AF1A-C667C1F74B71}"/>
    <cellStyle name="Normal 17 7 2 2 11" xfId="18009" xr:uid="{67B6E91E-6A19-4A04-9DAF-848BBCFE85E5}"/>
    <cellStyle name="Normal 17 7 2 2 2" xfId="2007" xr:uid="{A1C6CA8C-99C9-4380-AB2B-428937CA68FD}"/>
    <cellStyle name="Normal 17 7 2 2 2 10" xfId="18310" xr:uid="{D4163978-1DC1-4410-A3DC-9094A2DA191F}"/>
    <cellStyle name="Normal 17 7 2 2 2 2" xfId="2513" xr:uid="{D6293EE4-6F6E-4AB6-A97D-7D7353A6BFFF}"/>
    <cellStyle name="Normal 17 7 2 2 2 2 2" xfId="3360" xr:uid="{183B23C7-939F-4BA5-9DA4-A6C75DBB561A}"/>
    <cellStyle name="Normal 17 7 2 2 2 2 2 2" xfId="7142" xr:uid="{4791FBF6-7D9C-4076-8C4E-98DF395C759A}"/>
    <cellStyle name="Normal 17 7 2 2 2 2 2 2 2" xfId="14653" xr:uid="{2A799A23-DB19-4771-9102-E40B251BA9F0}"/>
    <cellStyle name="Normal 17 7 2 2 2 2 2 2 2 2" xfId="30857" xr:uid="{124774EE-1B72-47FB-BDCA-09F3BF2332EA}"/>
    <cellStyle name="Normal 17 7 2 2 2 2 2 2 3" xfId="23346" xr:uid="{FC4E2C71-60DC-4914-BD7D-3D5B12D023B6}"/>
    <cellStyle name="Normal 17 7 2 2 2 2 2 3" xfId="11053" xr:uid="{BFB301ED-318C-47FA-B2F6-13F66004AD50}"/>
    <cellStyle name="Normal 17 7 2 2 2 2 2 3 2" xfId="27257" xr:uid="{373B8297-F7F8-41EA-AE95-017F45D0A1C7}"/>
    <cellStyle name="Normal 17 7 2 2 2 2 2 4" xfId="19580" xr:uid="{803EAD02-7A55-4FA2-BC55-AA25227710FB}"/>
    <cellStyle name="Normal 17 7 2 2 2 2 3" xfId="6297" xr:uid="{7F07C451-9E09-43F9-A84A-45FD1FA9ECA2}"/>
    <cellStyle name="Normal 17 7 2 2 2 2 3 2" xfId="13809" xr:uid="{E557E9FF-21E8-4482-A503-5C6E12CAB790}"/>
    <cellStyle name="Normal 17 7 2 2 2 2 3 2 2" xfId="30013" xr:uid="{9B7F847E-013E-44FD-8780-8105DB1587E8}"/>
    <cellStyle name="Normal 17 7 2 2 2 2 3 3" xfId="22501" xr:uid="{185C5581-8039-48F8-9617-AD958552CA48}"/>
    <cellStyle name="Normal 17 7 2 2 2 2 4" xfId="10209" xr:uid="{11E8DEE8-C894-4A37-BFD1-815928A38CDA}"/>
    <cellStyle name="Normal 17 7 2 2 2 2 4 2" xfId="26413" xr:uid="{F0FCE02A-1F8C-452F-9391-66951C6A5A95}"/>
    <cellStyle name="Normal 17 7 2 2 2 2 5" xfId="18735" xr:uid="{A63DB08B-4CD4-4FD6-B5BE-C115F43B3CA8}"/>
    <cellStyle name="Normal 17 7 2 2 2 3" xfId="2935" xr:uid="{764B5D56-F025-479D-8F5D-CEDF558FFE4F}"/>
    <cellStyle name="Normal 17 7 2 2 2 3 2" xfId="6719" xr:uid="{400B7994-F929-445B-9531-1136A32C4AE1}"/>
    <cellStyle name="Normal 17 7 2 2 2 3 2 2" xfId="14231" xr:uid="{5ACF13A8-DE22-4C3D-A1D4-964A1C8E3CD8}"/>
    <cellStyle name="Normal 17 7 2 2 2 3 2 2 2" xfId="30435" xr:uid="{8FE1305D-5AED-4EF3-95F6-837D28043050}"/>
    <cellStyle name="Normal 17 7 2 2 2 3 2 3" xfId="22923" xr:uid="{5A020F80-4A33-44AA-B946-40DA3A3744F8}"/>
    <cellStyle name="Normal 17 7 2 2 2 3 3" xfId="10631" xr:uid="{F8BA912F-C67D-4766-A03A-082442C6AC37}"/>
    <cellStyle name="Normal 17 7 2 2 2 3 3 2" xfId="26835" xr:uid="{FF2FCE34-EF62-4570-AA0C-CB55E19E0A83}"/>
    <cellStyle name="Normal 17 7 2 2 2 3 4" xfId="19157" xr:uid="{72698D98-7CAA-42D2-93F9-570B5D74663E}"/>
    <cellStyle name="Normal 17 7 2 2 2 4" xfId="3866" xr:uid="{FB2E31AC-A9E7-46BC-A32A-B4C2166C58E4}"/>
    <cellStyle name="Normal 17 7 2 2 2 4 2" xfId="7576" xr:uid="{D617D84D-8478-414B-BE14-0FC9A6702B5A}"/>
    <cellStyle name="Normal 17 7 2 2 2 4 2 2" xfId="15085" xr:uid="{D4DAA1CF-4FF5-4956-B460-198A1BCD4624}"/>
    <cellStyle name="Normal 17 7 2 2 2 4 2 2 2" xfId="31289" xr:uid="{0E6F92D3-6E0A-446B-B8A7-2697EC1BB8B3}"/>
    <cellStyle name="Normal 17 7 2 2 2 4 2 3" xfId="23780" xr:uid="{F70D968B-EAAA-4399-A3CE-BD52B5FC78B3}"/>
    <cellStyle name="Normal 17 7 2 2 2 4 3" xfId="11476" xr:uid="{7A9377F7-D29E-4B6C-90A2-16E04F67E16D}"/>
    <cellStyle name="Normal 17 7 2 2 2 4 3 2" xfId="27680" xr:uid="{91B26070-116E-4E9D-915D-8C363EF6723E}"/>
    <cellStyle name="Normal 17 7 2 2 2 4 4" xfId="20075" xr:uid="{25D6E10F-B544-4DFD-A74A-AAADD7037C6E}"/>
    <cellStyle name="Normal 17 7 2 2 2 5" xfId="4335" xr:uid="{AE24330E-B9B6-4DD0-9174-8889682AA2A3}"/>
    <cellStyle name="Normal 17 7 2 2 2 5 2" xfId="8005" xr:uid="{0B37E255-CD4B-44BD-BA04-2F2B98C4470F}"/>
    <cellStyle name="Normal 17 7 2 2 2 5 2 2" xfId="15512" xr:uid="{0C997A7F-7323-4DCA-BB8E-F33537EA303B}"/>
    <cellStyle name="Normal 17 7 2 2 2 5 2 2 2" xfId="31716" xr:uid="{23650970-00D6-4EF3-9A7E-0CE43C81B51B}"/>
    <cellStyle name="Normal 17 7 2 2 2 5 2 3" xfId="24209" xr:uid="{465065FB-AD81-40BC-ACB3-ED250CFD9972}"/>
    <cellStyle name="Normal 17 7 2 2 2 5 3" xfId="11898" xr:uid="{A7492C5F-339C-4CE3-A25B-96AAED71E639}"/>
    <cellStyle name="Normal 17 7 2 2 2 5 3 2" xfId="28102" xr:uid="{71ABC152-BD3E-44BE-AD80-C8463B0FE452}"/>
    <cellStyle name="Normal 17 7 2 2 2 5 4" xfId="20539" xr:uid="{859AD9E2-2C31-4881-A82D-C476F668BE5F}"/>
    <cellStyle name="Normal 17 7 2 2 2 6" xfId="4760" xr:uid="{0115AC93-F570-499E-A8D0-A7B1198549CB}"/>
    <cellStyle name="Normal 17 7 2 2 2 6 2" xfId="8430" xr:uid="{531A89E8-9C8E-43F6-A781-71C361B916CB}"/>
    <cellStyle name="Normal 17 7 2 2 2 6 2 2" xfId="15937" xr:uid="{47E907DE-CB29-4919-BC49-98EBF05A1A85}"/>
    <cellStyle name="Normal 17 7 2 2 2 6 2 2 2" xfId="32141" xr:uid="{A7D4942A-0E16-420C-BC35-53E3EC1C3522}"/>
    <cellStyle name="Normal 17 7 2 2 2 6 2 3" xfId="24634" xr:uid="{5B209A33-D06C-48DD-84A5-05D98DFF6D82}"/>
    <cellStyle name="Normal 17 7 2 2 2 6 3" xfId="12323" xr:uid="{89D05B1F-2D77-432A-8F7E-A94006BD7A62}"/>
    <cellStyle name="Normal 17 7 2 2 2 6 3 2" xfId="28527" xr:uid="{FDBCAEC9-DD22-4F15-93CF-41B00AE274EA}"/>
    <cellStyle name="Normal 17 7 2 2 2 6 4" xfId="20964" xr:uid="{216DDDD8-76BE-43C6-BB3D-8BC6EC49DB0A}"/>
    <cellStyle name="Normal 17 7 2 2 2 7" xfId="5188" xr:uid="{F9912F89-CAA4-4FBC-BED2-E8D52A8F8054}"/>
    <cellStyle name="Normal 17 7 2 2 2 7 2" xfId="8853" xr:uid="{293C58BD-4482-49E9-9855-04D9D7F1BF69}"/>
    <cellStyle name="Normal 17 7 2 2 2 7 2 2" xfId="16360" xr:uid="{92DA5735-E51E-4986-BE75-99878F958931}"/>
    <cellStyle name="Normal 17 7 2 2 2 7 2 2 2" xfId="32564" xr:uid="{B37E3CF6-4CDE-4DEE-9BA6-DCC10E894CEA}"/>
    <cellStyle name="Normal 17 7 2 2 2 7 2 3" xfId="25057" xr:uid="{E80EE04D-C804-4D7D-A16F-DF4B029F45F2}"/>
    <cellStyle name="Normal 17 7 2 2 2 7 3" xfId="12745" xr:uid="{9435BC1F-FDEC-43FC-A578-462FFC94C22F}"/>
    <cellStyle name="Normal 17 7 2 2 2 7 3 2" xfId="28949" xr:uid="{46FDEE53-79B8-4932-BFC2-60D27E3BDD1C}"/>
    <cellStyle name="Normal 17 7 2 2 2 7 4" xfId="21392" xr:uid="{D85656B6-91B9-4DB0-9851-6C969BC514BF}"/>
    <cellStyle name="Normal 17 7 2 2 2 8" xfId="5859" xr:uid="{F40E8E2A-F3C8-444C-ACE1-0DB4DAC7ACD0}"/>
    <cellStyle name="Normal 17 7 2 2 2 8 2" xfId="13374" xr:uid="{8B36C621-A530-4445-AB38-A549B7BCF06C}"/>
    <cellStyle name="Normal 17 7 2 2 2 8 2 2" xfId="29578" xr:uid="{64E4129E-DAA9-4A2A-B94A-73D285DA8107}"/>
    <cellStyle name="Normal 17 7 2 2 2 8 3" xfId="22063" xr:uid="{00F4FD7E-C465-4712-B74F-4D2828E45AD8}"/>
    <cellStyle name="Normal 17 7 2 2 2 9" xfId="9786" xr:uid="{2F39040D-B421-4793-A3AD-792C56D35B17}"/>
    <cellStyle name="Normal 17 7 2 2 2 9 2" xfId="25990" xr:uid="{22B7B52B-4FD5-46B5-9837-A34E9EED7158}"/>
    <cellStyle name="Normal 17 7 2 2 3" xfId="2154" xr:uid="{975F8C5D-89C4-43D3-B726-CF1885D6AC73}"/>
    <cellStyle name="Normal 17 7 2 2 3 2" xfId="3067" xr:uid="{BF1C44C5-83DB-4573-A302-6296DA13D015}"/>
    <cellStyle name="Normal 17 7 2 2 3 2 2" xfId="6849" xr:uid="{FB4C8441-2F8A-4E08-BA37-6A1ED1594960}"/>
    <cellStyle name="Normal 17 7 2 2 3 2 2 2" xfId="14360" xr:uid="{5CE625FE-FB52-4D82-A079-43F90CFAC9EC}"/>
    <cellStyle name="Normal 17 7 2 2 3 2 2 2 2" xfId="30564" xr:uid="{C1C9E806-3F71-4975-BDCD-0B846F9617E2}"/>
    <cellStyle name="Normal 17 7 2 2 3 2 2 3" xfId="23053" xr:uid="{476AC031-36EC-43AA-AA1D-5E0134B210EA}"/>
    <cellStyle name="Normal 17 7 2 2 3 2 3" xfId="10760" xr:uid="{A19D14ED-6380-4721-BC68-BCA4857852A6}"/>
    <cellStyle name="Normal 17 7 2 2 3 2 3 2" xfId="26964" xr:uid="{9850403A-7CA4-4D16-A78C-3DA35383B8CD}"/>
    <cellStyle name="Normal 17 7 2 2 3 2 4" xfId="19287" xr:uid="{0E159E19-1CEF-4C43-B142-093C3635E9B6}"/>
    <cellStyle name="Normal 17 7 2 2 3 3" xfId="5993" xr:uid="{3AEA0372-5B6D-4640-A401-539938A1D84D}"/>
    <cellStyle name="Normal 17 7 2 2 3 3 2" xfId="13507" xr:uid="{B16758AC-3AB7-45D1-A98B-BD6FEC04D614}"/>
    <cellStyle name="Normal 17 7 2 2 3 3 2 2" xfId="29711" xr:uid="{7C3464CC-0897-4630-AB6F-BE168204FDE2}"/>
    <cellStyle name="Normal 17 7 2 2 3 3 3" xfId="22197" xr:uid="{0273EF1F-4ACA-40FD-81FA-B42193BEF197}"/>
    <cellStyle name="Normal 17 7 2 2 3 4" xfId="9916" xr:uid="{1DF87119-B068-41C9-9855-5CFB739F0E8E}"/>
    <cellStyle name="Normal 17 7 2 2 3 4 2" xfId="26120" xr:uid="{3281653C-2EFC-49B6-9F84-2DE9B24BA567}"/>
    <cellStyle name="Normal 17 7 2 2 3 5" xfId="18441" xr:uid="{FBBF648B-4178-41C4-89EA-E2D501A91BB6}"/>
    <cellStyle name="Normal 17 7 2 2 4" xfId="2642" xr:uid="{8D1161A7-FE57-46E4-9434-A406A25E9232}"/>
    <cellStyle name="Normal 17 7 2 2 4 2" xfId="6426" xr:uid="{9FBC2DF3-5414-4CE3-B8BD-0F4653852E7E}"/>
    <cellStyle name="Normal 17 7 2 2 4 2 2" xfId="13938" xr:uid="{9CE5684E-541B-4B5F-B8FD-A06C91734538}"/>
    <cellStyle name="Normal 17 7 2 2 4 2 2 2" xfId="30142" xr:uid="{C322B2EA-AB68-4B7B-BD6E-7FBA0A017D4B}"/>
    <cellStyle name="Normal 17 7 2 2 4 2 3" xfId="22630" xr:uid="{E013E1E7-BD3D-4809-9B68-92B793E6626A}"/>
    <cellStyle name="Normal 17 7 2 2 4 3" xfId="10338" xr:uid="{44026825-4AFD-4811-8F60-3292C4706E7C}"/>
    <cellStyle name="Normal 17 7 2 2 4 3 2" xfId="26542" xr:uid="{6CED5750-266B-4C32-A239-1CEC89B26102}"/>
    <cellStyle name="Normal 17 7 2 2 4 4" xfId="18864" xr:uid="{77EB4C23-2225-42DE-AEF0-012E0B0E9F3E}"/>
    <cellStyle name="Normal 17 7 2 2 5" xfId="3518" xr:uid="{CE80E733-3201-412C-A4A4-6BDD58356FAA}"/>
    <cellStyle name="Normal 17 7 2 2 5 2" xfId="7276" xr:uid="{5F76F1B8-95DF-47F4-9C0E-DB8CB449A29C}"/>
    <cellStyle name="Normal 17 7 2 2 5 2 2" xfId="14786" xr:uid="{00F2FCAE-A2AA-4473-9610-C1B4E7911AF6}"/>
    <cellStyle name="Normal 17 7 2 2 5 2 2 2" xfId="30990" xr:uid="{F1F6325A-D45D-4734-83AE-62A1AF202E32}"/>
    <cellStyle name="Normal 17 7 2 2 5 2 3" xfId="23480" xr:uid="{69DBC2A8-BA55-480E-B94A-3CD20AF9A4ED}"/>
    <cellStyle name="Normal 17 7 2 2 5 3" xfId="11183" xr:uid="{9FDBEA9A-F656-42C2-B805-332358DB9053}"/>
    <cellStyle name="Normal 17 7 2 2 5 3 2" xfId="27387" xr:uid="{604669D6-76FE-4BA7-96A9-13A5503D231A}"/>
    <cellStyle name="Normal 17 7 2 2 5 4" xfId="19734" xr:uid="{918044B0-4EFC-40C7-BF62-2C7D1B0E59D2}"/>
    <cellStyle name="Normal 17 7 2 2 6" xfId="4042" xr:uid="{6B43688A-6A1C-40E6-A66B-72EC265DE27E}"/>
    <cellStyle name="Normal 17 7 2 2 6 2" xfId="7712" xr:uid="{DAFEAA0C-4B02-4E68-AEF5-997A17D50686}"/>
    <cellStyle name="Normal 17 7 2 2 6 2 2" xfId="15219" xr:uid="{FEFCE41A-BEC9-4AD7-BD7E-7146D0E38570}"/>
    <cellStyle name="Normal 17 7 2 2 6 2 2 2" xfId="31423" xr:uid="{649D3D89-A5E4-4BB3-AC4D-F6378080F5D2}"/>
    <cellStyle name="Normal 17 7 2 2 6 2 3" xfId="23916" xr:uid="{1F7DB57D-C4C5-4AEC-A67F-A0120F9837A1}"/>
    <cellStyle name="Normal 17 7 2 2 6 3" xfId="11605" xr:uid="{87E4A82D-913C-4185-ABB0-B9CFD48F09AE}"/>
    <cellStyle name="Normal 17 7 2 2 6 3 2" xfId="27809" xr:uid="{2B6766AF-EFB7-4D39-83F7-BF1949039574}"/>
    <cellStyle name="Normal 17 7 2 2 6 4" xfId="20246" xr:uid="{A08A5584-80C7-487D-896D-DEBD3C147674}"/>
    <cellStyle name="Normal 17 7 2 2 7" xfId="4467" xr:uid="{B69BA8EB-A308-4277-BD37-6F09ACF6E815}"/>
    <cellStyle name="Normal 17 7 2 2 7 2" xfId="8137" xr:uid="{6057AC32-EAFD-44E4-86F2-F383D39480B9}"/>
    <cellStyle name="Normal 17 7 2 2 7 2 2" xfId="15644" xr:uid="{E194C866-79D2-414F-A3D9-9BA2F0C5CC83}"/>
    <cellStyle name="Normal 17 7 2 2 7 2 2 2" xfId="31848" xr:uid="{C24A3F12-2A93-4075-BE2E-32FCF4F62754}"/>
    <cellStyle name="Normal 17 7 2 2 7 2 3" xfId="24341" xr:uid="{A486E162-B3DC-4A87-930B-1C46C5D93890}"/>
    <cellStyle name="Normal 17 7 2 2 7 3" xfId="12030" xr:uid="{09829AC4-4643-4E39-B8B4-7E37FF7BE3D7}"/>
    <cellStyle name="Normal 17 7 2 2 7 3 2" xfId="28234" xr:uid="{60847CE0-E940-4381-A3BB-3779098669BA}"/>
    <cellStyle name="Normal 17 7 2 2 7 4" xfId="20671" xr:uid="{89E07C6B-66BA-4A2D-9177-8DA2E58D0904}"/>
    <cellStyle name="Normal 17 7 2 2 8" xfId="4892" xr:uid="{708F2912-A370-4453-8A0C-687F1B0A518E}"/>
    <cellStyle name="Normal 17 7 2 2 8 2" xfId="8560" xr:uid="{61480DB8-074A-4289-B72B-D4F3EFC41419}"/>
    <cellStyle name="Normal 17 7 2 2 8 2 2" xfId="16067" xr:uid="{35D01512-1EA6-4F56-9739-64B59848FA90}"/>
    <cellStyle name="Normal 17 7 2 2 8 2 2 2" xfId="32271" xr:uid="{6BD8FF41-571B-414C-9A12-83C7D204FB57}"/>
    <cellStyle name="Normal 17 7 2 2 8 2 3" xfId="24764" xr:uid="{A9A92434-3ADF-44F0-82AF-AE9E626B268E}"/>
    <cellStyle name="Normal 17 7 2 2 8 3" xfId="12452" xr:uid="{95DF903D-2189-4B2D-A03F-19440B19FD47}"/>
    <cellStyle name="Normal 17 7 2 2 8 3 2" xfId="28656" xr:uid="{6BFB08FD-CE94-4B1C-A68A-916F2FD3EA92}"/>
    <cellStyle name="Normal 17 7 2 2 8 4" xfId="21096" xr:uid="{364AD077-799F-4BFE-B94E-7D7BD64792B7}"/>
    <cellStyle name="Normal 17 7 2 2 9" xfId="5378" xr:uid="{0166551C-DF34-46FC-B23F-EA43FB5EEBBE}"/>
    <cellStyle name="Normal 17 7 2 2 9 2" xfId="12927" xr:uid="{C379966F-6D14-47D9-B25C-555C124927A8}"/>
    <cellStyle name="Normal 17 7 2 2 9 2 2" xfId="29131" xr:uid="{C4F06FDF-43E6-4615-B86B-54D47CBBD7CD}"/>
    <cellStyle name="Normal 17 7 2 2 9 3" xfId="21582" xr:uid="{3AFBC9AA-9CB9-454A-92F2-DD0D362C0E91}"/>
    <cellStyle name="Normal 17 7 2 3" xfId="2008" xr:uid="{9D0D8256-6C2B-4872-9568-CE6CC3FE5A41}"/>
    <cellStyle name="Normal 17 7 2 3 10" xfId="18311" xr:uid="{596ED051-01F1-4E78-95E1-83171A4D0D2B}"/>
    <cellStyle name="Normal 17 7 2 3 2" xfId="2514" xr:uid="{B5CFC127-210A-41EF-B894-1FA652090D92}"/>
    <cellStyle name="Normal 17 7 2 3 2 2" xfId="3361" xr:uid="{8A8AEDEF-E45B-4DB8-AC35-0F37ED0A69C1}"/>
    <cellStyle name="Normal 17 7 2 3 2 2 2" xfId="7143" xr:uid="{1379B977-87A1-46E6-8143-B65B909AB68E}"/>
    <cellStyle name="Normal 17 7 2 3 2 2 2 2" xfId="14654" xr:uid="{545D3561-287D-423A-91AD-67B753E155B4}"/>
    <cellStyle name="Normal 17 7 2 3 2 2 2 2 2" xfId="30858" xr:uid="{8C6570A9-3E17-4222-8175-7E047F92F39F}"/>
    <cellStyle name="Normal 17 7 2 3 2 2 2 3" xfId="23347" xr:uid="{63227B11-CA94-438D-8F55-CC82630DC5CA}"/>
    <cellStyle name="Normal 17 7 2 3 2 2 3" xfId="11054" xr:uid="{524F3BE0-931B-492F-946E-470B7905143D}"/>
    <cellStyle name="Normal 17 7 2 3 2 2 3 2" xfId="27258" xr:uid="{A8C72AF5-5C82-4C62-9912-96F235C5F45D}"/>
    <cellStyle name="Normal 17 7 2 3 2 2 4" xfId="19581" xr:uid="{77D18F10-8BA5-4FFA-BA46-092427760A0C}"/>
    <cellStyle name="Normal 17 7 2 3 2 3" xfId="6298" xr:uid="{F597F766-FBF4-47B7-8ACA-53109ED2FB03}"/>
    <cellStyle name="Normal 17 7 2 3 2 3 2" xfId="13810" xr:uid="{C4308DF9-7B95-4A30-BB05-D982D5B09F17}"/>
    <cellStyle name="Normal 17 7 2 3 2 3 2 2" xfId="30014" xr:uid="{00B6243E-C98F-465C-A7CA-50AA71622F4C}"/>
    <cellStyle name="Normal 17 7 2 3 2 3 3" xfId="22502" xr:uid="{B79CBD2B-138C-4949-8A65-BCAE4601811D}"/>
    <cellStyle name="Normal 17 7 2 3 2 4" xfId="10210" xr:uid="{32C8B3CC-1AA3-4C82-B3B4-716041D1BF57}"/>
    <cellStyle name="Normal 17 7 2 3 2 4 2" xfId="26414" xr:uid="{03619D25-833A-465D-9D07-1F53DB145848}"/>
    <cellStyle name="Normal 17 7 2 3 2 5" xfId="18736" xr:uid="{634E3E57-0E08-4CF1-AC69-450788A4DED6}"/>
    <cellStyle name="Normal 17 7 2 3 3" xfId="2936" xr:uid="{26D75C7C-813B-4435-A273-51DC4DCA008E}"/>
    <cellStyle name="Normal 17 7 2 3 3 2" xfId="6720" xr:uid="{612AF888-FC1F-4868-83A0-136B5E4580B5}"/>
    <cellStyle name="Normal 17 7 2 3 3 2 2" xfId="14232" xr:uid="{BF0F9673-F7E6-47A0-B630-319FD2419D19}"/>
    <cellStyle name="Normal 17 7 2 3 3 2 2 2" xfId="30436" xr:uid="{F7A7A672-7D76-40B0-9CE0-D7D40D121DFD}"/>
    <cellStyle name="Normal 17 7 2 3 3 2 3" xfId="22924" xr:uid="{3BE89B01-C990-4001-837A-FB1A7F162984}"/>
    <cellStyle name="Normal 17 7 2 3 3 3" xfId="10632" xr:uid="{45EEFF7E-000C-4F10-91F3-30E80E051E92}"/>
    <cellStyle name="Normal 17 7 2 3 3 3 2" xfId="26836" xr:uid="{3A039897-3EFD-4559-96CF-F888A97AD66A}"/>
    <cellStyle name="Normal 17 7 2 3 3 4" xfId="19158" xr:uid="{F9F31C41-0ABA-4F45-9196-5AB55C4CEEC8}"/>
    <cellStyle name="Normal 17 7 2 3 4" xfId="3867" xr:uid="{0511BFA8-C8F2-4663-82BD-AEFDA25854D1}"/>
    <cellStyle name="Normal 17 7 2 3 4 2" xfId="7577" xr:uid="{1FAA1534-EAD2-402D-A6E5-354184E142F1}"/>
    <cellStyle name="Normal 17 7 2 3 4 2 2" xfId="15086" xr:uid="{3E458645-C960-4638-8EF9-633E5E126E91}"/>
    <cellStyle name="Normal 17 7 2 3 4 2 2 2" xfId="31290" xr:uid="{B790D88F-AD42-466B-B889-A98D219748BF}"/>
    <cellStyle name="Normal 17 7 2 3 4 2 3" xfId="23781" xr:uid="{F3835741-A611-482E-9AFB-829F2A99AD8B}"/>
    <cellStyle name="Normal 17 7 2 3 4 3" xfId="11477" xr:uid="{153F73B3-9A8C-46A9-9612-FF33DBE113E6}"/>
    <cellStyle name="Normal 17 7 2 3 4 3 2" xfId="27681" xr:uid="{1728EE3A-92C7-420B-95CB-4DA091E13705}"/>
    <cellStyle name="Normal 17 7 2 3 4 4" xfId="20076" xr:uid="{93EEA5AE-D702-491E-937B-E5B3EB65084E}"/>
    <cellStyle name="Normal 17 7 2 3 5" xfId="4336" xr:uid="{B9C16E8C-7658-4130-99D7-74CFBE6E1711}"/>
    <cellStyle name="Normal 17 7 2 3 5 2" xfId="8006" xr:uid="{57A93E2A-0A14-44D4-A416-1909D6270250}"/>
    <cellStyle name="Normal 17 7 2 3 5 2 2" xfId="15513" xr:uid="{1CA6BE49-2815-44D8-9D54-5F12E52982FA}"/>
    <cellStyle name="Normal 17 7 2 3 5 2 2 2" xfId="31717" xr:uid="{EF94DB8E-7718-4B60-955B-C7F0CBCA1C28}"/>
    <cellStyle name="Normal 17 7 2 3 5 2 3" xfId="24210" xr:uid="{84E3CCC4-3EBA-4929-A936-A1BB674735E6}"/>
    <cellStyle name="Normal 17 7 2 3 5 3" xfId="11899" xr:uid="{58B168BD-562B-4EF3-8495-B16C6C3EEA94}"/>
    <cellStyle name="Normal 17 7 2 3 5 3 2" xfId="28103" xr:uid="{6A48C7F0-BBA0-44CF-86B0-FE08B65FB5AD}"/>
    <cellStyle name="Normal 17 7 2 3 5 4" xfId="20540" xr:uid="{8B0F5C2F-7E98-4B36-8B99-A238253B80B6}"/>
    <cellStyle name="Normal 17 7 2 3 6" xfId="4761" xr:uid="{F6AFE531-E190-4C4A-B858-65C8324716EA}"/>
    <cellStyle name="Normal 17 7 2 3 6 2" xfId="8431" xr:uid="{B34551CE-55AF-4CF3-BCB9-558271FA1C19}"/>
    <cellStyle name="Normal 17 7 2 3 6 2 2" xfId="15938" xr:uid="{7B9DA483-04CD-4B3E-B1BD-13CF978C16D8}"/>
    <cellStyle name="Normal 17 7 2 3 6 2 2 2" xfId="32142" xr:uid="{9E285F00-21BA-4F53-B4C8-4B5E302D2C23}"/>
    <cellStyle name="Normal 17 7 2 3 6 2 3" xfId="24635" xr:uid="{61BA64E3-49E7-4DE1-9947-ACE3E9683515}"/>
    <cellStyle name="Normal 17 7 2 3 6 3" xfId="12324" xr:uid="{621192BA-3EFC-4664-BA15-74D0228FC65C}"/>
    <cellStyle name="Normal 17 7 2 3 6 3 2" xfId="28528" xr:uid="{1E299DDA-55D2-4FDF-8926-9E20D9AD2474}"/>
    <cellStyle name="Normal 17 7 2 3 6 4" xfId="20965" xr:uid="{E8837A35-BB16-45A0-8638-8D10B0D35EBC}"/>
    <cellStyle name="Normal 17 7 2 3 7" xfId="5189" xr:uid="{178E36A5-44EB-40D6-BB34-FA85AEB4225F}"/>
    <cellStyle name="Normal 17 7 2 3 7 2" xfId="8854" xr:uid="{45DACB56-2D66-4316-B928-A62ED3CA7675}"/>
    <cellStyle name="Normal 17 7 2 3 7 2 2" xfId="16361" xr:uid="{2539B50E-E4F0-46AF-8B6F-31EB122C2314}"/>
    <cellStyle name="Normal 17 7 2 3 7 2 2 2" xfId="32565" xr:uid="{0873B2CC-7A9B-4849-A60C-61068303D9D6}"/>
    <cellStyle name="Normal 17 7 2 3 7 2 3" xfId="25058" xr:uid="{9506D5B3-B787-4BE6-8D7B-53F20ADE6DFB}"/>
    <cellStyle name="Normal 17 7 2 3 7 3" xfId="12746" xr:uid="{317ABA9D-2DD9-4A5E-8EFB-1A6FB38E34A7}"/>
    <cellStyle name="Normal 17 7 2 3 7 3 2" xfId="28950" xr:uid="{59637CC1-9448-4C5D-AFC0-926FC195C404}"/>
    <cellStyle name="Normal 17 7 2 3 7 4" xfId="21393" xr:uid="{054DA88C-8315-4DDC-A8DB-4E90B725961C}"/>
    <cellStyle name="Normal 17 7 2 3 8" xfId="5860" xr:uid="{A02FA540-9049-4A7B-A92B-848786A03DA2}"/>
    <cellStyle name="Normal 17 7 2 3 8 2" xfId="13375" xr:uid="{AD749C6E-BF8A-40FB-A28E-0AF615A3E58F}"/>
    <cellStyle name="Normal 17 7 2 3 8 2 2" xfId="29579" xr:uid="{11A04425-7AE6-46FE-B660-F1E0D868E480}"/>
    <cellStyle name="Normal 17 7 2 3 8 3" xfId="22064" xr:uid="{3FC5F95E-6DBD-4506-9009-D121F226C102}"/>
    <cellStyle name="Normal 17 7 2 3 9" xfId="9787" xr:uid="{259ABD09-77E6-43D6-BFEB-B26EBFCF3611}"/>
    <cellStyle name="Normal 17 7 2 3 9 2" xfId="25991" xr:uid="{37587F1B-A1BE-46D8-AF60-612E827C88D0}"/>
    <cellStyle name="Normal 17 7 2 4" xfId="2087" xr:uid="{64258BEB-9AB5-4F68-B782-EB1A4137B31F}"/>
    <cellStyle name="Normal 17 7 2 4 2" xfId="3000" xr:uid="{F7CAC410-6187-4EB8-88FA-E50DD3584F16}"/>
    <cellStyle name="Normal 17 7 2 4 2 2" xfId="6782" xr:uid="{01E60FCB-D63E-4666-9753-682465731CCD}"/>
    <cellStyle name="Normal 17 7 2 4 2 2 2" xfId="14293" xr:uid="{CC2BE898-5CE4-4586-B0CC-D7A0D702715A}"/>
    <cellStyle name="Normal 17 7 2 4 2 2 2 2" xfId="30497" xr:uid="{E074AE5C-750C-453E-9CD2-6D5B406E97B9}"/>
    <cellStyle name="Normal 17 7 2 4 2 2 3" xfId="22986" xr:uid="{18B5874F-56EF-4728-952E-A010891DA7BC}"/>
    <cellStyle name="Normal 17 7 2 4 2 3" xfId="10693" xr:uid="{0ED78048-42B3-4863-A366-B7EF647C9549}"/>
    <cellStyle name="Normal 17 7 2 4 2 3 2" xfId="26897" xr:uid="{49EBC6A1-A2ED-4C58-BCB9-0F4B2FB6DBF6}"/>
    <cellStyle name="Normal 17 7 2 4 2 4" xfId="19220" xr:uid="{035657A9-7389-40A9-8B59-FFB004113F2C}"/>
    <cellStyle name="Normal 17 7 2 4 3" xfId="5926" xr:uid="{47054D7E-B541-4743-AA60-C8116C2ABF72}"/>
    <cellStyle name="Normal 17 7 2 4 3 2" xfId="13440" xr:uid="{8CF9592B-23DD-4AD4-AE3E-294A64170749}"/>
    <cellStyle name="Normal 17 7 2 4 3 2 2" xfId="29644" xr:uid="{09F551F0-EF20-4F04-9882-6069FB111736}"/>
    <cellStyle name="Normal 17 7 2 4 3 3" xfId="22130" xr:uid="{7FA7838A-A092-42A5-8F87-8260E9FD80CC}"/>
    <cellStyle name="Normal 17 7 2 4 4" xfId="9849" xr:uid="{CCF5F5BD-CA36-469E-857B-F89FBACD8F91}"/>
    <cellStyle name="Normal 17 7 2 4 4 2" xfId="26053" xr:uid="{B936870B-EE49-402B-A4DC-47D691E83E76}"/>
    <cellStyle name="Normal 17 7 2 4 5" xfId="18374" xr:uid="{12BCEE49-C66C-4488-B0C9-4CAC5100378F}"/>
    <cellStyle name="Normal 17 7 2 5" xfId="2575" xr:uid="{1D0F795D-B839-4785-9D23-3E0C1183119A}"/>
    <cellStyle name="Normal 17 7 2 5 2" xfId="6359" xr:uid="{CECD79F7-98F2-4212-BAD0-CB5DB730442E}"/>
    <cellStyle name="Normal 17 7 2 5 2 2" xfId="13871" xr:uid="{1C01A8BB-C8DA-4A8D-B3EC-0039BCDCF88A}"/>
    <cellStyle name="Normal 17 7 2 5 2 2 2" xfId="30075" xr:uid="{0AFBFA20-45F5-4855-A5C5-19351F96C6EE}"/>
    <cellStyle name="Normal 17 7 2 5 2 3" xfId="22563" xr:uid="{22DD1A70-09CE-4824-B4C6-33A0DEF1E3B2}"/>
    <cellStyle name="Normal 17 7 2 5 3" xfId="10271" xr:uid="{8150091C-A524-4448-8DD3-BBBEAEB0094E}"/>
    <cellStyle name="Normal 17 7 2 5 3 2" xfId="26475" xr:uid="{EDF628CE-32E4-4B21-A7E5-A9824067DE5A}"/>
    <cellStyle name="Normal 17 7 2 5 4" xfId="18797" xr:uid="{8D15B22F-A6BE-45A5-B07C-92C1B9291873}"/>
    <cellStyle name="Normal 17 7 2 6" xfId="3451" xr:uid="{D58CA1AD-389F-415B-AFE6-24CC12DB4D00}"/>
    <cellStyle name="Normal 17 7 2 6 2" xfId="7209" xr:uid="{0B385762-C44B-4715-9C7D-B8440D004207}"/>
    <cellStyle name="Normal 17 7 2 6 2 2" xfId="14719" xr:uid="{DC0CA16B-7A2C-4064-9CB2-7453F51E588B}"/>
    <cellStyle name="Normal 17 7 2 6 2 2 2" xfId="30923" xr:uid="{6A50F088-3C95-484D-B4BD-A01E68722D55}"/>
    <cellStyle name="Normal 17 7 2 6 2 3" xfId="23413" xr:uid="{5415E42B-681B-48A7-BEEF-97CBC4DD5A94}"/>
    <cellStyle name="Normal 17 7 2 6 3" xfId="11116" xr:uid="{7C922612-0260-4571-8600-E89C70F65F5F}"/>
    <cellStyle name="Normal 17 7 2 6 3 2" xfId="27320" xr:uid="{C888B7EE-FD41-4B4D-9E5F-15B6B1586685}"/>
    <cellStyle name="Normal 17 7 2 6 4" xfId="19667" xr:uid="{D3FBAD12-54BE-46CD-99E6-40C640BDC664}"/>
    <cellStyle name="Normal 17 7 2 7" xfId="3975" xr:uid="{89DB3E30-10DC-4B83-97CF-85AE1ED8C3FF}"/>
    <cellStyle name="Normal 17 7 2 7 2" xfId="7645" xr:uid="{A5CA90C3-032E-4FDE-A1DA-7751F1081ED0}"/>
    <cellStyle name="Normal 17 7 2 7 2 2" xfId="15152" xr:uid="{6168142A-1C8D-4014-B93B-684B51165FF2}"/>
    <cellStyle name="Normal 17 7 2 7 2 2 2" xfId="31356" xr:uid="{D23B5357-F717-4556-99A8-8633D93258C8}"/>
    <cellStyle name="Normal 17 7 2 7 2 3" xfId="23849" xr:uid="{609CBC50-E71C-4EF2-B00C-7EA2B85F677D}"/>
    <cellStyle name="Normal 17 7 2 7 3" xfId="11538" xr:uid="{BDF243E9-6D46-40CC-AE3D-27BE8801FA6C}"/>
    <cellStyle name="Normal 17 7 2 7 3 2" xfId="27742" xr:uid="{85F7D33C-6FB9-450F-89E9-3ECA59BAE048}"/>
    <cellStyle name="Normal 17 7 2 7 4" xfId="20179" xr:uid="{489A4E13-64A1-4B44-9386-FF8F32461303}"/>
    <cellStyle name="Normal 17 7 2 8" xfId="4400" xr:uid="{E54A8FA9-5B83-45DC-9313-BA66B90A6161}"/>
    <cellStyle name="Normal 17 7 2 8 2" xfId="8070" xr:uid="{EF44504E-3D00-4B00-911B-816B690A4D23}"/>
    <cellStyle name="Normal 17 7 2 8 2 2" xfId="15577" xr:uid="{D57A5E1A-4F44-4F3B-8DE2-F3DECEFCDC5F}"/>
    <cellStyle name="Normal 17 7 2 8 2 2 2" xfId="31781" xr:uid="{6223C28C-7D09-4347-A766-8E41A285418E}"/>
    <cellStyle name="Normal 17 7 2 8 2 3" xfId="24274" xr:uid="{D94C00A7-EAF9-4F4C-9925-664BB5DCBAFC}"/>
    <cellStyle name="Normal 17 7 2 8 3" xfId="11963" xr:uid="{98C707FD-5872-4E80-9217-1B9C321A03D6}"/>
    <cellStyle name="Normal 17 7 2 8 3 2" xfId="28167" xr:uid="{B18276D7-5DA6-4C05-B773-F5212B962F58}"/>
    <cellStyle name="Normal 17 7 2 8 4" xfId="20604" xr:uid="{0C3BB009-05DC-4CEC-B402-9E5E07DB4718}"/>
    <cellStyle name="Normal 17 7 2 9" xfId="4824" xr:uid="{F7158E8D-7A5A-4192-881F-E59942568E00}"/>
    <cellStyle name="Normal 17 7 2 9 2" xfId="8493" xr:uid="{761A3021-257D-4CE9-BBE7-B82274392083}"/>
    <cellStyle name="Normal 17 7 2 9 2 2" xfId="16000" xr:uid="{E057A15D-0FCF-477A-B7BE-E41CA5CDFC3B}"/>
    <cellStyle name="Normal 17 7 2 9 2 2 2" xfId="32204" xr:uid="{24D3302E-6D28-4512-A1E1-B074B84D72F2}"/>
    <cellStyle name="Normal 17 7 2 9 2 3" xfId="24697" xr:uid="{9AC61A82-70C9-4D06-B4C3-9E4467AD39F4}"/>
    <cellStyle name="Normal 17 7 2 9 3" xfId="12385" xr:uid="{AAE6E271-038E-4994-96CA-3447F217CE11}"/>
    <cellStyle name="Normal 17 7 2 9 3 2" xfId="28589" xr:uid="{E919876E-8E58-49AF-B4C2-4A27300D3E1D}"/>
    <cellStyle name="Normal 17 7 2 9 4" xfId="21028" xr:uid="{7AA3AB26-C8B8-41DF-8DA4-93CC376158D1}"/>
    <cellStyle name="Normal 17 7 3" xfId="536" xr:uid="{862BAB0C-7FB4-4747-BDE8-5B970CD5D641}"/>
    <cellStyle name="Normal 17 7 3 10" xfId="5333" xr:uid="{751B927C-CECC-4679-8EE3-C43008E31A95}"/>
    <cellStyle name="Normal 17 7 3 10 2" xfId="12882" xr:uid="{3E581150-FC56-4FFF-95D6-7DF600E1567F}"/>
    <cellStyle name="Normal 17 7 3 10 2 2" xfId="29086" xr:uid="{CD6DDD2B-BFAE-40B5-89AA-14CB86F40E36}"/>
    <cellStyle name="Normal 17 7 3 10 3" xfId="21537" xr:uid="{1069F51A-937A-4F35-9B74-8F7A8C8AE3AC}"/>
    <cellStyle name="Normal 17 7 3 11" xfId="9448" xr:uid="{85933765-6FFA-458B-A969-2AF3ED6CFD0C}"/>
    <cellStyle name="Normal 17 7 3 11 2" xfId="25652" xr:uid="{78D0990D-DF15-4FE8-9DBE-CF08A0A20B53}"/>
    <cellStyle name="Normal 17 7 3 12" xfId="17963" xr:uid="{339A9905-3A5E-48CD-82E4-A9AED718A3BB}"/>
    <cellStyle name="Normal 17 7 3 2" xfId="607" xr:uid="{8934B611-1798-4F79-BA13-E8E9738AB333}"/>
    <cellStyle name="Normal 17 7 3 2 10" xfId="9515" xr:uid="{D78FD723-B62B-4FC1-836F-1844A7C31EFB}"/>
    <cellStyle name="Normal 17 7 3 2 10 2" xfId="25719" xr:uid="{5F536EB9-ED58-467B-B7C0-875ECD212936}"/>
    <cellStyle name="Normal 17 7 3 2 11" xfId="18031" xr:uid="{419D73F3-2381-4E26-B1CE-3485C7AC869A}"/>
    <cellStyle name="Normal 17 7 3 2 2" xfId="2009" xr:uid="{1231EA6E-5F1E-4AD2-A51E-0B45A4B31614}"/>
    <cellStyle name="Normal 17 7 3 2 2 10" xfId="18312" xr:uid="{2D0FA0E8-D016-4D53-9A75-825B1AAAFB02}"/>
    <cellStyle name="Normal 17 7 3 2 2 2" xfId="2515" xr:uid="{5CE46919-E9E7-420C-8F12-7023A1302420}"/>
    <cellStyle name="Normal 17 7 3 2 2 2 2" xfId="3362" xr:uid="{DDBBE5A4-4227-4A50-B9B0-0187F3D61F7E}"/>
    <cellStyle name="Normal 17 7 3 2 2 2 2 2" xfId="7144" xr:uid="{0E1D0C77-5DE5-4312-8A4A-F9383D67C417}"/>
    <cellStyle name="Normal 17 7 3 2 2 2 2 2 2" xfId="14655" xr:uid="{461348E7-B442-4A33-9214-D68D47DD0EDA}"/>
    <cellStyle name="Normal 17 7 3 2 2 2 2 2 2 2" xfId="30859" xr:uid="{E2DBBA01-F1E6-4B44-9FAF-A2D8AE0822D7}"/>
    <cellStyle name="Normal 17 7 3 2 2 2 2 2 3" xfId="23348" xr:uid="{A2411463-8391-4B1C-89D3-C3FD26CD42F7}"/>
    <cellStyle name="Normal 17 7 3 2 2 2 2 3" xfId="11055" xr:uid="{08A8C811-E126-401F-8835-5BDAE28A8930}"/>
    <cellStyle name="Normal 17 7 3 2 2 2 2 3 2" xfId="27259" xr:uid="{726844F6-8053-4643-9764-DC346273C64F}"/>
    <cellStyle name="Normal 17 7 3 2 2 2 2 4" xfId="19582" xr:uid="{D9C29BDA-EBFD-44A9-BCA3-D849B7EE2B73}"/>
    <cellStyle name="Normal 17 7 3 2 2 2 3" xfId="6299" xr:uid="{5EEA2CF8-3239-4DEB-A601-5F7F35CBAA10}"/>
    <cellStyle name="Normal 17 7 3 2 2 2 3 2" xfId="13811" xr:uid="{F4A5185B-2816-4ACF-A807-2DAFFD2AE615}"/>
    <cellStyle name="Normal 17 7 3 2 2 2 3 2 2" xfId="30015" xr:uid="{482DA6EA-32FC-412B-962A-3A1D49BB763F}"/>
    <cellStyle name="Normal 17 7 3 2 2 2 3 3" xfId="22503" xr:uid="{2E7C876B-A3F7-49F4-B362-F0B1D8581E5F}"/>
    <cellStyle name="Normal 17 7 3 2 2 2 4" xfId="10211" xr:uid="{D6A67124-A7A8-477F-9BB4-6A433E7D5654}"/>
    <cellStyle name="Normal 17 7 3 2 2 2 4 2" xfId="26415" xr:uid="{DE3AE9EC-848F-4ADD-824B-CE7207D77572}"/>
    <cellStyle name="Normal 17 7 3 2 2 2 5" xfId="18737" xr:uid="{12D7EC05-18CF-49ED-B365-0E1896452A16}"/>
    <cellStyle name="Normal 17 7 3 2 2 3" xfId="2937" xr:uid="{6D8AF75C-A73E-44E6-8429-26C1A01088A7}"/>
    <cellStyle name="Normal 17 7 3 2 2 3 2" xfId="6721" xr:uid="{79B5B460-1F7B-4224-B156-AA1EE767A54C}"/>
    <cellStyle name="Normal 17 7 3 2 2 3 2 2" xfId="14233" xr:uid="{CDB637F0-FF8B-4D9E-AE18-42FCDE2A2082}"/>
    <cellStyle name="Normal 17 7 3 2 2 3 2 2 2" xfId="30437" xr:uid="{02C79563-FE8D-4454-B390-508374B2F998}"/>
    <cellStyle name="Normal 17 7 3 2 2 3 2 3" xfId="22925" xr:uid="{782AF8DE-0C4B-41EA-8C47-B4D659A9410A}"/>
    <cellStyle name="Normal 17 7 3 2 2 3 3" xfId="10633" xr:uid="{BDFE2A97-CA4C-47DC-8CAB-2EB3286AA3E1}"/>
    <cellStyle name="Normal 17 7 3 2 2 3 3 2" xfId="26837" xr:uid="{7E811870-B3ED-4273-A332-8825EC9D1F89}"/>
    <cellStyle name="Normal 17 7 3 2 2 3 4" xfId="19159" xr:uid="{C769C523-935A-418E-A90C-834F78AFF0BA}"/>
    <cellStyle name="Normal 17 7 3 2 2 4" xfId="3868" xr:uid="{346BD770-05F2-4976-8F03-170204E0C28C}"/>
    <cellStyle name="Normal 17 7 3 2 2 4 2" xfId="7578" xr:uid="{A4F711C6-CC5C-489A-A768-A797E166AE7D}"/>
    <cellStyle name="Normal 17 7 3 2 2 4 2 2" xfId="15087" xr:uid="{04E3B472-2418-4C1D-A3E5-E974E2163E6C}"/>
    <cellStyle name="Normal 17 7 3 2 2 4 2 2 2" xfId="31291" xr:uid="{25865B62-3123-4029-A91C-CC24B6AEB47F}"/>
    <cellStyle name="Normal 17 7 3 2 2 4 2 3" xfId="23782" xr:uid="{229068B3-4CDB-45AD-B2A2-21D784D5FDB2}"/>
    <cellStyle name="Normal 17 7 3 2 2 4 3" xfId="11478" xr:uid="{1C53E57C-2295-4218-AA31-509710084244}"/>
    <cellStyle name="Normal 17 7 3 2 2 4 3 2" xfId="27682" xr:uid="{F75762BF-5DE4-4C2F-958F-9319DB303519}"/>
    <cellStyle name="Normal 17 7 3 2 2 4 4" xfId="20077" xr:uid="{BD7588A6-C560-4497-883A-A5FD42AEE898}"/>
    <cellStyle name="Normal 17 7 3 2 2 5" xfId="4337" xr:uid="{A5299F57-E790-4181-8A05-28CC8E60F5FC}"/>
    <cellStyle name="Normal 17 7 3 2 2 5 2" xfId="8007" xr:uid="{75FA0E90-F35C-4C1E-905E-8D311557850D}"/>
    <cellStyle name="Normal 17 7 3 2 2 5 2 2" xfId="15514" xr:uid="{1EF069BA-2765-43B3-9BB9-E2D61BACFB40}"/>
    <cellStyle name="Normal 17 7 3 2 2 5 2 2 2" xfId="31718" xr:uid="{98741075-AD26-42FC-9DB1-E2B8E5D18E01}"/>
    <cellStyle name="Normal 17 7 3 2 2 5 2 3" xfId="24211" xr:uid="{FB5B071F-26C1-43F5-B04E-497359285FDB}"/>
    <cellStyle name="Normal 17 7 3 2 2 5 3" xfId="11900" xr:uid="{488248F7-AE70-47B8-97B5-CCD9557B52E0}"/>
    <cellStyle name="Normal 17 7 3 2 2 5 3 2" xfId="28104" xr:uid="{715C24FA-DF5B-4F6D-9C88-3A4FC12C8250}"/>
    <cellStyle name="Normal 17 7 3 2 2 5 4" xfId="20541" xr:uid="{66DE8CA8-CC5D-47C7-BB35-59BA8D3A65E3}"/>
    <cellStyle name="Normal 17 7 3 2 2 6" xfId="4762" xr:uid="{E622C92F-BD41-4C87-A903-C6BB764F2FEE}"/>
    <cellStyle name="Normal 17 7 3 2 2 6 2" xfId="8432" xr:uid="{99C6D756-593E-461A-98B9-A8A3A3CA6EE0}"/>
    <cellStyle name="Normal 17 7 3 2 2 6 2 2" xfId="15939" xr:uid="{B91F6F89-4A7A-4A2F-AC1D-4E23A94EEC97}"/>
    <cellStyle name="Normal 17 7 3 2 2 6 2 2 2" xfId="32143" xr:uid="{10EDC827-9044-4E76-80F6-9FAC8111113B}"/>
    <cellStyle name="Normal 17 7 3 2 2 6 2 3" xfId="24636" xr:uid="{532D79B8-9539-4C7E-8351-8B0074E4123A}"/>
    <cellStyle name="Normal 17 7 3 2 2 6 3" xfId="12325" xr:uid="{5B11DCD6-7980-4675-8B0F-0D1431955725}"/>
    <cellStyle name="Normal 17 7 3 2 2 6 3 2" xfId="28529" xr:uid="{D56C5600-AC8B-4451-9CE3-928C24AB5196}"/>
    <cellStyle name="Normal 17 7 3 2 2 6 4" xfId="20966" xr:uid="{E41A3EFA-8AF2-4887-B501-CB32073C7EF5}"/>
    <cellStyle name="Normal 17 7 3 2 2 7" xfId="5190" xr:uid="{2C49A3FB-C1A6-44F8-BE6E-77163FEF77F7}"/>
    <cellStyle name="Normal 17 7 3 2 2 7 2" xfId="8855" xr:uid="{61F2AF81-E338-4139-8679-0EFB6088048C}"/>
    <cellStyle name="Normal 17 7 3 2 2 7 2 2" xfId="16362" xr:uid="{C7FBDD84-CCE5-4ACC-8A75-D38A1F02B163}"/>
    <cellStyle name="Normal 17 7 3 2 2 7 2 2 2" xfId="32566" xr:uid="{0EBE1824-CA28-4DAF-9D70-FDAD4FAAD448}"/>
    <cellStyle name="Normal 17 7 3 2 2 7 2 3" xfId="25059" xr:uid="{26641CB8-BEA6-4343-AC60-9B3976C4E3CC}"/>
    <cellStyle name="Normal 17 7 3 2 2 7 3" xfId="12747" xr:uid="{8BC95C92-7C33-411C-89DF-CDA5A320EC52}"/>
    <cellStyle name="Normal 17 7 3 2 2 7 3 2" xfId="28951" xr:uid="{B0D2A888-F493-4DFD-9588-0E25FF9695AF}"/>
    <cellStyle name="Normal 17 7 3 2 2 7 4" xfId="21394" xr:uid="{7FA019FD-BDD2-4902-9485-AB2647DD477D}"/>
    <cellStyle name="Normal 17 7 3 2 2 8" xfId="5861" xr:uid="{B10A167E-DF01-4A73-8393-DC3BCF326ECB}"/>
    <cellStyle name="Normal 17 7 3 2 2 8 2" xfId="13376" xr:uid="{1E0D527D-023A-482A-A296-84F96C995EF4}"/>
    <cellStyle name="Normal 17 7 3 2 2 8 2 2" xfId="29580" xr:uid="{1CAA38E1-4D6D-40B5-BF54-1EDE9D5D3B47}"/>
    <cellStyle name="Normal 17 7 3 2 2 8 3" xfId="22065" xr:uid="{8A851548-BC6E-4A7E-8292-D984F5741255}"/>
    <cellStyle name="Normal 17 7 3 2 2 9" xfId="9788" xr:uid="{6868B70B-0933-4AAF-B7C7-97FE8F1055AE}"/>
    <cellStyle name="Normal 17 7 3 2 2 9 2" xfId="25992" xr:uid="{706E3CDE-7E4C-43B9-9007-F7AA89C25A65}"/>
    <cellStyle name="Normal 17 7 3 2 3" xfId="2176" xr:uid="{F5C58A9A-C7F7-420C-8950-C3493216A732}"/>
    <cellStyle name="Normal 17 7 3 2 3 2" xfId="3089" xr:uid="{37EE049D-9948-45B8-B73C-F414691AC9E3}"/>
    <cellStyle name="Normal 17 7 3 2 3 2 2" xfId="6871" xr:uid="{CD0BDD21-6AD8-43C3-90BD-0DA1CF09E4A6}"/>
    <cellStyle name="Normal 17 7 3 2 3 2 2 2" xfId="14382" xr:uid="{0A791B57-3A23-4722-AC51-C1B069FD0B9A}"/>
    <cellStyle name="Normal 17 7 3 2 3 2 2 2 2" xfId="30586" xr:uid="{B33CA5A5-8CDA-4A75-8033-6B4B61A91BA1}"/>
    <cellStyle name="Normal 17 7 3 2 3 2 2 3" xfId="23075" xr:uid="{A7B5F817-8622-4ECB-8D98-D98DC14B4F28}"/>
    <cellStyle name="Normal 17 7 3 2 3 2 3" xfId="10782" xr:uid="{956E72A1-2AF2-42D4-9180-FDAA8D36A992}"/>
    <cellStyle name="Normal 17 7 3 2 3 2 3 2" xfId="26986" xr:uid="{0E0FAEAB-7A03-49FC-8184-37EAC91B88A0}"/>
    <cellStyle name="Normal 17 7 3 2 3 2 4" xfId="19309" xr:uid="{CDD6D151-F35A-421D-B9D2-FBFD2828F7C6}"/>
    <cellStyle name="Normal 17 7 3 2 3 3" xfId="6015" xr:uid="{C35FD5FD-F4F6-4ACE-A237-C6ABC4129900}"/>
    <cellStyle name="Normal 17 7 3 2 3 3 2" xfId="13529" xr:uid="{052FC2B2-425B-417E-91BD-CC860502B84A}"/>
    <cellStyle name="Normal 17 7 3 2 3 3 2 2" xfId="29733" xr:uid="{BB9886F1-B37D-40A7-A84F-1091DEBB252C}"/>
    <cellStyle name="Normal 17 7 3 2 3 3 3" xfId="22219" xr:uid="{DB70FC49-4758-4647-9716-A2CE55D2836B}"/>
    <cellStyle name="Normal 17 7 3 2 3 4" xfId="9938" xr:uid="{C356F0E2-5365-440F-B640-DBDB0A457855}"/>
    <cellStyle name="Normal 17 7 3 2 3 4 2" xfId="26142" xr:uid="{0B87A3CD-BBA6-4D8F-AC51-99FE473CB330}"/>
    <cellStyle name="Normal 17 7 3 2 3 5" xfId="18463" xr:uid="{DA20D87E-9D1A-4590-A5C3-A8F874EB3229}"/>
    <cellStyle name="Normal 17 7 3 2 4" xfId="2664" xr:uid="{40075493-C8FC-49EC-A44B-05A406CBA4B4}"/>
    <cellStyle name="Normal 17 7 3 2 4 2" xfId="6448" xr:uid="{6E6EAF5E-A998-4D69-A925-CE4B202712E4}"/>
    <cellStyle name="Normal 17 7 3 2 4 2 2" xfId="13960" xr:uid="{68351EEA-5AA7-4656-8272-0BF5EDC1A8BF}"/>
    <cellStyle name="Normal 17 7 3 2 4 2 2 2" xfId="30164" xr:uid="{C0C61021-C160-45EC-ADB1-AB8144E2E981}"/>
    <cellStyle name="Normal 17 7 3 2 4 2 3" xfId="22652" xr:uid="{5B07EEC0-EBA3-4222-A7FE-2CA62EE09573}"/>
    <cellStyle name="Normal 17 7 3 2 4 3" xfId="10360" xr:uid="{53B14D1D-A7B8-42FA-8F77-D52C2AAEF27B}"/>
    <cellStyle name="Normal 17 7 3 2 4 3 2" xfId="26564" xr:uid="{22E7D4CA-0F9B-451B-A614-457B7E8CADE5}"/>
    <cellStyle name="Normal 17 7 3 2 4 4" xfId="18886" xr:uid="{627AF97D-DC0B-475B-BE39-01132E2008AD}"/>
    <cellStyle name="Normal 17 7 3 2 5" xfId="3540" xr:uid="{F4CB86B5-72BC-44A9-9C07-C1F6B29B4BB4}"/>
    <cellStyle name="Normal 17 7 3 2 5 2" xfId="7298" xr:uid="{5FC884F6-D59B-4A55-B314-500DEF418A97}"/>
    <cellStyle name="Normal 17 7 3 2 5 2 2" xfId="14808" xr:uid="{D06758E5-75DE-437A-AAB8-8C9D2FBB0EAF}"/>
    <cellStyle name="Normal 17 7 3 2 5 2 2 2" xfId="31012" xr:uid="{821E7E65-3911-4494-A1E0-1786BE2CAA4A}"/>
    <cellStyle name="Normal 17 7 3 2 5 2 3" xfId="23502" xr:uid="{4621555C-6F1C-4ECD-A076-BB6B00898A13}"/>
    <cellStyle name="Normal 17 7 3 2 5 3" xfId="11205" xr:uid="{FE9601D5-1CB0-4AF5-BAEA-F4CCE544A389}"/>
    <cellStyle name="Normal 17 7 3 2 5 3 2" xfId="27409" xr:uid="{3AACF770-47B0-4F1D-B842-A032BA21DF1E}"/>
    <cellStyle name="Normal 17 7 3 2 5 4" xfId="19756" xr:uid="{057D1897-CD56-4FA9-B599-A7EBA032CFF5}"/>
    <cellStyle name="Normal 17 7 3 2 6" xfId="4064" xr:uid="{A5211A0B-7DD3-4CEC-AA9D-83498B53EBA3}"/>
    <cellStyle name="Normal 17 7 3 2 6 2" xfId="7734" xr:uid="{C8D5DA26-409E-42EA-ADF3-50C547B493D1}"/>
    <cellStyle name="Normal 17 7 3 2 6 2 2" xfId="15241" xr:uid="{B0EC9A89-80BC-43CF-A695-CB9DD74B644B}"/>
    <cellStyle name="Normal 17 7 3 2 6 2 2 2" xfId="31445" xr:uid="{0E464AF8-15F9-4F0C-8A8B-AD4E6D48D514}"/>
    <cellStyle name="Normal 17 7 3 2 6 2 3" xfId="23938" xr:uid="{D3B4FF35-3D6A-494F-AC06-9B6B44AD4D93}"/>
    <cellStyle name="Normal 17 7 3 2 6 3" xfId="11627" xr:uid="{8919236F-E9CB-4342-A496-DBAC7321456F}"/>
    <cellStyle name="Normal 17 7 3 2 6 3 2" xfId="27831" xr:uid="{1F72DD7B-7057-4389-A87E-B1C30227DCB4}"/>
    <cellStyle name="Normal 17 7 3 2 6 4" xfId="20268" xr:uid="{1FE95E62-51A3-4EA2-BCDC-45CB5F7260ED}"/>
    <cellStyle name="Normal 17 7 3 2 7" xfId="4489" xr:uid="{32600850-FA6C-4232-8572-908CC9A45AD2}"/>
    <cellStyle name="Normal 17 7 3 2 7 2" xfId="8159" xr:uid="{036D0CE0-97B6-40C2-8C66-20AC92D1C24C}"/>
    <cellStyle name="Normal 17 7 3 2 7 2 2" xfId="15666" xr:uid="{6FD8092B-EA18-43BD-A69A-74D161D1F375}"/>
    <cellStyle name="Normal 17 7 3 2 7 2 2 2" xfId="31870" xr:uid="{4A79B239-28C9-4DDD-9037-8037E19250B3}"/>
    <cellStyle name="Normal 17 7 3 2 7 2 3" xfId="24363" xr:uid="{92F6B90D-67F3-43B7-B527-82CA9BB39902}"/>
    <cellStyle name="Normal 17 7 3 2 7 3" xfId="12052" xr:uid="{D4E68940-3F70-4C1D-A441-7CFAC0CB34A5}"/>
    <cellStyle name="Normal 17 7 3 2 7 3 2" xfId="28256" xr:uid="{4F319D6D-D9B8-4440-9129-DEBBF850D006}"/>
    <cellStyle name="Normal 17 7 3 2 7 4" xfId="20693" xr:uid="{C9FCA488-7D5B-4993-8AF2-595EF1A7C9A1}"/>
    <cellStyle name="Normal 17 7 3 2 8" xfId="4914" xr:uid="{2B5A1833-5497-48F6-85FD-8AA886C029A2}"/>
    <cellStyle name="Normal 17 7 3 2 8 2" xfId="8582" xr:uid="{667EF31D-FC60-458E-9E08-71FF6130871C}"/>
    <cellStyle name="Normal 17 7 3 2 8 2 2" xfId="16089" xr:uid="{9B499A46-944D-4C03-9324-4B5CB8450C16}"/>
    <cellStyle name="Normal 17 7 3 2 8 2 2 2" xfId="32293" xr:uid="{D40DAB68-0AEF-4DA7-84E5-0F80BE2D1F12}"/>
    <cellStyle name="Normal 17 7 3 2 8 2 3" xfId="24786" xr:uid="{3A2D936F-78E2-41B4-853E-3493A5073744}"/>
    <cellStyle name="Normal 17 7 3 2 8 3" xfId="12474" xr:uid="{D77E8A45-4167-4CF8-AA66-D908BA2A321E}"/>
    <cellStyle name="Normal 17 7 3 2 8 3 2" xfId="28678" xr:uid="{15BAA2E1-D7AE-42C8-9C47-08C7E176F2AB}"/>
    <cellStyle name="Normal 17 7 3 2 8 4" xfId="21118" xr:uid="{754160F6-C2A4-4E3A-8E86-2AE88E03BAF0}"/>
    <cellStyle name="Normal 17 7 3 2 9" xfId="5400" xr:uid="{09859D94-4AD6-4799-BD98-AF0D0EA60F72}"/>
    <cellStyle name="Normal 17 7 3 2 9 2" xfId="12949" xr:uid="{B5D564A3-BADE-413B-9D99-A90E187E91F3}"/>
    <cellStyle name="Normal 17 7 3 2 9 2 2" xfId="29153" xr:uid="{A8A86C71-41EF-4BCF-A8D8-00C783B07283}"/>
    <cellStyle name="Normal 17 7 3 2 9 3" xfId="21604" xr:uid="{C69C4FD4-D7CD-485A-8AD2-BAC014BAD48D}"/>
    <cellStyle name="Normal 17 7 3 3" xfId="2010" xr:uid="{A49B929C-5A44-4CF7-84F1-E023BE2BDDB6}"/>
    <cellStyle name="Normal 17 7 3 3 10" xfId="18313" xr:uid="{8E9866D0-853A-43E6-BAE8-505AB60EB907}"/>
    <cellStyle name="Normal 17 7 3 3 2" xfId="2516" xr:uid="{F27EC511-2329-4CF0-A77C-7F6E62B4872B}"/>
    <cellStyle name="Normal 17 7 3 3 2 2" xfId="3363" xr:uid="{CEDF837D-164D-41B3-AAB1-00CA71A77B5B}"/>
    <cellStyle name="Normal 17 7 3 3 2 2 2" xfId="7145" xr:uid="{BAE8C9A1-E4C6-45A8-A287-64C746DAE761}"/>
    <cellStyle name="Normal 17 7 3 3 2 2 2 2" xfId="14656" xr:uid="{EA3CF741-C354-40EE-9F4B-2B10B7D85119}"/>
    <cellStyle name="Normal 17 7 3 3 2 2 2 2 2" xfId="30860" xr:uid="{372BB41F-D0EB-42B2-881A-96FB17B06F5C}"/>
    <cellStyle name="Normal 17 7 3 3 2 2 2 3" xfId="23349" xr:uid="{7AF6FCA3-F4DA-4416-882C-9F5C4EF6E18C}"/>
    <cellStyle name="Normal 17 7 3 3 2 2 3" xfId="11056" xr:uid="{962BDC80-1136-4358-9F74-813966300159}"/>
    <cellStyle name="Normal 17 7 3 3 2 2 3 2" xfId="27260" xr:uid="{B0D827AC-97D0-48A5-89CD-B51AADF0A112}"/>
    <cellStyle name="Normal 17 7 3 3 2 2 4" xfId="19583" xr:uid="{EC960E34-3D89-4E35-9BED-EC83737C8ABA}"/>
    <cellStyle name="Normal 17 7 3 3 2 3" xfId="6300" xr:uid="{4E09E39B-58C7-4FCF-BAF5-9D5FA1B1B8E0}"/>
    <cellStyle name="Normal 17 7 3 3 2 3 2" xfId="13812" xr:uid="{B6E0A235-56AC-4E9F-94BE-1EAA70F8E911}"/>
    <cellStyle name="Normal 17 7 3 3 2 3 2 2" xfId="30016" xr:uid="{3CB5B50C-67B4-44FB-B238-D20E46FD77B4}"/>
    <cellStyle name="Normal 17 7 3 3 2 3 3" xfId="22504" xr:uid="{011F29DD-0787-4AB9-9877-2586AB801A81}"/>
    <cellStyle name="Normal 17 7 3 3 2 4" xfId="10212" xr:uid="{8B877D78-8818-457E-AE27-8046F2298249}"/>
    <cellStyle name="Normal 17 7 3 3 2 4 2" xfId="26416" xr:uid="{AADE2420-5D95-4B3D-B14E-F97CB67921F7}"/>
    <cellStyle name="Normal 17 7 3 3 2 5" xfId="18738" xr:uid="{63232410-4727-4465-B096-E59B3640514B}"/>
    <cellStyle name="Normal 17 7 3 3 3" xfId="2938" xr:uid="{8C11DB73-351B-44A7-99C3-AC2AD066C2AD}"/>
    <cellStyle name="Normal 17 7 3 3 3 2" xfId="6722" xr:uid="{5174FDAB-BD90-442E-90F0-5EE61C7F2D53}"/>
    <cellStyle name="Normal 17 7 3 3 3 2 2" xfId="14234" xr:uid="{87AB3BB2-BA9A-4C9C-8690-BE70A0C3BA9A}"/>
    <cellStyle name="Normal 17 7 3 3 3 2 2 2" xfId="30438" xr:uid="{50DCD194-6E9B-4DC5-B1E9-D01037DF7CCC}"/>
    <cellStyle name="Normal 17 7 3 3 3 2 3" xfId="22926" xr:uid="{5009D9B9-14C5-4E68-86F2-E89A83BF7EA1}"/>
    <cellStyle name="Normal 17 7 3 3 3 3" xfId="10634" xr:uid="{9FDE3A6B-3E3F-425F-948C-2A318E2A4152}"/>
    <cellStyle name="Normal 17 7 3 3 3 3 2" xfId="26838" xr:uid="{6CD53D7A-9460-472B-9F72-477052B7ED42}"/>
    <cellStyle name="Normal 17 7 3 3 3 4" xfId="19160" xr:uid="{C716D49E-88D2-4B31-81D7-A15F4E40A268}"/>
    <cellStyle name="Normal 17 7 3 3 4" xfId="3869" xr:uid="{90718F10-A2C9-4CE4-932D-4765322090C8}"/>
    <cellStyle name="Normal 17 7 3 3 4 2" xfId="7579" xr:uid="{2236A185-50B4-4ABE-BC75-6160B5B2F5C8}"/>
    <cellStyle name="Normal 17 7 3 3 4 2 2" xfId="15088" xr:uid="{CA95C2B5-389A-403A-99EC-1531C053F0FA}"/>
    <cellStyle name="Normal 17 7 3 3 4 2 2 2" xfId="31292" xr:uid="{FC008FBF-8A8A-44B0-9524-BAE0D954E329}"/>
    <cellStyle name="Normal 17 7 3 3 4 2 3" xfId="23783" xr:uid="{5C493096-4043-4EC7-BD77-A595F0A5AB15}"/>
    <cellStyle name="Normal 17 7 3 3 4 3" xfId="11479" xr:uid="{3A76AC39-3814-41C2-9863-79A2087C4E59}"/>
    <cellStyle name="Normal 17 7 3 3 4 3 2" xfId="27683" xr:uid="{96169ACE-8DC6-470E-95BC-CE456EEBE465}"/>
    <cellStyle name="Normal 17 7 3 3 4 4" xfId="20078" xr:uid="{6034D5C8-4AB4-4C9A-BBF0-111FD979D165}"/>
    <cellStyle name="Normal 17 7 3 3 5" xfId="4338" xr:uid="{2937ADB6-E986-4A61-9D48-D5C20A438286}"/>
    <cellStyle name="Normal 17 7 3 3 5 2" xfId="8008" xr:uid="{5973D5C1-2933-481C-8C54-DB88AB425DD4}"/>
    <cellStyle name="Normal 17 7 3 3 5 2 2" xfId="15515" xr:uid="{2A2FECA5-2908-4B83-9995-915C3E473BEB}"/>
    <cellStyle name="Normal 17 7 3 3 5 2 2 2" xfId="31719" xr:uid="{0CA8ED06-1F67-488E-9987-10086C2B6D7F}"/>
    <cellStyle name="Normal 17 7 3 3 5 2 3" xfId="24212" xr:uid="{12F7A1B6-7876-4907-BF05-14A3EED7290C}"/>
    <cellStyle name="Normal 17 7 3 3 5 3" xfId="11901" xr:uid="{0EDC4184-6754-4225-8364-39DA0EAFB555}"/>
    <cellStyle name="Normal 17 7 3 3 5 3 2" xfId="28105" xr:uid="{6F6B8ABC-7781-4FEB-BDE5-F5599CB888BD}"/>
    <cellStyle name="Normal 17 7 3 3 5 4" xfId="20542" xr:uid="{209148BD-C233-4378-AE5A-B2459BE32E8C}"/>
    <cellStyle name="Normal 17 7 3 3 6" xfId="4763" xr:uid="{CB688BA0-CBC0-4BD8-B6F2-82B82D5F282F}"/>
    <cellStyle name="Normal 17 7 3 3 6 2" xfId="8433" xr:uid="{C5F8BDF5-FEDD-4CD5-AE12-D97C1FA83837}"/>
    <cellStyle name="Normal 17 7 3 3 6 2 2" xfId="15940" xr:uid="{C193A25F-27B6-4A3D-B250-7CA03CA50A50}"/>
    <cellStyle name="Normal 17 7 3 3 6 2 2 2" xfId="32144" xr:uid="{7CCC738E-6D55-4A1A-BCB0-93D1BBDCE659}"/>
    <cellStyle name="Normal 17 7 3 3 6 2 3" xfId="24637" xr:uid="{973E872E-45F7-4450-95E8-60C19B80D808}"/>
    <cellStyle name="Normal 17 7 3 3 6 3" xfId="12326" xr:uid="{1E7C8417-E354-43AD-8CFF-349FA7407CB3}"/>
    <cellStyle name="Normal 17 7 3 3 6 3 2" xfId="28530" xr:uid="{19AE82A3-8A32-41C6-9B1F-ABAEE168CCDD}"/>
    <cellStyle name="Normal 17 7 3 3 6 4" xfId="20967" xr:uid="{271E7101-01D7-400C-88B6-378F16DBA382}"/>
    <cellStyle name="Normal 17 7 3 3 7" xfId="5191" xr:uid="{3FF55EE9-5357-4F9D-8A04-B184BDC8F985}"/>
    <cellStyle name="Normal 17 7 3 3 7 2" xfId="8856" xr:uid="{1C0DE3BD-E7E1-498F-8763-E68BCD00AA2D}"/>
    <cellStyle name="Normal 17 7 3 3 7 2 2" xfId="16363" xr:uid="{CCFFDA5C-C96D-44C7-93A9-051C4F61AEA4}"/>
    <cellStyle name="Normal 17 7 3 3 7 2 2 2" xfId="32567" xr:uid="{81005A9C-5099-43ED-8BC6-33670C769397}"/>
    <cellStyle name="Normal 17 7 3 3 7 2 3" xfId="25060" xr:uid="{DB90CD18-D38B-43DF-85AD-9E528E801345}"/>
    <cellStyle name="Normal 17 7 3 3 7 3" xfId="12748" xr:uid="{47D081D0-6608-4BC7-8CDF-71F10B3D5706}"/>
    <cellStyle name="Normal 17 7 3 3 7 3 2" xfId="28952" xr:uid="{C67CB4CD-4D7A-4BD1-8EDD-7A5D924870DD}"/>
    <cellStyle name="Normal 17 7 3 3 7 4" xfId="21395" xr:uid="{B16A13EA-F1C3-4875-A6F5-8E5D22495AB8}"/>
    <cellStyle name="Normal 17 7 3 3 8" xfId="5862" xr:uid="{2708B308-2D33-4C6A-8326-F47AE7E6DE85}"/>
    <cellStyle name="Normal 17 7 3 3 8 2" xfId="13377" xr:uid="{4356E5FE-7433-405D-B325-89F56AF354B7}"/>
    <cellStyle name="Normal 17 7 3 3 8 2 2" xfId="29581" xr:uid="{42C6BED8-F9C9-4763-A099-BDC3EB341E74}"/>
    <cellStyle name="Normal 17 7 3 3 8 3" xfId="22066" xr:uid="{74889BFF-0B22-45B6-A54B-245D6F716189}"/>
    <cellStyle name="Normal 17 7 3 3 9" xfId="9789" xr:uid="{4D2E4A82-6F83-40BC-AAA7-40E0633DBD85}"/>
    <cellStyle name="Normal 17 7 3 3 9 2" xfId="25993" xr:uid="{D8E38E44-FE02-4C62-9996-D22AD473F87C}"/>
    <cellStyle name="Normal 17 7 3 4" xfId="2109" xr:uid="{D1D26476-EBE0-4F5E-BB9E-0DC62D1E22FB}"/>
    <cellStyle name="Normal 17 7 3 4 2" xfId="3022" xr:uid="{8A277F9F-1C6C-4BDF-AE73-5D32C9A727EE}"/>
    <cellStyle name="Normal 17 7 3 4 2 2" xfId="6804" xr:uid="{63764AB1-0C64-4453-94E3-14B9DFAA7035}"/>
    <cellStyle name="Normal 17 7 3 4 2 2 2" xfId="14315" xr:uid="{1357E199-E622-4690-8DDD-31AFDBCEAF30}"/>
    <cellStyle name="Normal 17 7 3 4 2 2 2 2" xfId="30519" xr:uid="{B9CB8BB4-9A1A-4212-9C98-5D6CCFED6388}"/>
    <cellStyle name="Normal 17 7 3 4 2 2 3" xfId="23008" xr:uid="{55660109-1E17-4233-B985-32895DAACA5A}"/>
    <cellStyle name="Normal 17 7 3 4 2 3" xfId="10715" xr:uid="{B3A7B61E-F6DB-47D3-9F0E-D8D8233C0DB6}"/>
    <cellStyle name="Normal 17 7 3 4 2 3 2" xfId="26919" xr:uid="{79DDA1E1-7A19-4058-88A0-5C50D4E0032A}"/>
    <cellStyle name="Normal 17 7 3 4 2 4" xfId="19242" xr:uid="{ED3384D5-0E4D-4714-8173-B992C6F1F446}"/>
    <cellStyle name="Normal 17 7 3 4 3" xfId="5948" xr:uid="{A4148380-01B7-4D9B-B198-C7CAB465651E}"/>
    <cellStyle name="Normal 17 7 3 4 3 2" xfId="13462" xr:uid="{C72F4BC0-4E60-48A5-BED7-7C13ABD1C4F8}"/>
    <cellStyle name="Normal 17 7 3 4 3 2 2" xfId="29666" xr:uid="{5A1578BD-A58F-4D33-AA37-96F09BE6D37B}"/>
    <cellStyle name="Normal 17 7 3 4 3 3" xfId="22152" xr:uid="{064DBAE2-5A2F-4DFA-8DC9-FE0E655AC5A5}"/>
    <cellStyle name="Normal 17 7 3 4 4" xfId="9871" xr:uid="{74872E5C-24C7-4DA3-BB10-C449EC41FA1C}"/>
    <cellStyle name="Normal 17 7 3 4 4 2" xfId="26075" xr:uid="{54FA106E-ABC9-4893-A373-7E6D953E9A7A}"/>
    <cellStyle name="Normal 17 7 3 4 5" xfId="18396" xr:uid="{2A3AEA8A-F247-40AB-968A-76AB5DE263FC}"/>
    <cellStyle name="Normal 17 7 3 5" xfId="2597" xr:uid="{C65472B1-E4AF-4636-BB57-E1BE62F11D6C}"/>
    <cellStyle name="Normal 17 7 3 5 2" xfId="6381" xr:uid="{0A9E0EAC-EAF2-48DD-BF3E-ADF8D94176F0}"/>
    <cellStyle name="Normal 17 7 3 5 2 2" xfId="13893" xr:uid="{BECC902D-8EF5-4441-B907-58EDC62066DF}"/>
    <cellStyle name="Normal 17 7 3 5 2 2 2" xfId="30097" xr:uid="{1AF8F359-BC40-4605-B574-15C931767273}"/>
    <cellStyle name="Normal 17 7 3 5 2 3" xfId="22585" xr:uid="{9801DA8D-42CD-49AC-BDF3-EFD8EBB14239}"/>
    <cellStyle name="Normal 17 7 3 5 3" xfId="10293" xr:uid="{8197A6A7-FF15-4056-B179-243643DBCF5A}"/>
    <cellStyle name="Normal 17 7 3 5 3 2" xfId="26497" xr:uid="{0EE6D7FE-40FF-4878-B136-88CE5C5655FD}"/>
    <cellStyle name="Normal 17 7 3 5 4" xfId="18819" xr:uid="{B6F66247-BFD0-4089-9CB6-5CBA81087DEA}"/>
    <cellStyle name="Normal 17 7 3 6" xfId="3473" xr:uid="{3E22BA0E-C12A-424C-AD08-FDABADC0A68E}"/>
    <cellStyle name="Normal 17 7 3 6 2" xfId="7231" xr:uid="{4F864157-27A7-41EC-9517-69C1E1130DA2}"/>
    <cellStyle name="Normal 17 7 3 6 2 2" xfId="14741" xr:uid="{0DE4492C-82F0-4A70-983C-76DC8D6847D8}"/>
    <cellStyle name="Normal 17 7 3 6 2 2 2" xfId="30945" xr:uid="{1343FE7B-FA4E-4A84-B8C8-3BFB11ADE012}"/>
    <cellStyle name="Normal 17 7 3 6 2 3" xfId="23435" xr:uid="{82D3756F-7618-430C-A4F1-6FFD6146C7BA}"/>
    <cellStyle name="Normal 17 7 3 6 3" xfId="11138" xr:uid="{BD228DC0-A957-4659-AF97-941E10BF0872}"/>
    <cellStyle name="Normal 17 7 3 6 3 2" xfId="27342" xr:uid="{1DEBE255-B79E-42CB-B5F8-D2DAC1C05F17}"/>
    <cellStyle name="Normal 17 7 3 6 4" xfId="19689" xr:uid="{121A8FDD-AAF1-41CA-8773-00A6A0BEE00A}"/>
    <cellStyle name="Normal 17 7 3 7" xfId="3997" xr:uid="{A459E06C-3F5A-4342-8406-A74CCC4EF702}"/>
    <cellStyle name="Normal 17 7 3 7 2" xfId="7667" xr:uid="{88EAE058-BF69-48BC-941E-3591F1EAC602}"/>
    <cellStyle name="Normal 17 7 3 7 2 2" xfId="15174" xr:uid="{6F0369A9-111B-4443-BC21-4F53DCADBADD}"/>
    <cellStyle name="Normal 17 7 3 7 2 2 2" xfId="31378" xr:uid="{CBD6784A-52DB-4D59-9965-A530848ABA61}"/>
    <cellStyle name="Normal 17 7 3 7 2 3" xfId="23871" xr:uid="{19BD7A88-131D-4D43-ABF9-ADC50514522E}"/>
    <cellStyle name="Normal 17 7 3 7 3" xfId="11560" xr:uid="{04D16BE4-AAB9-4F4E-8FFA-6C54BC0EE977}"/>
    <cellStyle name="Normal 17 7 3 7 3 2" xfId="27764" xr:uid="{4BB04E43-6DD0-4AB7-BA9E-1303FC8688E3}"/>
    <cellStyle name="Normal 17 7 3 7 4" xfId="20201" xr:uid="{96E74A2D-52D4-4336-BAA7-5EEE7A01E561}"/>
    <cellStyle name="Normal 17 7 3 8" xfId="4422" xr:uid="{893EA892-F5C4-401D-A076-C2F4692F8747}"/>
    <cellStyle name="Normal 17 7 3 8 2" xfId="8092" xr:uid="{58158092-FBDD-414C-9F96-69416EA74245}"/>
    <cellStyle name="Normal 17 7 3 8 2 2" xfId="15599" xr:uid="{F580FF02-6F4A-436A-B16A-4F6E19B00FCB}"/>
    <cellStyle name="Normal 17 7 3 8 2 2 2" xfId="31803" xr:uid="{04EC0CDA-8E52-4270-8BB1-4B925DE5E089}"/>
    <cellStyle name="Normal 17 7 3 8 2 3" xfId="24296" xr:uid="{A7033864-F8D8-417A-97B9-DFF4DF6FB259}"/>
    <cellStyle name="Normal 17 7 3 8 3" xfId="11985" xr:uid="{BE4DDB60-02A1-4E3A-AC94-A469C21B9CEE}"/>
    <cellStyle name="Normal 17 7 3 8 3 2" xfId="28189" xr:uid="{B7995396-A693-43E6-B707-8DE077C0A922}"/>
    <cellStyle name="Normal 17 7 3 8 4" xfId="20626" xr:uid="{C853D298-479A-48A5-A6A0-910EB1DA3AF4}"/>
    <cellStyle name="Normal 17 7 3 9" xfId="4846" xr:uid="{91760EDD-EE76-4C86-95F3-9EB6FFAB5FE2}"/>
    <cellStyle name="Normal 17 7 3 9 2" xfId="8515" xr:uid="{172643CF-FB69-48A5-A64B-EE15C94C3611}"/>
    <cellStyle name="Normal 17 7 3 9 2 2" xfId="16022" xr:uid="{A6485794-8DD3-4E5F-8B3A-B59C09776CFD}"/>
    <cellStyle name="Normal 17 7 3 9 2 2 2" xfId="32226" xr:uid="{36E73F0F-451D-425B-8CD5-017174DFECE7}"/>
    <cellStyle name="Normal 17 7 3 9 2 3" xfId="24719" xr:uid="{89029D48-EEA3-48CA-A155-99E3FAE53E12}"/>
    <cellStyle name="Normal 17 7 3 9 3" xfId="12407" xr:uid="{224AAE34-9B8D-405D-810E-246841BFD1A2}"/>
    <cellStyle name="Normal 17 7 3 9 3 2" xfId="28611" xr:uid="{2C09EFA2-63CC-4B66-81C5-6CAA149AED43}"/>
    <cellStyle name="Normal 17 7 3 9 4" xfId="21050" xr:uid="{476F8B3B-2BE1-4671-B814-B592F42FAC0F}"/>
    <cellStyle name="Normal 17 7 4" xfId="563" xr:uid="{7EB120A8-655C-449D-89BB-BE1C03A29CDB}"/>
    <cellStyle name="Normal 17 7 4 10" xfId="9471" xr:uid="{E20A5395-7AA2-4D98-99A2-91C5F1786A0F}"/>
    <cellStyle name="Normal 17 7 4 10 2" xfId="25675" xr:uid="{254DF22C-EB79-433F-B014-512B8D77BA9F}"/>
    <cellStyle name="Normal 17 7 4 11" xfId="17987" xr:uid="{475FABF1-DA30-478F-B76B-10E9FB850041}"/>
    <cellStyle name="Normal 17 7 4 2" xfId="2011" xr:uid="{523BB9A8-EF09-4D5D-A2C5-F777D359065D}"/>
    <cellStyle name="Normal 17 7 4 2 10" xfId="18314" xr:uid="{875DDB66-A018-4EC6-920A-5F7BEAB09D28}"/>
    <cellStyle name="Normal 17 7 4 2 2" xfId="2517" xr:uid="{365EA72E-C9F6-4692-AE8F-BBDA08059DFF}"/>
    <cellStyle name="Normal 17 7 4 2 2 2" xfId="3364" xr:uid="{31600C18-13E3-4E54-BEF3-ECB5A05E7171}"/>
    <cellStyle name="Normal 17 7 4 2 2 2 2" xfId="7146" xr:uid="{793EA123-2EF6-4058-8F0C-AA72AD237C51}"/>
    <cellStyle name="Normal 17 7 4 2 2 2 2 2" xfId="14657" xr:uid="{EF1876C9-B434-4BB4-B685-A6D27077EB85}"/>
    <cellStyle name="Normal 17 7 4 2 2 2 2 2 2" xfId="30861" xr:uid="{7FB991A0-5083-4A5C-B042-6D58098EB469}"/>
    <cellStyle name="Normal 17 7 4 2 2 2 2 3" xfId="23350" xr:uid="{8014354E-F5A5-4A17-A0F7-E45F29463603}"/>
    <cellStyle name="Normal 17 7 4 2 2 2 3" xfId="11057" xr:uid="{6FE9D7CA-F80F-4A6D-A5BF-C28FE16B4797}"/>
    <cellStyle name="Normal 17 7 4 2 2 2 3 2" xfId="27261" xr:uid="{C1D7E6BD-ABB7-4C66-93A0-F79E890CA1DF}"/>
    <cellStyle name="Normal 17 7 4 2 2 2 4" xfId="19584" xr:uid="{9E6AE6EA-4560-4EAC-A4AD-ADEA6815C8BA}"/>
    <cellStyle name="Normal 17 7 4 2 2 3" xfId="6301" xr:uid="{D0498AF9-A43A-47DC-83FB-787D0F308866}"/>
    <cellStyle name="Normal 17 7 4 2 2 3 2" xfId="13813" xr:uid="{61ABE80C-8B4C-453C-8787-0B8565AD03ED}"/>
    <cellStyle name="Normal 17 7 4 2 2 3 2 2" xfId="30017" xr:uid="{1405E439-23D5-4C78-AB91-FF8D28F0BB66}"/>
    <cellStyle name="Normal 17 7 4 2 2 3 3" xfId="22505" xr:uid="{93DDB615-4625-4D56-A8D9-DC26E2F1F01C}"/>
    <cellStyle name="Normal 17 7 4 2 2 4" xfId="10213" xr:uid="{AC7C7B85-4647-4956-9EDC-7B883F03042C}"/>
    <cellStyle name="Normal 17 7 4 2 2 4 2" xfId="26417" xr:uid="{042A2793-4717-4E8A-8985-44CB2FEC1C3F}"/>
    <cellStyle name="Normal 17 7 4 2 2 5" xfId="18739" xr:uid="{C71DB402-177D-49E6-8008-DD1AC0849BFF}"/>
    <cellStyle name="Normal 17 7 4 2 3" xfId="2939" xr:uid="{D7CCC9AB-C377-4627-8A81-F4A7EADEC725}"/>
    <cellStyle name="Normal 17 7 4 2 3 2" xfId="6723" xr:uid="{490A44C9-AE09-405F-BC36-51B784F37B43}"/>
    <cellStyle name="Normal 17 7 4 2 3 2 2" xfId="14235" xr:uid="{2A87A81F-E072-4F01-8920-CC9FFEA98A67}"/>
    <cellStyle name="Normal 17 7 4 2 3 2 2 2" xfId="30439" xr:uid="{6D37C2F8-2114-4F1D-9F79-A8B07AAE72B8}"/>
    <cellStyle name="Normal 17 7 4 2 3 2 3" xfId="22927" xr:uid="{140C8CB6-9C11-4885-931B-5573FFBA37E3}"/>
    <cellStyle name="Normal 17 7 4 2 3 3" xfId="10635" xr:uid="{AEFBDBE4-AF99-43A1-AE52-805E0EE315C0}"/>
    <cellStyle name="Normal 17 7 4 2 3 3 2" xfId="26839" xr:uid="{D4AB5F0E-A783-491F-851E-2E25769BDB6A}"/>
    <cellStyle name="Normal 17 7 4 2 3 4" xfId="19161" xr:uid="{1CD66A64-777F-4D86-869F-8BB7F04EA488}"/>
    <cellStyle name="Normal 17 7 4 2 4" xfId="3870" xr:uid="{C18E72A0-D6BA-4802-89D4-80CA3C945E26}"/>
    <cellStyle name="Normal 17 7 4 2 4 2" xfId="7580" xr:uid="{4EF85328-9379-4C11-999D-BE6D9AE409BD}"/>
    <cellStyle name="Normal 17 7 4 2 4 2 2" xfId="15089" xr:uid="{E6DA0644-E454-44D5-803E-A3549C0EE131}"/>
    <cellStyle name="Normal 17 7 4 2 4 2 2 2" xfId="31293" xr:uid="{96D04BC2-E5C2-4F5A-901B-3CA60F00AE97}"/>
    <cellStyle name="Normal 17 7 4 2 4 2 3" xfId="23784" xr:uid="{EA6C4557-D06B-4ACF-8E94-871EA5C27DE6}"/>
    <cellStyle name="Normal 17 7 4 2 4 3" xfId="11480" xr:uid="{46291188-C824-4BCC-9FE8-31DA26C1EFBD}"/>
    <cellStyle name="Normal 17 7 4 2 4 3 2" xfId="27684" xr:uid="{727A0563-AFD7-4F5F-AC4B-9871FF8A96FC}"/>
    <cellStyle name="Normal 17 7 4 2 4 4" xfId="20079" xr:uid="{B6FDD223-3C1E-479C-90F9-AE3B45D63447}"/>
    <cellStyle name="Normal 17 7 4 2 5" xfId="4339" xr:uid="{CF2FEABB-7D85-4463-9C96-5D60057A54C3}"/>
    <cellStyle name="Normal 17 7 4 2 5 2" xfId="8009" xr:uid="{F4A198B6-338B-455E-89AD-AA002B11CB25}"/>
    <cellStyle name="Normal 17 7 4 2 5 2 2" xfId="15516" xr:uid="{D357B192-5BFC-49AD-A986-98E86D180F0B}"/>
    <cellStyle name="Normal 17 7 4 2 5 2 2 2" xfId="31720" xr:uid="{703AFC3D-CBF8-4620-886D-37AB0DA33C25}"/>
    <cellStyle name="Normal 17 7 4 2 5 2 3" xfId="24213" xr:uid="{2CA4B97F-BD53-403C-AFE1-45788ECBC47B}"/>
    <cellStyle name="Normal 17 7 4 2 5 3" xfId="11902" xr:uid="{288C03B7-E0A8-4772-A75D-200BE89272E2}"/>
    <cellStyle name="Normal 17 7 4 2 5 3 2" xfId="28106" xr:uid="{2F03099A-0ADC-4332-B2E1-0023998C6423}"/>
    <cellStyle name="Normal 17 7 4 2 5 4" xfId="20543" xr:uid="{3D35B4C9-55C1-4C9B-989E-3882D358A4BF}"/>
    <cellStyle name="Normal 17 7 4 2 6" xfId="4764" xr:uid="{8A7DD0F8-C5DA-4C16-BD0D-4AFCA94FC916}"/>
    <cellStyle name="Normal 17 7 4 2 6 2" xfId="8434" xr:uid="{C24A13E2-BAC2-4DC8-843B-7161FE1E4311}"/>
    <cellStyle name="Normal 17 7 4 2 6 2 2" xfId="15941" xr:uid="{15D4B445-3EC0-46E7-AD8C-FC04487B5F8B}"/>
    <cellStyle name="Normal 17 7 4 2 6 2 2 2" xfId="32145" xr:uid="{F64E1D25-B86B-4DDD-B94B-DC6CF58BD095}"/>
    <cellStyle name="Normal 17 7 4 2 6 2 3" xfId="24638" xr:uid="{FDB2CA3F-279F-41DA-B26E-9020DB42C359}"/>
    <cellStyle name="Normal 17 7 4 2 6 3" xfId="12327" xr:uid="{81E4C859-9BA5-471C-A072-05386526602E}"/>
    <cellStyle name="Normal 17 7 4 2 6 3 2" xfId="28531" xr:uid="{AD389EDD-85B7-4BCB-9176-BDE4ED7108B1}"/>
    <cellStyle name="Normal 17 7 4 2 6 4" xfId="20968" xr:uid="{CBB21716-2FB0-4306-BAA1-133411FEA1B9}"/>
    <cellStyle name="Normal 17 7 4 2 7" xfId="5192" xr:uid="{694A76CD-C0B4-4688-82B6-B36D664F56DE}"/>
    <cellStyle name="Normal 17 7 4 2 7 2" xfId="8857" xr:uid="{4D5C3296-78D9-47B3-B8E4-EE944E650B22}"/>
    <cellStyle name="Normal 17 7 4 2 7 2 2" xfId="16364" xr:uid="{7970AAA9-5D27-4703-857A-74820DE28CBC}"/>
    <cellStyle name="Normal 17 7 4 2 7 2 2 2" xfId="32568" xr:uid="{137EF08D-9895-4F0F-B19B-9C12EC11EA1B}"/>
    <cellStyle name="Normal 17 7 4 2 7 2 3" xfId="25061" xr:uid="{505E8CE0-DAC3-4375-9898-4F5B024A989C}"/>
    <cellStyle name="Normal 17 7 4 2 7 3" xfId="12749" xr:uid="{B9247324-0ADA-4DFC-8015-B9665DA08B18}"/>
    <cellStyle name="Normal 17 7 4 2 7 3 2" xfId="28953" xr:uid="{92336EA7-AD06-43E1-BA2D-A216EFDD870C}"/>
    <cellStyle name="Normal 17 7 4 2 7 4" xfId="21396" xr:uid="{D02A12CB-6913-4DA0-A9FE-F83E1D966EFD}"/>
    <cellStyle name="Normal 17 7 4 2 8" xfId="5863" xr:uid="{1E8523D6-7453-4C84-8AF7-4CFF2B7B5242}"/>
    <cellStyle name="Normal 17 7 4 2 8 2" xfId="13378" xr:uid="{C3882C25-77A7-4145-B6BF-85CB97E99A30}"/>
    <cellStyle name="Normal 17 7 4 2 8 2 2" xfId="29582" xr:uid="{AF9B8B10-2280-4093-A588-3D4E4F30185B}"/>
    <cellStyle name="Normal 17 7 4 2 8 3" xfId="22067" xr:uid="{AA048EEF-CD73-4034-925B-83BEA3F2E91C}"/>
    <cellStyle name="Normal 17 7 4 2 9" xfId="9790" xr:uid="{845EA91A-1749-4FEB-AA82-D0A35A6A8943}"/>
    <cellStyle name="Normal 17 7 4 2 9 2" xfId="25994" xr:uid="{67BEBE6A-32F5-4487-97C6-772985A8A211}"/>
    <cellStyle name="Normal 17 7 4 3" xfId="2132" xr:uid="{177957F0-0B74-4A10-9437-25CFC5BA198C}"/>
    <cellStyle name="Normal 17 7 4 3 2" xfId="3045" xr:uid="{39EFE527-CBFA-465A-B4D4-4854139EE0BE}"/>
    <cellStyle name="Normal 17 7 4 3 2 2" xfId="6827" xr:uid="{8FACD537-83F1-44EF-8179-FAFB9A1ED8ED}"/>
    <cellStyle name="Normal 17 7 4 3 2 2 2" xfId="14338" xr:uid="{D6114588-6532-4459-B63D-0B9726A61AF9}"/>
    <cellStyle name="Normal 17 7 4 3 2 2 2 2" xfId="30542" xr:uid="{CC6EF9F5-CBBA-40EE-8744-81FE04511D13}"/>
    <cellStyle name="Normal 17 7 4 3 2 2 3" xfId="23031" xr:uid="{2E3FB5B0-A1E9-4D8E-AEC0-0E5CD7C4F12D}"/>
    <cellStyle name="Normal 17 7 4 3 2 3" xfId="10738" xr:uid="{3A4C7897-2D97-4A08-8156-60AACA8AADB2}"/>
    <cellStyle name="Normal 17 7 4 3 2 3 2" xfId="26942" xr:uid="{7228C9B9-3832-4559-A94D-A45466EB5072}"/>
    <cellStyle name="Normal 17 7 4 3 2 4" xfId="19265" xr:uid="{F9244AC6-B7B5-44AF-AB09-EE63188DD700}"/>
    <cellStyle name="Normal 17 7 4 3 3" xfId="5971" xr:uid="{FC777C1A-A0CD-431B-8138-91835E3B414B}"/>
    <cellStyle name="Normal 17 7 4 3 3 2" xfId="13485" xr:uid="{AEC7C8C7-7D52-45B5-BA84-B0590BC8166E}"/>
    <cellStyle name="Normal 17 7 4 3 3 2 2" xfId="29689" xr:uid="{4521C28F-29AB-47FA-A2C3-5302993C0788}"/>
    <cellStyle name="Normal 17 7 4 3 3 3" xfId="22175" xr:uid="{986C6BD9-189F-42B6-B45F-ACE6C962BB47}"/>
    <cellStyle name="Normal 17 7 4 3 4" xfId="9894" xr:uid="{EB7741BA-1690-45FF-B97E-7AA26B656F3A}"/>
    <cellStyle name="Normal 17 7 4 3 4 2" xfId="26098" xr:uid="{23596A0C-F66C-49A1-9754-F676EE3A9EF6}"/>
    <cellStyle name="Normal 17 7 4 3 5" xfId="18419" xr:uid="{16CFBF00-1E01-43A3-8EEF-C474C188263E}"/>
    <cellStyle name="Normal 17 7 4 4" xfId="2620" xr:uid="{0558968D-40E7-4A7C-B62D-8EBE5709ED55}"/>
    <cellStyle name="Normal 17 7 4 4 2" xfId="6404" xr:uid="{80DEF940-B0A8-4AD6-BF53-927E9CBE6D31}"/>
    <cellStyle name="Normal 17 7 4 4 2 2" xfId="13916" xr:uid="{179EA818-789A-4EA9-AB61-F7A0163F5999}"/>
    <cellStyle name="Normal 17 7 4 4 2 2 2" xfId="30120" xr:uid="{9A77DB02-4805-430F-B158-5D476C5F2097}"/>
    <cellStyle name="Normal 17 7 4 4 2 3" xfId="22608" xr:uid="{645899B3-0226-4DCB-8FD8-45962FAFB325}"/>
    <cellStyle name="Normal 17 7 4 4 3" xfId="10316" xr:uid="{469F2966-4483-4E9F-89AE-C0F87532B06F}"/>
    <cellStyle name="Normal 17 7 4 4 3 2" xfId="26520" xr:uid="{31852C7B-890F-4ECE-A39A-B71F1727C1DB}"/>
    <cellStyle name="Normal 17 7 4 4 4" xfId="18842" xr:uid="{1998B917-A751-43B5-8917-A7FF9A663A5F}"/>
    <cellStyle name="Normal 17 7 4 5" xfId="3496" xr:uid="{B7D21A47-27BC-490B-B48C-4590F82E3991}"/>
    <cellStyle name="Normal 17 7 4 5 2" xfId="7254" xr:uid="{B199FD5E-3D9F-471E-870F-13C68D5DC3D1}"/>
    <cellStyle name="Normal 17 7 4 5 2 2" xfId="14764" xr:uid="{C53E6671-D238-4E1B-8E2C-E67D7C3DB2A2}"/>
    <cellStyle name="Normal 17 7 4 5 2 2 2" xfId="30968" xr:uid="{F123F54C-5AAD-4244-AC11-649159E1AE46}"/>
    <cellStyle name="Normal 17 7 4 5 2 3" xfId="23458" xr:uid="{A4385C0A-E825-4C96-B1CB-620765731EE1}"/>
    <cellStyle name="Normal 17 7 4 5 3" xfId="11161" xr:uid="{469BD815-8B5B-45B1-9655-7BD4B9C06788}"/>
    <cellStyle name="Normal 17 7 4 5 3 2" xfId="27365" xr:uid="{6BDD16FF-086A-4AD6-AADF-134D836FE6F8}"/>
    <cellStyle name="Normal 17 7 4 5 4" xfId="19712" xr:uid="{74F1ABC6-AA93-40E3-ACC2-4657F0FD300B}"/>
    <cellStyle name="Normal 17 7 4 6" xfId="4020" xr:uid="{B7C11D4A-7C8A-4CE5-8ADD-37208A0286FE}"/>
    <cellStyle name="Normal 17 7 4 6 2" xfId="7690" xr:uid="{7F690660-5B85-4687-B78A-5CDE1C813BEE}"/>
    <cellStyle name="Normal 17 7 4 6 2 2" xfId="15197" xr:uid="{F4080FFA-610F-459C-BB51-07C213F21122}"/>
    <cellStyle name="Normal 17 7 4 6 2 2 2" xfId="31401" xr:uid="{6E4EE689-935F-4210-96FF-78C980B05888}"/>
    <cellStyle name="Normal 17 7 4 6 2 3" xfId="23894" xr:uid="{4E16F172-E278-4EFB-8B45-A06BBA7C0622}"/>
    <cellStyle name="Normal 17 7 4 6 3" xfId="11583" xr:uid="{D9259B5E-060C-4E82-BE5E-633FDAB6534F}"/>
    <cellStyle name="Normal 17 7 4 6 3 2" xfId="27787" xr:uid="{786CE0F7-5BCE-43E6-B63A-9FDFB05649AB}"/>
    <cellStyle name="Normal 17 7 4 6 4" xfId="20224" xr:uid="{95A655DD-E56C-41E9-8D72-E96CA9186514}"/>
    <cellStyle name="Normal 17 7 4 7" xfId="4445" xr:uid="{EDF405B6-56B8-4161-8FDE-BD324FC8ACD3}"/>
    <cellStyle name="Normal 17 7 4 7 2" xfId="8115" xr:uid="{DC0DF3F1-9790-419E-B683-02632355A3D8}"/>
    <cellStyle name="Normal 17 7 4 7 2 2" xfId="15622" xr:uid="{8D5E634D-F705-4430-9E63-F497F5AC009E}"/>
    <cellStyle name="Normal 17 7 4 7 2 2 2" xfId="31826" xr:uid="{DC55636E-5740-45BF-B5A3-EFF62AADF492}"/>
    <cellStyle name="Normal 17 7 4 7 2 3" xfId="24319" xr:uid="{303951E9-8731-42D4-A314-116F3EBC72D8}"/>
    <cellStyle name="Normal 17 7 4 7 3" xfId="12008" xr:uid="{F86D6945-1B60-4E96-BCCD-347E6571CAE5}"/>
    <cellStyle name="Normal 17 7 4 7 3 2" xfId="28212" xr:uid="{23B828B0-4886-4B76-A483-FAAEC4EE3161}"/>
    <cellStyle name="Normal 17 7 4 7 4" xfId="20649" xr:uid="{656F4226-A38E-4F3D-99AA-1D0AF603D6E6}"/>
    <cellStyle name="Normal 17 7 4 8" xfId="4870" xr:uid="{25A9248C-CA61-4D03-B948-E55CF3EAF683}"/>
    <cellStyle name="Normal 17 7 4 8 2" xfId="8538" xr:uid="{DE796313-56F8-41D8-AA18-0B9AEEBA91F8}"/>
    <cellStyle name="Normal 17 7 4 8 2 2" xfId="16045" xr:uid="{D49D49B7-1E3E-4375-83E7-69D55549AB63}"/>
    <cellStyle name="Normal 17 7 4 8 2 2 2" xfId="32249" xr:uid="{E2D91EE8-62E9-4F60-AF9A-80303C707872}"/>
    <cellStyle name="Normal 17 7 4 8 2 3" xfId="24742" xr:uid="{623D03A0-3FC7-4620-AAC0-0D41AF9336A9}"/>
    <cellStyle name="Normal 17 7 4 8 3" xfId="12430" xr:uid="{0587705F-B430-401F-9F85-DB6854A97B19}"/>
    <cellStyle name="Normal 17 7 4 8 3 2" xfId="28634" xr:uid="{4139F8A5-36DD-4577-AFF4-98230FFC0C98}"/>
    <cellStyle name="Normal 17 7 4 8 4" xfId="21074" xr:uid="{B9C35C83-E5C7-4480-8CFC-7EA793F56AE7}"/>
    <cellStyle name="Normal 17 7 4 9" xfId="5356" xr:uid="{3CE2A50B-2A88-4910-8884-5B797D0A6F29}"/>
    <cellStyle name="Normal 17 7 4 9 2" xfId="12905" xr:uid="{1F1F237B-E6B1-4392-92A3-7DDA5477B6AB}"/>
    <cellStyle name="Normal 17 7 4 9 2 2" xfId="29109" xr:uid="{B1C460B5-FCBA-429A-8D1E-2D945A8B23A1}"/>
    <cellStyle name="Normal 17 7 4 9 3" xfId="21560" xr:uid="{64B213E1-BB17-4735-BFC8-C1DCD3E04D9B}"/>
    <cellStyle name="Normal 17 7 5" xfId="2012" xr:uid="{EDC50E2F-61E4-41D9-82E9-4E621994C021}"/>
    <cellStyle name="Normal 17 7 5 10" xfId="18315" xr:uid="{698913F5-7AA8-4DF7-891B-30982EBB1B75}"/>
    <cellStyle name="Normal 17 7 5 2" xfId="2518" xr:uid="{24C6CD84-5394-4B2F-8E27-2016B4CD4C0A}"/>
    <cellStyle name="Normal 17 7 5 2 2" xfId="3365" xr:uid="{42A4BC7B-323B-4F6D-9D9C-16187A841A5B}"/>
    <cellStyle name="Normal 17 7 5 2 2 2" xfId="7147" xr:uid="{A13B1383-0C60-4227-B0BC-E5D4DFDAF863}"/>
    <cellStyle name="Normal 17 7 5 2 2 2 2" xfId="14658" xr:uid="{17FA1B3B-9A82-4491-A9AF-FF465B08E303}"/>
    <cellStyle name="Normal 17 7 5 2 2 2 2 2" xfId="30862" xr:uid="{FC26FC18-36A1-4EDF-9200-714CEDBFFE85}"/>
    <cellStyle name="Normal 17 7 5 2 2 2 3" xfId="23351" xr:uid="{DC37F364-DE44-4B7B-94E7-7834A9AECD7D}"/>
    <cellStyle name="Normal 17 7 5 2 2 3" xfId="11058" xr:uid="{A7BB7ACD-29F5-4EBC-A597-0A43198D677B}"/>
    <cellStyle name="Normal 17 7 5 2 2 3 2" xfId="27262" xr:uid="{2865D483-6032-4971-B4C0-83C06EB6CAC5}"/>
    <cellStyle name="Normal 17 7 5 2 2 4" xfId="19585" xr:uid="{DC17D07F-0F85-4255-AC6D-F3AE8EF51015}"/>
    <cellStyle name="Normal 17 7 5 2 3" xfId="6302" xr:uid="{E1C776EB-2337-4F7C-96A6-BEC0A37B6C90}"/>
    <cellStyle name="Normal 17 7 5 2 3 2" xfId="13814" xr:uid="{9A0B044A-9CB4-4D2A-8F35-113B18A25D60}"/>
    <cellStyle name="Normal 17 7 5 2 3 2 2" xfId="30018" xr:uid="{EBF817C3-2D81-434F-ACC4-7E83C8763735}"/>
    <cellStyle name="Normal 17 7 5 2 3 3" xfId="22506" xr:uid="{7E4C46F5-8CEB-4E7C-B119-0195FDE5E4CA}"/>
    <cellStyle name="Normal 17 7 5 2 4" xfId="10214" xr:uid="{99537F3B-D304-4FBC-83FC-9B81C6446A22}"/>
    <cellStyle name="Normal 17 7 5 2 4 2" xfId="26418" xr:uid="{BFCD91B6-ECC9-40A6-9694-ACEB9B016F98}"/>
    <cellStyle name="Normal 17 7 5 2 5" xfId="18740" xr:uid="{E22AF058-29F8-4207-BA95-9D4F7DDE90A9}"/>
    <cellStyle name="Normal 17 7 5 3" xfId="2940" xr:uid="{01BFA0B2-2A85-4AF3-8071-84911B8211B8}"/>
    <cellStyle name="Normal 17 7 5 3 2" xfId="6724" xr:uid="{AB4BF5E2-70C2-4693-ADBA-45C2CBB7B639}"/>
    <cellStyle name="Normal 17 7 5 3 2 2" xfId="14236" xr:uid="{10DB5A1D-4AC3-477F-A27F-3E7384A14CCC}"/>
    <cellStyle name="Normal 17 7 5 3 2 2 2" xfId="30440" xr:uid="{414923A7-02E2-45F5-8B49-C9FE54923191}"/>
    <cellStyle name="Normal 17 7 5 3 2 3" xfId="22928" xr:uid="{149F1B79-2A15-4A8F-8B9E-A21DB2C210FA}"/>
    <cellStyle name="Normal 17 7 5 3 3" xfId="10636" xr:uid="{C5B2B111-ED87-4482-B22B-92D2E37AD152}"/>
    <cellStyle name="Normal 17 7 5 3 3 2" xfId="26840" xr:uid="{3AC6EB65-32F7-42CB-99D5-0EAEBF65F4E9}"/>
    <cellStyle name="Normal 17 7 5 3 4" xfId="19162" xr:uid="{2A43A919-B2E9-4631-BCB6-5B0AE732FE46}"/>
    <cellStyle name="Normal 17 7 5 4" xfId="3871" xr:uid="{A6A57569-2BCF-457E-99D2-2B857E555768}"/>
    <cellStyle name="Normal 17 7 5 4 2" xfId="7581" xr:uid="{95330BB9-D5D6-4D73-948F-E599D6DCEF70}"/>
    <cellStyle name="Normal 17 7 5 4 2 2" xfId="15090" xr:uid="{312F96CB-F4C1-4A93-861F-EF1D58CDD7BE}"/>
    <cellStyle name="Normal 17 7 5 4 2 2 2" xfId="31294" xr:uid="{7E77DC9D-47D9-4133-8906-ECED0C5CF24A}"/>
    <cellStyle name="Normal 17 7 5 4 2 3" xfId="23785" xr:uid="{0B87E990-7DE9-4A30-A91B-064D9E5EEF67}"/>
    <cellStyle name="Normal 17 7 5 4 3" xfId="11481" xr:uid="{EDE7662D-9D5A-42D2-BBA0-8BD029C9C4D6}"/>
    <cellStyle name="Normal 17 7 5 4 3 2" xfId="27685" xr:uid="{F8BE45AF-1A48-41CE-A3F6-1A24C1976F27}"/>
    <cellStyle name="Normal 17 7 5 4 4" xfId="20080" xr:uid="{2FEFB585-4001-4060-9B78-8BC673E820C0}"/>
    <cellStyle name="Normal 17 7 5 5" xfId="4340" xr:uid="{7B07CA94-5405-4932-A983-77B5528BC367}"/>
    <cellStyle name="Normal 17 7 5 5 2" xfId="8010" xr:uid="{4955E398-933A-441C-8E67-DCEAEFBF0929}"/>
    <cellStyle name="Normal 17 7 5 5 2 2" xfId="15517" xr:uid="{31457650-53E0-488F-BBF3-09C6B9722D29}"/>
    <cellStyle name="Normal 17 7 5 5 2 2 2" xfId="31721" xr:uid="{F6BAA17C-71D3-41C0-9DE3-6B3C93C627DF}"/>
    <cellStyle name="Normal 17 7 5 5 2 3" xfId="24214" xr:uid="{2674C361-B79F-4E23-8284-3257A9AA3B65}"/>
    <cellStyle name="Normal 17 7 5 5 3" xfId="11903" xr:uid="{C80E0592-3882-4D99-A2DB-4C517E867ABE}"/>
    <cellStyle name="Normal 17 7 5 5 3 2" xfId="28107" xr:uid="{CCA78468-3074-4706-8F50-35A446EC23CF}"/>
    <cellStyle name="Normal 17 7 5 5 4" xfId="20544" xr:uid="{8D504B52-211C-4FB6-A766-25839922B357}"/>
    <cellStyle name="Normal 17 7 5 6" xfId="4765" xr:uid="{CAC14491-2DB5-47E7-8E37-FC74E5140C64}"/>
    <cellStyle name="Normal 17 7 5 6 2" xfId="8435" xr:uid="{659B889A-4A51-4D15-99E2-57C0894E4E28}"/>
    <cellStyle name="Normal 17 7 5 6 2 2" xfId="15942" xr:uid="{9F1FAB29-21AB-49AC-ABFE-74E71DA28E83}"/>
    <cellStyle name="Normal 17 7 5 6 2 2 2" xfId="32146" xr:uid="{2A290313-5537-455B-B6BB-96756D40A245}"/>
    <cellStyle name="Normal 17 7 5 6 2 3" xfId="24639" xr:uid="{C0C0D60E-4B0C-4197-8B39-5221181533D9}"/>
    <cellStyle name="Normal 17 7 5 6 3" xfId="12328" xr:uid="{3B00DEEE-0A18-4B42-B71A-39F4DB53F361}"/>
    <cellStyle name="Normal 17 7 5 6 3 2" xfId="28532" xr:uid="{8FD8CB68-C40D-46B1-9A15-85102D2C4280}"/>
    <cellStyle name="Normal 17 7 5 6 4" xfId="20969" xr:uid="{6D379230-1254-40F0-8C33-1359ACC89D21}"/>
    <cellStyle name="Normal 17 7 5 7" xfId="5193" xr:uid="{21118406-4D04-4C02-BE58-0EF6B924E069}"/>
    <cellStyle name="Normal 17 7 5 7 2" xfId="8858" xr:uid="{68F2C24D-2E84-4E8A-8C8F-8B2C72C750BE}"/>
    <cellStyle name="Normal 17 7 5 7 2 2" xfId="16365" xr:uid="{406D13A8-DDCA-401F-B1C4-CF291AEE793B}"/>
    <cellStyle name="Normal 17 7 5 7 2 2 2" xfId="32569" xr:uid="{310849AD-A36A-4A1B-814C-B18AB63A4015}"/>
    <cellStyle name="Normal 17 7 5 7 2 3" xfId="25062" xr:uid="{D778F7E9-8630-48FA-8246-1A150C5FA2BA}"/>
    <cellStyle name="Normal 17 7 5 7 3" xfId="12750" xr:uid="{5C24934F-25F8-4E05-AD11-D76D6BDE635B}"/>
    <cellStyle name="Normal 17 7 5 7 3 2" xfId="28954" xr:uid="{86DADB51-6999-4A0A-8DAD-9240C8C8CA59}"/>
    <cellStyle name="Normal 17 7 5 7 4" xfId="21397" xr:uid="{F6F49BBF-E1FA-4963-A8E3-D9961BEFD968}"/>
    <cellStyle name="Normal 17 7 5 8" xfId="5864" xr:uid="{2039831B-8395-47B7-8D59-EC656D63D8DC}"/>
    <cellStyle name="Normal 17 7 5 8 2" xfId="13379" xr:uid="{B3E05778-E7E2-49E2-9C1C-1E10F78F8527}"/>
    <cellStyle name="Normal 17 7 5 8 2 2" xfId="29583" xr:uid="{9D6B49E6-ED81-46BC-8CF0-C37CE7E9AD78}"/>
    <cellStyle name="Normal 17 7 5 8 3" xfId="22068" xr:uid="{22CA60AF-D6F3-4E8B-85A1-3361578587BD}"/>
    <cellStyle name="Normal 17 7 5 9" xfId="9791" xr:uid="{A500AA89-C42F-4C20-8B5B-5C6F607E59BD}"/>
    <cellStyle name="Normal 17 7 5 9 2" xfId="25995" xr:uid="{141F9419-163F-4E97-A04B-592C3DD760EA}"/>
    <cellStyle name="Normal 17 7 6" xfId="2065" xr:uid="{037B61F4-2E32-4895-99D3-05AA132ACD61}"/>
    <cellStyle name="Normal 17 7 6 2" xfId="2978" xr:uid="{AEE18AFE-AA12-4D67-8CF5-26DD8FB40E9E}"/>
    <cellStyle name="Normal 17 7 6 2 2" xfId="6760" xr:uid="{3C6A8164-890E-4069-A759-206E8ACBFF72}"/>
    <cellStyle name="Normal 17 7 6 2 2 2" xfId="14271" xr:uid="{C6FBA963-8F45-4813-9885-AC101C1FB770}"/>
    <cellStyle name="Normal 17 7 6 2 2 2 2" xfId="30475" xr:uid="{CF577D1B-DE33-4039-8F24-51593901CDD5}"/>
    <cellStyle name="Normal 17 7 6 2 2 3" xfId="22964" xr:uid="{2B4EC6B1-0F98-409C-9249-685435713611}"/>
    <cellStyle name="Normal 17 7 6 2 3" xfId="10671" xr:uid="{BC9ADE85-0EA7-4566-A9EE-AAF7C18C1500}"/>
    <cellStyle name="Normal 17 7 6 2 3 2" xfId="26875" xr:uid="{2B648D9B-FD75-4127-8B71-525D80EC2E9D}"/>
    <cellStyle name="Normal 17 7 6 2 4" xfId="19198" xr:uid="{5C040DDA-93A7-413E-9052-05A566ED3340}"/>
    <cellStyle name="Normal 17 7 6 3" xfId="5904" xr:uid="{49667FA9-C8BB-49E2-B198-7CD6BB1C149A}"/>
    <cellStyle name="Normal 17 7 6 3 2" xfId="13418" xr:uid="{39D9BAB5-68CD-4DEA-A282-9DFB1C5F0451}"/>
    <cellStyle name="Normal 17 7 6 3 2 2" xfId="29622" xr:uid="{5606AD98-B5FF-40C5-B7E2-4BD5F7F1267E}"/>
    <cellStyle name="Normal 17 7 6 3 3" xfId="22108" xr:uid="{2F84931F-F692-4B44-BB6E-929DFD30BDFD}"/>
    <cellStyle name="Normal 17 7 6 4" xfId="9827" xr:uid="{E83E15D8-CE6F-4A88-AD8F-0AE90F37E2A4}"/>
    <cellStyle name="Normal 17 7 6 4 2" xfId="26031" xr:uid="{D983D007-CC63-4E8E-963D-BFAE942E6E5D}"/>
    <cellStyle name="Normal 17 7 6 5" xfId="18352" xr:uid="{B6317EF3-D65F-497E-AF07-D2BE46D5F080}"/>
    <cellStyle name="Normal 17 7 7" xfId="2553" xr:uid="{4A50E336-214D-492F-86AB-A33DD6D4EF54}"/>
    <cellStyle name="Normal 17 7 7 2" xfId="6337" xr:uid="{9A860398-BB64-42ED-B3CB-F991C6126CD5}"/>
    <cellStyle name="Normal 17 7 7 2 2" xfId="13849" xr:uid="{07A1549D-74BF-4F69-9336-41DFD58FB36F}"/>
    <cellStyle name="Normal 17 7 7 2 2 2" xfId="30053" xr:uid="{B9E954FC-A0ED-4CDB-93E9-4A7DE991930E}"/>
    <cellStyle name="Normal 17 7 7 2 3" xfId="22541" xr:uid="{B6F960DF-849D-4F06-B639-03E1FA36743C}"/>
    <cellStyle name="Normal 17 7 7 3" xfId="10249" xr:uid="{9E77D644-627B-4937-B5E1-A0840267664E}"/>
    <cellStyle name="Normal 17 7 7 3 2" xfId="26453" xr:uid="{6CE38B18-6CBE-4A74-A6CE-A8ABDEA6F672}"/>
    <cellStyle name="Normal 17 7 7 4" xfId="18775" xr:uid="{B27F2685-407E-40D2-8E0C-AB98CCC8B12A}"/>
    <cellStyle name="Normal 17 7 8" xfId="3429" xr:uid="{BD3E0992-29D1-44E0-878A-45AB4F85783B}"/>
    <cellStyle name="Normal 17 7 8 2" xfId="7187" xr:uid="{FF62CE38-A52C-4587-85B6-1C68FBFD64CC}"/>
    <cellStyle name="Normal 17 7 8 2 2" xfId="14697" xr:uid="{402715E7-B750-41D9-AFFC-80D3C173416A}"/>
    <cellStyle name="Normal 17 7 8 2 2 2" xfId="30901" xr:uid="{1346F174-5470-4AB9-932D-E3642BAAD269}"/>
    <cellStyle name="Normal 17 7 8 2 3" xfId="23391" xr:uid="{0B3FBCB1-C830-49BA-9C2D-E0E5E8D42B9C}"/>
    <cellStyle name="Normal 17 7 8 3" xfId="11094" xr:uid="{5FCF5DED-01D7-48A2-AC81-E56813BE1873}"/>
    <cellStyle name="Normal 17 7 8 3 2" xfId="27298" xr:uid="{DBFDF27A-4375-455C-AA98-783FAC3C42D2}"/>
    <cellStyle name="Normal 17 7 8 4" xfId="19645" xr:uid="{496071D8-AE33-4B5E-8DE9-A3AACCF16674}"/>
    <cellStyle name="Normal 17 7 9" xfId="3953" xr:uid="{BC67B834-7700-4B61-8EF8-71EBF5BF9FE2}"/>
    <cellStyle name="Normal 17 7 9 2" xfId="7623" xr:uid="{F773F7F1-FA1F-4A55-ABFB-DD84B301B582}"/>
    <cellStyle name="Normal 17 7 9 2 2" xfId="15130" xr:uid="{CAF45F12-D3FA-4A19-BF43-5698242E0F14}"/>
    <cellStyle name="Normal 17 7 9 2 2 2" xfId="31334" xr:uid="{D29EE115-DD2C-4132-A56A-AE08C215255E}"/>
    <cellStyle name="Normal 17 7 9 2 3" xfId="23827" xr:uid="{79BB50B7-6186-4C21-A80D-057544C5E82B}"/>
    <cellStyle name="Normal 17 7 9 3" xfId="11516" xr:uid="{447779F9-81CC-4EC3-843E-F93C1DEF35E2}"/>
    <cellStyle name="Normal 17 7 9 3 2" xfId="27720" xr:uid="{3D6F8AEC-BAED-4059-A5A7-B5038D0C0C52}"/>
    <cellStyle name="Normal 17 7 9 4" xfId="20157" xr:uid="{62077980-61DC-4BDC-AB5F-0826B3745DEB}"/>
    <cellStyle name="Normal 17 8" xfId="373" xr:uid="{C318DBAE-9518-4A63-8927-1ABEF39EFFE2}"/>
    <cellStyle name="Normal 17 8 10" xfId="5254" xr:uid="{B7CB1355-5907-409F-A40E-0183652A1219}"/>
    <cellStyle name="Normal 17 8 10 2" xfId="12803" xr:uid="{ADA3BFA2-4D73-4FD9-9820-E069C9FFCB0C}"/>
    <cellStyle name="Normal 17 8 10 2 2" xfId="29007" xr:uid="{7A9FB8FC-9941-4D1B-8834-209CB3B7E4B8}"/>
    <cellStyle name="Normal 17 8 10 3" xfId="21458" xr:uid="{E02A228E-29DB-46AB-B64C-18C98F22E27D}"/>
    <cellStyle name="Normal 17 8 11" xfId="9383" xr:uid="{4FDE25AF-249B-4E20-9814-17C3A56F4EBB}"/>
    <cellStyle name="Normal 17 8 11 2" xfId="25587" xr:uid="{450D58BE-6752-4C2F-BEC2-493E050C8A9A}"/>
    <cellStyle name="Normal 17 8 12" xfId="17896" xr:uid="{34B9A170-F82A-4FBE-A56A-08AA7A0AD584}"/>
    <cellStyle name="Normal 17 8 2" xfId="540" xr:uid="{D9BFC488-8977-4788-B871-C6B232287887}"/>
    <cellStyle name="Normal 17 8 2 10" xfId="9450" xr:uid="{E7341989-74D3-48D3-A978-15F2CB7958CA}"/>
    <cellStyle name="Normal 17 8 2 10 2" xfId="25654" xr:uid="{5D443068-14CC-4F30-ACB8-5F101651ECB4}"/>
    <cellStyle name="Normal 17 8 2 11" xfId="17965" xr:uid="{8219C2B3-F9D2-4C16-9879-8D572A4AE7D0}"/>
    <cellStyle name="Normal 17 8 2 2" xfId="2013" xr:uid="{C3C081E4-BC4C-4D03-B97F-DB1ECFFBE456}"/>
    <cellStyle name="Normal 17 8 2 2 10" xfId="18316" xr:uid="{5B9914F1-2EF4-407A-9D1E-C94B0EEA3782}"/>
    <cellStyle name="Normal 17 8 2 2 2" xfId="2519" xr:uid="{D7DFF442-DAF5-40EC-B1A9-CC0B0F43133E}"/>
    <cellStyle name="Normal 17 8 2 2 2 2" xfId="3366" xr:uid="{BB4B8438-19C8-45B2-927D-ABF6C8621077}"/>
    <cellStyle name="Normal 17 8 2 2 2 2 2" xfId="7148" xr:uid="{DCBB79D4-D597-470F-88B9-E6EB5D18CD71}"/>
    <cellStyle name="Normal 17 8 2 2 2 2 2 2" xfId="14659" xr:uid="{81C1274E-721A-47B5-8FA8-7372DE0D365A}"/>
    <cellStyle name="Normal 17 8 2 2 2 2 2 2 2" xfId="30863" xr:uid="{21C617E9-4728-456A-B448-3A9E5405A6CF}"/>
    <cellStyle name="Normal 17 8 2 2 2 2 2 3" xfId="23352" xr:uid="{732AE060-91D7-4859-97C8-2EE68B07A0B3}"/>
    <cellStyle name="Normal 17 8 2 2 2 2 3" xfId="11059" xr:uid="{68DD192B-E110-4C1F-9978-86943664576C}"/>
    <cellStyle name="Normal 17 8 2 2 2 2 3 2" xfId="27263" xr:uid="{5A78F0D4-B7F7-48DC-951D-7D1E1679664D}"/>
    <cellStyle name="Normal 17 8 2 2 2 2 4" xfId="19586" xr:uid="{B22B9C05-AC89-44F0-B940-A93FBA7BD1F1}"/>
    <cellStyle name="Normal 17 8 2 2 2 3" xfId="6303" xr:uid="{12B36E5D-F683-40A0-9273-7C3F932840FB}"/>
    <cellStyle name="Normal 17 8 2 2 2 3 2" xfId="13815" xr:uid="{7414A199-CCED-40A3-818F-1935CFCBEFF8}"/>
    <cellStyle name="Normal 17 8 2 2 2 3 2 2" xfId="30019" xr:uid="{4C6AAF2F-FFEE-4C0C-97AB-9C1C04D01691}"/>
    <cellStyle name="Normal 17 8 2 2 2 3 3" xfId="22507" xr:uid="{45F71EDB-BF83-4D78-9BE7-C472EC3400A8}"/>
    <cellStyle name="Normal 17 8 2 2 2 4" xfId="10215" xr:uid="{624437DC-2A0F-494A-AD40-B27BA32E606E}"/>
    <cellStyle name="Normal 17 8 2 2 2 4 2" xfId="26419" xr:uid="{A6EA0D9D-F7E1-4225-887C-3D2C55C86742}"/>
    <cellStyle name="Normal 17 8 2 2 2 5" xfId="18741" xr:uid="{4F5311BD-6E31-4EFB-B9C1-0BDBA1D858DA}"/>
    <cellStyle name="Normal 17 8 2 2 3" xfId="2941" xr:uid="{C5137776-C536-4E3F-BE19-53D5E04B996A}"/>
    <cellStyle name="Normal 17 8 2 2 3 2" xfId="6725" xr:uid="{ECA84F3D-E7FD-4A8F-B8FF-CEE246360C6D}"/>
    <cellStyle name="Normal 17 8 2 2 3 2 2" xfId="14237" xr:uid="{14F47441-A9F2-4C0D-B508-064F6457F7D7}"/>
    <cellStyle name="Normal 17 8 2 2 3 2 2 2" xfId="30441" xr:uid="{E954F729-540B-4D73-A079-B3741A331C02}"/>
    <cellStyle name="Normal 17 8 2 2 3 2 3" xfId="22929" xr:uid="{57F39891-D13B-4515-A2CB-13A301D89E31}"/>
    <cellStyle name="Normal 17 8 2 2 3 3" xfId="10637" xr:uid="{F5B7DC15-C9D1-4854-93BE-D048C48C352D}"/>
    <cellStyle name="Normal 17 8 2 2 3 3 2" xfId="26841" xr:uid="{83E1FA40-1CEA-4B04-9823-BC28E68A4DE2}"/>
    <cellStyle name="Normal 17 8 2 2 3 4" xfId="19163" xr:uid="{B8168975-0C83-4E16-BCE5-9E9BA3D93932}"/>
    <cellStyle name="Normal 17 8 2 2 4" xfId="3872" xr:uid="{CECA1CEF-AB54-460D-99BD-93C3D6D94B74}"/>
    <cellStyle name="Normal 17 8 2 2 4 2" xfId="7582" xr:uid="{79EC2132-497F-46D5-B4AE-756C4BA5626D}"/>
    <cellStyle name="Normal 17 8 2 2 4 2 2" xfId="15091" xr:uid="{CCA257F4-4D5A-4837-B6E9-C9D9ED299DCE}"/>
    <cellStyle name="Normal 17 8 2 2 4 2 2 2" xfId="31295" xr:uid="{0DE6D12F-172D-411A-94DC-C6156CA1C627}"/>
    <cellStyle name="Normal 17 8 2 2 4 2 3" xfId="23786" xr:uid="{31C2FD79-800E-43A9-B53D-F0BB067164CA}"/>
    <cellStyle name="Normal 17 8 2 2 4 3" xfId="11482" xr:uid="{6D61F63A-76C6-4D67-8978-F2A9D33C2CF4}"/>
    <cellStyle name="Normal 17 8 2 2 4 3 2" xfId="27686" xr:uid="{D407E9DE-0AEB-4D4D-960F-DF2FFD1A5457}"/>
    <cellStyle name="Normal 17 8 2 2 4 4" xfId="20081" xr:uid="{621D71A7-69F1-450E-B81B-5D1961859EAB}"/>
    <cellStyle name="Normal 17 8 2 2 5" xfId="4341" xr:uid="{BC6F17D3-9445-4315-A442-3C8B86DD0517}"/>
    <cellStyle name="Normal 17 8 2 2 5 2" xfId="8011" xr:uid="{78DF3DEE-FADA-46E0-AD59-1EE97F38DE4D}"/>
    <cellStyle name="Normal 17 8 2 2 5 2 2" xfId="15518" xr:uid="{C7612185-1A1B-4247-9FA4-2635CD5889C9}"/>
    <cellStyle name="Normal 17 8 2 2 5 2 2 2" xfId="31722" xr:uid="{28A1BECE-45FF-4A62-99A2-DE49492B3EA4}"/>
    <cellStyle name="Normal 17 8 2 2 5 2 3" xfId="24215" xr:uid="{B295B8CB-1D65-4B9A-9E98-981F3586A3E1}"/>
    <cellStyle name="Normal 17 8 2 2 5 3" xfId="11904" xr:uid="{E9E4EBEB-62CA-496D-B9E7-A1C8E38C0F12}"/>
    <cellStyle name="Normal 17 8 2 2 5 3 2" xfId="28108" xr:uid="{425DB168-0414-4144-BC36-A27523ADEE5B}"/>
    <cellStyle name="Normal 17 8 2 2 5 4" xfId="20545" xr:uid="{46B7F641-B651-4B7B-A334-F6F0F2F5CC43}"/>
    <cellStyle name="Normal 17 8 2 2 6" xfId="4766" xr:uid="{37E4C5DF-28AD-4C2E-9D5E-ACEFE9AABDCA}"/>
    <cellStyle name="Normal 17 8 2 2 6 2" xfId="8436" xr:uid="{95028C01-8913-42FC-818F-39E6A8B449B0}"/>
    <cellStyle name="Normal 17 8 2 2 6 2 2" xfId="15943" xr:uid="{6D9BA129-1422-401F-8F96-A7AB41F31A34}"/>
    <cellStyle name="Normal 17 8 2 2 6 2 2 2" xfId="32147" xr:uid="{1E3386CD-6CC4-4E85-B30D-00986FF7D0B1}"/>
    <cellStyle name="Normal 17 8 2 2 6 2 3" xfId="24640" xr:uid="{72F8D53C-8CED-4C78-A02A-2AFFBB60E535}"/>
    <cellStyle name="Normal 17 8 2 2 6 3" xfId="12329" xr:uid="{6724B820-E704-4D7B-8795-F569DF5F126A}"/>
    <cellStyle name="Normal 17 8 2 2 6 3 2" xfId="28533" xr:uid="{5231C9B9-7509-4E9A-83E3-3C7CA1621B7B}"/>
    <cellStyle name="Normal 17 8 2 2 6 4" xfId="20970" xr:uid="{EA45AA0D-57BB-4ABD-8698-885B7F496F81}"/>
    <cellStyle name="Normal 17 8 2 2 7" xfId="5194" xr:uid="{F2867F10-C908-4696-9AF1-40D5A80BEA4E}"/>
    <cellStyle name="Normal 17 8 2 2 7 2" xfId="8859" xr:uid="{05ADB6C7-D227-4D62-93A6-1B2EBBA6D438}"/>
    <cellStyle name="Normal 17 8 2 2 7 2 2" xfId="16366" xr:uid="{4FA13142-D376-4704-96DA-672C6C62D068}"/>
    <cellStyle name="Normal 17 8 2 2 7 2 2 2" xfId="32570" xr:uid="{2B6D2CFC-8580-45AB-AB8A-E785666A0BA5}"/>
    <cellStyle name="Normal 17 8 2 2 7 2 3" xfId="25063" xr:uid="{A961CE90-1F79-46EA-9059-C9DC67EF9246}"/>
    <cellStyle name="Normal 17 8 2 2 7 3" xfId="12751" xr:uid="{784445D0-E205-42B4-959C-EE642ECAB411}"/>
    <cellStyle name="Normal 17 8 2 2 7 3 2" xfId="28955" xr:uid="{EEC2E8F4-4D56-49EA-90F5-0F7A69B33FBB}"/>
    <cellStyle name="Normal 17 8 2 2 7 4" xfId="21398" xr:uid="{13EC2728-D742-4F55-8D72-032EDACD06B4}"/>
    <cellStyle name="Normal 17 8 2 2 8" xfId="5865" xr:uid="{0DC69BD8-72D7-48DE-975F-9FB7EED51F7D}"/>
    <cellStyle name="Normal 17 8 2 2 8 2" xfId="13380" xr:uid="{CEFA623E-8EC2-4FC3-8A7C-FA319CD69A36}"/>
    <cellStyle name="Normal 17 8 2 2 8 2 2" xfId="29584" xr:uid="{29FB577F-3B69-4775-A315-1B3BE10CBD72}"/>
    <cellStyle name="Normal 17 8 2 2 8 3" xfId="22069" xr:uid="{49AC78DA-DB5F-4B48-BC65-2C53E6997037}"/>
    <cellStyle name="Normal 17 8 2 2 9" xfId="9792" xr:uid="{F5F5DA0F-CC14-4168-BFEA-E13EE7DF3CA5}"/>
    <cellStyle name="Normal 17 8 2 2 9 2" xfId="25996" xr:uid="{A1FF2CE3-B0AB-41D6-8E0D-E96F59CAA72D}"/>
    <cellStyle name="Normal 17 8 2 3" xfId="2111" xr:uid="{056B158B-4508-441B-92D5-4BBA3E67EA4F}"/>
    <cellStyle name="Normal 17 8 2 3 2" xfId="3024" xr:uid="{8F9523C9-8B22-4BE7-82EE-46BD674BE10F}"/>
    <cellStyle name="Normal 17 8 2 3 2 2" xfId="6806" xr:uid="{F3934CF3-EFB6-40B3-8533-27637610D7BC}"/>
    <cellStyle name="Normal 17 8 2 3 2 2 2" xfId="14317" xr:uid="{BF218565-100D-4869-AAB3-46CD67393BB7}"/>
    <cellStyle name="Normal 17 8 2 3 2 2 2 2" xfId="30521" xr:uid="{8B20B679-A5A7-4404-93FE-BBA134C99320}"/>
    <cellStyle name="Normal 17 8 2 3 2 2 3" xfId="23010" xr:uid="{8E847087-8B47-4364-80B7-19251CF9C99E}"/>
    <cellStyle name="Normal 17 8 2 3 2 3" xfId="10717" xr:uid="{E839027B-4562-47C3-A2A8-A2CA368E7757}"/>
    <cellStyle name="Normal 17 8 2 3 2 3 2" xfId="26921" xr:uid="{28CE2059-E91F-4A6E-B686-FE9D229D158E}"/>
    <cellStyle name="Normal 17 8 2 3 2 4" xfId="19244" xr:uid="{92CBC4DE-AA16-4093-B525-CB6E30D1FC26}"/>
    <cellStyle name="Normal 17 8 2 3 3" xfId="5950" xr:uid="{0A952C1E-D4BE-4E69-9222-C88759B2BFD4}"/>
    <cellStyle name="Normal 17 8 2 3 3 2" xfId="13464" xr:uid="{1B0AA1B1-63C3-41E7-B06C-A29CF16C7182}"/>
    <cellStyle name="Normal 17 8 2 3 3 2 2" xfId="29668" xr:uid="{39F8CB72-BFE1-4657-A1C0-0E9EEA948F25}"/>
    <cellStyle name="Normal 17 8 2 3 3 3" xfId="22154" xr:uid="{AF318FE4-9284-489D-9FA6-7C50F9E5B327}"/>
    <cellStyle name="Normal 17 8 2 3 4" xfId="9873" xr:uid="{7547B9B3-0A32-4CBA-98C8-27B37B65544E}"/>
    <cellStyle name="Normal 17 8 2 3 4 2" xfId="26077" xr:uid="{FB931755-3556-45F2-9446-7950CEFCA427}"/>
    <cellStyle name="Normal 17 8 2 3 5" xfId="18398" xr:uid="{24683D88-5AB4-4BB6-A671-F7022CA46477}"/>
    <cellStyle name="Normal 17 8 2 4" xfId="2599" xr:uid="{62382356-1C38-483E-9380-E58FBD7543FB}"/>
    <cellStyle name="Normal 17 8 2 4 2" xfId="6383" xr:uid="{E3FE8802-748D-4C32-A5A0-BEEE4A07FA5A}"/>
    <cellStyle name="Normal 17 8 2 4 2 2" xfId="13895" xr:uid="{6382412E-FC91-4F99-AAAF-79BF4CCC3929}"/>
    <cellStyle name="Normal 17 8 2 4 2 2 2" xfId="30099" xr:uid="{50AF57CF-D00A-45CE-BED5-8C6C28F4B78D}"/>
    <cellStyle name="Normal 17 8 2 4 2 3" xfId="22587" xr:uid="{C5F05756-B929-48E4-9441-8566948A57C1}"/>
    <cellStyle name="Normal 17 8 2 4 3" xfId="10295" xr:uid="{0CC1F42D-CEF9-4217-9CCA-E52DD1C4E2FE}"/>
    <cellStyle name="Normal 17 8 2 4 3 2" xfId="26499" xr:uid="{59CF9A1A-ED47-4CF6-851A-1C1ECD1BE5CF}"/>
    <cellStyle name="Normal 17 8 2 4 4" xfId="18821" xr:uid="{EE70158F-438F-4FC7-BE5B-F4D2A2819B59}"/>
    <cellStyle name="Normal 17 8 2 5" xfId="3475" xr:uid="{AC677B4B-B5BA-4106-B961-57DE3EEB35EE}"/>
    <cellStyle name="Normal 17 8 2 5 2" xfId="7233" xr:uid="{6D00470E-3159-4E33-9964-B1E130FC7B15}"/>
    <cellStyle name="Normal 17 8 2 5 2 2" xfId="14743" xr:uid="{4F766268-BBC3-4F3F-B0A4-D7F4DDF3A470}"/>
    <cellStyle name="Normal 17 8 2 5 2 2 2" xfId="30947" xr:uid="{8DF3D7E3-F48B-4333-B785-64EF1CD1AAEA}"/>
    <cellStyle name="Normal 17 8 2 5 2 3" xfId="23437" xr:uid="{EAA6BFC1-0CB0-4124-B3CA-20241DB07316}"/>
    <cellStyle name="Normal 17 8 2 5 3" xfId="11140" xr:uid="{B1F5721B-5B3A-4C5C-A38C-BB3238154EF1}"/>
    <cellStyle name="Normal 17 8 2 5 3 2" xfId="27344" xr:uid="{E34659B4-0E37-4DDA-9A5E-EA09C87E0B3E}"/>
    <cellStyle name="Normal 17 8 2 5 4" xfId="19691" xr:uid="{92A0479C-3C57-4727-933C-8E5CB385C9D8}"/>
    <cellStyle name="Normal 17 8 2 6" xfId="3999" xr:uid="{930B90E9-D9C0-484A-B886-A34BA620B08C}"/>
    <cellStyle name="Normal 17 8 2 6 2" xfId="7669" xr:uid="{EA1C2A69-568F-4F6B-BAE4-11A3B86FCF68}"/>
    <cellStyle name="Normal 17 8 2 6 2 2" xfId="15176" xr:uid="{5EEC7027-087D-4027-AF31-401BFE7185AB}"/>
    <cellStyle name="Normal 17 8 2 6 2 2 2" xfId="31380" xr:uid="{B8029EF6-FAD1-4A41-A1E1-76BA7CBAE1D2}"/>
    <cellStyle name="Normal 17 8 2 6 2 3" xfId="23873" xr:uid="{9F543204-7C25-426F-BD70-6D2B6F89BEE7}"/>
    <cellStyle name="Normal 17 8 2 6 3" xfId="11562" xr:uid="{CEAE548E-7457-4B79-B721-453595EF90DE}"/>
    <cellStyle name="Normal 17 8 2 6 3 2" xfId="27766" xr:uid="{BA58512B-35EE-4E05-8BE9-77C5C1467BF6}"/>
    <cellStyle name="Normal 17 8 2 6 4" xfId="20203" xr:uid="{63102E7B-6B8C-4244-B75B-D1992565A338}"/>
    <cellStyle name="Normal 17 8 2 7" xfId="4424" xr:uid="{C47C672A-9E7F-42DA-9104-57CEAB826D70}"/>
    <cellStyle name="Normal 17 8 2 7 2" xfId="8094" xr:uid="{34D25D3B-B6F0-4E0A-93EB-8D21564D7385}"/>
    <cellStyle name="Normal 17 8 2 7 2 2" xfId="15601" xr:uid="{DD81099B-7CB1-4AFF-8AEA-52EA92BC329A}"/>
    <cellStyle name="Normal 17 8 2 7 2 2 2" xfId="31805" xr:uid="{DE6087EA-0622-4578-9B02-8A6AAFA4AE4C}"/>
    <cellStyle name="Normal 17 8 2 7 2 3" xfId="24298" xr:uid="{965C5561-7EFF-4627-958F-2F48DDFEFC5B}"/>
    <cellStyle name="Normal 17 8 2 7 3" xfId="11987" xr:uid="{E627D082-721D-4EB3-9B2E-35E41D45A7C0}"/>
    <cellStyle name="Normal 17 8 2 7 3 2" xfId="28191" xr:uid="{60E503AD-8E4E-44D6-9FF8-EEA9C694A954}"/>
    <cellStyle name="Normal 17 8 2 7 4" xfId="20628" xr:uid="{E11028BD-2ED3-49FC-9DFD-EF0D84D77E1D}"/>
    <cellStyle name="Normal 17 8 2 8" xfId="4848" xr:uid="{CE70F83C-DE4A-4C5A-A7C3-A49676E2E297}"/>
    <cellStyle name="Normal 17 8 2 8 2" xfId="8517" xr:uid="{387B51C5-5ABE-4FCE-924E-A44249F73CA9}"/>
    <cellStyle name="Normal 17 8 2 8 2 2" xfId="16024" xr:uid="{7D721E1E-4FA5-4CE7-A0C7-31100579D15C}"/>
    <cellStyle name="Normal 17 8 2 8 2 2 2" xfId="32228" xr:uid="{DF7A44E9-0564-431F-BD12-A30FEB4A5B7F}"/>
    <cellStyle name="Normal 17 8 2 8 2 3" xfId="24721" xr:uid="{5789DD04-B5ED-4809-B848-B078FAB053DA}"/>
    <cellStyle name="Normal 17 8 2 8 3" xfId="12409" xr:uid="{2E9B1D3C-0984-4205-9600-22E5D6E6EC3A}"/>
    <cellStyle name="Normal 17 8 2 8 3 2" xfId="28613" xr:uid="{FC2707AB-68EF-413D-ACB8-A36178AC3702}"/>
    <cellStyle name="Normal 17 8 2 8 4" xfId="21052" xr:uid="{A1757288-C81A-4F46-9A2C-519F349849B7}"/>
    <cellStyle name="Normal 17 8 2 9" xfId="5335" xr:uid="{18BFEC32-94A5-4E95-857E-8A5814449051}"/>
    <cellStyle name="Normal 17 8 2 9 2" xfId="12884" xr:uid="{F8DC813C-544F-42B7-A653-C11A0B73AF81}"/>
    <cellStyle name="Normal 17 8 2 9 2 2" xfId="29088" xr:uid="{C28409C0-4CCB-4F6A-99E9-2DCCED3136B7}"/>
    <cellStyle name="Normal 17 8 2 9 3" xfId="21539" xr:uid="{1F0FCDE1-5059-414D-B7D9-BB78EDBA16BD}"/>
    <cellStyle name="Normal 17 8 3" xfId="2014" xr:uid="{4E83AC3E-8D35-44DC-9B3C-F67A7A582E4E}"/>
    <cellStyle name="Normal 17 8 3 10" xfId="18317" xr:uid="{7B8C5247-2DD0-45BF-964A-B1E7854E7ECE}"/>
    <cellStyle name="Normal 17 8 3 2" xfId="2520" xr:uid="{C00783E4-5ECD-4155-A752-20A6781018E3}"/>
    <cellStyle name="Normal 17 8 3 2 2" xfId="3367" xr:uid="{B9602910-B021-4D95-A8B9-2940B0740B2B}"/>
    <cellStyle name="Normal 17 8 3 2 2 2" xfId="7149" xr:uid="{D5EEC167-C257-4CCD-90DB-34DCEFF65990}"/>
    <cellStyle name="Normal 17 8 3 2 2 2 2" xfId="14660" xr:uid="{B26D8B76-116F-4D31-8843-DC4A56720F92}"/>
    <cellStyle name="Normal 17 8 3 2 2 2 2 2" xfId="30864" xr:uid="{591FA097-A30C-4E02-8186-850C5F94269E}"/>
    <cellStyle name="Normal 17 8 3 2 2 2 3" xfId="23353" xr:uid="{0D59A2CF-50BB-4B41-B692-DA381C541040}"/>
    <cellStyle name="Normal 17 8 3 2 2 3" xfId="11060" xr:uid="{3CE67E9E-4757-4CB1-8AC9-248A33293A16}"/>
    <cellStyle name="Normal 17 8 3 2 2 3 2" xfId="27264" xr:uid="{67CFBE45-6763-403A-A90B-95534B220E74}"/>
    <cellStyle name="Normal 17 8 3 2 2 4" xfId="19587" xr:uid="{949E9306-5342-47D7-9B10-5CD593B727CA}"/>
    <cellStyle name="Normal 17 8 3 2 3" xfId="6304" xr:uid="{414683C2-C480-4E1E-B750-A06D8DF6F7B0}"/>
    <cellStyle name="Normal 17 8 3 2 3 2" xfId="13816" xr:uid="{C4EE52AC-62C2-4452-972B-1D1A716BED09}"/>
    <cellStyle name="Normal 17 8 3 2 3 2 2" xfId="30020" xr:uid="{337B283A-7002-402E-991C-F764B554E0C6}"/>
    <cellStyle name="Normal 17 8 3 2 3 3" xfId="22508" xr:uid="{CBA24A89-FFE5-49DE-AE7A-2F7A9D55943B}"/>
    <cellStyle name="Normal 17 8 3 2 4" xfId="10216" xr:uid="{03267BC0-4FC8-444F-95C1-678DC78259A2}"/>
    <cellStyle name="Normal 17 8 3 2 4 2" xfId="26420" xr:uid="{86E02AD6-1052-4EE6-A2EA-D7D655CC12EC}"/>
    <cellStyle name="Normal 17 8 3 2 5" xfId="18742" xr:uid="{533DE0F9-3AE0-4087-8EB0-9A18B77CBED7}"/>
    <cellStyle name="Normal 17 8 3 3" xfId="2942" xr:uid="{6177C94B-B168-4013-BF04-28FBA1AE1ADF}"/>
    <cellStyle name="Normal 17 8 3 3 2" xfId="6726" xr:uid="{BF8B1E73-F70D-459F-AF67-9EDCBE16F6A2}"/>
    <cellStyle name="Normal 17 8 3 3 2 2" xfId="14238" xr:uid="{711D4ECD-995F-4E72-8420-1F883DBA89CF}"/>
    <cellStyle name="Normal 17 8 3 3 2 2 2" xfId="30442" xr:uid="{AF80CE60-9910-4718-8A80-C33EF0F3FD04}"/>
    <cellStyle name="Normal 17 8 3 3 2 3" xfId="22930" xr:uid="{D4E7861C-24D8-4988-A301-0406635742C6}"/>
    <cellStyle name="Normal 17 8 3 3 3" xfId="10638" xr:uid="{0932AD8F-5F06-4957-A077-F46F8B2EE7E8}"/>
    <cellStyle name="Normal 17 8 3 3 3 2" xfId="26842" xr:uid="{40937AC7-4E76-48E7-957E-0AD6C6287B9E}"/>
    <cellStyle name="Normal 17 8 3 3 4" xfId="19164" xr:uid="{68914875-6C97-4926-9B33-5B0B8BE4E937}"/>
    <cellStyle name="Normal 17 8 3 4" xfId="3873" xr:uid="{0520C4CC-2141-43F6-BE2D-CE2DE2ACA3F8}"/>
    <cellStyle name="Normal 17 8 3 4 2" xfId="7583" xr:uid="{19D4C593-3027-441C-B5EF-0DF17158A909}"/>
    <cellStyle name="Normal 17 8 3 4 2 2" xfId="15092" xr:uid="{0064E51A-A1C6-42C2-A43D-A180FDE544EE}"/>
    <cellStyle name="Normal 17 8 3 4 2 2 2" xfId="31296" xr:uid="{A7E9F571-ED4D-4F8C-BEDC-A39B663064ED}"/>
    <cellStyle name="Normal 17 8 3 4 2 3" xfId="23787" xr:uid="{515396F0-C229-4539-8963-C3576F9C7C27}"/>
    <cellStyle name="Normal 17 8 3 4 3" xfId="11483" xr:uid="{3DDCBBD1-EAA7-45D6-88D7-819A4C2CFA5D}"/>
    <cellStyle name="Normal 17 8 3 4 3 2" xfId="27687" xr:uid="{AD0F946A-6E07-4A59-8C51-5F6C29764EDE}"/>
    <cellStyle name="Normal 17 8 3 4 4" xfId="20082" xr:uid="{0A0A7ABB-98C9-4460-9C64-F44D220A3416}"/>
    <cellStyle name="Normal 17 8 3 5" xfId="4342" xr:uid="{0815015E-76C4-4592-B475-732065A34A81}"/>
    <cellStyle name="Normal 17 8 3 5 2" xfId="8012" xr:uid="{2C0A3348-A2D2-41CD-B95E-F357A0D775C6}"/>
    <cellStyle name="Normal 17 8 3 5 2 2" xfId="15519" xr:uid="{482D3E08-C6DC-43DE-9FE0-A801427C97D9}"/>
    <cellStyle name="Normal 17 8 3 5 2 2 2" xfId="31723" xr:uid="{99D2E65F-557C-45F0-A2ED-E8AB6F6AE27F}"/>
    <cellStyle name="Normal 17 8 3 5 2 3" xfId="24216" xr:uid="{D4235064-B233-461C-8FB5-9FDBC816F95A}"/>
    <cellStyle name="Normal 17 8 3 5 3" xfId="11905" xr:uid="{9A68159D-CA48-4827-93AA-C5888F7A2CB5}"/>
    <cellStyle name="Normal 17 8 3 5 3 2" xfId="28109" xr:uid="{9E390932-B089-4949-B263-EECC560724C5}"/>
    <cellStyle name="Normal 17 8 3 5 4" xfId="20546" xr:uid="{CA2D863A-039D-4333-B3E0-B5FD8365729F}"/>
    <cellStyle name="Normal 17 8 3 6" xfId="4767" xr:uid="{7D306B5E-352D-4C95-BCFE-71FE9600BC6A}"/>
    <cellStyle name="Normal 17 8 3 6 2" xfId="8437" xr:uid="{CD7781B7-49D8-4011-BBF0-B1659F81C0EB}"/>
    <cellStyle name="Normal 17 8 3 6 2 2" xfId="15944" xr:uid="{4C6407BA-9FD5-4745-A49A-BACD3AD7C9C7}"/>
    <cellStyle name="Normal 17 8 3 6 2 2 2" xfId="32148" xr:uid="{047424A6-1F7A-4001-BA37-BCEEDD1F1CE1}"/>
    <cellStyle name="Normal 17 8 3 6 2 3" xfId="24641" xr:uid="{74D8718A-56B5-499F-B5F6-9F672F9C158B}"/>
    <cellStyle name="Normal 17 8 3 6 3" xfId="12330" xr:uid="{1C49CFE9-343B-41E8-82AC-9907A1F8A029}"/>
    <cellStyle name="Normal 17 8 3 6 3 2" xfId="28534" xr:uid="{31E9EE62-3D94-4B10-913A-59FA1FBCA2A7}"/>
    <cellStyle name="Normal 17 8 3 6 4" xfId="20971" xr:uid="{0D3CB06F-8DD7-4080-B0D2-CA90AFEA8974}"/>
    <cellStyle name="Normal 17 8 3 7" xfId="5195" xr:uid="{4A9B249E-2FAE-470B-98A2-11B9FB3B562E}"/>
    <cellStyle name="Normal 17 8 3 7 2" xfId="8860" xr:uid="{0AA7B0C8-8DF1-4A50-81DD-7C73E01E6AF9}"/>
    <cellStyle name="Normal 17 8 3 7 2 2" xfId="16367" xr:uid="{D1319709-E068-45C3-B5F0-AA0D43189F80}"/>
    <cellStyle name="Normal 17 8 3 7 2 2 2" xfId="32571" xr:uid="{C0D8F985-4AB3-46DA-B89C-6000A58E9C15}"/>
    <cellStyle name="Normal 17 8 3 7 2 3" xfId="25064" xr:uid="{CC9322AF-578A-4F9B-B4E5-987637A40B43}"/>
    <cellStyle name="Normal 17 8 3 7 3" xfId="12752" xr:uid="{23D7DD3A-0431-40E9-A047-A3F0FABA5206}"/>
    <cellStyle name="Normal 17 8 3 7 3 2" xfId="28956" xr:uid="{DD1286BA-E1A7-4B72-B42A-43A6D7EEEF51}"/>
    <cellStyle name="Normal 17 8 3 7 4" xfId="21399" xr:uid="{221715B3-C6AC-4EF3-97F1-9B98843BB3F5}"/>
    <cellStyle name="Normal 17 8 3 8" xfId="5866" xr:uid="{16D75902-9CEE-4FCD-9388-5BCB3F96A048}"/>
    <cellStyle name="Normal 17 8 3 8 2" xfId="13381" xr:uid="{C1D2E65C-13DF-4BFC-A5EE-368C074D6815}"/>
    <cellStyle name="Normal 17 8 3 8 2 2" xfId="29585" xr:uid="{CA1EF8DF-6725-45D6-98DA-C4C8314D1480}"/>
    <cellStyle name="Normal 17 8 3 8 3" xfId="22070" xr:uid="{9AB63C38-625E-4EDE-8E8A-6DE8418C657D}"/>
    <cellStyle name="Normal 17 8 3 9" xfId="9793" xr:uid="{CC16D0CD-2F07-403E-86D1-B335598243E1}"/>
    <cellStyle name="Normal 17 8 3 9 2" xfId="25997" xr:uid="{28F609E2-2603-47FD-95A5-8661BECA3FED}"/>
    <cellStyle name="Normal 17 8 4" xfId="2044" xr:uid="{7E993BCB-9D2E-4B3A-8DCD-7B5A14DBAA11}"/>
    <cellStyle name="Normal 17 8 4 2" xfId="2957" xr:uid="{93D2F765-FB72-4232-9275-18067DF4335E}"/>
    <cellStyle name="Normal 17 8 4 2 2" xfId="6739" xr:uid="{B75A5B8F-024A-4070-9543-A628E419325E}"/>
    <cellStyle name="Normal 17 8 4 2 2 2" xfId="14250" xr:uid="{2481D4A9-78CA-48EE-8C31-7B4C450AAECE}"/>
    <cellStyle name="Normal 17 8 4 2 2 2 2" xfId="30454" xr:uid="{A144161D-0777-4940-BBA4-9C5AA8E41E22}"/>
    <cellStyle name="Normal 17 8 4 2 2 3" xfId="22943" xr:uid="{AAA55BED-D644-49C7-8A50-353676F9E4C5}"/>
    <cellStyle name="Normal 17 8 4 2 3" xfId="10650" xr:uid="{56A5DD04-F632-4FE4-8E1B-B4A8FC343419}"/>
    <cellStyle name="Normal 17 8 4 2 3 2" xfId="26854" xr:uid="{BD45EFE0-1649-4E2D-BDA5-93E63CB66F9F}"/>
    <cellStyle name="Normal 17 8 4 2 4" xfId="19177" xr:uid="{2D05E7A0-A656-46A8-9810-A8B27FAAEE44}"/>
    <cellStyle name="Normal 17 8 4 3" xfId="5883" xr:uid="{E98C731B-38A3-4B66-9477-966F7053562B}"/>
    <cellStyle name="Normal 17 8 4 3 2" xfId="13397" xr:uid="{530BBFAB-1376-4CED-947B-433AA3749E35}"/>
    <cellStyle name="Normal 17 8 4 3 2 2" xfId="29601" xr:uid="{81191198-8A67-4443-A0D7-3F2119B7E29B}"/>
    <cellStyle name="Normal 17 8 4 3 3" xfId="22087" xr:uid="{1BAD519A-5620-44AC-A6EC-1FA5B937F56B}"/>
    <cellStyle name="Normal 17 8 4 4" xfId="9806" xr:uid="{9FD8B183-DEF3-4370-A86E-08A97EF5051C}"/>
    <cellStyle name="Normal 17 8 4 4 2" xfId="26010" xr:uid="{280F3C8F-85FE-4395-BA5C-BA6EECE3147B}"/>
    <cellStyle name="Normal 17 8 4 5" xfId="18331" xr:uid="{C6C7C609-DF66-4D9C-8CB3-6450BC6F9C44}"/>
    <cellStyle name="Normal 17 8 5" xfId="2532" xr:uid="{CED15633-EE99-4AAF-832A-95A5195A9EB5}"/>
    <cellStyle name="Normal 17 8 5 2" xfId="6316" xr:uid="{6E076879-44F1-4A1B-BFCC-C457A63FABAF}"/>
    <cellStyle name="Normal 17 8 5 2 2" xfId="13828" xr:uid="{E73D84B8-7B6A-4A99-8033-369530BCFD8F}"/>
    <cellStyle name="Normal 17 8 5 2 2 2" xfId="30032" xr:uid="{96F5BBAC-E519-4413-97A2-5E5C643D921F}"/>
    <cellStyle name="Normal 17 8 5 2 3" xfId="22520" xr:uid="{94837F33-37BF-4BA6-AD2A-33BB70E76864}"/>
    <cellStyle name="Normal 17 8 5 3" xfId="10228" xr:uid="{F50AF6A5-3DF9-4D3B-A03A-BF0169301ABD}"/>
    <cellStyle name="Normal 17 8 5 3 2" xfId="26432" xr:uid="{7FAE6012-FF8B-46DA-B0FB-C367050A6D9E}"/>
    <cellStyle name="Normal 17 8 5 4" xfId="18754" xr:uid="{40EE775A-8EE1-4858-BD33-D3223E154C64}"/>
    <cellStyle name="Normal 17 8 6" xfId="3403" xr:uid="{4B62F63B-1722-4023-A8BA-D071BD83D1C1}"/>
    <cellStyle name="Normal 17 8 6 2" xfId="7165" xr:uid="{FB873E92-BF8E-454C-9C0D-9B9F125F3DF0}"/>
    <cellStyle name="Normal 17 8 6 2 2" xfId="14676" xr:uid="{D2B91DE2-3FE7-43A2-9DC3-BC860F9181DF}"/>
    <cellStyle name="Normal 17 8 6 2 2 2" xfId="30880" xr:uid="{4E993D36-7BB9-4070-8DA1-45C5FEA07683}"/>
    <cellStyle name="Normal 17 8 6 2 3" xfId="23369" xr:uid="{84FE7565-CD36-4FF1-9759-E234D94E91FA}"/>
    <cellStyle name="Normal 17 8 6 3" xfId="11073" xr:uid="{D4BEA343-DE39-414A-8CB8-3023E7D35DFE}"/>
    <cellStyle name="Normal 17 8 6 3 2" xfId="27277" xr:uid="{C67142B0-382B-4547-BDAB-DD2F068DEC69}"/>
    <cellStyle name="Normal 17 8 6 4" xfId="19619" xr:uid="{53E17DE0-3143-4F44-AE2F-A7230EAAAA96}"/>
    <cellStyle name="Normal 17 8 7" xfId="3932" xr:uid="{EF102281-C97D-4E55-AB3F-9137F0AFA3BC}"/>
    <cellStyle name="Normal 17 8 7 2" xfId="7602" xr:uid="{0FA72D21-E218-4EE8-B781-58FF2BED64B8}"/>
    <cellStyle name="Normal 17 8 7 2 2" xfId="15109" xr:uid="{E317163E-E8A1-4A4B-888A-614EFF37FD60}"/>
    <cellStyle name="Normal 17 8 7 2 2 2" xfId="31313" xr:uid="{9914E953-0691-45C3-8AB1-5FD755B6366D}"/>
    <cellStyle name="Normal 17 8 7 2 3" xfId="23806" xr:uid="{9B55AE11-7F02-4978-BE17-0331696764DA}"/>
    <cellStyle name="Normal 17 8 7 3" xfId="11495" xr:uid="{0AE1F0A1-0859-4538-A30E-2EFDCA138511}"/>
    <cellStyle name="Normal 17 8 7 3 2" xfId="27699" xr:uid="{FB1F01AA-806F-4779-88B2-E30608E4370F}"/>
    <cellStyle name="Normal 17 8 7 4" xfId="20136" xr:uid="{FAAE5AE7-CD61-4A35-8835-E1DE2BF6C865}"/>
    <cellStyle name="Normal 17 8 8" xfId="4357" xr:uid="{87B6988F-EFC7-4E04-A39D-B899040AAFBF}"/>
    <cellStyle name="Normal 17 8 8 2" xfId="8027" xr:uid="{A96306AA-9470-41FF-9393-6171F2A817F1}"/>
    <cellStyle name="Normal 17 8 8 2 2" xfId="15534" xr:uid="{80311C9C-1EDE-452A-954A-E433B8CE8111}"/>
    <cellStyle name="Normal 17 8 8 2 2 2" xfId="31738" xr:uid="{3D08E1BA-9CE0-485B-93F3-ECEEBBE5C0E2}"/>
    <cellStyle name="Normal 17 8 8 2 3" xfId="24231" xr:uid="{D5E49FC7-C951-4DE9-A3FA-5185437D15EB}"/>
    <cellStyle name="Normal 17 8 8 3" xfId="11920" xr:uid="{C34496F5-8C15-40E6-9C46-45C511094D04}"/>
    <cellStyle name="Normal 17 8 8 3 2" xfId="28124" xr:uid="{1A4948FE-666C-428A-B052-E6DCD77EE954}"/>
    <cellStyle name="Normal 17 8 8 4" xfId="20561" xr:uid="{D0831FA2-FD8A-43D3-BED2-885CE5856218}"/>
    <cellStyle name="Normal 17 8 9" xfId="4779" xr:uid="{BE769026-12E3-4A59-8A5A-687381DF9F44}"/>
    <cellStyle name="Normal 17 8 9 2" xfId="8449" xr:uid="{65383705-B714-4E22-B4E2-F7EF11A47604}"/>
    <cellStyle name="Normal 17 8 9 2 2" xfId="15956" xr:uid="{58A30D4C-3A3E-4AA4-9B4F-82EDAB77B3C1}"/>
    <cellStyle name="Normal 17 8 9 2 2 2" xfId="32160" xr:uid="{CE335927-967E-4F90-9480-F6212BC3A561}"/>
    <cellStyle name="Normal 17 8 9 2 3" xfId="24653" xr:uid="{92C6720C-22E9-4628-93AE-8CA55C98687E}"/>
    <cellStyle name="Normal 17 8 9 3" xfId="12342" xr:uid="{150B4A8A-A996-44DE-816A-530442912EBF}"/>
    <cellStyle name="Normal 17 8 9 3 2" xfId="28546" xr:uid="{E4FED7D9-9B99-4413-9E88-56B4BC8B8F84}"/>
    <cellStyle name="Normal 17 8 9 4" xfId="20983" xr:uid="{DE3A4098-7236-4877-AFC4-27FAA48692B4}"/>
    <cellStyle name="Normal 17 9" xfId="493" xr:uid="{43FC3448-583C-4E93-996B-06BD4B7663CB}"/>
    <cellStyle name="Normal 17 9 10" xfId="5290" xr:uid="{CE5DD65A-F036-4746-AC40-871C602BC1FD}"/>
    <cellStyle name="Normal 17 9 10 2" xfId="12839" xr:uid="{1269D4C6-EAD3-4075-B3AB-3DC70ADEB6E5}"/>
    <cellStyle name="Normal 17 9 10 2 2" xfId="29043" xr:uid="{16711EDB-6C2A-4968-87E2-62CF72268E4B}"/>
    <cellStyle name="Normal 17 9 10 3" xfId="21494" xr:uid="{F91432D4-69A4-47B4-8999-F2F12E2C8559}"/>
    <cellStyle name="Normal 17 9 11" xfId="9405" xr:uid="{9C2A13F3-3D06-4571-8E20-D688D33727EB}"/>
    <cellStyle name="Normal 17 9 11 2" xfId="25609" xr:uid="{5A026818-724E-4956-A24D-C942BC88BA61}"/>
    <cellStyle name="Normal 17 9 12" xfId="17920" xr:uid="{B10F2EC5-1867-4072-B30F-5669671963CB}"/>
    <cellStyle name="Normal 17 9 2" xfId="564" xr:uid="{6EC46D85-A6FF-4075-BC8A-BADFE392005C}"/>
    <cellStyle name="Normal 17 9 2 10" xfId="9472" xr:uid="{6ACF1564-8061-4663-8595-B7BD6073969E}"/>
    <cellStyle name="Normal 17 9 2 10 2" xfId="25676" xr:uid="{D26D99D7-C235-4985-827D-B9D146214BCF}"/>
    <cellStyle name="Normal 17 9 2 11" xfId="17988" xr:uid="{1266F193-13B7-40AD-8869-A9EED7588666}"/>
    <cellStyle name="Normal 17 9 2 2" xfId="2015" xr:uid="{81379D09-A38A-420C-B64F-64E731F00D99}"/>
    <cellStyle name="Normal 17 9 2 2 10" xfId="18318" xr:uid="{16A56481-AABD-4606-BC94-786519BEED4B}"/>
    <cellStyle name="Normal 17 9 2 2 2" xfId="2521" xr:uid="{6174E617-5E15-4431-B75E-07F19F6B3B21}"/>
    <cellStyle name="Normal 17 9 2 2 2 2" xfId="3368" xr:uid="{E0BE191A-4138-4299-888B-D2C3553228CC}"/>
    <cellStyle name="Normal 17 9 2 2 2 2 2" xfId="7150" xr:uid="{15B120C5-CB3A-41A6-B5EF-AE92261ADC95}"/>
    <cellStyle name="Normal 17 9 2 2 2 2 2 2" xfId="14661" xr:uid="{1BDE61F6-2934-47F1-BA8A-5B44E2551179}"/>
    <cellStyle name="Normal 17 9 2 2 2 2 2 2 2" xfId="30865" xr:uid="{0D75187B-6704-408A-903E-000B8F33C7C1}"/>
    <cellStyle name="Normal 17 9 2 2 2 2 2 3" xfId="23354" xr:uid="{EDA2B804-8441-4978-9479-3DF00DBDFE66}"/>
    <cellStyle name="Normal 17 9 2 2 2 2 3" xfId="11061" xr:uid="{363A4E39-438B-421A-8109-78DA82A0D72B}"/>
    <cellStyle name="Normal 17 9 2 2 2 2 3 2" xfId="27265" xr:uid="{5362A4CF-A9AF-4DEB-BFD0-7D02DFFB6E85}"/>
    <cellStyle name="Normal 17 9 2 2 2 2 4" xfId="19588" xr:uid="{6A8C6048-6B73-428A-BFB6-1C4BD3C54F00}"/>
    <cellStyle name="Normal 17 9 2 2 2 3" xfId="6305" xr:uid="{23E04A83-0156-4243-97D2-AFFE8254D8DF}"/>
    <cellStyle name="Normal 17 9 2 2 2 3 2" xfId="13817" xr:uid="{509A1493-0E89-486F-9A92-BB012171CA14}"/>
    <cellStyle name="Normal 17 9 2 2 2 3 2 2" xfId="30021" xr:uid="{703AC7E6-C7D2-43BD-A41B-0C623D03A6CC}"/>
    <cellStyle name="Normal 17 9 2 2 2 3 3" xfId="22509" xr:uid="{1C774DFC-A8AB-49D2-874E-3E83332EB78A}"/>
    <cellStyle name="Normal 17 9 2 2 2 4" xfId="10217" xr:uid="{CFE8806D-FCD7-402D-962D-EB9EDBA265E5}"/>
    <cellStyle name="Normal 17 9 2 2 2 4 2" xfId="26421" xr:uid="{6F495E73-A30F-4255-9507-2D813DBE8731}"/>
    <cellStyle name="Normal 17 9 2 2 2 5" xfId="18743" xr:uid="{F8E9D0D5-DF61-4419-A605-368E802DE77E}"/>
    <cellStyle name="Normal 17 9 2 2 3" xfId="2943" xr:uid="{32F0E154-F2B0-410B-BC49-BEC5B0D80A0C}"/>
    <cellStyle name="Normal 17 9 2 2 3 2" xfId="6727" xr:uid="{C2C5CEF2-D51A-4808-96DA-28BFEC76AE42}"/>
    <cellStyle name="Normal 17 9 2 2 3 2 2" xfId="14239" xr:uid="{71598868-556E-43EC-AC22-9842CBDFAD12}"/>
    <cellStyle name="Normal 17 9 2 2 3 2 2 2" xfId="30443" xr:uid="{D0244FA0-2BBD-4DE6-BBE5-D408B3FEC49E}"/>
    <cellStyle name="Normal 17 9 2 2 3 2 3" xfId="22931" xr:uid="{988757E6-3030-4668-9EA3-14E7A77BCF7B}"/>
    <cellStyle name="Normal 17 9 2 2 3 3" xfId="10639" xr:uid="{033CC6DB-3E76-4EE4-891C-254CB159570B}"/>
    <cellStyle name="Normal 17 9 2 2 3 3 2" xfId="26843" xr:uid="{A7AC4832-2180-4688-AF15-A01605760495}"/>
    <cellStyle name="Normal 17 9 2 2 3 4" xfId="19165" xr:uid="{91CE23BA-8529-4778-9DF7-594A4A785903}"/>
    <cellStyle name="Normal 17 9 2 2 4" xfId="3874" xr:uid="{23CDB138-35ED-4964-8E2E-823CB3834DB1}"/>
    <cellStyle name="Normal 17 9 2 2 4 2" xfId="7584" xr:uid="{9DCCAF5E-E325-4CC2-A1F0-F4B43CDF5EDB}"/>
    <cellStyle name="Normal 17 9 2 2 4 2 2" xfId="15093" xr:uid="{B5BB2576-6D31-44F5-9C55-E0713155141B}"/>
    <cellStyle name="Normal 17 9 2 2 4 2 2 2" xfId="31297" xr:uid="{6976AD06-319C-455C-9A07-D162453DEFDB}"/>
    <cellStyle name="Normal 17 9 2 2 4 2 3" xfId="23788" xr:uid="{36C061FB-DF89-48C0-B5D0-AAC24C869C5E}"/>
    <cellStyle name="Normal 17 9 2 2 4 3" xfId="11484" xr:uid="{09E9B169-952A-40A9-A1D2-D5E1BAE72F56}"/>
    <cellStyle name="Normal 17 9 2 2 4 3 2" xfId="27688" xr:uid="{AEB644A5-C6F8-4541-B737-2986F262AF56}"/>
    <cellStyle name="Normal 17 9 2 2 4 4" xfId="20083" xr:uid="{09584A8A-6CAD-44CA-B391-12649573DE4F}"/>
    <cellStyle name="Normal 17 9 2 2 5" xfId="4343" xr:uid="{73551B26-7D05-44BE-AA6F-2DD73AD0DAB6}"/>
    <cellStyle name="Normal 17 9 2 2 5 2" xfId="8013" xr:uid="{AC274E44-A495-4BEB-9125-734EB0887E5B}"/>
    <cellStyle name="Normal 17 9 2 2 5 2 2" xfId="15520" xr:uid="{2D140C64-40F8-4E8F-8BD4-B33330C9F255}"/>
    <cellStyle name="Normal 17 9 2 2 5 2 2 2" xfId="31724" xr:uid="{5BFA00CA-AF13-42BA-A5FF-3F3A7B7A00F4}"/>
    <cellStyle name="Normal 17 9 2 2 5 2 3" xfId="24217" xr:uid="{F1251F5F-1CFC-4B21-9547-FB656DB6D39F}"/>
    <cellStyle name="Normal 17 9 2 2 5 3" xfId="11906" xr:uid="{C2612868-CACD-4208-9A07-290B843D4DAC}"/>
    <cellStyle name="Normal 17 9 2 2 5 3 2" xfId="28110" xr:uid="{B5C94774-2BDC-4BF6-8077-C8D2404DD1F8}"/>
    <cellStyle name="Normal 17 9 2 2 5 4" xfId="20547" xr:uid="{A21B8432-D270-4D05-94D3-E9A109E34CBB}"/>
    <cellStyle name="Normal 17 9 2 2 6" xfId="4768" xr:uid="{612313BA-42AA-40C5-AEC2-D296A103797F}"/>
    <cellStyle name="Normal 17 9 2 2 6 2" xfId="8438" xr:uid="{D4334973-33B8-4668-99A4-4E0382DC7589}"/>
    <cellStyle name="Normal 17 9 2 2 6 2 2" xfId="15945" xr:uid="{BDC0702E-78D3-418B-9B33-A9797280C665}"/>
    <cellStyle name="Normal 17 9 2 2 6 2 2 2" xfId="32149" xr:uid="{6F70BFD2-E0C3-49E1-A386-0736AAAE0F7D}"/>
    <cellStyle name="Normal 17 9 2 2 6 2 3" xfId="24642" xr:uid="{926470C6-F4D0-473E-911B-ED8B9415288B}"/>
    <cellStyle name="Normal 17 9 2 2 6 3" xfId="12331" xr:uid="{1A5DB04A-5CB8-447B-828B-69D1C13939D4}"/>
    <cellStyle name="Normal 17 9 2 2 6 3 2" xfId="28535" xr:uid="{A4D78EBB-2F2F-4F81-925F-69A4C5F38A56}"/>
    <cellStyle name="Normal 17 9 2 2 6 4" xfId="20972" xr:uid="{19B8C68B-18B4-4627-838E-914BA838F8DB}"/>
    <cellStyle name="Normal 17 9 2 2 7" xfId="5196" xr:uid="{49DE0EFC-91EB-47EB-AB10-122B1FE940AE}"/>
    <cellStyle name="Normal 17 9 2 2 7 2" xfId="8861" xr:uid="{8A36FD06-5C71-4195-A303-C111C71056E3}"/>
    <cellStyle name="Normal 17 9 2 2 7 2 2" xfId="16368" xr:uid="{06C8031F-05F9-4865-AAA2-E09A9C0792AF}"/>
    <cellStyle name="Normal 17 9 2 2 7 2 2 2" xfId="32572" xr:uid="{1F572D3F-3AEB-48CE-9522-7268BB4F90EC}"/>
    <cellStyle name="Normal 17 9 2 2 7 2 3" xfId="25065" xr:uid="{36938479-6ECC-479E-9D15-713A0E521453}"/>
    <cellStyle name="Normal 17 9 2 2 7 3" xfId="12753" xr:uid="{E0C9BB6F-DC32-4426-A8E7-E30DEA04EA0B}"/>
    <cellStyle name="Normal 17 9 2 2 7 3 2" xfId="28957" xr:uid="{E0D8109E-B2BF-4D6B-AF49-04147135946B}"/>
    <cellStyle name="Normal 17 9 2 2 7 4" xfId="21400" xr:uid="{8987A5C4-204C-4F25-B09F-6D4D1AC22AF4}"/>
    <cellStyle name="Normal 17 9 2 2 8" xfId="5867" xr:uid="{804E8A5D-1C70-4555-84D6-B540FCCEE2E2}"/>
    <cellStyle name="Normal 17 9 2 2 8 2" xfId="13382" xr:uid="{57225A82-21E9-4297-AB67-ABD2BE1732D5}"/>
    <cellStyle name="Normal 17 9 2 2 8 2 2" xfId="29586" xr:uid="{3853FCB5-D2EB-4B00-916D-EE340F8C5BC6}"/>
    <cellStyle name="Normal 17 9 2 2 8 3" xfId="22071" xr:uid="{AD6AE111-80CA-454A-B346-14D86517DEAF}"/>
    <cellStyle name="Normal 17 9 2 2 9" xfId="9794" xr:uid="{4C86D9C9-029B-4914-AA26-D394272F9A3E}"/>
    <cellStyle name="Normal 17 9 2 2 9 2" xfId="25998" xr:uid="{612C5F91-5DDE-4451-8710-A2845FFCCC53}"/>
    <cellStyle name="Normal 17 9 2 3" xfId="2133" xr:uid="{98B41021-6278-42CE-88A0-D5AD2D853472}"/>
    <cellStyle name="Normal 17 9 2 3 2" xfId="3046" xr:uid="{779A4449-5712-4163-89C7-1060FCDAA6D1}"/>
    <cellStyle name="Normal 17 9 2 3 2 2" xfId="6828" xr:uid="{0E1BBD71-DBCA-450A-9DD9-2CF7BE1D9266}"/>
    <cellStyle name="Normal 17 9 2 3 2 2 2" xfId="14339" xr:uid="{4697C06A-E07D-4DA1-B95E-4D4CD8DE1B17}"/>
    <cellStyle name="Normal 17 9 2 3 2 2 2 2" xfId="30543" xr:uid="{86A409A4-8EC5-42A3-A629-16ADAEBB1B80}"/>
    <cellStyle name="Normal 17 9 2 3 2 2 3" xfId="23032" xr:uid="{F0424D88-5646-4B88-98DC-F5D5EFB22120}"/>
    <cellStyle name="Normal 17 9 2 3 2 3" xfId="10739" xr:uid="{7625EBE9-C01D-4CAE-96F7-7FE019C9C8FD}"/>
    <cellStyle name="Normal 17 9 2 3 2 3 2" xfId="26943" xr:uid="{1334377D-5120-43F4-A4DD-E381121C15D2}"/>
    <cellStyle name="Normal 17 9 2 3 2 4" xfId="19266" xr:uid="{9EACD4B1-1321-49D8-95AA-8B880B10CC16}"/>
    <cellStyle name="Normal 17 9 2 3 3" xfId="5972" xr:uid="{7BD9A8CD-5CBA-4FA5-8AC7-C1176ED9E593}"/>
    <cellStyle name="Normal 17 9 2 3 3 2" xfId="13486" xr:uid="{4AE88B51-7CC9-4BF6-A9DB-D62A026AE084}"/>
    <cellStyle name="Normal 17 9 2 3 3 2 2" xfId="29690" xr:uid="{D92FE029-AE43-4C41-9B31-A5E1CF962B49}"/>
    <cellStyle name="Normal 17 9 2 3 3 3" xfId="22176" xr:uid="{2F2BC9E9-F463-4590-9B9B-0D76EC756560}"/>
    <cellStyle name="Normal 17 9 2 3 4" xfId="9895" xr:uid="{53E36A04-8BF2-4287-B82E-22432E7AA855}"/>
    <cellStyle name="Normal 17 9 2 3 4 2" xfId="26099" xr:uid="{2F1052B9-3883-483D-B409-711493BF2B38}"/>
    <cellStyle name="Normal 17 9 2 3 5" xfId="18420" xr:uid="{440E24AD-0345-4E7A-BC16-6E7DD99ED044}"/>
    <cellStyle name="Normal 17 9 2 4" xfId="2621" xr:uid="{24304329-80EB-48DC-81FD-3A0157555551}"/>
    <cellStyle name="Normal 17 9 2 4 2" xfId="6405" xr:uid="{C0501B81-7D56-4B39-A507-DADA9C7DD9B8}"/>
    <cellStyle name="Normal 17 9 2 4 2 2" xfId="13917" xr:uid="{3723210D-7098-4951-837B-A32C7FD52225}"/>
    <cellStyle name="Normal 17 9 2 4 2 2 2" xfId="30121" xr:uid="{82BF5A7D-706F-4AE3-A9F1-269ACB7785DD}"/>
    <cellStyle name="Normal 17 9 2 4 2 3" xfId="22609" xr:uid="{EBFA776C-20B8-413E-871B-FB6EA589E9A5}"/>
    <cellStyle name="Normal 17 9 2 4 3" xfId="10317" xr:uid="{CA694F42-56EB-4750-AF3D-4DF7C7548AD9}"/>
    <cellStyle name="Normal 17 9 2 4 3 2" xfId="26521" xr:uid="{83FA33FE-9612-4861-881D-CD32515F459F}"/>
    <cellStyle name="Normal 17 9 2 4 4" xfId="18843" xr:uid="{EBC6A535-EA79-414E-94AD-424DD44901F1}"/>
    <cellStyle name="Normal 17 9 2 5" xfId="3497" xr:uid="{387D7490-755F-47F8-AB87-E783ABA010E5}"/>
    <cellStyle name="Normal 17 9 2 5 2" xfId="7255" xr:uid="{0B444908-A232-447D-8EB3-AE193B7061C1}"/>
    <cellStyle name="Normal 17 9 2 5 2 2" xfId="14765" xr:uid="{8582DBFA-29F6-4593-BE0F-E7A6560CCB8E}"/>
    <cellStyle name="Normal 17 9 2 5 2 2 2" xfId="30969" xr:uid="{5CE1D7E5-9360-4012-A8B8-C4A0E6CA6937}"/>
    <cellStyle name="Normal 17 9 2 5 2 3" xfId="23459" xr:uid="{21626683-905F-4CCA-88D0-7558BB787EFF}"/>
    <cellStyle name="Normal 17 9 2 5 3" xfId="11162" xr:uid="{BD98F220-F3E9-40B2-8DE9-2505F7B87B0C}"/>
    <cellStyle name="Normal 17 9 2 5 3 2" xfId="27366" xr:uid="{4FD51B55-92B2-4D79-A07D-C245365EC0F5}"/>
    <cellStyle name="Normal 17 9 2 5 4" xfId="19713" xr:uid="{EF46C628-E817-4740-B941-9D512ACC19D0}"/>
    <cellStyle name="Normal 17 9 2 6" xfId="4021" xr:uid="{1ECFF240-2A79-4E0E-8330-605C8271E7F6}"/>
    <cellStyle name="Normal 17 9 2 6 2" xfId="7691" xr:uid="{2BC93C79-A0DA-4065-A4ED-DD3FA8F2A27A}"/>
    <cellStyle name="Normal 17 9 2 6 2 2" xfId="15198" xr:uid="{63C32C7B-B9FA-4AA7-97D9-DF0ADBACE69C}"/>
    <cellStyle name="Normal 17 9 2 6 2 2 2" xfId="31402" xr:uid="{0CB0C9CC-E916-492A-BD35-48D6A0417C7A}"/>
    <cellStyle name="Normal 17 9 2 6 2 3" xfId="23895" xr:uid="{C12B424E-81E8-47F5-9563-BB5AA6803842}"/>
    <cellStyle name="Normal 17 9 2 6 3" xfId="11584" xr:uid="{9EE7DBA3-79EA-4A7B-B825-AECF16EF4B9A}"/>
    <cellStyle name="Normal 17 9 2 6 3 2" xfId="27788" xr:uid="{1C7ED864-87E8-4558-B90F-CB76143349FA}"/>
    <cellStyle name="Normal 17 9 2 6 4" xfId="20225" xr:uid="{564877F4-7311-4395-94C7-0CA852DFD056}"/>
    <cellStyle name="Normal 17 9 2 7" xfId="4446" xr:uid="{BF8CAE61-765D-43B3-9FB6-C0C8643FD528}"/>
    <cellStyle name="Normal 17 9 2 7 2" xfId="8116" xr:uid="{2DEBB534-0294-42D3-97FC-101098478D53}"/>
    <cellStyle name="Normal 17 9 2 7 2 2" xfId="15623" xr:uid="{5313FDA4-73C3-443A-9F25-2B6BB77B5BE8}"/>
    <cellStyle name="Normal 17 9 2 7 2 2 2" xfId="31827" xr:uid="{64C6B272-920E-40E2-BB2B-4C08D840D912}"/>
    <cellStyle name="Normal 17 9 2 7 2 3" xfId="24320" xr:uid="{F1F2E44E-6B3F-4542-81FE-A0C208FF4063}"/>
    <cellStyle name="Normal 17 9 2 7 3" xfId="12009" xr:uid="{F2741DD4-D65F-4446-8795-B5388F192373}"/>
    <cellStyle name="Normal 17 9 2 7 3 2" xfId="28213" xr:uid="{CAE60ED3-6A46-4EDB-925B-C66AB0C90D32}"/>
    <cellStyle name="Normal 17 9 2 7 4" xfId="20650" xr:uid="{5924C086-FE2B-486D-B9A7-F00789B94BB0}"/>
    <cellStyle name="Normal 17 9 2 8" xfId="4871" xr:uid="{36E2D8C7-75FD-4867-A508-D1444D9982DC}"/>
    <cellStyle name="Normal 17 9 2 8 2" xfId="8539" xr:uid="{DBE6CBFC-1BF9-4EB7-A662-1B5BAD93DEC7}"/>
    <cellStyle name="Normal 17 9 2 8 2 2" xfId="16046" xr:uid="{E7CC02EB-9EC2-4645-8C76-203BBB0C231E}"/>
    <cellStyle name="Normal 17 9 2 8 2 2 2" xfId="32250" xr:uid="{E8FBA4D8-DE81-4EE1-A9B6-31BFF154554B}"/>
    <cellStyle name="Normal 17 9 2 8 2 3" xfId="24743" xr:uid="{593C93A5-531C-4D18-8256-8889E9350EB8}"/>
    <cellStyle name="Normal 17 9 2 8 3" xfId="12431" xr:uid="{800BF7C5-1482-43E6-BD6A-2EE87FE9A493}"/>
    <cellStyle name="Normal 17 9 2 8 3 2" xfId="28635" xr:uid="{C8E420BB-E201-420D-8806-2CB75F7F04D8}"/>
    <cellStyle name="Normal 17 9 2 8 4" xfId="21075" xr:uid="{49F44062-AF8D-42A4-98D8-E5991E53D1BD}"/>
    <cellStyle name="Normal 17 9 2 9" xfId="5357" xr:uid="{E35CF6A1-14B1-4FEF-9C3A-38D72D1C9ADB}"/>
    <cellStyle name="Normal 17 9 2 9 2" xfId="12906" xr:uid="{3B89174F-FF49-4491-ADA9-ADA9DBF9B5E9}"/>
    <cellStyle name="Normal 17 9 2 9 2 2" xfId="29110" xr:uid="{54FE070E-54D1-43ED-B393-D96035759881}"/>
    <cellStyle name="Normal 17 9 2 9 3" xfId="21561" xr:uid="{516FE7D8-0227-488C-AEE7-15B6A8EE0D81}"/>
    <cellStyle name="Normal 17 9 3" xfId="2016" xr:uid="{C7CB7F81-6666-4440-B350-D2B51FBFC4BE}"/>
    <cellStyle name="Normal 17 9 3 10" xfId="18319" xr:uid="{9B805D62-E8EB-43F0-9684-205F28393A84}"/>
    <cellStyle name="Normal 17 9 3 2" xfId="2522" xr:uid="{9D02BA10-88D2-46B0-9642-3DE8741DE2A9}"/>
    <cellStyle name="Normal 17 9 3 2 2" xfId="3369" xr:uid="{68CBEA8F-7760-41DA-9D37-AE3B95374DD3}"/>
    <cellStyle name="Normal 17 9 3 2 2 2" xfId="7151" xr:uid="{D4734E8C-5E23-4FF1-AEBE-E89E772E7D66}"/>
    <cellStyle name="Normal 17 9 3 2 2 2 2" xfId="14662" xr:uid="{CD182F26-32B1-4960-B02F-12141C4CA85F}"/>
    <cellStyle name="Normal 17 9 3 2 2 2 2 2" xfId="30866" xr:uid="{59BBAC55-554C-4DB3-9313-B9CDB1B00F78}"/>
    <cellStyle name="Normal 17 9 3 2 2 2 3" xfId="23355" xr:uid="{1AE4306D-2C1E-44E2-A757-F2A577DE812A}"/>
    <cellStyle name="Normal 17 9 3 2 2 3" xfId="11062" xr:uid="{D260A847-28C4-4B2B-8659-9596BD6AE6B3}"/>
    <cellStyle name="Normal 17 9 3 2 2 3 2" xfId="27266" xr:uid="{CAC7420C-34F2-4CE0-A879-F502CE7F8EBE}"/>
    <cellStyle name="Normal 17 9 3 2 2 4" xfId="19589" xr:uid="{1397A584-1EF1-4289-8147-A8FA9A1C1F9C}"/>
    <cellStyle name="Normal 17 9 3 2 3" xfId="6306" xr:uid="{43961412-56C9-4B62-89CF-6852553F9181}"/>
    <cellStyle name="Normal 17 9 3 2 3 2" xfId="13818" xr:uid="{4E3F74FA-21A8-4D4C-BA81-78C164A4B2FD}"/>
    <cellStyle name="Normal 17 9 3 2 3 2 2" xfId="30022" xr:uid="{AFC520A1-5939-4F25-AC39-5B9323D775E8}"/>
    <cellStyle name="Normal 17 9 3 2 3 3" xfId="22510" xr:uid="{8032E013-3F15-4490-8BC9-2B72372ACE4B}"/>
    <cellStyle name="Normal 17 9 3 2 4" xfId="10218" xr:uid="{F6CC2358-0BFE-4C55-BB20-DC89ABAF2F60}"/>
    <cellStyle name="Normal 17 9 3 2 4 2" xfId="26422" xr:uid="{1CDD1B72-0641-4429-AF80-872BB3676A46}"/>
    <cellStyle name="Normal 17 9 3 2 5" xfId="18744" xr:uid="{A4736220-B960-4E4B-B64F-6C39C6A977F8}"/>
    <cellStyle name="Normal 17 9 3 3" xfId="2944" xr:uid="{5CE7F5D7-9B55-4601-979C-6703E250B885}"/>
    <cellStyle name="Normal 17 9 3 3 2" xfId="6728" xr:uid="{03AED627-3F80-4043-958B-7798E314BD5C}"/>
    <cellStyle name="Normal 17 9 3 3 2 2" xfId="14240" xr:uid="{A5187BA7-135C-4606-8033-CA2A5ECE6544}"/>
    <cellStyle name="Normal 17 9 3 3 2 2 2" xfId="30444" xr:uid="{74E059B2-2486-473E-8AD2-692A573137E7}"/>
    <cellStyle name="Normal 17 9 3 3 2 3" xfId="22932" xr:uid="{817CEE7F-1419-4A30-90FA-48BEF9BBB22C}"/>
    <cellStyle name="Normal 17 9 3 3 3" xfId="10640" xr:uid="{FEB75900-8DF7-4F06-A07B-FEAC507A0931}"/>
    <cellStyle name="Normal 17 9 3 3 3 2" xfId="26844" xr:uid="{D9E9D3B0-6C08-48D7-8691-796ECE11E491}"/>
    <cellStyle name="Normal 17 9 3 3 4" xfId="19166" xr:uid="{4DC6AA9E-820D-469A-B6A8-610CF5916EEC}"/>
    <cellStyle name="Normal 17 9 3 4" xfId="3875" xr:uid="{55A51B13-6F06-4DFE-8171-9D57D005DA93}"/>
    <cellStyle name="Normal 17 9 3 4 2" xfId="7585" xr:uid="{266D4BBA-FAD3-401B-BBAC-176672AE86F5}"/>
    <cellStyle name="Normal 17 9 3 4 2 2" xfId="15094" xr:uid="{9918C1AC-6CF9-487C-AD08-3BE6AA40ED2A}"/>
    <cellStyle name="Normal 17 9 3 4 2 2 2" xfId="31298" xr:uid="{8F4A8906-E0CD-4387-8C17-CCCFCE0916F0}"/>
    <cellStyle name="Normal 17 9 3 4 2 3" xfId="23789" xr:uid="{25FA4B4B-764F-44A2-94E8-81BBCF6AC849}"/>
    <cellStyle name="Normal 17 9 3 4 3" xfId="11485" xr:uid="{B9CAA4DE-A94B-448A-A0E9-28147656A221}"/>
    <cellStyle name="Normal 17 9 3 4 3 2" xfId="27689" xr:uid="{BDE5BC14-5845-4F3A-9492-891C345C6F89}"/>
    <cellStyle name="Normal 17 9 3 4 4" xfId="20084" xr:uid="{D6FE45FA-1B88-4775-890E-9BE18BE25754}"/>
    <cellStyle name="Normal 17 9 3 5" xfId="4344" xr:uid="{5E3313E4-2663-4191-999A-1DF69E09CD52}"/>
    <cellStyle name="Normal 17 9 3 5 2" xfId="8014" xr:uid="{E2FF387C-FB01-4834-A9A7-7B67C8E481AC}"/>
    <cellStyle name="Normal 17 9 3 5 2 2" xfId="15521" xr:uid="{02881AEC-E748-4035-8C84-9D6D1E58045F}"/>
    <cellStyle name="Normal 17 9 3 5 2 2 2" xfId="31725" xr:uid="{784A8F4E-1D46-478D-A222-2A65AAFFAD6B}"/>
    <cellStyle name="Normal 17 9 3 5 2 3" xfId="24218" xr:uid="{3413CA89-818D-4C57-97B1-32F9D251B8CF}"/>
    <cellStyle name="Normal 17 9 3 5 3" xfId="11907" xr:uid="{1E95914D-2E0E-424E-91A6-380392E756EB}"/>
    <cellStyle name="Normal 17 9 3 5 3 2" xfId="28111" xr:uid="{BA9DC4D0-FDEC-4DB3-8BA7-D44FFB98E1D3}"/>
    <cellStyle name="Normal 17 9 3 5 4" xfId="20548" xr:uid="{B48C19F2-C467-4574-B660-C5FF3811F64F}"/>
    <cellStyle name="Normal 17 9 3 6" xfId="4769" xr:uid="{29F04603-BFAF-4C38-AB9E-8904A0728FAF}"/>
    <cellStyle name="Normal 17 9 3 6 2" xfId="8439" xr:uid="{10E4B96A-8D6E-40E9-85B8-5912276F126A}"/>
    <cellStyle name="Normal 17 9 3 6 2 2" xfId="15946" xr:uid="{615446B5-6258-478E-BF7C-4D713418FD4F}"/>
    <cellStyle name="Normal 17 9 3 6 2 2 2" xfId="32150" xr:uid="{7A7AC478-2B87-4208-B916-1074E2BC2F18}"/>
    <cellStyle name="Normal 17 9 3 6 2 3" xfId="24643" xr:uid="{D5612884-7BF6-4A42-9353-10CA20816E6B}"/>
    <cellStyle name="Normal 17 9 3 6 3" xfId="12332" xr:uid="{E45EDF4D-36C1-4123-82F4-16152BE38608}"/>
    <cellStyle name="Normal 17 9 3 6 3 2" xfId="28536" xr:uid="{2B455617-4154-49C6-875C-B5EB4CFD66E4}"/>
    <cellStyle name="Normal 17 9 3 6 4" xfId="20973" xr:uid="{24E2910F-118D-454F-B66B-576154836032}"/>
    <cellStyle name="Normal 17 9 3 7" xfId="5197" xr:uid="{10F3E98D-3DD8-46CE-8560-C70F3D1D2DE9}"/>
    <cellStyle name="Normal 17 9 3 7 2" xfId="8862" xr:uid="{DCB03ED8-DDC7-4750-A349-CB607BF03D3F}"/>
    <cellStyle name="Normal 17 9 3 7 2 2" xfId="16369" xr:uid="{80DCBD64-2085-40CA-A66B-0C06FA45AE3A}"/>
    <cellStyle name="Normal 17 9 3 7 2 2 2" xfId="32573" xr:uid="{AEA07229-ADD0-4F0C-975F-E31D0495562E}"/>
    <cellStyle name="Normal 17 9 3 7 2 3" xfId="25066" xr:uid="{911EF277-1BEB-453D-A112-64DA794E67C5}"/>
    <cellStyle name="Normal 17 9 3 7 3" xfId="12754" xr:uid="{21D0BBE8-F1A8-4989-AA53-3813A53C938E}"/>
    <cellStyle name="Normal 17 9 3 7 3 2" xfId="28958" xr:uid="{A38DBB72-E294-4A8B-A93E-9C4D0E4F3198}"/>
    <cellStyle name="Normal 17 9 3 7 4" xfId="21401" xr:uid="{4B30B865-94C6-47D9-A04A-C44880E357FB}"/>
    <cellStyle name="Normal 17 9 3 8" xfId="5868" xr:uid="{49F1F583-7C32-40F8-BCF1-44857454878E}"/>
    <cellStyle name="Normal 17 9 3 8 2" xfId="13383" xr:uid="{13845817-DCCB-4300-B458-659E784C6402}"/>
    <cellStyle name="Normal 17 9 3 8 2 2" xfId="29587" xr:uid="{13C75A5E-DE15-4903-876F-6EEF5A1FF483}"/>
    <cellStyle name="Normal 17 9 3 8 3" xfId="22072" xr:uid="{D702EDC9-258B-43E2-AA32-35BC11F02105}"/>
    <cellStyle name="Normal 17 9 3 9" xfId="9795" xr:uid="{24C0F387-35A4-4622-ACAD-3FA1757C1AAB}"/>
    <cellStyle name="Normal 17 9 3 9 2" xfId="25999" xr:uid="{F2227A3D-58BB-403A-995D-C38D6E36D73A}"/>
    <cellStyle name="Normal 17 9 4" xfId="2066" xr:uid="{1B4C59D0-1F74-48FA-8CF0-64E66C629D48}"/>
    <cellStyle name="Normal 17 9 4 2" xfId="2979" xr:uid="{1F6544AC-78DB-4F90-9273-36A61CAE27EB}"/>
    <cellStyle name="Normal 17 9 4 2 2" xfId="6761" xr:uid="{EF5A562A-150C-4FFE-9515-545E89B667C0}"/>
    <cellStyle name="Normal 17 9 4 2 2 2" xfId="14272" xr:uid="{D531529E-A32E-4DB2-B4BA-4C98EFB2499D}"/>
    <cellStyle name="Normal 17 9 4 2 2 2 2" xfId="30476" xr:uid="{0AEFFA71-5EB7-495C-B49B-021BF6C60589}"/>
    <cellStyle name="Normal 17 9 4 2 2 3" xfId="22965" xr:uid="{2B79CE07-61C3-4BBC-A917-0E17BC3784BE}"/>
    <cellStyle name="Normal 17 9 4 2 3" xfId="10672" xr:uid="{BE1A1257-A08B-4B1F-A8A1-E8955B8AAB6E}"/>
    <cellStyle name="Normal 17 9 4 2 3 2" xfId="26876" xr:uid="{7C61F3BD-AF41-411A-B22D-0D3FCA1BDD61}"/>
    <cellStyle name="Normal 17 9 4 2 4" xfId="19199" xr:uid="{070A9593-833A-4BF2-9F2A-0DF50C5BF1B7}"/>
    <cellStyle name="Normal 17 9 4 3" xfId="5905" xr:uid="{8B85DDF5-74BF-47D4-ADFD-D0188B3F09C3}"/>
    <cellStyle name="Normal 17 9 4 3 2" xfId="13419" xr:uid="{369BAD12-5AFE-49FE-9527-26041E974EDB}"/>
    <cellStyle name="Normal 17 9 4 3 2 2" xfId="29623" xr:uid="{D42436D7-3F5E-46C8-917F-BD1F5A30F74E}"/>
    <cellStyle name="Normal 17 9 4 3 3" xfId="22109" xr:uid="{6F8EC71E-A9DD-4C72-9485-4190B294E724}"/>
    <cellStyle name="Normal 17 9 4 4" xfId="9828" xr:uid="{981B2B1D-466D-4894-B461-67800A6BFFA2}"/>
    <cellStyle name="Normal 17 9 4 4 2" xfId="26032" xr:uid="{541EBDA6-6366-40AB-8130-E82DB972C2A6}"/>
    <cellStyle name="Normal 17 9 4 5" xfId="18353" xr:uid="{9F7B14C6-F9CD-4126-B121-A4ECD7A4E32A}"/>
    <cellStyle name="Normal 17 9 5" xfId="2554" xr:uid="{97DD9596-1EC9-4197-BA35-4A8FF546D02F}"/>
    <cellStyle name="Normal 17 9 5 2" xfId="6338" xr:uid="{B177029B-4C21-4FA8-AC6E-22D81155D95A}"/>
    <cellStyle name="Normal 17 9 5 2 2" xfId="13850" xr:uid="{3B4556A1-6FA6-4F73-AFE2-BE5FC20BA92E}"/>
    <cellStyle name="Normal 17 9 5 2 2 2" xfId="30054" xr:uid="{05C58684-7B16-46A6-A1EF-8B2AC3933359}"/>
    <cellStyle name="Normal 17 9 5 2 3" xfId="22542" xr:uid="{E0EC9FD1-82DD-4F4B-986B-2C10B2682552}"/>
    <cellStyle name="Normal 17 9 5 3" xfId="10250" xr:uid="{781D8A72-F8AE-4093-9701-B9D004261F52}"/>
    <cellStyle name="Normal 17 9 5 3 2" xfId="26454" xr:uid="{5E6BA632-E77B-4C62-9279-34B0EDB298BE}"/>
    <cellStyle name="Normal 17 9 5 4" xfId="18776" xr:uid="{1EC0BAA0-2EB1-44EE-9641-5668FEAFBA17}"/>
    <cellStyle name="Normal 17 9 6" xfId="3430" xr:uid="{EF30C105-2729-4EB6-8FCC-68CB8B9827B9}"/>
    <cellStyle name="Normal 17 9 6 2" xfId="7188" xr:uid="{C41C468C-42E9-487F-A5F6-F974A3DAC746}"/>
    <cellStyle name="Normal 17 9 6 2 2" xfId="14698" xr:uid="{BA02827C-4ABF-4E50-8DD9-AFC997AFC6E8}"/>
    <cellStyle name="Normal 17 9 6 2 2 2" xfId="30902" xr:uid="{70EA7A29-3E1C-4F8A-9C2C-1D06E0A7521D}"/>
    <cellStyle name="Normal 17 9 6 2 3" xfId="23392" xr:uid="{B340209F-346C-4CAE-819A-36B27AED458F}"/>
    <cellStyle name="Normal 17 9 6 3" xfId="11095" xr:uid="{D03EB986-5577-4D3D-9561-D708DD2B71E7}"/>
    <cellStyle name="Normal 17 9 6 3 2" xfId="27299" xr:uid="{2AF82130-FCEB-40C4-B3AF-00AA2CF40DD7}"/>
    <cellStyle name="Normal 17 9 6 4" xfId="19646" xr:uid="{D5FFE5D6-4836-4D1C-83F3-A1358E6D974B}"/>
    <cellStyle name="Normal 17 9 7" xfId="3954" xr:uid="{5CB8C931-9A55-4785-BE3C-8946B9210A2D}"/>
    <cellStyle name="Normal 17 9 7 2" xfId="7624" xr:uid="{E51BF5A9-6EEE-448A-A3A4-C84B4ADFC425}"/>
    <cellStyle name="Normal 17 9 7 2 2" xfId="15131" xr:uid="{4E186D2F-0D05-4966-B1FF-9CA81FD4B5E4}"/>
    <cellStyle name="Normal 17 9 7 2 2 2" xfId="31335" xr:uid="{F6B9E440-5479-41AF-9155-43EC485918B7}"/>
    <cellStyle name="Normal 17 9 7 2 3" xfId="23828" xr:uid="{5814A916-34D5-4AF5-A15B-C3FECAA351B7}"/>
    <cellStyle name="Normal 17 9 7 3" xfId="11517" xr:uid="{58FF2787-E870-4F44-BB28-8545C7986A94}"/>
    <cellStyle name="Normal 17 9 7 3 2" xfId="27721" xr:uid="{367962F0-22B0-4B0B-BDAB-5F6003BAD44C}"/>
    <cellStyle name="Normal 17 9 7 4" xfId="20158" xr:uid="{C9E18D93-C4B0-4165-A969-8270D839F3C4}"/>
    <cellStyle name="Normal 17 9 8" xfId="4379" xr:uid="{F9C2A6E1-E639-4128-A419-650ACB1AF4E5}"/>
    <cellStyle name="Normal 17 9 8 2" xfId="8049" xr:uid="{610E008E-DCDD-40F5-A7B9-2E6E64B03227}"/>
    <cellStyle name="Normal 17 9 8 2 2" xfId="15556" xr:uid="{6F4CE2D0-1CB5-425A-8A0B-07257D652877}"/>
    <cellStyle name="Normal 17 9 8 2 2 2" xfId="31760" xr:uid="{7DF92C48-4567-49DC-940C-A92E936CA246}"/>
    <cellStyle name="Normal 17 9 8 2 3" xfId="24253" xr:uid="{7F90245E-D973-43AC-A46B-83CEEB247124}"/>
    <cellStyle name="Normal 17 9 8 3" xfId="11942" xr:uid="{F4AEB0F5-DE8D-4031-A302-2DD1B3741FED}"/>
    <cellStyle name="Normal 17 9 8 3 2" xfId="28146" xr:uid="{B44EDCD5-7E4E-4FDE-89C0-E74EEB1532B9}"/>
    <cellStyle name="Normal 17 9 8 4" xfId="20583" xr:uid="{19BEF2D5-17F3-4F05-9E2E-15C78C7208D8}"/>
    <cellStyle name="Normal 17 9 9" xfId="4803" xr:uid="{1033768F-DB21-4956-B441-388A94055959}"/>
    <cellStyle name="Normal 17 9 9 2" xfId="8472" xr:uid="{82E40742-288E-4CF9-BE26-2409DE8F959F}"/>
    <cellStyle name="Normal 17 9 9 2 2" xfId="15979" xr:uid="{567E84D6-027C-40DF-9DAF-AED3CC8023AE}"/>
    <cellStyle name="Normal 17 9 9 2 2 2" xfId="32183" xr:uid="{67869BD0-E031-4CEA-AA75-F7E57059DB65}"/>
    <cellStyle name="Normal 17 9 9 2 3" xfId="24676" xr:uid="{19E0C586-8BF5-48D5-8C35-FCF0B9CBDDC6}"/>
    <cellStyle name="Normal 17 9 9 3" xfId="12364" xr:uid="{B8C03FF3-0317-4162-8A02-673586C6FF81}"/>
    <cellStyle name="Normal 17 9 9 3 2" xfId="28568" xr:uid="{69464B94-F085-45A0-BB5B-14A70E2E7675}"/>
    <cellStyle name="Normal 17 9 9 4" xfId="21007" xr:uid="{1CE6F22C-9CEA-4158-A707-0291904DD61E}"/>
    <cellStyle name="Normal 18" xfId="308" xr:uid="{B55F12B7-2BA4-4547-B1D8-355CC4DF187A}"/>
    <cellStyle name="Normal 18 2" xfId="390" xr:uid="{3043BB7F-AEF0-4825-8AE0-393CC047EF84}"/>
    <cellStyle name="Normal 18 2 2" xfId="1570" xr:uid="{326BA6F4-A829-4B2B-B6BF-154257014043}"/>
    <cellStyle name="Normal 18 2 3" xfId="1142" xr:uid="{52A13EB9-8C5F-4A7C-8617-126F43D5C798}"/>
    <cellStyle name="Normal 18 3" xfId="374" xr:uid="{AF989BDA-B0A8-4919-919C-2059EF205E58}"/>
    <cellStyle name="Normal 18 3 2" xfId="2017" xr:uid="{FBB521CD-C017-4075-AD77-7CC0F90D54CD}"/>
    <cellStyle name="Normal 18 4" xfId="625" xr:uid="{40035196-E841-4B88-814F-0B1A71E2C587}"/>
    <cellStyle name="Normal 19" xfId="309" xr:uid="{A7C2E052-EEAF-49AB-873A-4C8B932E4928}"/>
    <cellStyle name="Normal 19 2" xfId="626" xr:uid="{4AA2DDB1-8B8E-48AB-8CB2-71B129077F34}"/>
    <cellStyle name="Normal 19 2 2" xfId="1179" xr:uid="{1D5AB13E-B3FF-473D-B969-A9F4398919C6}"/>
    <cellStyle name="Normal 19 2 3" xfId="1099" xr:uid="{F36C4595-34C8-47AF-92D0-7185E583EFB1}"/>
    <cellStyle name="Normal 19 3" xfId="1178" xr:uid="{5AA080D7-FB90-4FBE-A9DE-9D1481CD62AD}"/>
    <cellStyle name="Normal 19 4" xfId="1523" xr:uid="{1B1BEFBD-81CF-4CB5-922B-9036B2E6C0C1}"/>
    <cellStyle name="Normal 19 5" xfId="724" xr:uid="{3832D283-8E4D-49DE-8719-64DE86F6BBC1}"/>
    <cellStyle name="Normal 2" xfId="2" xr:uid="{F4A386F8-53AA-472C-8870-7015B1313763}"/>
    <cellStyle name="Normal 2 2" xfId="9" xr:uid="{7A49C17C-19B0-4B66-8CDD-5443F7D17898}"/>
    <cellStyle name="Normal 2 2 2" xfId="541" xr:uid="{B37FAB03-0590-4C9F-80BC-C7CAA1DCA4C8}"/>
    <cellStyle name="Normal 2 2 2 2" xfId="2018" xr:uid="{7EC26FDB-7422-4403-8D24-4F62ECB2451B}"/>
    <cellStyle name="Normal 2 2 3" xfId="1180" xr:uid="{7AFC4BF4-C4EF-4117-BB76-188C33A6D1DD}"/>
    <cellStyle name="Normal 2 2 4" xfId="12" xr:uid="{F7CB5C75-B80B-48FC-85AD-B8475E5404ED}"/>
    <cellStyle name="Normal 2 3" xfId="1524" xr:uid="{2139DBE4-76F1-4C02-87D6-DD37ABDACB99}"/>
    <cellStyle name="Normal 2 4" xfId="1039" xr:uid="{17EFCAD7-46D7-4E43-B7CC-4DFA3D8D67CA}"/>
    <cellStyle name="Normal 2 5" xfId="2038" xr:uid="{0DD9D2FE-4FFA-49BD-922F-739CC66B7500}"/>
    <cellStyle name="Normal 2 5 2" xfId="13" xr:uid="{C60F6DBC-E8DF-4754-947F-923D7E5166AC}"/>
    <cellStyle name="Normal 2 5 2 2" xfId="7" xr:uid="{8DA8DD48-3A81-4E6A-A48A-E62A9AD65C40}"/>
    <cellStyle name="Normal 2 5 3" xfId="2954" xr:uid="{C2C294A0-01AA-436D-BF6F-8167643F4822}"/>
    <cellStyle name="Normal 2 6" xfId="8" xr:uid="{9944C996-3267-4D08-9CE3-A503AD934DD2}"/>
    <cellStyle name="Normal 20" xfId="669" xr:uid="{0FD0D86B-3550-4143-8F1E-B299B8DA0F5A}"/>
    <cellStyle name="Normal 20 2" xfId="1141" xr:uid="{803642C2-5C36-495D-823E-32B7DD51ADFE}"/>
    <cellStyle name="Normal 20 2 2" xfId="1569" xr:uid="{188B78A0-CC56-4545-82D6-09328D6F1E60}"/>
    <cellStyle name="Normal 20 3" xfId="1057" xr:uid="{BA6A593F-6B20-4251-9B6F-5EB35F12DF13}"/>
    <cellStyle name="Normal 20 4" xfId="1798" xr:uid="{433C9230-6A98-4F3D-989D-6317A0E0D8D5}"/>
    <cellStyle name="Normal 20 5" xfId="1821" xr:uid="{5F37F0B5-1733-4DAB-8508-249DCFB97015}"/>
    <cellStyle name="Normal 20 5 10" xfId="18126" xr:uid="{B0981976-78C0-484A-A570-63AFECC9AF5E}"/>
    <cellStyle name="Normal 20 5 2" xfId="2330" xr:uid="{72DCBF25-98E4-490C-83FF-6B49FDC7A69C}"/>
    <cellStyle name="Normal 20 5 2 2" xfId="3177" xr:uid="{5191F1E6-9BA0-47D4-A869-FD981B21A323}"/>
    <cellStyle name="Normal 20 5 2 2 2" xfId="6959" xr:uid="{9EA135DB-2AEC-446B-8C83-EC7CA38979FE}"/>
    <cellStyle name="Normal 20 5 2 2 2 2" xfId="14470" xr:uid="{5CFFE91A-2D31-484A-939B-8AE0A49CA520}"/>
    <cellStyle name="Normal 20 5 2 2 2 2 2" xfId="30674" xr:uid="{595D172A-BF14-4A8E-9021-97CCE37034F6}"/>
    <cellStyle name="Normal 20 5 2 2 2 3" xfId="23163" xr:uid="{A18EE0DF-1A85-4A44-948A-E3A507BCEF73}"/>
    <cellStyle name="Normal 20 5 2 2 3" xfId="10870" xr:uid="{01A8785E-AD8A-4493-9875-2C4EC755CD48}"/>
    <cellStyle name="Normal 20 5 2 2 3 2" xfId="27074" xr:uid="{C5855461-BFDE-4587-9DA6-1C5090659DB2}"/>
    <cellStyle name="Normal 20 5 2 2 4" xfId="19397" xr:uid="{07FF58BB-3625-4A5B-A204-5ACAF5EFE0F5}"/>
    <cellStyle name="Normal 20 5 2 3" xfId="6114" xr:uid="{6713C4A6-4152-4A37-99A1-477063FD558F}"/>
    <cellStyle name="Normal 20 5 2 3 2" xfId="13626" xr:uid="{80CA5BCF-888D-4F0D-9723-FCD3BD1BE986}"/>
    <cellStyle name="Normal 20 5 2 3 2 2" xfId="29830" xr:uid="{74863B3D-E273-4EC4-A33F-460EFAD2D6E6}"/>
    <cellStyle name="Normal 20 5 2 3 3" xfId="22318" xr:uid="{4E0D3B0A-C5AC-434A-94C5-C5377306593B}"/>
    <cellStyle name="Normal 20 5 2 4" xfId="10026" xr:uid="{552C284D-3AC5-45E7-9123-8F2432F20BAD}"/>
    <cellStyle name="Normal 20 5 2 4 2" xfId="26230" xr:uid="{3B5C0EA9-5A54-4590-8C84-DAB2F1D109D3}"/>
    <cellStyle name="Normal 20 5 2 5" xfId="18552" xr:uid="{9E8AC757-45B4-4BAB-90AA-D1D6ECE0C274}"/>
    <cellStyle name="Normal 20 5 3" xfId="2752" xr:uid="{C3CC3F42-9093-4B69-B6FD-B7BC78123E59}"/>
    <cellStyle name="Normal 20 5 3 2" xfId="6536" xr:uid="{2A51C71C-C9CF-4366-9044-3D2D439815F2}"/>
    <cellStyle name="Normal 20 5 3 2 2" xfId="14048" xr:uid="{0A9A3E82-7835-4C2A-AC7B-74D67C3DD7D1}"/>
    <cellStyle name="Normal 20 5 3 2 2 2" xfId="30252" xr:uid="{2E73B0DC-9C09-4A15-AB1A-DD4812C3FA19}"/>
    <cellStyle name="Normal 20 5 3 2 3" xfId="22740" xr:uid="{ED86648B-DF18-46B3-86BD-1D4428857322}"/>
    <cellStyle name="Normal 20 5 3 3" xfId="10448" xr:uid="{7ADA4B48-1098-4B2E-9D6B-630FF471C5CA}"/>
    <cellStyle name="Normal 20 5 3 3 2" xfId="26652" xr:uid="{4521C6A5-6392-4AC7-B27D-DA176DA16ACE}"/>
    <cellStyle name="Normal 20 5 3 4" xfId="18974" xr:uid="{1E56259A-E1A1-48E5-B0E0-FF469DD33570}"/>
    <cellStyle name="Normal 20 5 4" xfId="3683" xr:uid="{A8F8550F-BCC9-4390-B38A-2F618A696D9E}"/>
    <cellStyle name="Normal 20 5 4 2" xfId="7393" xr:uid="{8F257B67-EC2A-4F40-9C70-4868E4ED6DB7}"/>
    <cellStyle name="Normal 20 5 4 2 2" xfId="14902" xr:uid="{07C216A9-56E2-4D03-95FC-EB57D0629400}"/>
    <cellStyle name="Normal 20 5 4 2 2 2" xfId="31106" xr:uid="{F023FE28-C02E-46E2-9A68-03CDD313A752}"/>
    <cellStyle name="Normal 20 5 4 2 3" xfId="23597" xr:uid="{5DE29A22-905D-43CF-8789-AE5E5E04B861}"/>
    <cellStyle name="Normal 20 5 4 3" xfId="11293" xr:uid="{58C61CF8-894B-4B41-9457-41F4FE95243A}"/>
    <cellStyle name="Normal 20 5 4 3 2" xfId="27497" xr:uid="{297A03A6-D7DA-4E87-92C0-A41FD960EC5B}"/>
    <cellStyle name="Normal 20 5 4 4" xfId="19892" xr:uid="{8158E99B-8899-4B14-9358-DE1B9B86CA4A}"/>
    <cellStyle name="Normal 20 5 5" xfId="4152" xr:uid="{5A2DC637-CB03-43CE-8855-FC141D341D53}"/>
    <cellStyle name="Normal 20 5 5 2" xfId="7822" xr:uid="{24964DAD-4242-445C-A7A6-C4D0D140D9A6}"/>
    <cellStyle name="Normal 20 5 5 2 2" xfId="15329" xr:uid="{700150D9-D516-409A-BCFE-0B6E12D6EAE0}"/>
    <cellStyle name="Normal 20 5 5 2 2 2" xfId="31533" xr:uid="{D06883EE-15A0-4A24-AB57-5F1A88C5162E}"/>
    <cellStyle name="Normal 20 5 5 2 3" xfId="24026" xr:uid="{0D83C7DF-6218-43E1-8B74-07ACC4A8EE24}"/>
    <cellStyle name="Normal 20 5 5 3" xfId="11715" xr:uid="{FC61751B-84C8-4B85-AC8C-4C36B01C10B8}"/>
    <cellStyle name="Normal 20 5 5 3 2" xfId="27919" xr:uid="{78E1684A-E1A8-4942-B585-E40D977C130E}"/>
    <cellStyle name="Normal 20 5 5 4" xfId="20356" xr:uid="{DF76A165-AED9-4523-AF86-C7E1B65BC441}"/>
    <cellStyle name="Normal 20 5 6" xfId="4577" xr:uid="{BC3EFB65-F952-4384-9942-E81D43A152B8}"/>
    <cellStyle name="Normal 20 5 6 2" xfId="8247" xr:uid="{332ACB19-B30C-401B-8601-93BCE754BD73}"/>
    <cellStyle name="Normal 20 5 6 2 2" xfId="15754" xr:uid="{2B6BF9C9-B05F-4221-8AD3-31FB7F7A3453}"/>
    <cellStyle name="Normal 20 5 6 2 2 2" xfId="31958" xr:uid="{84271233-332D-48EB-9D67-834E1551D147}"/>
    <cellStyle name="Normal 20 5 6 2 3" xfId="24451" xr:uid="{754043D2-91CF-4ECA-A037-EF518819647D}"/>
    <cellStyle name="Normal 20 5 6 3" xfId="12140" xr:uid="{AA8A659A-5AF2-4F07-8BED-16D312529033}"/>
    <cellStyle name="Normal 20 5 6 3 2" xfId="28344" xr:uid="{55E26E07-E469-4DD5-AD83-B643708D321A}"/>
    <cellStyle name="Normal 20 5 6 4" xfId="20781" xr:uid="{4E360A44-EBE8-4B2E-BD4D-25CB2412DA1E}"/>
    <cellStyle name="Normal 20 5 7" xfId="5004" xr:uid="{847C96A8-5F9D-48B2-BA6D-7068D684F27B}"/>
    <cellStyle name="Normal 20 5 7 2" xfId="8670" xr:uid="{CF168B3F-072A-4479-9A74-3B59D728CA4E}"/>
    <cellStyle name="Normal 20 5 7 2 2" xfId="16177" xr:uid="{154418CF-681D-4E46-BAA3-805FD208899A}"/>
    <cellStyle name="Normal 20 5 7 2 2 2" xfId="32381" xr:uid="{E7269BB7-3760-48CE-98E8-E519D7166227}"/>
    <cellStyle name="Normal 20 5 7 2 3" xfId="24874" xr:uid="{710ABE6E-6DFE-4A05-9C42-563029E5D25F}"/>
    <cellStyle name="Normal 20 5 7 3" xfId="12562" xr:uid="{85EB7EFF-5C3B-46E0-958A-527235AEDB09}"/>
    <cellStyle name="Normal 20 5 7 3 2" xfId="28766" xr:uid="{EAB43F18-AF4B-4ABF-8E38-7F1928869732}"/>
    <cellStyle name="Normal 20 5 7 4" xfId="21208" xr:uid="{D522DD35-F9BD-4D77-9222-DFDB9749D708}"/>
    <cellStyle name="Normal 20 5 8" xfId="5676" xr:uid="{B1F327D3-08FD-4E9B-B961-01C15FDBE449}"/>
    <cellStyle name="Normal 20 5 8 2" xfId="13191" xr:uid="{C9311A2C-592B-44CC-B009-DC92C08FF8E3}"/>
    <cellStyle name="Normal 20 5 8 2 2" xfId="29395" xr:uid="{36888EC7-0627-47B4-B73F-8EFDFC97BDCC}"/>
    <cellStyle name="Normal 20 5 8 3" xfId="21880" xr:uid="{C5338B35-4253-40CA-AF90-26C014D84131}"/>
    <cellStyle name="Normal 20 5 9" xfId="9603" xr:uid="{C2A28842-25FB-471C-A862-BA4E3C4D0CEF}"/>
    <cellStyle name="Normal 20 5 9 2" xfId="25807" xr:uid="{6CBF1132-2BAA-4E93-947C-36CD92E9BF5D}"/>
    <cellStyle name="Normal 21" xfId="670" xr:uid="{835EB037-27D9-4BD3-AB0E-C198406F17D7}"/>
    <cellStyle name="Normal 21 2" xfId="1140" xr:uid="{2F5558B1-1532-4259-B41E-49BAD921CAD2}"/>
    <cellStyle name="Normal 21 2 2" xfId="1568" xr:uid="{EC5CED43-4CB4-4CD0-838D-580B7F84C3A1}"/>
    <cellStyle name="Normal 21 3" xfId="1091" xr:uid="{0C4302EC-916E-4B89-A923-2968BB1A3CEA}"/>
    <cellStyle name="Normal 22" xfId="1106" xr:uid="{5388E1BC-BE05-4E30-BBB7-DD7E2E2FC936}"/>
    <cellStyle name="Normal 22 2" xfId="1139" xr:uid="{1C0ABB9D-1D2F-4254-B2A5-86A7D314B02D}"/>
    <cellStyle name="Normal 22 2 2" xfId="1567" xr:uid="{D24D062A-FE8F-4734-95D3-678A1BB14261}"/>
    <cellStyle name="Normal 23" xfId="1107" xr:uid="{F56460D1-2969-4078-BB16-154996FBF662}"/>
    <cellStyle name="Normal 23 2" xfId="1138" xr:uid="{554435FD-0235-49E1-99CB-DCF23161F40F}"/>
    <cellStyle name="Normal 23 2 2" xfId="1566" xr:uid="{6984DCBA-7E88-4EDC-AA14-077A9D03308B}"/>
    <cellStyle name="Normal 24" xfId="1108" xr:uid="{8FC4AE2E-79B4-4EA7-8D9E-31678E5D2610}"/>
    <cellStyle name="Normal 24 2" xfId="1137" xr:uid="{9AD26066-CB36-4F7A-BB13-02706957EC78}"/>
    <cellStyle name="Normal 24 2 2" xfId="1565" xr:uid="{0DCABF2A-DEC9-46F9-A52E-DB169894E46E}"/>
    <cellStyle name="Normal 25" xfId="1109" xr:uid="{26D45042-6396-4DEA-B658-EA96AC0A45CB}"/>
    <cellStyle name="Normal 25 2" xfId="1229" xr:uid="{95CE3D26-B71E-40F2-8DDC-DC7A1C93B928}"/>
    <cellStyle name="Normal 25 2 2" xfId="1581" xr:uid="{AE0F5297-9485-4E40-ACB7-56479C55425D}"/>
    <cellStyle name="Normal 26" xfId="310" xr:uid="{0178181C-FEE6-41CF-8569-9A112FBBECF8}"/>
    <cellStyle name="Normal 26 2" xfId="627" xr:uid="{46398785-4B38-427F-A230-042314CB0B2D}"/>
    <cellStyle name="Normal 26 2 2" xfId="1582" xr:uid="{96719283-62DF-4BA3-B49B-5E83368C61A4}"/>
    <cellStyle name="Normal 27" xfId="1110" xr:uid="{F7E56DF6-5EF0-43D9-BF2E-BBA0AA29F222}"/>
    <cellStyle name="Normal 27 2" xfId="1230" xr:uid="{BAF4EF1B-A268-4B27-BD23-16957B3C37AE}"/>
    <cellStyle name="Normal 27 2 2" xfId="1583" xr:uid="{61F72C26-AA24-4194-B663-225A18CD1DF8}"/>
    <cellStyle name="Normal 28" xfId="1111" xr:uid="{CF22BE1F-2128-43FC-9D13-981A7928CFFC}"/>
    <cellStyle name="Normal 28 2" xfId="1231" xr:uid="{6FE1C69B-2FDA-4548-9F5E-7F87D90EFE15}"/>
    <cellStyle name="Normal 28 2 2" xfId="1584" xr:uid="{0FA9D592-0FDC-44A3-A943-5D80ED3CD148}"/>
    <cellStyle name="Normal 29" xfId="1112" xr:uid="{28506B97-A3BC-454C-8176-6E1A0F9C54FD}"/>
    <cellStyle name="Normal 29 2" xfId="1232" xr:uid="{54DF9423-CD81-4166-864D-EA8578C502B1}"/>
    <cellStyle name="Normal 29 2 2" xfId="1585" xr:uid="{AC382847-6B76-4869-8E8D-318B58A86827}"/>
    <cellStyle name="Normal 3" xfId="311" xr:uid="{2BD7DABF-49A7-45B4-BAF6-7212DA7D905F}"/>
    <cellStyle name="Normal 3 10" xfId="17893" xr:uid="{8469F372-57DE-4AAE-9B95-2442989EE2F2}"/>
    <cellStyle name="Normal 3 11" xfId="33956" xr:uid="{69480D62-4D62-4536-951C-0AA8BCBE100E}"/>
    <cellStyle name="Normal 3 12" xfId="33957" xr:uid="{2BE35011-ECCF-4B8B-9DC6-51D35B1695D7}"/>
    <cellStyle name="Normal 3 2" xfId="628" xr:uid="{6AF538D3-8CD8-4314-A217-9C6B2B3753A7}"/>
    <cellStyle name="Normal 3 2 2" xfId="1181" xr:uid="{371718C6-01D4-4DDB-B353-946E439BBE36}"/>
    <cellStyle name="Normal 3 2 2 2" xfId="17891" xr:uid="{5555A39C-38B8-4B28-BF50-CB69F9A89E49}"/>
    <cellStyle name="Normal 3 2 3" xfId="17888" xr:uid="{4BC61BE4-8A63-42E5-AD09-723FD43711CF}"/>
    <cellStyle name="Normal 3 3" xfId="1525" xr:uid="{8C902261-F9B8-47ED-9BC9-08BF6D182C6B}"/>
    <cellStyle name="Normal 3 3 2" xfId="17889" xr:uid="{245DDAED-2A6D-43F3-A803-D5C5FF6AF55A}"/>
    <cellStyle name="Normal 3 4" xfId="1040" xr:uid="{9BF03F4B-D491-4B8C-8B91-EB5C1CE9BFFE}"/>
    <cellStyle name="Normal 3 4 2" xfId="17890" xr:uid="{633E2301-9C47-4A8B-A153-DEDD5BDE1BDD}"/>
    <cellStyle name="Normal 3 5" xfId="17876" xr:uid="{52C20455-AE18-4BFF-884B-E25E0E549547}"/>
    <cellStyle name="Normal 3 5 2" xfId="33948" xr:uid="{85E7A193-FCB1-4044-9D9B-87B1B6E6E019}"/>
    <cellStyle name="Normal 3 6" xfId="17884" xr:uid="{94AFF73C-8496-4C5D-B4CC-43C6C1852169}"/>
    <cellStyle name="Normal 3 7" xfId="17885" xr:uid="{EBE13863-28D9-4457-BB49-B81093DB6E47}"/>
    <cellStyle name="Normal 3 8" xfId="17886" xr:uid="{E0583A6D-72A6-4FB2-BDA2-147C3F7B7F4A}"/>
    <cellStyle name="Normal 3 9" xfId="17887" xr:uid="{098AD355-BE2E-4D09-96AB-A3C7C2FB1B50}"/>
    <cellStyle name="Normal 30" xfId="312" xr:uid="{6490E2FD-308E-44B6-8CE5-8790F6D5556D}"/>
    <cellStyle name="Normal 30 2" xfId="629" xr:uid="{3FA33BE3-3160-457E-879A-7A6E1C09D52A}"/>
    <cellStyle name="Normal 30 2 2" xfId="1586" xr:uid="{33DA5753-E2A0-49ED-BEF0-34730A59D23B}"/>
    <cellStyle name="Normal 30 2 3" xfId="1233" xr:uid="{A29B7BD1-BC87-47CE-8B0A-39670917C729}"/>
    <cellStyle name="Normal 30 3" xfId="1113" xr:uid="{14DF61EF-0B4E-45F5-B124-49234D403BDC}"/>
    <cellStyle name="Normal 31" xfId="1114" xr:uid="{490BF35C-F788-4D53-8FC4-CB36A2DDA4F3}"/>
    <cellStyle name="Normal 31 2" xfId="1234" xr:uid="{3DF511E6-553F-475B-8733-9C8707B81979}"/>
    <cellStyle name="Normal 31 2 2" xfId="1587" xr:uid="{F011F2CB-AD9E-4BA2-86C2-71A9231E91B7}"/>
    <cellStyle name="Normal 32" xfId="1116" xr:uid="{AA6BB149-9D53-4D49-90E5-439329686A47}"/>
    <cellStyle name="Normal 32 2" xfId="1182" xr:uid="{EAA110A6-385C-4348-BF37-1991462D485E}"/>
    <cellStyle name="Normal 33" xfId="1556" xr:uid="{3E49A8EC-D537-41D4-8669-5DA904F5813C}"/>
    <cellStyle name="Normal 33 2" xfId="1614" xr:uid="{A9AA9AA3-F64D-457C-A8C7-D619E66719CA}"/>
    <cellStyle name="Normal 34" xfId="1002" xr:uid="{5B99C126-D6D3-4BB9-B7B2-F08403B60100}"/>
    <cellStyle name="Normal 34 2" xfId="2190" xr:uid="{EC0F11AC-4157-45C3-A634-0C311A800A2D}"/>
    <cellStyle name="Normal 35" xfId="688" xr:uid="{BBF3AB01-7C2F-40A4-BE02-B4A7C7840B75}"/>
    <cellStyle name="Normal 35 2" xfId="2188" xr:uid="{3B7F16C6-AD63-4245-B705-EDA33BB4B9EB}"/>
    <cellStyle name="Normal 36" xfId="1664" xr:uid="{8B15490E-D187-4583-ADAD-F3CEC5E98D39}"/>
    <cellStyle name="Normal 36 2" xfId="2228" xr:uid="{D6990B49-5384-4110-BDD8-A73579EF7496}"/>
    <cellStyle name="Normal 37" xfId="1146" xr:uid="{175E74A0-ACA3-4B42-87AC-9DD30E74FF53}"/>
    <cellStyle name="Normal 37 2" xfId="2192" xr:uid="{07B47E5B-47D1-4894-9C86-97AE37E103D3}"/>
    <cellStyle name="Normal 38" xfId="1640" xr:uid="{E1FBDF8C-18F6-4BA0-A495-3DC1E8C92383}"/>
    <cellStyle name="Normal 38 2" xfId="2213" xr:uid="{6CB3B3EB-F79D-415B-A624-BF5EF8B36F17}"/>
    <cellStyle name="Normal 39" xfId="1629" xr:uid="{52157C07-EF36-4C08-9A76-49F02C6693D1}"/>
    <cellStyle name="Normal 39 2" xfId="2206" xr:uid="{8DE5301A-EC88-4175-9334-420595D9963D}"/>
    <cellStyle name="Normal 4" xfId="313" xr:uid="{1DE54051-AFEC-4D63-BC8E-56B5A826BC9C}"/>
    <cellStyle name="Normal 4 2" xfId="630" xr:uid="{014F61A7-0288-49AB-869B-AC6ED53B8CB4}"/>
    <cellStyle name="Normal 4 2 2" xfId="1183" xr:uid="{F0DE2840-7F5D-42B2-BF1D-76AD416CD2BD}"/>
    <cellStyle name="Normal 4 3" xfId="1526" xr:uid="{0532BB5C-8A19-4A71-A7A4-FA254F4BA995}"/>
    <cellStyle name="Normal 4 4" xfId="1041" xr:uid="{A798787B-84AC-4823-87E6-5CBDDE477172}"/>
    <cellStyle name="Normal 40" xfId="1639" xr:uid="{F45A7A62-069D-49EA-8D26-0F10AD5136B8}"/>
    <cellStyle name="Normal 40 2" xfId="2212" xr:uid="{587D15AD-224F-4033-A6B5-4B69EAF5CB12}"/>
    <cellStyle name="Normal 41" xfId="1642" xr:uid="{EB9ECE66-15D5-4863-89CF-DB577876DF8F}"/>
    <cellStyle name="Normal 41 2" xfId="2215" xr:uid="{371427E2-9B35-40B2-A69F-A341967F79B7}"/>
    <cellStyle name="Normal 42" xfId="1670" xr:uid="{60910E4B-8920-4D71-8911-ED6CD016D55F}"/>
    <cellStyle name="Normal 42 2" xfId="2230" xr:uid="{7ACD1D81-FBC8-45E4-AEC8-96E894D76CE9}"/>
    <cellStyle name="Normal 43" xfId="1722" xr:uid="{B1FB08E0-351F-444D-A5E6-F13F21F23D7A}"/>
    <cellStyle name="Normal 43 2" xfId="2253" xr:uid="{78CE9FB5-C149-4ADC-A16A-FB0AB00161E2}"/>
    <cellStyle name="Normal 44" xfId="1638" xr:uid="{99E7971A-179A-4741-AC07-703711605C02}"/>
    <cellStyle name="Normal 44 2" xfId="2211" xr:uid="{E9BC0727-C7D2-4FDD-A9B2-ECDD6F7C4F22}"/>
    <cellStyle name="Normal 45" xfId="1680" xr:uid="{244940C9-D093-4A40-850A-FA2510FD5D67}"/>
    <cellStyle name="Normal 45 2" xfId="1795" xr:uid="{9CD97AF5-4F22-4454-9CA2-D2EE07178BA0}"/>
    <cellStyle name="Normal 46" xfId="1645" xr:uid="{3CF8FCFD-CC41-4D34-8D5D-5709E58A33E1}"/>
    <cellStyle name="Normal 46 2" xfId="2216" xr:uid="{209E69BC-B4A0-4879-A020-DB10B1ECB903}"/>
    <cellStyle name="Normal 47" xfId="1678" xr:uid="{FF697093-0897-415C-B002-E1FBF559CD80}"/>
    <cellStyle name="Normal 47 2" xfId="2234" xr:uid="{783D1F5B-714C-44D6-9D2B-407055A78CA7}"/>
    <cellStyle name="Normal 48" xfId="1684" xr:uid="{B0310B59-B74F-4633-81C3-476324631A70}"/>
    <cellStyle name="Normal 48 2" xfId="2237" xr:uid="{99507612-4CC6-460D-9D28-F68AF2558655}"/>
    <cellStyle name="Normal 49" xfId="1711" xr:uid="{12D78641-3123-45BF-AF75-BF96056D1256}"/>
    <cellStyle name="Normal 49 2" xfId="2249" xr:uid="{D68B3818-35BF-44E9-9F7D-D4160807B8E1}"/>
    <cellStyle name="Normal 5" xfId="314" xr:uid="{DFF96775-4183-45C3-8D47-4D120820B208}"/>
    <cellStyle name="Normal 5 2" xfId="631" xr:uid="{866EA083-0EF4-42BC-ACD5-857439BB0FDB}"/>
    <cellStyle name="Normal 5 2 2" xfId="1184" xr:uid="{9AA6A44C-5165-472D-85A4-6F9BEB3749CE}"/>
    <cellStyle name="Normal 5 3" xfId="1527" xr:uid="{B3B34C2D-BAC7-4892-8F3F-390506FEC029}"/>
    <cellStyle name="Normal 5 4" xfId="1042" xr:uid="{888CB9B7-64BD-4540-A525-E0775A7F0095}"/>
    <cellStyle name="Normal 50" xfId="1631" xr:uid="{D6E3AFCF-613A-4472-9311-F08EDDDAE3E0}"/>
    <cellStyle name="Normal 50 2" xfId="2207" xr:uid="{35F95ACC-B60A-4C17-99C4-80FB5E1BF828}"/>
    <cellStyle name="Normal 51" xfId="1672" xr:uid="{6A7309B7-2805-4CDD-896C-6D8277EC9CC1}"/>
    <cellStyle name="Normal 51 2" xfId="2231" xr:uid="{B2E8E867-7797-40AA-84BA-6D6A848B240F}"/>
    <cellStyle name="Normal 52" xfId="1650" xr:uid="{57025D32-3916-4D97-AB86-0F5D47FA07D9}"/>
    <cellStyle name="Normal 52 2" xfId="2218" xr:uid="{D5D0F39B-2760-461B-B222-AAB71E5ABDFF}"/>
    <cellStyle name="Normal 53" xfId="1718" xr:uid="{DBC517B7-3CCA-40C1-B156-1B8DDC33ECED}"/>
    <cellStyle name="Normal 53 2" xfId="2251" xr:uid="{F662EFC3-CD2A-4ACC-B9EF-EA95BEE00BCA}"/>
    <cellStyle name="Normal 54" xfId="1633" xr:uid="{50087FA1-09A8-424A-9D60-77254496FEAD}"/>
    <cellStyle name="Normal 54 2" xfId="2208" xr:uid="{583E9178-9A47-42E3-B24F-3E7CB00EC69C}"/>
    <cellStyle name="Normal 55" xfId="1691" xr:uid="{1F220868-5E30-4581-9CB1-D30A453CD371}"/>
    <cellStyle name="Normal 55 2" xfId="2241" xr:uid="{E3192164-E8E3-4532-8F32-36C5AA21601A}"/>
    <cellStyle name="Normal 56" xfId="1654" xr:uid="{8A5E1721-B1B6-45EF-9FA6-9A7FD712C5A9}"/>
    <cellStyle name="Normal 56 2" xfId="2221" xr:uid="{385111A1-6063-4C91-9D62-4BF4ADB0E1C6}"/>
    <cellStyle name="Normal 57" xfId="1719" xr:uid="{D4487353-3714-4F5D-8735-B45287462383}"/>
    <cellStyle name="Normal 57 2" xfId="2252" xr:uid="{FB169D58-BDAF-4ADF-927A-F76C5F258C27}"/>
    <cellStyle name="Normal 58" xfId="1656" xr:uid="{E75752E8-13C0-418C-A27D-188551CC0D26}"/>
    <cellStyle name="Normal 58 2" xfId="2222" xr:uid="{B89BE243-CEC3-4D7B-84D7-8D7F77A5BAEB}"/>
    <cellStyle name="Normal 59" xfId="1676" xr:uid="{1259E902-967B-4938-B3FC-C66A36AF539B}"/>
    <cellStyle name="Normal 59 2" xfId="2232" xr:uid="{E85FA07E-117E-49EB-BF6E-A113C6E1CFF1}"/>
    <cellStyle name="Normal 6" xfId="315" xr:uid="{27CF9584-5D17-4806-BF71-AF627655DAC6}"/>
    <cellStyle name="Normal 6 2" xfId="632" xr:uid="{0CCCD530-F6BC-445E-9B4A-41A54679EC83}"/>
    <cellStyle name="Normal 6 2 2" xfId="1185" xr:uid="{8ECD9E79-D8D4-4781-ACAB-C1A4FE55A3C6}"/>
    <cellStyle name="Normal 6 3" xfId="1528" xr:uid="{C458FD86-C395-475A-AB3F-1A7DA2ADA700}"/>
    <cellStyle name="Normal 6 4" xfId="1043" xr:uid="{7CFCF6E2-B182-401D-9384-E368D299E522}"/>
    <cellStyle name="Normal 60" xfId="1729" xr:uid="{799CE352-717D-476D-A1E4-3D01610BCAA2}"/>
    <cellStyle name="Normal 60 2" xfId="2256" xr:uid="{2B7E2DA2-3373-46A6-83A4-50A6418B8CA0}"/>
    <cellStyle name="Normal 61" xfId="1692" xr:uid="{06CD6163-3D26-46A7-A0C3-AC6B0434A2E8}"/>
    <cellStyle name="Normal 61 2" xfId="2242" xr:uid="{4D053C62-CBC9-4F4E-94AB-C0EA661FD352}"/>
    <cellStyle name="Normal 62" xfId="1649" xr:uid="{507C1B47-B96F-41CF-AC4E-E66C1816BF51}"/>
    <cellStyle name="Normal 62 2" xfId="2217" xr:uid="{2CAE6733-B72D-4472-994E-F302266F5E75}"/>
    <cellStyle name="Normal 63" xfId="1653" xr:uid="{75808939-D937-43A2-B07C-694FCC300151}"/>
    <cellStyle name="Normal 63 2" xfId="2220" xr:uid="{5603FBB7-F27A-4CAB-92EF-64DE1B1B7970}"/>
    <cellStyle name="Normal 64" xfId="1715" xr:uid="{2982B233-9F6D-4A34-A956-FACD749A6E71}"/>
    <cellStyle name="Normal 64 2" xfId="2250" xr:uid="{B818EB50-E6AF-4D05-96E3-2927ED1B92E0}"/>
    <cellStyle name="Normal 65" xfId="1665" xr:uid="{2E24D459-D6FA-44AB-B786-BCA184797398}"/>
    <cellStyle name="Normal 65 2" xfId="2229" xr:uid="{FD546516-302F-413E-B80B-C962637E7CC8}"/>
    <cellStyle name="Normal 66" xfId="1686" xr:uid="{24A350B8-40CF-460C-8112-52609DCA01CA}"/>
    <cellStyle name="Normal 66 2" xfId="2239" xr:uid="{418AF444-1D0F-4B25-83BE-ECF7BFA71E36}"/>
    <cellStyle name="Normal 67" xfId="1660" xr:uid="{1801CC2F-D94A-4CED-8299-5CBC2CAB3456}"/>
    <cellStyle name="Normal 67 2" xfId="2225" xr:uid="{DA1D07E0-4A1B-470D-B317-F9A849DF4D19}"/>
    <cellStyle name="Normal 68" xfId="1706" xr:uid="{905BFEF5-8DA6-4A5C-976B-8DC4EBFF005D}"/>
    <cellStyle name="Normal 68 2" xfId="2247" xr:uid="{4CADC73D-F32B-4279-B34B-B49DB7D69DF6}"/>
    <cellStyle name="Normal 69" xfId="1723" xr:uid="{419D72F8-8226-4C2B-91C3-F46A074A77B8}"/>
    <cellStyle name="Normal 69 2" xfId="2254" xr:uid="{FCE878EB-F306-4D19-845F-ABE94E294391}"/>
    <cellStyle name="Normal 7" xfId="316" xr:uid="{48C898CB-C8E7-4EDE-8612-64B6066AF694}"/>
    <cellStyle name="Normal 7 2" xfId="633" xr:uid="{7E98DA03-3B6A-49D8-B81E-D8B5D92F970C}"/>
    <cellStyle name="Normal 7 2 2" xfId="1186" xr:uid="{CF0A31B1-836D-47D9-BF3C-121750D95918}"/>
    <cellStyle name="Normal 7 3" xfId="1529" xr:uid="{EA900AC5-05AF-46BB-B309-44DB9F3695AA}"/>
    <cellStyle name="Normal 7 4" xfId="723" xr:uid="{EA5F2732-DAA8-4B8C-A53C-E677DE4A342B}"/>
    <cellStyle name="Normal 70" xfId="1636" xr:uid="{5970D4AF-8F26-42A0-B84D-83CC24074306}"/>
    <cellStyle name="Normal 70 2" xfId="2209" xr:uid="{142CD9EA-5784-451E-806D-46C3D5884EE5}"/>
    <cellStyle name="Normal 71" xfId="1679" xr:uid="{CD40065A-315B-4B7D-890B-751B775D8EBC}"/>
    <cellStyle name="Normal 71 2" xfId="2235" xr:uid="{FFD296A5-8F02-43B1-8135-E4E7DF611A4E}"/>
    <cellStyle name="Normal 72" xfId="1661" xr:uid="{73E0BED2-372E-4156-AF13-7AF8BA77DE10}"/>
    <cellStyle name="Normal 72 2" xfId="2226" xr:uid="{0EF6DB06-EF61-4C25-BB2A-0E2A7014A400}"/>
    <cellStyle name="Normal 73" xfId="1657" xr:uid="{CB91227A-08C4-46FA-8E78-5193262CE049}"/>
    <cellStyle name="Normal 73 2" xfId="2223" xr:uid="{654BD2E3-6692-404A-BB0F-22D9616C116C}"/>
    <cellStyle name="Normal 74" xfId="1652" xr:uid="{A1A04622-5FA1-4B6A-A951-747910D4A26F}"/>
    <cellStyle name="Normal 74 2" xfId="2219" xr:uid="{B6EF7AA4-6B95-4A39-A6E7-D5E73960BE4A}"/>
    <cellStyle name="Normal 75" xfId="1708" xr:uid="{D968E4A7-60A0-4FE2-96ED-0174D367FE4B}"/>
    <cellStyle name="Normal 75 2" xfId="2248" xr:uid="{713AC8CF-61AC-4A81-9D2D-1E0481FC8CEE}"/>
    <cellStyle name="Normal 76" xfId="1698" xr:uid="{4850C7DE-F80E-433B-BD8B-C6BC8799D467}"/>
    <cellStyle name="Normal 76 2" xfId="2245" xr:uid="{0CF76E7C-9789-4F91-9A3B-3F16D3E285A4}"/>
    <cellStyle name="Normal 77" xfId="1732" xr:uid="{7E12D85A-13C7-480F-82D6-1347A59EFB6A}"/>
    <cellStyle name="Normal 77 2" xfId="2258" xr:uid="{4837D87A-8360-4856-8CC0-6E2DF347FD15}"/>
    <cellStyle name="Normal 78" xfId="1685" xr:uid="{3D31AC46-CF80-4518-8B92-FDF34D015496}"/>
    <cellStyle name="Normal 78 2" xfId="2238" xr:uid="{45A905A8-2DF3-4A6B-BFBD-7B6466E3B6BF}"/>
    <cellStyle name="Normal 79" xfId="1662" xr:uid="{04FE23C6-4CE0-4444-836C-F2F15EEEC46A}"/>
    <cellStyle name="Normal 79 2" xfId="2227" xr:uid="{84CFB1B8-5D43-4F59-B922-532166573CE5}"/>
    <cellStyle name="Normal 8" xfId="317" xr:uid="{20A61B01-BC2C-4B63-8BB5-CBDAA4C2B184}"/>
    <cellStyle name="Normal 8 2" xfId="634" xr:uid="{7CB6C939-5948-473A-BED6-37361553F2DF}"/>
    <cellStyle name="Normal 8 2 2" xfId="1187" xr:uid="{2FC4A40B-324D-4C6C-AC46-536714203E65}"/>
    <cellStyle name="Normal 8 3" xfId="1530" xr:uid="{ADCA0B2B-3E66-451C-8A41-A4331C400DD9}"/>
    <cellStyle name="Normal 8 4" xfId="722" xr:uid="{142C59A5-AE49-4A93-859E-DB4FDDD5881B}"/>
    <cellStyle name="Normal 80" xfId="1682" xr:uid="{5020E303-BF62-42DF-971B-CC90837139A1}"/>
    <cellStyle name="Normal 80 2" xfId="2236" xr:uid="{F8F0FA0B-1BE2-4760-961B-286B239EB12E}"/>
    <cellStyle name="Normal 81" xfId="1658" xr:uid="{0ED7E639-D1A4-43F4-BA13-6F667D447FB6}"/>
    <cellStyle name="Normal 81 2" xfId="2224" xr:uid="{CBEB7BED-7B01-4C2F-9306-B58A106BE303}"/>
    <cellStyle name="Normal 82" xfId="1700" xr:uid="{0C37DF62-3AAB-434D-945B-A09A229562D4}"/>
    <cellStyle name="Normal 82 2" xfId="2246" xr:uid="{E3A64F45-AD96-47BE-B732-7049D2023FFA}"/>
    <cellStyle name="Normal 83" xfId="1731" xr:uid="{52431DA7-23EE-48AB-AB33-EC1C79B7B790}"/>
    <cellStyle name="Normal 83 2" xfId="2257" xr:uid="{626E55A1-E40A-402B-B22F-D3A121268ADA}"/>
    <cellStyle name="Normal 84" xfId="1736" xr:uid="{A5B71594-43EA-4384-AC1D-095098C4678F}"/>
    <cellStyle name="Normal 84 2" xfId="2259" xr:uid="{8175E6DF-0E81-4DF5-895B-6575514C3A07}"/>
    <cellStyle name="Normal 85" xfId="1637" xr:uid="{5845AC1D-A034-44AD-B4F6-270262BBBFF6}"/>
    <cellStyle name="Normal 85 2" xfId="2210" xr:uid="{4429E90F-581B-4AD3-98A5-4E0EE4B346F6}"/>
    <cellStyle name="Normal 86" xfId="1724" xr:uid="{C44134D4-C79D-46A0-9D84-56969C6C65A5}"/>
    <cellStyle name="Normal 86 2" xfId="2255" xr:uid="{3B5CE1ED-3372-4F81-A4AC-206FAF90CA2D}"/>
    <cellStyle name="Normal 87" xfId="1689" xr:uid="{875B8482-CB11-4E2B-AE68-5BAC65A19470}"/>
    <cellStyle name="Normal 87 2" xfId="2240" xr:uid="{8EA35EA0-5C62-4B86-A581-DC6E4EC02FCE}"/>
    <cellStyle name="Normal 88" xfId="1696" xr:uid="{3A89E9A5-EDC8-47D2-8F6F-C691EDFB251F}"/>
    <cellStyle name="Normal 88 2" xfId="2243" xr:uid="{DA9D3988-0194-49DD-BBF5-90BA3EDED30E}"/>
    <cellStyle name="Normal 89" xfId="1677" xr:uid="{0C72A8DE-BAC0-400C-837A-7CEB675072C6}"/>
    <cellStyle name="Normal 89 2" xfId="2233" xr:uid="{93FB8486-45FF-4889-BB31-61EBD87228FC}"/>
    <cellStyle name="Normal 9" xfId="318" xr:uid="{0D03E0E9-1E5D-4910-AFC1-492A81B337BE}"/>
    <cellStyle name="Normal 9 2" xfId="635" xr:uid="{EDEFE4BD-AD7B-4519-B672-95D47F528BB7}"/>
    <cellStyle name="Normal 9 2 2" xfId="1188" xr:uid="{F46D209D-C2B1-42A1-BEDF-DE7CAFBE0003}"/>
    <cellStyle name="Normal 9 3" xfId="1531" xr:uid="{574DF572-C309-454E-8344-605520B3A392}"/>
    <cellStyle name="Normal 9 4" xfId="721" xr:uid="{09772FBC-98FD-4E97-BFED-1AB102ED6DF8}"/>
    <cellStyle name="Normal 90" xfId="1641" xr:uid="{5A114B47-CC90-4647-A3C4-9709586AD2F3}"/>
    <cellStyle name="Normal 90 2" xfId="2214" xr:uid="{96EDD18F-CE9C-4F0A-8B81-9C565FC1B144}"/>
    <cellStyle name="Normal 91" xfId="1697" xr:uid="{8830868B-7D72-4DE6-8D77-E8416AFE6C62}"/>
    <cellStyle name="Normal 91 2" xfId="2244" xr:uid="{009F2D01-7CA1-41B7-A3A5-3A782CB74F94}"/>
    <cellStyle name="Normal 92" xfId="1737" xr:uid="{4C1BE0D5-3E44-4A7B-8469-06D95B28E7F5}"/>
    <cellStyle name="Normal 92 2" xfId="2260" xr:uid="{C8E9C71F-F9D2-4F36-9B33-6A4806E41C73}"/>
    <cellStyle name="Normal 93" xfId="1744" xr:uid="{50640741-AF7C-4741-9450-61931449113B}"/>
    <cellStyle name="Normal 93 2" xfId="2264" xr:uid="{63BF5DF7-5F22-4828-9061-5BCE886D6B39}"/>
    <cellStyle name="Normal 94" xfId="1743" xr:uid="{1375A533-AC7A-4291-A691-9492491E6CA8}"/>
    <cellStyle name="Normal 94 2" xfId="2263" xr:uid="{474A09E3-8513-4969-B55A-8FABCFF72702}"/>
    <cellStyle name="Normal 95" xfId="1757" xr:uid="{03B181BA-0F1F-441A-B385-3A3E9ABD68F0}"/>
    <cellStyle name="Normal 95 2" xfId="2277" xr:uid="{AE698275-C680-4E14-928D-515B76F494CE}"/>
    <cellStyle name="Normal 96" xfId="1762" xr:uid="{9FE0A9A7-DCBF-489D-A336-3FC29F66295D}"/>
    <cellStyle name="Normal 96 2" xfId="2280" xr:uid="{97DF3068-7A0D-4EBF-8193-4864A9DDDFCB}"/>
    <cellStyle name="Normal 97" xfId="1775" xr:uid="{3601A164-8D49-40A5-93A2-5897EF09A4F1}"/>
    <cellStyle name="Normal 97 2" xfId="2293" xr:uid="{22AF2A4E-53F9-4386-9794-9DF08875D087}"/>
    <cellStyle name="Normal 98" xfId="1780" xr:uid="{E95AE45D-2522-4090-A982-47FA527CA01D}"/>
    <cellStyle name="Normal 98 2" xfId="2296" xr:uid="{F1AC2691-4C65-4FAD-93DC-2F7136BC7B8E}"/>
    <cellStyle name="Normal 99" xfId="1793" xr:uid="{E712CEF2-A57E-486E-838A-9CDE31F97797}"/>
    <cellStyle name="Normal 99 10" xfId="5654" xr:uid="{74B26CCE-243B-407D-B92C-6305725AC3D7}"/>
    <cellStyle name="Normal 99 10 2" xfId="13169" xr:uid="{2FD6261C-DA69-462A-B81B-24C2E7295BF4}"/>
    <cellStyle name="Normal 99 10 2 2" xfId="29373" xr:uid="{3E7E5213-61C9-4D59-8460-71F82EB41B57}"/>
    <cellStyle name="Normal 99 10 3" xfId="21858" xr:uid="{C6A30D96-13F5-4322-A13B-2D90ACCC3086}"/>
    <cellStyle name="Normal 99 11" xfId="9582" xr:uid="{D3F6364E-5FD3-42B1-9042-5FDB12A1AFFF}"/>
    <cellStyle name="Normal 99 11 2" xfId="25786" xr:uid="{4B042771-C7E5-4FAF-ABC7-43ABBA2AC110}"/>
    <cellStyle name="Normal 99 12" xfId="18105" xr:uid="{3C845B59-44DA-4AC5-A169-617B627FE0B4}"/>
    <cellStyle name="Normal 99 2" xfId="2035" xr:uid="{DD27F5B0-9E96-4F24-8E6D-2D0C436E1BC2}"/>
    <cellStyle name="Normal 99 3" xfId="2309" xr:uid="{8376F62A-AAC2-4D44-8BC7-902BB75278B8}"/>
    <cellStyle name="Normal 99 3 2" xfId="3156" xr:uid="{7D3E03F0-1166-45DC-99BB-422D58798842}"/>
    <cellStyle name="Normal 99 3 2 2" xfId="6938" xr:uid="{A97A2326-E5BD-42FE-B025-2DE9884FE0D8}"/>
    <cellStyle name="Normal 99 3 2 2 2" xfId="14449" xr:uid="{9AF927B9-B365-41FC-9751-11640B835826}"/>
    <cellStyle name="Normal 99 3 2 2 2 2" xfId="30653" xr:uid="{69E48DA6-325D-4DBF-A01B-A6BECAF7104A}"/>
    <cellStyle name="Normal 99 3 2 2 3" xfId="23142" xr:uid="{A2163A20-6EA4-4286-9C71-4A2D79171410}"/>
    <cellStyle name="Normal 99 3 2 3" xfId="10849" xr:uid="{CF29AF55-D1C1-4858-A9ED-0A4F79C151AA}"/>
    <cellStyle name="Normal 99 3 2 3 2" xfId="27053" xr:uid="{3AEFB256-4293-425E-82AA-2B66E65AFDB4}"/>
    <cellStyle name="Normal 99 3 2 4" xfId="19376" xr:uid="{D1864005-BE7C-4015-BF2D-D550248594C9}"/>
    <cellStyle name="Normal 99 3 3" xfId="6093" xr:uid="{70C3995F-506B-46BE-B9B2-D2386EE3497E}"/>
    <cellStyle name="Normal 99 3 3 2" xfId="13605" xr:uid="{00B0D2E9-4F94-4B59-BC32-EA509EAF008B}"/>
    <cellStyle name="Normal 99 3 3 2 2" xfId="29809" xr:uid="{EC5088E9-22A8-4885-B902-A2D468325AB3}"/>
    <cellStyle name="Normal 99 3 3 3" xfId="22297" xr:uid="{2C4DB2AC-3057-47B7-BA8B-281B6B90F6C3}"/>
    <cellStyle name="Normal 99 3 4" xfId="10005" xr:uid="{F694A52B-9190-4131-A13E-3F838B45099E}"/>
    <cellStyle name="Normal 99 3 4 2" xfId="26209" xr:uid="{E82F174E-D0AD-4910-9D5A-8E95E8852724}"/>
    <cellStyle name="Normal 99 3 5" xfId="18531" xr:uid="{28D8B170-EDF0-4D35-9291-BEE9AF953E9D}"/>
    <cellStyle name="Normal 99 4" xfId="2036" xr:uid="{B4AD5327-565D-486D-8DC7-64DAF0E3F60F}"/>
    <cellStyle name="Normal 99 5" xfId="2731" xr:uid="{7672A89D-1ACA-45D5-B0F9-5E115E1CAF87}"/>
    <cellStyle name="Normal 99 5 2" xfId="6515" xr:uid="{80DCD066-FA45-492B-9900-0748939F00F3}"/>
    <cellStyle name="Normal 99 5 2 2" xfId="14027" xr:uid="{B50EDBE3-F9E4-453C-9F17-72D850113CEF}"/>
    <cellStyle name="Normal 99 5 2 2 2" xfId="30231" xr:uid="{6E52279B-54AC-4B66-B3CC-2230E6E03962}"/>
    <cellStyle name="Normal 99 5 2 3" xfId="22719" xr:uid="{CB4340DE-9D2E-4836-A566-5211447B3570}"/>
    <cellStyle name="Normal 99 5 3" xfId="10427" xr:uid="{D336DC10-F668-4366-A788-FEC6BAECE217}"/>
    <cellStyle name="Normal 99 5 3 2" xfId="26631" xr:uid="{74BBCBF4-E02B-4C63-BA7F-C90C5EEEC482}"/>
    <cellStyle name="Normal 99 5 4" xfId="18953" xr:uid="{080BDF1E-0B9D-4875-94FB-DB6860445178}"/>
    <cellStyle name="Normal 99 6" xfId="3661" xr:uid="{49281CBD-F8AF-465F-8E5C-57107317E2E9}"/>
    <cellStyle name="Normal 99 6 2" xfId="7371" xr:uid="{6B31BE4E-A199-4FBC-9C0D-7AC771C2FBB1}"/>
    <cellStyle name="Normal 99 6 2 2" xfId="14880" xr:uid="{8D641CC7-0571-46DD-9A1C-8E918FC697C8}"/>
    <cellStyle name="Normal 99 6 2 2 2" xfId="31084" xr:uid="{E10357E4-3A89-47CF-9F1F-7936F102728F}"/>
    <cellStyle name="Normal 99 6 2 3" xfId="23575" xr:uid="{9223A468-CCBE-46A0-B541-F20A48D1E3A1}"/>
    <cellStyle name="Normal 99 6 3" xfId="11272" xr:uid="{E38DABBA-5186-4638-8D59-10BEA24DC661}"/>
    <cellStyle name="Normal 99 6 3 2" xfId="27476" xr:uid="{B3FB92A1-955B-4A5D-9E8F-C31C2749E494}"/>
    <cellStyle name="Normal 99 6 4" xfId="19870" xr:uid="{B2276FC9-BCC2-43E5-AB45-D013DE80989D}"/>
    <cellStyle name="Normal 99 7" xfId="4131" xr:uid="{FFFC577C-FF2A-4D00-AA93-F0B07787DEBA}"/>
    <cellStyle name="Normal 99 7 2" xfId="7801" xr:uid="{1848578F-1A11-4ECF-83E9-9D0C47FCEFD2}"/>
    <cellStyle name="Normal 99 7 2 2" xfId="15308" xr:uid="{A6D4CE02-7A7D-4789-B603-BB4DED605C43}"/>
    <cellStyle name="Normal 99 7 2 2 2" xfId="31512" xr:uid="{B2191506-6D04-4469-9FA9-5F7CEB3F4E88}"/>
    <cellStyle name="Normal 99 7 2 3" xfId="24005" xr:uid="{770D4CCA-8B0F-4DA2-8A76-66E9E94BB35A}"/>
    <cellStyle name="Normal 99 7 3" xfId="11694" xr:uid="{5A6B7A8D-4A18-457D-A609-81F54C6CA1B9}"/>
    <cellStyle name="Normal 99 7 3 2" xfId="27898" xr:uid="{E846E2CE-8802-4073-9F99-0591101B52F2}"/>
    <cellStyle name="Normal 99 7 4" xfId="20335" xr:uid="{0855C9DE-5B54-4B54-A240-D78FF42D120B}"/>
    <cellStyle name="Normal 99 8" xfId="4556" xr:uid="{A2F97A54-0AAB-4A1D-9AC2-67BBE863E524}"/>
    <cellStyle name="Normal 99 8 2" xfId="8226" xr:uid="{C1B67B4D-8CCD-4AD8-B117-33E84FFF4DDB}"/>
    <cellStyle name="Normal 99 8 2 2" xfId="15733" xr:uid="{E132F36F-78EE-4922-AFD7-62528BDB7C56}"/>
    <cellStyle name="Normal 99 8 2 2 2" xfId="31937" xr:uid="{F53AE513-B94D-46DC-AC39-81311EB80102}"/>
    <cellStyle name="Normal 99 8 2 3" xfId="24430" xr:uid="{D20D24C4-1F60-4A9D-B384-B58A4033371C}"/>
    <cellStyle name="Normal 99 8 3" xfId="12119" xr:uid="{1367702A-2384-496B-8F66-13F5AD42AD2A}"/>
    <cellStyle name="Normal 99 8 3 2" xfId="28323" xr:uid="{2FF9274F-BFE5-4E3F-B876-7C46AE4C508C}"/>
    <cellStyle name="Normal 99 8 4" xfId="20760" xr:uid="{1CBE4644-BD31-4848-97E5-04FC802BAD00}"/>
    <cellStyle name="Normal 99 9" xfId="4983" xr:uid="{5642A874-24EF-4C2B-B317-13E4FF662A6D}"/>
    <cellStyle name="Normal 99 9 2" xfId="8649" xr:uid="{F9A78775-33EC-4822-99FA-A4A4A917AE4F}"/>
    <cellStyle name="Normal 99 9 2 2" xfId="16156" xr:uid="{D4B14D06-4A1A-4B00-8C2A-17C1A9E8AECA}"/>
    <cellStyle name="Normal 99 9 2 2 2" xfId="32360" xr:uid="{93CA1C98-D391-48A7-8F95-902C7DE3B00C}"/>
    <cellStyle name="Normal 99 9 2 3" xfId="24853" xr:uid="{CF705ECD-F966-4062-9D54-9AA71399C9C7}"/>
    <cellStyle name="Normal 99 9 3" xfId="12541" xr:uid="{2E75B553-B0D6-44C5-85F4-90612D539167}"/>
    <cellStyle name="Normal 99 9 3 2" xfId="28745" xr:uid="{07014271-9AEB-446D-9D20-6B167BD9A188}"/>
    <cellStyle name="Normal 99 9 4" xfId="21187" xr:uid="{AA091B07-2054-4D75-A984-6E0A7DCBAE06}"/>
    <cellStyle name="Note 10" xfId="320" xr:uid="{381CD31F-CB3A-46E9-85F5-BFB2A0C313A8}"/>
    <cellStyle name="Note 10 2" xfId="637" xr:uid="{C6F31D44-0025-4162-B5ED-8817772FA0E9}"/>
    <cellStyle name="Note 10 2 2" xfId="1189" xr:uid="{1A575A91-F933-4424-9DFF-115D58AFBCEE}"/>
    <cellStyle name="Note 10 3" xfId="1533" xr:uid="{E19BE4D0-F7A1-4A66-8D80-8DEBDDCEBACE}"/>
    <cellStyle name="Note 10 4" xfId="719" xr:uid="{6804AD7A-B111-404E-A32C-F7876F3C6DF9}"/>
    <cellStyle name="Note 11" xfId="321" xr:uid="{9D456877-8031-45DE-815A-0F736568C720}"/>
    <cellStyle name="Note 11 2" xfId="638" xr:uid="{7B068EE3-DE54-4F00-9558-A581D7A5FF3B}"/>
    <cellStyle name="Note 11 2 2" xfId="1190" xr:uid="{A0DB7EFD-BF63-4DC9-BCF9-035C196C2360}"/>
    <cellStyle name="Note 11 3" xfId="1534" xr:uid="{DF2EB291-70C9-45F2-AC8B-FD17937FACE3}"/>
    <cellStyle name="Note 11 4" xfId="718" xr:uid="{8184DB76-FA5A-4A9F-A780-C467B4F17CB8}"/>
    <cellStyle name="Note 12" xfId="322" xr:uid="{C3CD56C7-F2B9-4535-A728-D1D1EFC924F9}"/>
    <cellStyle name="Note 12 2" xfId="639" xr:uid="{DCA83E9F-933E-47AC-BED0-301655C2B1ED}"/>
    <cellStyle name="Note 12 2 2" xfId="1191" xr:uid="{E46F437E-794F-44EA-B572-A655421AAF96}"/>
    <cellStyle name="Note 12 3" xfId="1535" xr:uid="{45D81886-FB0A-402F-AB0E-A9C112B6AE8B}"/>
    <cellStyle name="Note 12 4" xfId="717" xr:uid="{9A0F7215-FC95-4E81-9822-674D95CA8916}"/>
    <cellStyle name="Note 13" xfId="323" xr:uid="{B4443515-F14D-4998-AC7E-18905EC9C371}"/>
    <cellStyle name="Note 13 2" xfId="640" xr:uid="{6EE685ED-A3F1-4C82-940D-1E6E94BDBF62}"/>
    <cellStyle name="Note 13 2 2" xfId="1192" xr:uid="{4E5E784B-87DB-435D-AC6E-A428495C160D}"/>
    <cellStyle name="Note 13 3" xfId="1536" xr:uid="{AD5682D5-E51A-47F0-990A-FCCABAFF0704}"/>
    <cellStyle name="Note 13 4" xfId="716" xr:uid="{D9A38177-D3DE-4AE0-BE3C-7E7E55883BD4}"/>
    <cellStyle name="Note 14" xfId="324" xr:uid="{3F5CEF70-C354-4428-BC26-18E1370E04D5}"/>
    <cellStyle name="Note 14 2" xfId="641" xr:uid="{A0D0E45A-E91B-4D5D-AC07-69549CE9B0AB}"/>
    <cellStyle name="Note 14 2 2" xfId="1193" xr:uid="{AE2156AD-B03A-44C8-9FD4-5F53F507FA5F}"/>
    <cellStyle name="Note 14 3" xfId="1537" xr:uid="{B517BB1E-349E-46D4-82C4-001FCC7260E6}"/>
    <cellStyle name="Note 14 4" xfId="715" xr:uid="{90201377-2E34-4CCD-896E-9BDFD8C5A88D}"/>
    <cellStyle name="Note 15" xfId="325" xr:uid="{9FA35E41-7D2F-4114-906D-BC26CC1250A7}"/>
    <cellStyle name="Note 15 2" xfId="642" xr:uid="{6850E5B0-3184-452E-8C52-E9169AEFFDA1}"/>
    <cellStyle name="Note 15 2 2" xfId="1194" xr:uid="{B1582022-2E85-48DB-9972-5F1D416CDFD3}"/>
    <cellStyle name="Note 15 3" xfId="1538" xr:uid="{C2909C9C-7EE5-41F5-888F-0B08E4F691B0}"/>
    <cellStyle name="Note 15 4" xfId="714" xr:uid="{D1E38BE4-031D-4533-85EF-4D12FA0452F4}"/>
    <cellStyle name="Note 16" xfId="326" xr:uid="{33A5D454-728A-48BD-87C7-64B4B4490F6B}"/>
    <cellStyle name="Note 16 2" xfId="643" xr:uid="{D65716A9-73F9-4DB7-8962-50E447FFEF1A}"/>
    <cellStyle name="Note 16 2 2" xfId="1195" xr:uid="{DFD1B21C-FD66-4200-8A66-0F2338AE9E0F}"/>
    <cellStyle name="Note 16 3" xfId="1539" xr:uid="{D8737704-9B9D-4289-A173-7ED7F636C360}"/>
    <cellStyle name="Note 16 4" xfId="713" xr:uid="{0ED1E1BF-A275-4630-BFBD-2AF5F2467DF1}"/>
    <cellStyle name="Note 17" xfId="327" xr:uid="{0200B5E0-A0DF-4500-AFA1-61372A5BF587}"/>
    <cellStyle name="Note 17 2" xfId="644" xr:uid="{91288461-89A2-4AB6-8107-A9D1B787619A}"/>
    <cellStyle name="Note 17 2 2" xfId="1196" xr:uid="{2BF6242E-4F7D-4B48-981A-F1612F4A09D1}"/>
    <cellStyle name="Note 17 3" xfId="1540" xr:uid="{F0148E28-61B9-44E0-9D30-0602E2B09FA6}"/>
    <cellStyle name="Note 17 4" xfId="712" xr:uid="{7C1C6361-35B7-415D-AAF7-25EF51F11FFE}"/>
    <cellStyle name="Note 18" xfId="328" xr:uid="{FF550AC7-7EAA-47F5-AA91-9AF4EA9986A9}"/>
    <cellStyle name="Note 18 2" xfId="645" xr:uid="{4BABC045-ACFB-433B-BBDC-30C4BB8D1D63}"/>
    <cellStyle name="Note 18 2 2" xfId="1197" xr:uid="{8DA44417-4CBF-41EE-8B70-B7E07788BA4D}"/>
    <cellStyle name="Note 18 3" xfId="1541" xr:uid="{78BE7E52-C31F-4F58-8DE8-F4783F57AF3A}"/>
    <cellStyle name="Note 18 4" xfId="711" xr:uid="{17F03A04-A0A7-4E43-A1AA-7203D7F19C50}"/>
    <cellStyle name="Note 19" xfId="329" xr:uid="{06C7F46B-0CB5-45F7-923F-E1DCE16AD6AA}"/>
    <cellStyle name="Note 19 2" xfId="646" xr:uid="{EE847839-C8E1-4F37-8CD3-0F588B272C8E}"/>
    <cellStyle name="Note 19 2 2" xfId="1198" xr:uid="{DE95B904-ED26-49A3-B5C9-F4B967DE7915}"/>
    <cellStyle name="Note 19 3" xfId="1542" xr:uid="{32EFAC5B-7C39-4A12-B52B-702D8FBBAB12}"/>
    <cellStyle name="Note 19 4" xfId="710" xr:uid="{4E25207E-1FE2-45AF-85ED-7A3A929AE31A}"/>
    <cellStyle name="Note 2" xfId="330" xr:uid="{FCCFBA4F-8F65-4CA1-9BE0-76B3CCA23ACD}"/>
    <cellStyle name="Note 2 2" xfId="331" xr:uid="{F74D176B-0B54-49F7-BA45-E033962B15F0}"/>
    <cellStyle name="Note 2 2 2" xfId="392" xr:uid="{945B9BBB-57DA-476C-856C-B47E6C4413B2}"/>
    <cellStyle name="Note 2 2 2 2" xfId="1199" xr:uid="{83ECDE1A-9FB6-4068-8856-FE78EFEF2CF1}"/>
    <cellStyle name="Note 2 2 2 3" xfId="1803" xr:uid="{61CB5BB0-C73B-4526-BAD3-DF6EA6ACEB75}"/>
    <cellStyle name="Note 2 2 3" xfId="376" xr:uid="{8818D4B0-F0FA-45BC-AD5D-B02FB820584B}"/>
    <cellStyle name="Note 2 2 3 2" xfId="1543" xr:uid="{2BA3E295-8C4C-4778-BA16-62FEDEB2D39B}"/>
    <cellStyle name="Note 2 2 4" xfId="648" xr:uid="{9378D0E5-6DEF-4EFE-817E-D355C547D2A5}"/>
    <cellStyle name="Note 2 2 5" xfId="1044" xr:uid="{E7B58644-1FB6-4F31-B2D5-FEE526EC0E2A}"/>
    <cellStyle name="Note 2 3" xfId="391" xr:uid="{070FEA71-FB50-46FC-B158-5213D93F2711}"/>
    <cellStyle name="Note 2 3 2" xfId="1236" xr:uid="{92E7C5A4-F6F5-4BB0-AFC2-1C07C39EBD1E}"/>
    <cellStyle name="Note 2 3 2 2" xfId="1589" xr:uid="{1ABB964B-AB88-4168-8B1B-7D14F27525B5}"/>
    <cellStyle name="Note 2 3 3" xfId="1069" xr:uid="{E7AB81ED-C5BD-4B18-B8E1-502D044A63FA}"/>
    <cellStyle name="Note 2 3 4" xfId="2019" xr:uid="{218996AE-B159-4F5F-B6C7-7AD478FA6B28}"/>
    <cellStyle name="Note 2 4" xfId="375" xr:uid="{193F4FCB-D040-40F3-878A-A9B4DBDD78A6}"/>
    <cellStyle name="Note 2 4 2" xfId="1200" xr:uid="{E4C733F6-2E30-46DF-BF9D-C30F4D1B44CB}"/>
    <cellStyle name="Note 2 4 3" xfId="1081" xr:uid="{D670970D-8304-4A83-8657-B3FD8A6AE43F}"/>
    <cellStyle name="Note 2 4 4" xfId="2020" xr:uid="{A3DD43E4-1555-4A40-ACBE-8E558C7C4DC8}"/>
    <cellStyle name="Note 2 5" xfId="647" xr:uid="{CD1DBA4F-F6B1-420D-B095-3460FFA3685A}"/>
    <cellStyle name="Note 2 5 2" xfId="1201" xr:uid="{0AEF06F2-7FF6-47F6-A512-A745EC858405}"/>
    <cellStyle name="Note 2 6" xfId="1235" xr:uid="{07941454-1B94-4F3F-B43A-9C7F3836A1DE}"/>
    <cellStyle name="Note 2 6 2" xfId="1588" xr:uid="{0DC788E1-CAB9-421C-97A5-DBE3DD59DAF0}"/>
    <cellStyle name="Note 2 7" xfId="1515" xr:uid="{903BF2F1-B226-4BD6-9713-C01206994E91}"/>
    <cellStyle name="Note 2 7 2" xfId="1609" xr:uid="{D2D4FA49-C574-49EE-97A5-95D040DF1A3F}"/>
    <cellStyle name="Note 2 8" xfId="709" xr:uid="{0F4977E8-66EC-4DB0-90B4-8D5AB76CA3E8}"/>
    <cellStyle name="Note 20" xfId="332" xr:uid="{6B606335-B7DF-4530-9977-585A4A492075}"/>
    <cellStyle name="Note 20 2" xfId="649" xr:uid="{246DA976-0015-4D5E-B254-D7A3073E3926}"/>
    <cellStyle name="Note 20 2 2" xfId="1202" xr:uid="{5038CB38-BB8B-47EB-B07C-E4740C5060CC}"/>
    <cellStyle name="Note 20 3" xfId="1544" xr:uid="{B4A74D2D-8805-4FBC-A27A-784C1C5F68C6}"/>
    <cellStyle name="Note 20 4" xfId="708" xr:uid="{A8B0D687-3A9D-4F41-869D-7963AC978794}"/>
    <cellStyle name="Note 21" xfId="333" xr:uid="{03D01E33-BB55-48E9-8415-279CAF2576EC}"/>
    <cellStyle name="Note 21 2" xfId="650" xr:uid="{1D002230-4C82-4CE3-B4A8-62E648B91F32}"/>
    <cellStyle name="Note 21 2 2" xfId="1203" xr:uid="{855C508B-2396-4CC0-A3D6-6C74B1D98206}"/>
    <cellStyle name="Note 21 3" xfId="1545" xr:uid="{56BD4DEC-2BEF-4BA1-9F71-5468B82A5549}"/>
    <cellStyle name="Note 21 4" xfId="707" xr:uid="{9329F5CC-9F19-4A41-A5E3-BA81096495C0}"/>
    <cellStyle name="Note 22" xfId="334" xr:uid="{E61E4ABB-7159-4F56-833F-D44A5CE6DC9B}"/>
    <cellStyle name="Note 22 2" xfId="651" xr:uid="{8100E3F7-3BE6-4E74-BE51-0B8B111C40D7}"/>
    <cellStyle name="Note 22 2 2" xfId="1204" xr:uid="{E8BA5241-4204-4D3A-B3D9-4A27C10F9C41}"/>
    <cellStyle name="Note 22 3" xfId="1546" xr:uid="{EAFF51AA-F8D5-49E9-8405-26D0E2229861}"/>
    <cellStyle name="Note 22 4" xfId="706" xr:uid="{70E99EC1-12F3-4B5E-8732-9FC7B7C51972}"/>
    <cellStyle name="Note 23" xfId="439" xr:uid="{B61C7E8E-BFAD-43D0-88CD-371CBBEFFEC6}"/>
    <cellStyle name="Note 23 2" xfId="538" xr:uid="{C1641F29-812C-4D76-805D-85697627975A}"/>
    <cellStyle name="Note 23 2 2" xfId="1205" xr:uid="{AC1F1D16-4053-4468-B368-A194CFE502BF}"/>
    <cellStyle name="Note 23 2 3" xfId="2021" xr:uid="{62DF8B79-4065-45FE-85E5-E4DAA05C3EE7}"/>
    <cellStyle name="Note 23 3" xfId="1045" xr:uid="{B02DF88E-1D71-4403-AF99-EE3DE081BD42}"/>
    <cellStyle name="Note 24" xfId="462" xr:uid="{7FE7A642-1733-4199-8221-5713793DEB28}"/>
    <cellStyle name="Note 24 10" xfId="3939" xr:uid="{85C4688C-5F45-4C93-B9FB-45C6C09412BE}"/>
    <cellStyle name="Note 24 10 2" xfId="7609" xr:uid="{3B39EBA3-BA59-4BCF-BD3E-674A0332ABDF}"/>
    <cellStyle name="Note 24 10 2 2" xfId="15116" xr:uid="{2A9D72AF-87E6-48CF-96F9-49D77345C89C}"/>
    <cellStyle name="Note 24 10 2 2 2" xfId="31320" xr:uid="{CD5E5D45-E797-4DF3-8470-10AD1B9CF2E8}"/>
    <cellStyle name="Note 24 10 2 3" xfId="23813" xr:uid="{466FD8D6-F37A-4F1D-8459-B58D1BBBF65E}"/>
    <cellStyle name="Note 24 10 3" xfId="11502" xr:uid="{DB49E27E-7C11-46A9-9D8A-2384C871E760}"/>
    <cellStyle name="Note 24 10 3 2" xfId="27706" xr:uid="{A15F7385-4939-478B-BFD0-0160D08F414A}"/>
    <cellStyle name="Note 24 10 4" xfId="20143" xr:uid="{AAC8E9E2-403C-4258-B5F6-8C8EC97662FC}"/>
    <cellStyle name="Note 24 11" xfId="4364" xr:uid="{2134BE36-1466-439F-B7D0-737F4CBDE864}"/>
    <cellStyle name="Note 24 11 2" xfId="8034" xr:uid="{1B26E804-9802-406E-986D-A4FA7F782AFF}"/>
    <cellStyle name="Note 24 11 2 2" xfId="15541" xr:uid="{69B71F91-1C05-4A22-B543-CEBD17A27ADF}"/>
    <cellStyle name="Note 24 11 2 2 2" xfId="31745" xr:uid="{70E56557-35BD-4D89-93B7-C3C1C02E061C}"/>
    <cellStyle name="Note 24 11 2 3" xfId="24238" xr:uid="{E0351456-CD2B-4A0D-837F-FCB9E4185D97}"/>
    <cellStyle name="Note 24 11 3" xfId="11927" xr:uid="{480575C6-4F81-4D3C-A853-12098868CD04}"/>
    <cellStyle name="Note 24 11 3 2" xfId="28131" xr:uid="{62B76ECE-5784-4C8C-BBD3-2E24F80D87D8}"/>
    <cellStyle name="Note 24 11 4" xfId="20568" xr:uid="{2B70F832-8CE7-4C06-A42A-AD4C478F1026}"/>
    <cellStyle name="Note 24 12" xfId="4787" xr:uid="{938855B4-5F35-482B-B287-845027907DEF}"/>
    <cellStyle name="Note 24 12 2" xfId="8456" xr:uid="{83A48DFB-D5C5-4C43-8095-A698F6426AEC}"/>
    <cellStyle name="Note 24 12 2 2" xfId="15963" xr:uid="{E21C399D-D1C6-46F3-8A15-005101F42374}"/>
    <cellStyle name="Note 24 12 2 2 2" xfId="32167" xr:uid="{B5D1488C-B1B7-4260-9851-D4B6C1503F32}"/>
    <cellStyle name="Note 24 12 2 3" xfId="24660" xr:uid="{16D03AD8-A29A-4DC5-B098-1CABF8C0F352}"/>
    <cellStyle name="Note 24 12 3" xfId="12349" xr:uid="{50912A68-5990-4D8B-8CF2-C0B614AD1B3C}"/>
    <cellStyle name="Note 24 12 3 2" xfId="28553" xr:uid="{CC9C5B6A-7ED8-4927-B720-FCBD42D1D4C7}"/>
    <cellStyle name="Note 24 12 4" xfId="20991" xr:uid="{56343567-8475-478B-A1F9-DEC5CE4140BF}"/>
    <cellStyle name="Note 24 13" xfId="5273" xr:uid="{6B336025-C466-4E5C-8111-9441315188FF}"/>
    <cellStyle name="Note 24 13 2" xfId="12822" xr:uid="{68D55785-9295-43EF-AF6C-ED81496996DE}"/>
    <cellStyle name="Note 24 13 2 2" xfId="29026" xr:uid="{BD0E197B-85C3-4D97-8FD2-AA8751455660}"/>
    <cellStyle name="Note 24 13 3" xfId="21477" xr:uid="{6FABB85A-6D24-47D6-ABA5-B8A1BC4A861D}"/>
    <cellStyle name="Note 24 14" xfId="9390" xr:uid="{16F88ACC-F396-4EF4-B7CC-14F0067CA998}"/>
    <cellStyle name="Note 24 14 2" xfId="25594" xr:uid="{87B66CD7-3EB1-4D78-88BA-20B5962BE246}"/>
    <cellStyle name="Note 24 15" xfId="17904" xr:uid="{4BBE8C79-81A8-47BB-90F5-104CE11D5FA9}"/>
    <cellStyle name="Note 24 2" xfId="500" xr:uid="{C40AB2DA-289C-4ED1-8233-9521275F3276}"/>
    <cellStyle name="Note 24 2 10" xfId="4810" xr:uid="{001D07AB-C22B-4F02-9850-1418BF9E2B52}"/>
    <cellStyle name="Note 24 2 10 2" xfId="8479" xr:uid="{EE67A361-58F6-4385-8ACC-D7D5BB3C2680}"/>
    <cellStyle name="Note 24 2 10 2 2" xfId="15986" xr:uid="{47F6BA68-4BD6-4F0A-A8B5-819F7314EE9B}"/>
    <cellStyle name="Note 24 2 10 2 2 2" xfId="32190" xr:uid="{6D7B43CB-D255-404B-BBA0-6DC39C615774}"/>
    <cellStyle name="Note 24 2 10 2 3" xfId="24683" xr:uid="{0FBB2067-109E-44FB-B332-832AA7709E33}"/>
    <cellStyle name="Note 24 2 10 3" xfId="12371" xr:uid="{8DD6FB09-0C8D-4DA5-B470-DB0DD7207875}"/>
    <cellStyle name="Note 24 2 10 3 2" xfId="28575" xr:uid="{B4ADC86C-7D16-4F73-8CEA-49EDD5AC44F2}"/>
    <cellStyle name="Note 24 2 10 4" xfId="21014" xr:uid="{32462F10-E76A-4507-AEC3-1F5F30CFA99D}"/>
    <cellStyle name="Note 24 2 11" xfId="5297" xr:uid="{F72E57C9-DEC7-4A4A-9710-6D06117A4A88}"/>
    <cellStyle name="Note 24 2 11 2" xfId="12846" xr:uid="{2BEBA010-6D20-4D2D-B8B3-288F08259BB9}"/>
    <cellStyle name="Note 24 2 11 2 2" xfId="29050" xr:uid="{2DF9B7B7-EBB3-49B3-892A-5C2CD1761536}"/>
    <cellStyle name="Note 24 2 11 3" xfId="21501" xr:uid="{68506886-64CD-4217-88E6-D28CB4E37D47}"/>
    <cellStyle name="Note 24 2 12" xfId="9412" xr:uid="{EA25A8EB-2BA5-439F-94A6-F55D6A97E4F1}"/>
    <cellStyle name="Note 24 2 12 2" xfId="25616" xr:uid="{29D487ED-0D3F-46CF-A365-D8A19072920A}"/>
    <cellStyle name="Note 24 2 13" xfId="17927" xr:uid="{E7EDB408-7338-49D1-AC4D-04F8DF6FEEE6}"/>
    <cellStyle name="Note 24 2 2" xfId="571" xr:uid="{16C16936-DB72-49C2-B6DC-48D35B726ECA}"/>
    <cellStyle name="Note 24 2 2 10" xfId="5364" xr:uid="{A5B0BA39-5497-422E-9966-8F78273F55D1}"/>
    <cellStyle name="Note 24 2 2 10 2" xfId="12913" xr:uid="{C9AC9831-FC4A-4CF4-9563-09CABD2EB256}"/>
    <cellStyle name="Note 24 2 2 10 2 2" xfId="29117" xr:uid="{4393D4D8-D25E-43C0-84FA-2772CFE2BB1C}"/>
    <cellStyle name="Note 24 2 2 10 3" xfId="21568" xr:uid="{D8223753-34E7-4625-AAB2-F18DD0DE3803}"/>
    <cellStyle name="Note 24 2 2 11" xfId="9479" xr:uid="{5B4CAB8D-5059-465C-A848-86043616D0C6}"/>
    <cellStyle name="Note 24 2 2 11 2" xfId="25683" xr:uid="{CFA13AE9-C628-47F3-84DC-81525A72BA7B}"/>
    <cellStyle name="Note 24 2 2 12" xfId="17995" xr:uid="{CB0B14C6-E243-47F2-8786-30BD04979B57}"/>
    <cellStyle name="Note 24 2 2 2" xfId="2022" xr:uid="{553C4EF2-2DAC-4F7A-BA87-00CEC63C0774}"/>
    <cellStyle name="Note 24 2 2 2 10" xfId="9796" xr:uid="{ADEF46EA-F534-4AF6-85F7-76C290289ADF}"/>
    <cellStyle name="Note 24 2 2 2 10 2" xfId="26000" xr:uid="{47F43D41-B366-49D5-BC5A-F281B0009D03}"/>
    <cellStyle name="Note 24 2 2 2 11" xfId="18320" xr:uid="{B368A451-02FC-404A-96B4-5332A0DD8CAA}"/>
    <cellStyle name="Note 24 2 2 2 2" xfId="2523" xr:uid="{E27A9610-55B0-4CD4-8DE2-E5DC8732C5F5}"/>
    <cellStyle name="Note 24 2 2 2 2 2" xfId="3370" xr:uid="{8230D71E-8D09-4B2D-BD2C-4906A724C63C}"/>
    <cellStyle name="Note 24 2 2 2 2 2 2" xfId="7152" xr:uid="{E926E692-9DF4-4A59-96CA-D731689EF573}"/>
    <cellStyle name="Note 24 2 2 2 2 2 2 2" xfId="14663" xr:uid="{CD8BCF84-4CBD-4AC5-93A3-A7D7CF848F4A}"/>
    <cellStyle name="Note 24 2 2 2 2 2 2 2 2" xfId="30867" xr:uid="{E9765A79-962C-420F-94BA-C9E5BE6D0574}"/>
    <cellStyle name="Note 24 2 2 2 2 2 2 3" xfId="23356" xr:uid="{538258CE-AECF-4069-9C05-15F953976ABB}"/>
    <cellStyle name="Note 24 2 2 2 2 2 3" xfId="11063" xr:uid="{2B92B00E-B5F7-4585-B0AF-614DD47692B8}"/>
    <cellStyle name="Note 24 2 2 2 2 2 3 2" xfId="27267" xr:uid="{DC445B5E-A006-425A-B06B-C6F1D297094C}"/>
    <cellStyle name="Note 24 2 2 2 2 2 4" xfId="19590" xr:uid="{63C56CAD-DB21-4505-81BF-3884429BC36D}"/>
    <cellStyle name="Note 24 2 2 2 2 3" xfId="6307" xr:uid="{F5B11044-66E9-4911-822B-AF7E2FBEDFE9}"/>
    <cellStyle name="Note 24 2 2 2 2 3 2" xfId="13819" xr:uid="{E67E44DE-D8C9-43BE-A1BA-1C025167DE33}"/>
    <cellStyle name="Note 24 2 2 2 2 3 2 2" xfId="30023" xr:uid="{2C2E7B12-B7B3-4AE0-BD18-0C0F1C2ABCBB}"/>
    <cellStyle name="Note 24 2 2 2 2 3 3" xfId="22511" xr:uid="{6D4CF1AA-3FE7-4512-B6B1-67710505D980}"/>
    <cellStyle name="Note 24 2 2 2 2 4" xfId="10219" xr:uid="{31C6A0EC-98BF-4561-B13D-73E8E229D405}"/>
    <cellStyle name="Note 24 2 2 2 2 4 2" xfId="26423" xr:uid="{81CD3D17-33D1-4576-ACB3-FB50ABC032B8}"/>
    <cellStyle name="Note 24 2 2 2 2 5" xfId="18745" xr:uid="{F762B2B7-1128-4936-B583-8131DAB9E850}"/>
    <cellStyle name="Note 24 2 2 2 3" xfId="2945" xr:uid="{8026474F-EAEC-48A3-9099-DF58EF85634B}"/>
    <cellStyle name="Note 24 2 2 2 3 2" xfId="6729" xr:uid="{7075C6AF-48D3-4B0F-B05E-C5A8029E3EAF}"/>
    <cellStyle name="Note 24 2 2 2 3 2 2" xfId="14241" xr:uid="{E43AE305-CCE3-4D06-9A7A-9839C28DEEEF}"/>
    <cellStyle name="Note 24 2 2 2 3 2 2 2" xfId="30445" xr:uid="{05581D26-5784-4C29-BB72-FD5EFD52F7FE}"/>
    <cellStyle name="Note 24 2 2 2 3 2 3" xfId="22933" xr:uid="{743378BA-8761-4A1B-85F8-23E6060A15F2}"/>
    <cellStyle name="Note 24 2 2 2 3 3" xfId="10641" xr:uid="{9D64F23D-8FE9-458E-8223-03F43BF5F0E1}"/>
    <cellStyle name="Note 24 2 2 2 3 3 2" xfId="26845" xr:uid="{AA410747-3D0E-4E66-BE2A-7FA0D2B38FBF}"/>
    <cellStyle name="Note 24 2 2 2 3 4" xfId="19167" xr:uid="{CD78428B-25C5-4FB7-BE0E-A94B947A2ECA}"/>
    <cellStyle name="Note 24 2 2 2 4" xfId="3876" xr:uid="{09EB7462-0DED-491F-850F-D3FD0E77CE81}"/>
    <cellStyle name="Note 24 2 2 2 4 2" xfId="7586" xr:uid="{2358E1C8-8F2C-4B98-9533-706112C2C8E5}"/>
    <cellStyle name="Note 24 2 2 2 4 2 2" xfId="15095" xr:uid="{5D90EBC1-009C-4A79-911D-3874769E7DFD}"/>
    <cellStyle name="Note 24 2 2 2 4 2 2 2" xfId="31299" xr:uid="{762D8CF0-17AE-4190-A166-F93086BDEA8D}"/>
    <cellStyle name="Note 24 2 2 2 4 2 3" xfId="23790" xr:uid="{BA5AE50A-97E7-47B2-A88F-F3B03D980658}"/>
    <cellStyle name="Note 24 2 2 2 4 3" xfId="11486" xr:uid="{4034C303-3F7B-4C07-8933-D6577B736EF4}"/>
    <cellStyle name="Note 24 2 2 2 4 3 2" xfId="27690" xr:uid="{631B5D2B-9963-4599-AE79-E9FC14A0F3F5}"/>
    <cellStyle name="Note 24 2 2 2 4 4" xfId="20085" xr:uid="{5922AAAB-422B-4122-A746-8E978B0C5305}"/>
    <cellStyle name="Note 24 2 2 2 5" xfId="3558" xr:uid="{35490E03-7089-4E44-94D8-94CE65FFE645}"/>
    <cellStyle name="Note 24 2 2 2 6" xfId="4345" xr:uid="{D408BA7F-6E42-4ABF-BD97-DA4E1C333C5A}"/>
    <cellStyle name="Note 24 2 2 2 6 2" xfId="8015" xr:uid="{E17874BE-6571-4716-8BAE-3544DA412243}"/>
    <cellStyle name="Note 24 2 2 2 6 2 2" xfId="15522" xr:uid="{3C55F500-445B-4829-9558-70B222D70946}"/>
    <cellStyle name="Note 24 2 2 2 6 2 2 2" xfId="31726" xr:uid="{4DFCA19F-E942-4A70-AF1B-21B4932EE846}"/>
    <cellStyle name="Note 24 2 2 2 6 2 3" xfId="24219" xr:uid="{35AFDE3C-CE6B-4423-97BE-3551C771FE84}"/>
    <cellStyle name="Note 24 2 2 2 6 3" xfId="11908" xr:uid="{7015490C-671A-40DB-87AC-4F1450916714}"/>
    <cellStyle name="Note 24 2 2 2 6 3 2" xfId="28112" xr:uid="{408F909A-6A17-4304-9C86-72074A4D503E}"/>
    <cellStyle name="Note 24 2 2 2 6 4" xfId="20549" xr:uid="{3A6A701E-4FA9-4CCD-8C4A-F3D3A7F80E59}"/>
    <cellStyle name="Note 24 2 2 2 7" xfId="4770" xr:uid="{22BCB846-6131-4E85-8C01-04977D915CAC}"/>
    <cellStyle name="Note 24 2 2 2 7 2" xfId="8440" xr:uid="{C2BF0346-F0C1-452B-AF32-B76356DD83E0}"/>
    <cellStyle name="Note 24 2 2 2 7 2 2" xfId="15947" xr:uid="{4441DBDF-1E37-43D1-9DCF-017DD91C9EBB}"/>
    <cellStyle name="Note 24 2 2 2 7 2 2 2" xfId="32151" xr:uid="{FEAD6C4A-612A-479E-959B-C3B5A7C371CA}"/>
    <cellStyle name="Note 24 2 2 2 7 2 3" xfId="24644" xr:uid="{B392B18C-9C3A-422A-88E8-802EB3017CC0}"/>
    <cellStyle name="Note 24 2 2 2 7 3" xfId="12333" xr:uid="{A5B1AE51-A335-47FC-93D1-5366BA74F732}"/>
    <cellStyle name="Note 24 2 2 2 7 3 2" xfId="28537" xr:uid="{81F15214-8A20-4D97-BA46-3A58227B667C}"/>
    <cellStyle name="Note 24 2 2 2 7 4" xfId="20974" xr:uid="{AD7D8030-7FFD-41EF-BA11-F7E7EEABD2C5}"/>
    <cellStyle name="Note 24 2 2 2 8" xfId="5198" xr:uid="{4A1FEBD1-E4F3-4D61-B834-871BD8F161EC}"/>
    <cellStyle name="Note 24 2 2 2 8 2" xfId="8863" xr:uid="{517AE81B-49CF-4355-9D34-9B85ADC396D1}"/>
    <cellStyle name="Note 24 2 2 2 8 2 2" xfId="16370" xr:uid="{294C4E60-1204-4D14-AF4A-DB085ACCA487}"/>
    <cellStyle name="Note 24 2 2 2 8 2 2 2" xfId="32574" xr:uid="{682E25FC-4708-4183-AEA3-73ECB69AEB9A}"/>
    <cellStyle name="Note 24 2 2 2 8 2 3" xfId="25067" xr:uid="{F3422622-F787-44A0-AECA-F80410C224D5}"/>
    <cellStyle name="Note 24 2 2 2 8 3" xfId="12755" xr:uid="{600A8A14-6C9D-4AC2-A3F6-0CF4D98F0DB4}"/>
    <cellStyle name="Note 24 2 2 2 8 3 2" xfId="28959" xr:uid="{D169F400-E556-4C46-B99B-406058450B55}"/>
    <cellStyle name="Note 24 2 2 2 8 4" xfId="21402" xr:uid="{070E026C-D0DD-4D88-B30C-AD73549ECC98}"/>
    <cellStyle name="Note 24 2 2 2 9" xfId="5869" xr:uid="{038D4AC3-C491-4EB0-9728-6E2B9C30A489}"/>
    <cellStyle name="Note 24 2 2 2 9 2" xfId="13384" xr:uid="{78971BC3-F111-48D1-BAA1-34E88FAB0E54}"/>
    <cellStyle name="Note 24 2 2 2 9 2 2" xfId="29588" xr:uid="{A3A16E96-480A-4733-BE81-5D306F95889D}"/>
    <cellStyle name="Note 24 2 2 2 9 3" xfId="22073" xr:uid="{560FFCAD-4F0C-45C6-8E06-D9924B3689D0}"/>
    <cellStyle name="Note 24 2 2 3" xfId="2140" xr:uid="{CD4D1F40-BBF1-4BAE-864D-8C709ABEDDF7}"/>
    <cellStyle name="Note 24 2 2 3 2" xfId="3053" xr:uid="{90EC6BB8-A6E1-47E7-B0AD-AE73D43F6922}"/>
    <cellStyle name="Note 24 2 2 3 2 2" xfId="6835" xr:uid="{DC99012B-EF26-4AAB-A67A-42C57257913B}"/>
    <cellStyle name="Note 24 2 2 3 2 2 2" xfId="14346" xr:uid="{0430C797-9AFD-4489-83F6-54A6C2ADA152}"/>
    <cellStyle name="Note 24 2 2 3 2 2 2 2" xfId="30550" xr:uid="{64E9A0F6-B53E-4E30-B94D-CC9DC599C421}"/>
    <cellStyle name="Note 24 2 2 3 2 2 3" xfId="23039" xr:uid="{4A8736D2-C1F0-478B-B19A-66DE5F468E7E}"/>
    <cellStyle name="Note 24 2 2 3 2 3" xfId="10746" xr:uid="{F1B6A3B1-C331-44D4-A7AB-15ABAC120785}"/>
    <cellStyle name="Note 24 2 2 3 2 3 2" xfId="26950" xr:uid="{B4DB7DEC-844A-487F-A712-D2A65D36A19F}"/>
    <cellStyle name="Note 24 2 2 3 2 4" xfId="19273" xr:uid="{AEAB2B92-9705-4128-BB84-E5AD35AB048E}"/>
    <cellStyle name="Note 24 2 2 3 3" xfId="5979" xr:uid="{1FEED20B-E76A-4044-BF59-52FC3838D5E2}"/>
    <cellStyle name="Note 24 2 2 3 3 2" xfId="13493" xr:uid="{635D99FA-BAA1-493E-B882-4D34CDB37A0B}"/>
    <cellStyle name="Note 24 2 2 3 3 2 2" xfId="29697" xr:uid="{C4309822-2E0D-467D-9565-1AEE5597196D}"/>
    <cellStyle name="Note 24 2 2 3 3 3" xfId="22183" xr:uid="{65EF792D-8BE5-4F98-9F22-9F093EFCED9B}"/>
    <cellStyle name="Note 24 2 2 3 4" xfId="9902" xr:uid="{448E969C-D7C9-4A66-B02E-550B1565F720}"/>
    <cellStyle name="Note 24 2 2 3 4 2" xfId="26106" xr:uid="{C276A9D3-9E43-43BE-BE2A-CA5FBA905905}"/>
    <cellStyle name="Note 24 2 2 3 5" xfId="18427" xr:uid="{5E88A32F-B2B6-41A0-A281-547BC598ECEA}"/>
    <cellStyle name="Note 24 2 2 4" xfId="2628" xr:uid="{0672F6A2-5D6E-47A8-8072-392075889502}"/>
    <cellStyle name="Note 24 2 2 4 2" xfId="6412" xr:uid="{6CD88A1F-BD32-4824-8574-9DF4B39938F2}"/>
    <cellStyle name="Note 24 2 2 4 2 2" xfId="13924" xr:uid="{8CE15FFE-AF77-4CC2-A10A-E196C0848C8C}"/>
    <cellStyle name="Note 24 2 2 4 2 2 2" xfId="30128" xr:uid="{444A8270-B06B-4511-84FE-967479D16959}"/>
    <cellStyle name="Note 24 2 2 4 2 3" xfId="22616" xr:uid="{A47E24F0-E6D4-4A01-8A71-3EADB74BD6A5}"/>
    <cellStyle name="Note 24 2 2 4 3" xfId="10324" xr:uid="{F07587EC-2483-459A-81A3-3016952D0572}"/>
    <cellStyle name="Note 24 2 2 4 3 2" xfId="26528" xr:uid="{5C6DCFE0-0326-4557-BDFA-D30F8645D43C}"/>
    <cellStyle name="Note 24 2 2 4 4" xfId="18850" xr:uid="{A17F95B2-E8D6-4EA3-A9E1-BEA62E8EDBDD}"/>
    <cellStyle name="Note 24 2 2 5" xfId="3504" xr:uid="{6ED75961-9992-4BD5-883F-215736C2D0F4}"/>
    <cellStyle name="Note 24 2 2 5 2" xfId="7262" xr:uid="{E5852698-9913-4C77-9931-737AEE1C44ED}"/>
    <cellStyle name="Note 24 2 2 5 2 2" xfId="14772" xr:uid="{0F222D13-D3D7-4E5C-B0B7-7D0F152DAF70}"/>
    <cellStyle name="Note 24 2 2 5 2 2 2" xfId="30976" xr:uid="{7DACFD47-BE7D-412E-8C97-ECBDB620204E}"/>
    <cellStyle name="Note 24 2 2 5 2 3" xfId="23466" xr:uid="{B93777D9-DFD5-4C94-ACEF-7C0C23CA63D1}"/>
    <cellStyle name="Note 24 2 2 5 3" xfId="11169" xr:uid="{187EA8E5-77DD-4FE3-9803-8ABC7357EFF7}"/>
    <cellStyle name="Note 24 2 2 5 3 2" xfId="27373" xr:uid="{9F8ED8A9-E412-4D27-8521-AE07049A68FB}"/>
    <cellStyle name="Note 24 2 2 5 4" xfId="19720" xr:uid="{83E1E4F4-66FE-45BB-B4FD-F58F40AAED36}"/>
    <cellStyle name="Note 24 2 2 6" xfId="3561" xr:uid="{2635F8A5-C5FE-4DA5-A30B-2621F0E7BFCE}"/>
    <cellStyle name="Note 24 2 2 7" xfId="4028" xr:uid="{2FC90EEC-9631-42AC-8C9A-E574F0408959}"/>
    <cellStyle name="Note 24 2 2 7 2" xfId="7698" xr:uid="{9264D513-A2DE-4583-8E08-A077BBB78EA3}"/>
    <cellStyle name="Note 24 2 2 7 2 2" xfId="15205" xr:uid="{53181DB6-4D0A-45BF-8EA9-EC11D1CCAD74}"/>
    <cellStyle name="Note 24 2 2 7 2 2 2" xfId="31409" xr:uid="{FC7BD304-933E-42D4-8482-63C8F894CCC4}"/>
    <cellStyle name="Note 24 2 2 7 2 3" xfId="23902" xr:uid="{B69E287F-723C-49FD-9123-7EFF442EC6ED}"/>
    <cellStyle name="Note 24 2 2 7 3" xfId="11591" xr:uid="{4837A0F6-65B6-4B9D-B2EF-3AF6F80556FD}"/>
    <cellStyle name="Note 24 2 2 7 3 2" xfId="27795" xr:uid="{D94481E2-CA93-4A3B-95E9-84CB010FA05D}"/>
    <cellStyle name="Note 24 2 2 7 4" xfId="20232" xr:uid="{EC746364-97B1-414F-B93F-4B3641C1F996}"/>
    <cellStyle name="Note 24 2 2 8" xfId="4453" xr:uid="{A0159888-11B5-4741-A260-68E528D3A579}"/>
    <cellStyle name="Note 24 2 2 8 2" xfId="8123" xr:uid="{023310D6-FADE-4FB2-85D4-AA73CF262406}"/>
    <cellStyle name="Note 24 2 2 8 2 2" xfId="15630" xr:uid="{E27EF1B5-A128-4B04-BE51-D17E9A728F87}"/>
    <cellStyle name="Note 24 2 2 8 2 2 2" xfId="31834" xr:uid="{5E9AE294-BC09-40F1-AD67-D1201820BE92}"/>
    <cellStyle name="Note 24 2 2 8 2 3" xfId="24327" xr:uid="{1FCFA058-0A01-44AD-ADC8-42C2762636C6}"/>
    <cellStyle name="Note 24 2 2 8 3" xfId="12016" xr:uid="{69618F3C-31AF-4076-B240-7C5728C6A6AB}"/>
    <cellStyle name="Note 24 2 2 8 3 2" xfId="28220" xr:uid="{0177B511-2EEE-4A7E-8B37-9E71C268A741}"/>
    <cellStyle name="Note 24 2 2 8 4" xfId="20657" xr:uid="{BE3F58DC-9B8B-4E4C-B9F5-410AEF2623AA}"/>
    <cellStyle name="Note 24 2 2 9" xfId="4878" xr:uid="{5327C5EE-E2B5-41FC-B4C4-F6F913AA36A5}"/>
    <cellStyle name="Note 24 2 2 9 2" xfId="8546" xr:uid="{31B0F395-6184-4D55-A584-C76CB0B63E4D}"/>
    <cellStyle name="Note 24 2 2 9 2 2" xfId="16053" xr:uid="{F366C637-AFD4-43F0-B9FB-21CC2E621174}"/>
    <cellStyle name="Note 24 2 2 9 2 2 2" xfId="32257" xr:uid="{432C1CC8-F382-4709-9059-A5251CF0A9C3}"/>
    <cellStyle name="Note 24 2 2 9 2 3" xfId="24750" xr:uid="{D5D431CE-7333-45CD-AF1D-0085955C94BB}"/>
    <cellStyle name="Note 24 2 2 9 3" xfId="12438" xr:uid="{D8A1A1B6-CC15-45F1-88B1-177728052D6F}"/>
    <cellStyle name="Note 24 2 2 9 3 2" xfId="28642" xr:uid="{8DE3F4C6-45E4-42D4-BC18-706505B4F830}"/>
    <cellStyle name="Note 24 2 2 9 4" xfId="21082" xr:uid="{2714C0E4-B170-49C7-95E5-1B17E42F4EEC}"/>
    <cellStyle name="Note 24 2 3" xfId="2023" xr:uid="{A81BF9F2-F152-4068-AB87-76F62DA273B9}"/>
    <cellStyle name="Note 24 2 3 10" xfId="9797" xr:uid="{97A41C01-4B85-488F-A320-53F90CF3F71E}"/>
    <cellStyle name="Note 24 2 3 10 2" xfId="26001" xr:uid="{8F61CD58-307B-41FA-80D1-91D147249C7E}"/>
    <cellStyle name="Note 24 2 3 11" xfId="18321" xr:uid="{79C1C3A4-6509-4900-99BB-11F0376DCB8C}"/>
    <cellStyle name="Note 24 2 3 2" xfId="2524" xr:uid="{607F4DAC-0643-4E15-9646-C9CD92138800}"/>
    <cellStyle name="Note 24 2 3 2 2" xfId="3371" xr:uid="{16446F48-AF3C-4AC3-B436-1621D861146C}"/>
    <cellStyle name="Note 24 2 3 2 2 2" xfId="7153" xr:uid="{6E2BA3C8-7FAA-4E82-AE0A-387649E87E89}"/>
    <cellStyle name="Note 24 2 3 2 2 2 2" xfId="14664" xr:uid="{233E421C-DBAC-418B-9436-402EDAD2F6B2}"/>
    <cellStyle name="Note 24 2 3 2 2 2 2 2" xfId="30868" xr:uid="{132B173F-E04B-47EB-BB59-7FC1F7B2B9DE}"/>
    <cellStyle name="Note 24 2 3 2 2 2 3" xfId="23357" xr:uid="{3CFFD8E6-5AB6-4210-B4E6-2B8F29B40F5C}"/>
    <cellStyle name="Note 24 2 3 2 2 3" xfId="11064" xr:uid="{BCF5AD10-4D28-4EB9-A0E1-291A3ABB8E6E}"/>
    <cellStyle name="Note 24 2 3 2 2 3 2" xfId="27268" xr:uid="{5E205744-7585-4B1D-854B-9DC1F60F4F18}"/>
    <cellStyle name="Note 24 2 3 2 2 4" xfId="19591" xr:uid="{C62D085B-F88E-403D-A3AF-92F9819FAC0A}"/>
    <cellStyle name="Note 24 2 3 2 3" xfId="6308" xr:uid="{9383E976-F1AD-4352-AA7E-42FAD0362EEE}"/>
    <cellStyle name="Note 24 2 3 2 3 2" xfId="13820" xr:uid="{A6C9DB95-C75F-4954-AE79-C07045CFF709}"/>
    <cellStyle name="Note 24 2 3 2 3 2 2" xfId="30024" xr:uid="{147304AF-290B-4CAC-BD20-D80CE38617FC}"/>
    <cellStyle name="Note 24 2 3 2 3 3" xfId="22512" xr:uid="{2E8F507D-B39B-46EF-B98E-0B80C2002121}"/>
    <cellStyle name="Note 24 2 3 2 4" xfId="10220" xr:uid="{CBAB32A7-C2D3-4BA9-A693-A398DAB98B52}"/>
    <cellStyle name="Note 24 2 3 2 4 2" xfId="26424" xr:uid="{BDEBD197-F327-427E-B259-8F4838B2297D}"/>
    <cellStyle name="Note 24 2 3 2 5" xfId="18746" xr:uid="{8F113288-4A36-4A39-9CF4-D8C25FF768E6}"/>
    <cellStyle name="Note 24 2 3 3" xfId="2946" xr:uid="{DD87CD9D-41F0-456A-B8DC-9375B8719BE8}"/>
    <cellStyle name="Note 24 2 3 3 2" xfId="6730" xr:uid="{117E4FC1-F1F0-421D-9D69-55DB53B82F35}"/>
    <cellStyle name="Note 24 2 3 3 2 2" xfId="14242" xr:uid="{AE56AA58-11D1-4ECD-A6E2-755561513829}"/>
    <cellStyle name="Note 24 2 3 3 2 2 2" xfId="30446" xr:uid="{6D6D0DCD-DF85-470D-B78D-3113BD139047}"/>
    <cellStyle name="Note 24 2 3 3 2 3" xfId="22934" xr:uid="{F26801E1-E3FF-41EB-9531-12431D4E2FD9}"/>
    <cellStyle name="Note 24 2 3 3 3" xfId="10642" xr:uid="{15384427-4A5E-4F57-B003-FC955E2F1C4B}"/>
    <cellStyle name="Note 24 2 3 3 3 2" xfId="26846" xr:uid="{660D00CC-8811-4DAE-BE24-6559FEFDA1FC}"/>
    <cellStyle name="Note 24 2 3 3 4" xfId="19168" xr:uid="{95225BB5-D89C-43CC-BAA1-402E59B9F529}"/>
    <cellStyle name="Note 24 2 3 4" xfId="3877" xr:uid="{E4EE8124-7760-43EC-8170-A71F8A4FD8D9}"/>
    <cellStyle name="Note 24 2 3 4 2" xfId="7587" xr:uid="{572BC933-7704-48A2-BA6F-B9AEA7D3B203}"/>
    <cellStyle name="Note 24 2 3 4 2 2" xfId="15096" xr:uid="{CDD2B2CF-76C9-4BD2-9ED4-1B4B2B8B2E69}"/>
    <cellStyle name="Note 24 2 3 4 2 2 2" xfId="31300" xr:uid="{DD8EA0BD-38CB-4BD9-94D3-AA629E930824}"/>
    <cellStyle name="Note 24 2 3 4 2 3" xfId="23791" xr:uid="{9B701FF5-7031-4C4B-93D9-7962E637F9E0}"/>
    <cellStyle name="Note 24 2 3 4 3" xfId="11487" xr:uid="{F0EC018E-EF70-4184-BD1A-DB4194A9B608}"/>
    <cellStyle name="Note 24 2 3 4 3 2" xfId="27691" xr:uid="{5D406F05-57DB-41E6-AF1F-9E5AAD4E363E}"/>
    <cellStyle name="Note 24 2 3 4 4" xfId="20086" xr:uid="{19C7F5A3-78C0-4CB6-8E3F-12627E1CD72A}"/>
    <cellStyle name="Note 24 2 3 5" xfId="3920" xr:uid="{0BB5274D-F93B-4E8A-98C2-D1BE7FB36D5E}"/>
    <cellStyle name="Note 24 2 3 6" xfId="4346" xr:uid="{5268A44A-C818-49CA-94FB-F4A4165D1D10}"/>
    <cellStyle name="Note 24 2 3 6 2" xfId="8016" xr:uid="{2F7B538D-4953-458E-9CB6-01812AB45484}"/>
    <cellStyle name="Note 24 2 3 6 2 2" xfId="15523" xr:uid="{CFA83171-902F-44C1-BBD6-8B1C8BFB4DFC}"/>
    <cellStyle name="Note 24 2 3 6 2 2 2" xfId="31727" xr:uid="{A1C76ED8-9D56-4254-A564-FEE4BD6C2195}"/>
    <cellStyle name="Note 24 2 3 6 2 3" xfId="24220" xr:uid="{B5C60911-79F7-4DAB-B87E-853A894D857B}"/>
    <cellStyle name="Note 24 2 3 6 3" xfId="11909" xr:uid="{FCD5F5D9-8797-4FC1-BD2A-0683E4ACD5DA}"/>
    <cellStyle name="Note 24 2 3 6 3 2" xfId="28113" xr:uid="{4B7E3B25-E5E8-41D5-BC0B-A99A32C0142B}"/>
    <cellStyle name="Note 24 2 3 6 4" xfId="20550" xr:uid="{74E8E13E-F573-48D2-B85B-460EE9BF2392}"/>
    <cellStyle name="Note 24 2 3 7" xfId="4771" xr:uid="{E858A42F-D6BF-4738-B03E-AD8F3654C341}"/>
    <cellStyle name="Note 24 2 3 7 2" xfId="8441" xr:uid="{E5D80D59-5DDD-4675-B10B-426FFFE35881}"/>
    <cellStyle name="Note 24 2 3 7 2 2" xfId="15948" xr:uid="{9A62AFE1-5433-4909-BB2A-D841B1A2719B}"/>
    <cellStyle name="Note 24 2 3 7 2 2 2" xfId="32152" xr:uid="{9BD86480-790B-4A31-8C1E-E457F4FB508C}"/>
    <cellStyle name="Note 24 2 3 7 2 3" xfId="24645" xr:uid="{DED39B28-2FC2-428A-A0D5-BAC0DDD662BA}"/>
    <cellStyle name="Note 24 2 3 7 3" xfId="12334" xr:uid="{33221E93-C4A4-4AEC-BFDC-02B354F44AB7}"/>
    <cellStyle name="Note 24 2 3 7 3 2" xfId="28538" xr:uid="{4F111250-9BC4-41D3-B66C-DE2FF94C806C}"/>
    <cellStyle name="Note 24 2 3 7 4" xfId="20975" xr:uid="{C263E74B-F65E-4F20-96C1-FBDBBA8F1633}"/>
    <cellStyle name="Note 24 2 3 8" xfId="5199" xr:uid="{F0B61FD0-8419-4AF7-BB75-A17122DEB2B8}"/>
    <cellStyle name="Note 24 2 3 8 2" xfId="8864" xr:uid="{B710ADD6-1254-4413-8995-ACB6840EC7E3}"/>
    <cellStyle name="Note 24 2 3 8 2 2" xfId="16371" xr:uid="{EEF8C46D-9F2A-4DD4-9310-6D49618AB222}"/>
    <cellStyle name="Note 24 2 3 8 2 2 2" xfId="32575" xr:uid="{27B02F58-3358-4ABF-8FF4-0240B406E7F7}"/>
    <cellStyle name="Note 24 2 3 8 2 3" xfId="25068" xr:uid="{1AB5DF27-55A9-4AAB-A5FE-DEF2FD5D84AF}"/>
    <cellStyle name="Note 24 2 3 8 3" xfId="12756" xr:uid="{8CFAB387-8D71-49B6-B596-8C7E6460DD55}"/>
    <cellStyle name="Note 24 2 3 8 3 2" xfId="28960" xr:uid="{FE48BE4E-EB3A-435A-90CC-1B6029176737}"/>
    <cellStyle name="Note 24 2 3 8 4" xfId="21403" xr:uid="{009578FE-8E74-4045-A305-D5207DD974BA}"/>
    <cellStyle name="Note 24 2 3 9" xfId="5870" xr:uid="{2AF9C984-A4FA-4568-B876-A1145F999942}"/>
    <cellStyle name="Note 24 2 3 9 2" xfId="13385" xr:uid="{1C56B2E5-2C74-446F-A6B1-4BC793AA3FDE}"/>
    <cellStyle name="Note 24 2 3 9 2 2" xfId="29589" xr:uid="{81030EED-3D2F-4BE3-9B05-F410D053A770}"/>
    <cellStyle name="Note 24 2 3 9 3" xfId="22074" xr:uid="{7B81DA6E-DCFC-406F-8A16-0A16CE361E8E}"/>
    <cellStyle name="Note 24 2 4" xfId="2073" xr:uid="{6D4E42A8-E192-4F5C-92BC-536F9C3004BF}"/>
    <cellStyle name="Note 24 2 4 2" xfId="2986" xr:uid="{49A061D5-2BB8-4B39-9F82-579FC1F09087}"/>
    <cellStyle name="Note 24 2 4 2 2" xfId="6768" xr:uid="{8074E604-CBE4-4FA1-8A7F-448B9C1FB7F2}"/>
    <cellStyle name="Note 24 2 4 2 2 2" xfId="14279" xr:uid="{0C314C50-7354-4D27-86AE-439B8B60484E}"/>
    <cellStyle name="Note 24 2 4 2 2 2 2" xfId="30483" xr:uid="{1F9B392F-E447-488D-A604-504B027858DF}"/>
    <cellStyle name="Note 24 2 4 2 2 3" xfId="22972" xr:uid="{C64FD60A-C093-47AE-81F4-0EC840418E27}"/>
    <cellStyle name="Note 24 2 4 2 3" xfId="10679" xr:uid="{21863D7E-7155-46DD-8DF4-0165E5B43872}"/>
    <cellStyle name="Note 24 2 4 2 3 2" xfId="26883" xr:uid="{84AE7AFB-9D9F-4BC2-99C9-04160EFDC09C}"/>
    <cellStyle name="Note 24 2 4 2 4" xfId="19206" xr:uid="{79C90C31-BBE8-448D-A681-5970BFDC09AD}"/>
    <cellStyle name="Note 24 2 4 3" xfId="5912" xr:uid="{385F0B33-18EA-487F-83A0-3D0319D4C8D6}"/>
    <cellStyle name="Note 24 2 4 3 2" xfId="13426" xr:uid="{6395A1B6-52E6-40CB-B378-F83754CB2D2F}"/>
    <cellStyle name="Note 24 2 4 3 2 2" xfId="29630" xr:uid="{07B9ED87-7180-474A-B955-C0C5E9558580}"/>
    <cellStyle name="Note 24 2 4 3 3" xfId="22116" xr:uid="{33A1032B-F2BB-48B0-ACB2-8CB6B4AC8751}"/>
    <cellStyle name="Note 24 2 4 4" xfId="9835" xr:uid="{6AA6F8AD-332A-424D-B765-DCD5DDF7144A}"/>
    <cellStyle name="Note 24 2 4 4 2" xfId="26039" xr:uid="{49A01C69-6E0E-4375-A741-83FF1BB0348D}"/>
    <cellStyle name="Note 24 2 4 5" xfId="18360" xr:uid="{5B58C061-697E-4F1A-A52E-CE502D00AA42}"/>
    <cellStyle name="Note 24 2 5" xfId="2561" xr:uid="{5701003D-09C8-4906-ACFD-EB2497026248}"/>
    <cellStyle name="Note 24 2 5 2" xfId="6345" xr:uid="{50BEF2A7-6ED7-4EAA-9006-70411187F537}"/>
    <cellStyle name="Note 24 2 5 2 2" xfId="13857" xr:uid="{D02C1EDF-0B68-4D33-843C-AFBEB39D6FFF}"/>
    <cellStyle name="Note 24 2 5 2 2 2" xfId="30061" xr:uid="{D9680B4D-D2B7-4556-9394-6A8A90AB71EA}"/>
    <cellStyle name="Note 24 2 5 2 3" xfId="22549" xr:uid="{D6E55CB8-FCAA-4446-87F3-9B0B1DAEFFA9}"/>
    <cellStyle name="Note 24 2 5 3" xfId="10257" xr:uid="{98BF51D5-5515-4883-AA07-10CDF0520F20}"/>
    <cellStyle name="Note 24 2 5 3 2" xfId="26461" xr:uid="{0C35F192-E90E-48C8-A13E-902265B30BDE}"/>
    <cellStyle name="Note 24 2 5 4" xfId="18783" xr:uid="{E3CFD024-5144-4473-A04B-0CE55BC01C0B}"/>
    <cellStyle name="Note 24 2 6" xfId="3437" xr:uid="{737F44F9-2CA2-43A2-BA06-72653075B570}"/>
    <cellStyle name="Note 24 2 6 2" xfId="7195" xr:uid="{D1A624F3-DCBA-4E81-8D74-4F3E7D757C44}"/>
    <cellStyle name="Note 24 2 6 2 2" xfId="14705" xr:uid="{8223745A-E503-449F-A440-0DF6EC0A8BAB}"/>
    <cellStyle name="Note 24 2 6 2 2 2" xfId="30909" xr:uid="{B0CC0EC2-6DE0-4E85-9774-C472CFD1C05D}"/>
    <cellStyle name="Note 24 2 6 2 3" xfId="23399" xr:uid="{084100CF-C4CE-47B5-BEC2-B4E6DCFB8220}"/>
    <cellStyle name="Note 24 2 6 3" xfId="11102" xr:uid="{4AB79D19-DE7A-4EFB-B640-93FB34640B63}"/>
    <cellStyle name="Note 24 2 6 3 2" xfId="27306" xr:uid="{641A29FB-6FBF-48E3-AF23-9DD133A0F03A}"/>
    <cellStyle name="Note 24 2 6 4" xfId="19653" xr:uid="{DEBE662E-200A-4C5D-A5A6-C4006873FFC5}"/>
    <cellStyle name="Note 24 2 7" xfId="3916" xr:uid="{9308664E-EF0B-480D-8C28-AEE9E826DC24}"/>
    <cellStyle name="Note 24 2 8" xfId="3961" xr:uid="{855B29AA-709E-40B7-96A6-BA82B5156ED3}"/>
    <cellStyle name="Note 24 2 8 2" xfId="7631" xr:uid="{A38C9ED9-43EB-4663-8B81-0CECD4FD04CA}"/>
    <cellStyle name="Note 24 2 8 2 2" xfId="15138" xr:uid="{4B6067FF-83EB-42B6-88DB-A77495BA8306}"/>
    <cellStyle name="Note 24 2 8 2 2 2" xfId="31342" xr:uid="{CB283030-E368-4C5C-BF02-FD612BA31681}"/>
    <cellStyle name="Note 24 2 8 2 3" xfId="23835" xr:uid="{275C2FC3-8134-4E21-99A2-E0A97575D97C}"/>
    <cellStyle name="Note 24 2 8 3" xfId="11524" xr:uid="{A727A083-8014-4B45-8873-ED9E316C9C7E}"/>
    <cellStyle name="Note 24 2 8 3 2" xfId="27728" xr:uid="{65F56C03-731C-47E6-A91B-FBAE7EE8CD63}"/>
    <cellStyle name="Note 24 2 8 4" xfId="20165" xr:uid="{F77CA866-CDFC-47FF-ADBB-2EEBD15BA4BA}"/>
    <cellStyle name="Note 24 2 9" xfId="4386" xr:uid="{F880E50C-9E14-4148-9387-42F73A7EBE43}"/>
    <cellStyle name="Note 24 2 9 2" xfId="8056" xr:uid="{BBEF21E3-D442-4A25-8BF3-30C9BAB96289}"/>
    <cellStyle name="Note 24 2 9 2 2" xfId="15563" xr:uid="{BC7B80A7-1E52-4F1B-B1E1-3786E74D74C5}"/>
    <cellStyle name="Note 24 2 9 2 2 2" xfId="31767" xr:uid="{7FBEF556-B0AA-459F-8748-27659A72AA40}"/>
    <cellStyle name="Note 24 2 9 2 3" xfId="24260" xr:uid="{9718A9D3-C72E-4ACD-97AB-62FF23024CB7}"/>
    <cellStyle name="Note 24 2 9 3" xfId="11949" xr:uid="{A25D8D80-EE48-4A92-AD56-C2A31C7882D6}"/>
    <cellStyle name="Note 24 2 9 3 2" xfId="28153" xr:uid="{BE7F8CFB-F28C-4FA5-B273-75A5D669ADA0}"/>
    <cellStyle name="Note 24 2 9 4" xfId="20590" xr:uid="{CCB2E1E2-BB60-478C-A33A-DF2D71286B45}"/>
    <cellStyle name="Note 24 3" xfId="522" xr:uid="{1CC1C718-8656-4AB8-9C6F-27E5CB41F905}"/>
    <cellStyle name="Note 24 3 10" xfId="4832" xr:uid="{6B843BB9-1B85-47E1-84E7-8BB6B3F723B4}"/>
    <cellStyle name="Note 24 3 10 2" xfId="8501" xr:uid="{E0BDE315-EDED-4AD8-8D9A-6B09353F01F1}"/>
    <cellStyle name="Note 24 3 10 2 2" xfId="16008" xr:uid="{EC393E3B-AFFA-48FB-97B5-71AF2155E8CD}"/>
    <cellStyle name="Note 24 3 10 2 2 2" xfId="32212" xr:uid="{E0A70861-C3AB-460A-B5B3-39178E293CD9}"/>
    <cellStyle name="Note 24 3 10 2 3" xfId="24705" xr:uid="{4FCA65BD-B368-4C0D-9DD7-DC8B821EAC21}"/>
    <cellStyle name="Note 24 3 10 3" xfId="12393" xr:uid="{A1A6D29D-745C-44C8-BADF-BD9A7FF56470}"/>
    <cellStyle name="Note 24 3 10 3 2" xfId="28597" xr:uid="{710AF29C-903F-448B-8431-908E67B00533}"/>
    <cellStyle name="Note 24 3 10 4" xfId="21036" xr:uid="{EAA7F8A7-248C-4405-BC89-9A341BCD9899}"/>
    <cellStyle name="Note 24 3 11" xfId="5319" xr:uid="{86E999E9-561A-4EF4-A3CF-9FDF1ABEABB6}"/>
    <cellStyle name="Note 24 3 11 2" xfId="12868" xr:uid="{F710AAC4-0A53-45BB-B372-7EF87511EBB3}"/>
    <cellStyle name="Note 24 3 11 2 2" xfId="29072" xr:uid="{2A0E19A8-B887-42E3-9D4F-589CF75B9B26}"/>
    <cellStyle name="Note 24 3 11 3" xfId="21523" xr:uid="{51EEBD56-74BD-485F-969C-8A055EAA8BA9}"/>
    <cellStyle name="Note 24 3 12" xfId="9434" xr:uid="{B49E9F1F-6D15-4DC4-990D-CFB63F8E11D0}"/>
    <cellStyle name="Note 24 3 12 2" xfId="25638" xr:uid="{E7A4260B-80BC-443B-ADB6-E7F2A7640F37}"/>
    <cellStyle name="Note 24 3 13" xfId="17949" xr:uid="{EB61D972-C4F1-4136-B3EF-269F55CAA603}"/>
    <cellStyle name="Note 24 3 2" xfId="593" xr:uid="{5C629198-17EA-4C46-A433-B467A7F0E0DB}"/>
    <cellStyle name="Note 24 3 2 10" xfId="5386" xr:uid="{CBE2D0CD-ED7A-45EB-8D75-80F4FD68DC9F}"/>
    <cellStyle name="Note 24 3 2 10 2" xfId="12935" xr:uid="{1914CE2B-A8D9-4411-84DD-933B4294E892}"/>
    <cellStyle name="Note 24 3 2 10 2 2" xfId="29139" xr:uid="{422ACFC7-A2E8-4108-B899-27DD314CC7C4}"/>
    <cellStyle name="Note 24 3 2 10 3" xfId="21590" xr:uid="{94B25EAF-2237-4AF5-BCED-05FE4895F201}"/>
    <cellStyle name="Note 24 3 2 11" xfId="9501" xr:uid="{F38F8E8B-B9C3-415E-AE11-3818DAF2773F}"/>
    <cellStyle name="Note 24 3 2 11 2" xfId="25705" xr:uid="{E73C257A-CC14-4AD6-A992-58D887FC1FA7}"/>
    <cellStyle name="Note 24 3 2 12" xfId="18017" xr:uid="{F8CC613C-A23F-429C-B482-025587EF2FC1}"/>
    <cellStyle name="Note 24 3 2 2" xfId="2024" xr:uid="{61CBE9BF-6BCB-4B23-990A-20FBB7C74E52}"/>
    <cellStyle name="Note 24 3 2 2 10" xfId="9798" xr:uid="{A63BF441-8FA8-426D-A00F-50CDDC83B5E4}"/>
    <cellStyle name="Note 24 3 2 2 10 2" xfId="26002" xr:uid="{DA8CB086-E942-4561-80F0-791AA66D084C}"/>
    <cellStyle name="Note 24 3 2 2 11" xfId="18322" xr:uid="{511D853B-8277-4F8B-91E3-5E0EF9CA00A1}"/>
    <cellStyle name="Note 24 3 2 2 2" xfId="2525" xr:uid="{B66FA9AD-6013-4E50-88FB-4E7DD56E1D09}"/>
    <cellStyle name="Note 24 3 2 2 2 2" xfId="3372" xr:uid="{447E8A39-7F6C-45DA-8A8B-4935B7F43A97}"/>
    <cellStyle name="Note 24 3 2 2 2 2 2" xfId="7154" xr:uid="{4D737926-7B1B-42B6-A468-7F1D6183CCAA}"/>
    <cellStyle name="Note 24 3 2 2 2 2 2 2" xfId="14665" xr:uid="{4E406AF9-8650-4559-99F9-F1DDD40EFAF0}"/>
    <cellStyle name="Note 24 3 2 2 2 2 2 2 2" xfId="30869" xr:uid="{18CA8277-1194-4B77-8FD5-A02239BFED87}"/>
    <cellStyle name="Note 24 3 2 2 2 2 2 3" xfId="23358" xr:uid="{6670713C-F5DD-4CF9-8FBC-C1C5AC1BF518}"/>
    <cellStyle name="Note 24 3 2 2 2 2 3" xfId="11065" xr:uid="{C13178EF-626E-408E-9D10-BB0DF0540535}"/>
    <cellStyle name="Note 24 3 2 2 2 2 3 2" xfId="27269" xr:uid="{26074CDD-6218-4AD7-983B-F9C59D03A6C8}"/>
    <cellStyle name="Note 24 3 2 2 2 2 4" xfId="19592" xr:uid="{331917A6-7EEF-481E-B94B-F66A5DE50AE4}"/>
    <cellStyle name="Note 24 3 2 2 2 3" xfId="6309" xr:uid="{E03ED807-C372-4970-988E-9A39686247AD}"/>
    <cellStyle name="Note 24 3 2 2 2 3 2" xfId="13821" xr:uid="{C1BB3104-CF05-48DD-B2BE-E323107A7AC3}"/>
    <cellStyle name="Note 24 3 2 2 2 3 2 2" xfId="30025" xr:uid="{3AD99BDF-BFF7-4288-84F0-265DBBDDE985}"/>
    <cellStyle name="Note 24 3 2 2 2 3 3" xfId="22513" xr:uid="{C6203C81-A5C1-49C4-BD47-715CB379F586}"/>
    <cellStyle name="Note 24 3 2 2 2 4" xfId="10221" xr:uid="{3814645D-8990-46C7-8CD0-D3385CC071FA}"/>
    <cellStyle name="Note 24 3 2 2 2 4 2" xfId="26425" xr:uid="{10C01D6A-C10C-41DB-98AE-EAF82F644AF6}"/>
    <cellStyle name="Note 24 3 2 2 2 5" xfId="18747" xr:uid="{F65B61B6-0046-48C6-87AC-29F9581B9EBB}"/>
    <cellStyle name="Note 24 3 2 2 3" xfId="2947" xr:uid="{3A4D8424-AE85-4C81-8F83-FDA513A7A6C9}"/>
    <cellStyle name="Note 24 3 2 2 3 2" xfId="6731" xr:uid="{D30AB88B-6023-4C23-9F2F-6A0689F399F1}"/>
    <cellStyle name="Note 24 3 2 2 3 2 2" xfId="14243" xr:uid="{6B1D9DED-CB96-4BD0-A722-5A65795050BF}"/>
    <cellStyle name="Note 24 3 2 2 3 2 2 2" xfId="30447" xr:uid="{88CBA31A-459E-4478-9040-2BF89DC822F2}"/>
    <cellStyle name="Note 24 3 2 2 3 2 3" xfId="22935" xr:uid="{E84D595E-4AE6-431E-ACAB-20D2B8D7CBFA}"/>
    <cellStyle name="Note 24 3 2 2 3 3" xfId="10643" xr:uid="{B6DDAED0-080C-4855-93AE-844921DF8AC8}"/>
    <cellStyle name="Note 24 3 2 2 3 3 2" xfId="26847" xr:uid="{A15136E1-4F6E-4B88-8515-A0698793A42F}"/>
    <cellStyle name="Note 24 3 2 2 3 4" xfId="19169" xr:uid="{2089D1F3-88EB-4307-AD73-5DB95D2958AE}"/>
    <cellStyle name="Note 24 3 2 2 4" xfId="3878" xr:uid="{23529D6A-11A7-40AC-837F-8857142768D7}"/>
    <cellStyle name="Note 24 3 2 2 4 2" xfId="7588" xr:uid="{CB2EE27F-1133-46F1-9DE3-3E61630FF61D}"/>
    <cellStyle name="Note 24 3 2 2 4 2 2" xfId="15097" xr:uid="{3C1DAB86-8948-40CE-8087-EACCA7682507}"/>
    <cellStyle name="Note 24 3 2 2 4 2 2 2" xfId="31301" xr:uid="{2B790B2A-F191-465B-AE53-D4ACAF466AA3}"/>
    <cellStyle name="Note 24 3 2 2 4 2 3" xfId="23792" xr:uid="{2AC6169A-A4A3-4988-B682-0770BBD3C737}"/>
    <cellStyle name="Note 24 3 2 2 4 3" xfId="11488" xr:uid="{0A4C5780-A7E7-4A56-8C6A-76B8F3320002}"/>
    <cellStyle name="Note 24 3 2 2 4 3 2" xfId="27692" xr:uid="{CF97D82F-2EF9-4273-B3CB-ACF1EC62F1FF}"/>
    <cellStyle name="Note 24 3 2 2 4 4" xfId="20087" xr:uid="{A9B01235-340D-4124-A894-ABD84649D633}"/>
    <cellStyle name="Note 24 3 2 2 5" xfId="3570" xr:uid="{874EEDEA-09AF-4308-A4B3-01A4EB7D0060}"/>
    <cellStyle name="Note 24 3 2 2 6" xfId="4347" xr:uid="{08FDB142-080E-46E2-9085-A12819FE7ADD}"/>
    <cellStyle name="Note 24 3 2 2 6 2" xfId="8017" xr:uid="{71D4E22A-C82E-4C2F-903B-5A9381B6DAD5}"/>
    <cellStyle name="Note 24 3 2 2 6 2 2" xfId="15524" xr:uid="{59FECD1B-AAD0-41B5-B6E5-4A8DC5FA5C33}"/>
    <cellStyle name="Note 24 3 2 2 6 2 2 2" xfId="31728" xr:uid="{6839DC7A-621E-4748-B64E-6FA09D42BAB7}"/>
    <cellStyle name="Note 24 3 2 2 6 2 3" xfId="24221" xr:uid="{BCC0A38A-2227-4D8B-9823-4475B8AE2DE5}"/>
    <cellStyle name="Note 24 3 2 2 6 3" xfId="11910" xr:uid="{EFFBA8EA-769A-42DF-8011-6C8382A1EAF5}"/>
    <cellStyle name="Note 24 3 2 2 6 3 2" xfId="28114" xr:uid="{407356B9-5342-4158-AF48-0155FFBEF5CC}"/>
    <cellStyle name="Note 24 3 2 2 6 4" xfId="20551" xr:uid="{23255D8E-CD68-474F-83D2-7E5305B91F25}"/>
    <cellStyle name="Note 24 3 2 2 7" xfId="4772" xr:uid="{9D88BA33-65F3-4B59-B2C2-946D8B8B5B34}"/>
    <cellStyle name="Note 24 3 2 2 7 2" xfId="8442" xr:uid="{28CAEE9E-4C6A-43F1-A813-12F645115309}"/>
    <cellStyle name="Note 24 3 2 2 7 2 2" xfId="15949" xr:uid="{CA5C2D31-2A2F-4FC9-9411-D981B4E6D7F9}"/>
    <cellStyle name="Note 24 3 2 2 7 2 2 2" xfId="32153" xr:uid="{00C31029-EAE5-468C-8F7D-7DFCA0329750}"/>
    <cellStyle name="Note 24 3 2 2 7 2 3" xfId="24646" xr:uid="{F1856C7F-2BF3-4309-96BC-90CA8D3D9514}"/>
    <cellStyle name="Note 24 3 2 2 7 3" xfId="12335" xr:uid="{437B2112-D77B-4243-8365-895D5344222A}"/>
    <cellStyle name="Note 24 3 2 2 7 3 2" xfId="28539" xr:uid="{931B3303-ACC4-48E1-8309-D9B27641F136}"/>
    <cellStyle name="Note 24 3 2 2 7 4" xfId="20976" xr:uid="{546B7BFC-D2DA-4DD7-B393-23356CF61047}"/>
    <cellStyle name="Note 24 3 2 2 8" xfId="5200" xr:uid="{C0E0B0FB-C545-4EC1-A747-FA2BF6247EA0}"/>
    <cellStyle name="Note 24 3 2 2 8 2" xfId="8865" xr:uid="{7EACC600-2FCF-4A00-8356-E88A51247F31}"/>
    <cellStyle name="Note 24 3 2 2 8 2 2" xfId="16372" xr:uid="{ADEF9B51-746A-4F7C-9079-15D5F8B6182C}"/>
    <cellStyle name="Note 24 3 2 2 8 2 2 2" xfId="32576" xr:uid="{2201691E-6A01-4733-8A25-7488894444AB}"/>
    <cellStyle name="Note 24 3 2 2 8 2 3" xfId="25069" xr:uid="{3059EE24-C7CB-4E3D-96B5-C0FDD380DB51}"/>
    <cellStyle name="Note 24 3 2 2 8 3" xfId="12757" xr:uid="{4F0BE9AC-9FA3-4B77-95F2-C79BC52C0819}"/>
    <cellStyle name="Note 24 3 2 2 8 3 2" xfId="28961" xr:uid="{E390AB56-A7F0-48B9-A7DC-2D2C94E9A954}"/>
    <cellStyle name="Note 24 3 2 2 8 4" xfId="21404" xr:uid="{31A57CC8-A283-41B3-AC3E-194F8A55583B}"/>
    <cellStyle name="Note 24 3 2 2 9" xfId="5871" xr:uid="{38C76213-58CD-4CC3-BD37-CA42A32142A6}"/>
    <cellStyle name="Note 24 3 2 2 9 2" xfId="13386" xr:uid="{B3B28D08-23CF-466B-A22D-5DA1CABD4C87}"/>
    <cellStyle name="Note 24 3 2 2 9 2 2" xfId="29590" xr:uid="{3B434196-7196-474B-A9AC-99CA000DA5BC}"/>
    <cellStyle name="Note 24 3 2 2 9 3" xfId="22075" xr:uid="{3B7B7B02-6339-48EC-9D53-CB9AE751D68E}"/>
    <cellStyle name="Note 24 3 2 3" xfId="2162" xr:uid="{A066924A-3264-471C-A439-A097638D06D2}"/>
    <cellStyle name="Note 24 3 2 3 2" xfId="3075" xr:uid="{35504DD6-E3C7-4827-A05E-3FA56ECB41BB}"/>
    <cellStyle name="Note 24 3 2 3 2 2" xfId="6857" xr:uid="{AF454660-60C1-45DB-9C39-33099E47A8CE}"/>
    <cellStyle name="Note 24 3 2 3 2 2 2" xfId="14368" xr:uid="{0DAEE4F5-6A95-4A62-98DC-51C30A9F1329}"/>
    <cellStyle name="Note 24 3 2 3 2 2 2 2" xfId="30572" xr:uid="{F07C6C70-C624-4BB8-9A72-5AAA992BA4F3}"/>
    <cellStyle name="Note 24 3 2 3 2 2 3" xfId="23061" xr:uid="{AF2C72DA-25D4-4D33-8CFF-2C8580174ACC}"/>
    <cellStyle name="Note 24 3 2 3 2 3" xfId="10768" xr:uid="{4DC13132-175F-4CEB-84D6-E090FBFD9C3C}"/>
    <cellStyle name="Note 24 3 2 3 2 3 2" xfId="26972" xr:uid="{7D476C62-25D3-42FC-A414-7A83FC92CE4A}"/>
    <cellStyle name="Note 24 3 2 3 2 4" xfId="19295" xr:uid="{01755D61-FD0C-4597-8865-2D04A1A9D833}"/>
    <cellStyle name="Note 24 3 2 3 3" xfId="6001" xr:uid="{7C8EF2E5-613A-423B-BBA5-E355BCD2ED6A}"/>
    <cellStyle name="Note 24 3 2 3 3 2" xfId="13515" xr:uid="{63E6E67A-82F8-4145-A980-40FA0A2F11E4}"/>
    <cellStyle name="Note 24 3 2 3 3 2 2" xfId="29719" xr:uid="{0D0F7221-F25A-4D67-8804-5AC6F04CD4C0}"/>
    <cellStyle name="Note 24 3 2 3 3 3" xfId="22205" xr:uid="{E5D0D816-F9E3-4CF5-91CB-8D03BFE435B8}"/>
    <cellStyle name="Note 24 3 2 3 4" xfId="9924" xr:uid="{D77B67EF-1787-4227-8CBB-B9424C17C345}"/>
    <cellStyle name="Note 24 3 2 3 4 2" xfId="26128" xr:uid="{3DB48145-6788-45C3-A0ED-66D075214AEF}"/>
    <cellStyle name="Note 24 3 2 3 5" xfId="18449" xr:uid="{0C63992E-8E65-483D-A9A2-7F2546EED511}"/>
    <cellStyle name="Note 24 3 2 4" xfId="2650" xr:uid="{5A9AC3F5-9F06-4689-8F4C-85A25135B86F}"/>
    <cellStyle name="Note 24 3 2 4 2" xfId="6434" xr:uid="{7BF737F8-C62A-4C76-B380-8D20925EFB93}"/>
    <cellStyle name="Note 24 3 2 4 2 2" xfId="13946" xr:uid="{A8282C53-A7D6-4858-B5D1-90BB4653BC72}"/>
    <cellStyle name="Note 24 3 2 4 2 2 2" xfId="30150" xr:uid="{30FCEAEC-8536-46A0-A6C2-3C5CF6C3D7FE}"/>
    <cellStyle name="Note 24 3 2 4 2 3" xfId="22638" xr:uid="{E6BCE8D2-43BF-4100-8AB1-00D8CADC22B8}"/>
    <cellStyle name="Note 24 3 2 4 3" xfId="10346" xr:uid="{B2BBDE14-22F4-4D0F-A543-BDE58DA2CBAD}"/>
    <cellStyle name="Note 24 3 2 4 3 2" xfId="26550" xr:uid="{198092B3-8C0D-4D62-9420-0B21401B74F2}"/>
    <cellStyle name="Note 24 3 2 4 4" xfId="18872" xr:uid="{5D44FC67-E002-44D6-B7A9-517FDA2AF8C0}"/>
    <cellStyle name="Note 24 3 2 5" xfId="3526" xr:uid="{3BFDFE1C-DBD9-4BC5-BF52-32CF90193E89}"/>
    <cellStyle name="Note 24 3 2 5 2" xfId="7284" xr:uid="{318446ED-6495-4A8B-B664-3836FD9F831B}"/>
    <cellStyle name="Note 24 3 2 5 2 2" xfId="14794" xr:uid="{8D94E418-2F18-4249-AFDB-0534C6F36343}"/>
    <cellStyle name="Note 24 3 2 5 2 2 2" xfId="30998" xr:uid="{ECFC1720-A4E7-4395-96EC-2DC4F99B46E8}"/>
    <cellStyle name="Note 24 3 2 5 2 3" xfId="23488" xr:uid="{E47FF75F-36C0-4011-B789-CB3C71E91C5B}"/>
    <cellStyle name="Note 24 3 2 5 3" xfId="11191" xr:uid="{62947110-D0BD-46F9-80D2-E2597C98BE60}"/>
    <cellStyle name="Note 24 3 2 5 3 2" xfId="27395" xr:uid="{4E2041EA-177B-4E49-B52F-57EEA7421196}"/>
    <cellStyle name="Note 24 3 2 5 4" xfId="19742" xr:uid="{2108F42B-BEA0-4499-8C23-74D5566EBCAA}"/>
    <cellStyle name="Note 24 3 2 6" xfId="3602" xr:uid="{2C590A91-D49B-40B5-82DC-98BC8E862F44}"/>
    <cellStyle name="Note 24 3 2 7" xfId="4050" xr:uid="{6B2A494C-FBC7-4D45-BF7D-97BCD7B11D7D}"/>
    <cellStyle name="Note 24 3 2 7 2" xfId="7720" xr:uid="{BDE4C965-ED62-4ACA-8C0B-82BC7A04E661}"/>
    <cellStyle name="Note 24 3 2 7 2 2" xfId="15227" xr:uid="{AEC0B257-50A2-47CC-9199-58ADC38762C5}"/>
    <cellStyle name="Note 24 3 2 7 2 2 2" xfId="31431" xr:uid="{C80D6D47-260C-420C-A7EE-6BEF366D6B5C}"/>
    <cellStyle name="Note 24 3 2 7 2 3" xfId="23924" xr:uid="{AF06BFFB-347F-46D6-AFDA-87D5E278026A}"/>
    <cellStyle name="Note 24 3 2 7 3" xfId="11613" xr:uid="{D02AF053-9CC2-47AB-B1F3-1C1FE25895D1}"/>
    <cellStyle name="Note 24 3 2 7 3 2" xfId="27817" xr:uid="{9A098186-9AD6-4260-BFD8-D7D0C46EA9C1}"/>
    <cellStyle name="Note 24 3 2 7 4" xfId="20254" xr:uid="{3C21F061-0556-4AF1-A889-E5E9BBDF55BB}"/>
    <cellStyle name="Note 24 3 2 8" xfId="4475" xr:uid="{AF60B23A-6CD1-4749-B368-AF1F6DDC97E0}"/>
    <cellStyle name="Note 24 3 2 8 2" xfId="8145" xr:uid="{A5759D75-329E-4626-8417-4BF1A6F79D45}"/>
    <cellStyle name="Note 24 3 2 8 2 2" xfId="15652" xr:uid="{93446387-C08E-4361-8F68-E1DE95C7C2E5}"/>
    <cellStyle name="Note 24 3 2 8 2 2 2" xfId="31856" xr:uid="{5D335574-34C8-451E-829F-4ED7294B7F84}"/>
    <cellStyle name="Note 24 3 2 8 2 3" xfId="24349" xr:uid="{0598EAC9-01F6-4FBD-8466-F799B1EEED1C}"/>
    <cellStyle name="Note 24 3 2 8 3" xfId="12038" xr:uid="{5DB7FDDC-81CF-48FC-AD6F-435CD238F02D}"/>
    <cellStyle name="Note 24 3 2 8 3 2" xfId="28242" xr:uid="{FDD8105D-8EDC-4FF3-84F5-E77194A54CE2}"/>
    <cellStyle name="Note 24 3 2 8 4" xfId="20679" xr:uid="{EE258B20-4C28-401D-A6BD-D5CA7AFB988B}"/>
    <cellStyle name="Note 24 3 2 9" xfId="4900" xr:uid="{F1221FA1-8519-4291-9C26-917B5087BAB1}"/>
    <cellStyle name="Note 24 3 2 9 2" xfId="8568" xr:uid="{429D4AA9-4342-4442-88E1-9E824D954504}"/>
    <cellStyle name="Note 24 3 2 9 2 2" xfId="16075" xr:uid="{CEE20509-0472-49CB-BB8B-A62727CFBBD9}"/>
    <cellStyle name="Note 24 3 2 9 2 2 2" xfId="32279" xr:uid="{77B1C317-BC1E-4ED1-8F78-D9EB61EB03E7}"/>
    <cellStyle name="Note 24 3 2 9 2 3" xfId="24772" xr:uid="{BA3D9B5F-79BB-4E71-8F32-854F4B7EB379}"/>
    <cellStyle name="Note 24 3 2 9 3" xfId="12460" xr:uid="{5A30BA87-4417-4626-BC18-94C5D6E3848E}"/>
    <cellStyle name="Note 24 3 2 9 3 2" xfId="28664" xr:uid="{49DB27F0-0CC1-4925-9351-11AE94E0F9E1}"/>
    <cellStyle name="Note 24 3 2 9 4" xfId="21104" xr:uid="{0CCA4AC9-6E27-44FD-B100-5691696625EF}"/>
    <cellStyle name="Note 24 3 3" xfId="2025" xr:uid="{AFF77F2A-A4F2-45A1-84A9-F6A0D3DFE266}"/>
    <cellStyle name="Note 24 3 3 10" xfId="9799" xr:uid="{BB267714-4460-454C-B6A3-920476D84819}"/>
    <cellStyle name="Note 24 3 3 10 2" xfId="26003" xr:uid="{D7C2CD26-C023-4906-A61D-6DEE771AC608}"/>
    <cellStyle name="Note 24 3 3 11" xfId="18323" xr:uid="{A14E1C07-FE64-49F5-9497-4823B3EBA063}"/>
    <cellStyle name="Note 24 3 3 2" xfId="2526" xr:uid="{ABC3D23C-DA5D-452A-95C7-AE3FF7F07DBA}"/>
    <cellStyle name="Note 24 3 3 2 2" xfId="3373" xr:uid="{C8F7DD51-DDCF-47C3-A07C-F4D3512A1B28}"/>
    <cellStyle name="Note 24 3 3 2 2 2" xfId="7155" xr:uid="{4F8F1D1B-99F2-4064-B738-DD1727B29C19}"/>
    <cellStyle name="Note 24 3 3 2 2 2 2" xfId="14666" xr:uid="{CF469AC9-D0ED-4FA6-8117-1ADD5A1B9EF5}"/>
    <cellStyle name="Note 24 3 3 2 2 2 2 2" xfId="30870" xr:uid="{13F86E33-8A8C-4C1A-8EC3-ECDC8BFCAAEE}"/>
    <cellStyle name="Note 24 3 3 2 2 2 3" xfId="23359" xr:uid="{CA5502D8-7ECB-4F36-A0C3-06AC3FEC2B5D}"/>
    <cellStyle name="Note 24 3 3 2 2 3" xfId="11066" xr:uid="{C7145CA5-0187-4EC2-9FBE-DDB1AA2A9C00}"/>
    <cellStyle name="Note 24 3 3 2 2 3 2" xfId="27270" xr:uid="{78B8C806-E28B-4CB1-A734-61702DE9DE5C}"/>
    <cellStyle name="Note 24 3 3 2 2 4" xfId="19593" xr:uid="{F0017D31-A91E-4BCC-A81B-AC78D219E3B7}"/>
    <cellStyle name="Note 24 3 3 2 3" xfId="6310" xr:uid="{F282E2DB-124D-4547-8160-CA33D4C4C962}"/>
    <cellStyle name="Note 24 3 3 2 3 2" xfId="13822" xr:uid="{4333972D-E4B8-462C-9C31-E8C7AE2F666B}"/>
    <cellStyle name="Note 24 3 3 2 3 2 2" xfId="30026" xr:uid="{BE876FCB-7F0F-4841-B32D-F2718C4A5941}"/>
    <cellStyle name="Note 24 3 3 2 3 3" xfId="22514" xr:uid="{4102BD97-A776-45C9-AC3F-59620A47BD1F}"/>
    <cellStyle name="Note 24 3 3 2 4" xfId="10222" xr:uid="{B910118D-5DC9-4DFD-AFBF-780489A1FCDB}"/>
    <cellStyle name="Note 24 3 3 2 4 2" xfId="26426" xr:uid="{28B64EFB-A8D0-44C1-90BD-602BBBC3B05E}"/>
    <cellStyle name="Note 24 3 3 2 5" xfId="18748" xr:uid="{EB80C98F-B335-4E08-AF8E-D83D97DDF3C3}"/>
    <cellStyle name="Note 24 3 3 3" xfId="2948" xr:uid="{C5CF212B-4E81-474E-AE59-8FFE57175D3C}"/>
    <cellStyle name="Note 24 3 3 3 2" xfId="6732" xr:uid="{C267CAED-C8F6-4407-B2DE-A7095A2F5947}"/>
    <cellStyle name="Note 24 3 3 3 2 2" xfId="14244" xr:uid="{00092535-E148-4CB9-B0C3-5581677065CD}"/>
    <cellStyle name="Note 24 3 3 3 2 2 2" xfId="30448" xr:uid="{6407796C-0054-4059-9C82-2451E06E5A9C}"/>
    <cellStyle name="Note 24 3 3 3 2 3" xfId="22936" xr:uid="{5AF3F815-8DCE-498C-81B8-9AACE086E47A}"/>
    <cellStyle name="Note 24 3 3 3 3" xfId="10644" xr:uid="{23E65E24-540F-47D0-8CC6-21292A157923}"/>
    <cellStyle name="Note 24 3 3 3 3 2" xfId="26848" xr:uid="{A7E5F4EF-3F07-4021-8110-BBE060C61232}"/>
    <cellStyle name="Note 24 3 3 3 4" xfId="19170" xr:uid="{CAB272CC-AFD9-4A20-8CCD-A603E84BE202}"/>
    <cellStyle name="Note 24 3 3 4" xfId="3879" xr:uid="{C7037EFC-BEF6-4C31-8E16-FBCA7D0F06D4}"/>
    <cellStyle name="Note 24 3 3 4 2" xfId="7589" xr:uid="{C1116B95-7E84-489F-9C25-A3FCEA4C9A0F}"/>
    <cellStyle name="Note 24 3 3 4 2 2" xfId="15098" xr:uid="{78E0A2A4-DA90-479C-8555-E24E73E4F943}"/>
    <cellStyle name="Note 24 3 3 4 2 2 2" xfId="31302" xr:uid="{221F4553-83B5-41AE-A4E1-F7C50BC7C154}"/>
    <cellStyle name="Note 24 3 3 4 2 3" xfId="23793" xr:uid="{0B9802FC-3F0F-4152-9ED8-131DB7F1CB55}"/>
    <cellStyle name="Note 24 3 3 4 3" xfId="11489" xr:uid="{D01DFB43-0807-4192-8EEE-99D02D4E4187}"/>
    <cellStyle name="Note 24 3 3 4 3 2" xfId="27693" xr:uid="{94DA2CDE-1E0C-4BB8-A2BA-58AF86CCA91F}"/>
    <cellStyle name="Note 24 3 3 4 4" xfId="20088" xr:uid="{7705DDE0-AB17-45C6-8412-2C86843A215E}"/>
    <cellStyle name="Note 24 3 3 5" xfId="3927" xr:uid="{2B6A2397-0E39-46E0-9D8C-800F4C329D0B}"/>
    <cellStyle name="Note 24 3 3 6" xfId="4348" xr:uid="{6AB3A932-227E-41A5-94FC-CD2F5E70122D}"/>
    <cellStyle name="Note 24 3 3 6 2" xfId="8018" xr:uid="{0D815876-EB4C-4DB6-B262-9005A1AED8D0}"/>
    <cellStyle name="Note 24 3 3 6 2 2" xfId="15525" xr:uid="{036289E9-EEB8-4926-A14E-DDE9A1675196}"/>
    <cellStyle name="Note 24 3 3 6 2 2 2" xfId="31729" xr:uid="{75E715DA-C0EE-4532-8BBB-A3B375029389}"/>
    <cellStyle name="Note 24 3 3 6 2 3" xfId="24222" xr:uid="{21565690-581B-44FE-8137-D3BBEEDB290E}"/>
    <cellStyle name="Note 24 3 3 6 3" xfId="11911" xr:uid="{0CEAD939-7DC6-4440-B2DC-DED04ABFFC70}"/>
    <cellStyle name="Note 24 3 3 6 3 2" xfId="28115" xr:uid="{1E3CC0B3-D146-4934-9BB0-16ED6B17BB17}"/>
    <cellStyle name="Note 24 3 3 6 4" xfId="20552" xr:uid="{2B8FBE62-56A0-4FB4-9685-3A9C8B8E3EDE}"/>
    <cellStyle name="Note 24 3 3 7" xfId="4773" xr:uid="{B2C71792-DA4F-4294-B803-A006BDB2E0DC}"/>
    <cellStyle name="Note 24 3 3 7 2" xfId="8443" xr:uid="{8E5A80CB-A5AE-4868-9895-AF47B276E233}"/>
    <cellStyle name="Note 24 3 3 7 2 2" xfId="15950" xr:uid="{D45E7D0F-43B7-4442-BDFE-8E932DAEC3FF}"/>
    <cellStyle name="Note 24 3 3 7 2 2 2" xfId="32154" xr:uid="{E7DE2CBA-5989-4B55-A5EE-B5C2780AD4F9}"/>
    <cellStyle name="Note 24 3 3 7 2 3" xfId="24647" xr:uid="{1B88B266-7856-45E4-84C5-5764CEAE4F55}"/>
    <cellStyle name="Note 24 3 3 7 3" xfId="12336" xr:uid="{B080C967-18B3-45A0-BD56-358D88D12138}"/>
    <cellStyle name="Note 24 3 3 7 3 2" xfId="28540" xr:uid="{665378AA-BAD7-4B63-93BF-556D97F2295D}"/>
    <cellStyle name="Note 24 3 3 7 4" xfId="20977" xr:uid="{BA6EDC7E-8281-4A77-A0B2-7656F421AC3C}"/>
    <cellStyle name="Note 24 3 3 8" xfId="5201" xr:uid="{197CB0DB-0652-40EE-9E86-44814D31CFF4}"/>
    <cellStyle name="Note 24 3 3 8 2" xfId="8866" xr:uid="{BD61FFB7-ADC8-4B3B-BD57-B9B1C5E9C8CA}"/>
    <cellStyle name="Note 24 3 3 8 2 2" xfId="16373" xr:uid="{A7D073F5-BF07-4D86-B51D-831F14466E48}"/>
    <cellStyle name="Note 24 3 3 8 2 2 2" xfId="32577" xr:uid="{69669226-DF7B-450F-961F-440242A332AF}"/>
    <cellStyle name="Note 24 3 3 8 2 3" xfId="25070" xr:uid="{A5B66D4D-DD81-44B1-AA0E-4117CA0CA7AD}"/>
    <cellStyle name="Note 24 3 3 8 3" xfId="12758" xr:uid="{E21ED99B-7521-4039-831A-50881EB1C3B7}"/>
    <cellStyle name="Note 24 3 3 8 3 2" xfId="28962" xr:uid="{60FB08ED-72C0-498B-BF2C-4A6F664F9B87}"/>
    <cellStyle name="Note 24 3 3 8 4" xfId="21405" xr:uid="{9B5898EA-D61E-4244-8122-57C0FBF98B4D}"/>
    <cellStyle name="Note 24 3 3 9" xfId="5872" xr:uid="{63A4999D-5E05-4BA8-8F5F-2D7EBDEE7D27}"/>
    <cellStyle name="Note 24 3 3 9 2" xfId="13387" xr:uid="{0247F1E1-D77D-4D3F-9034-E0AB4ADD7EBE}"/>
    <cellStyle name="Note 24 3 3 9 2 2" xfId="29591" xr:uid="{8EC63CE9-DCC6-4D78-AFE4-FD410960BA6E}"/>
    <cellStyle name="Note 24 3 3 9 3" xfId="22076" xr:uid="{43A00932-EEE1-4D8F-9E6E-B569AE719B34}"/>
    <cellStyle name="Note 24 3 4" xfId="2095" xr:uid="{BDB22EF2-05B9-442A-B799-218343372CF4}"/>
    <cellStyle name="Note 24 3 4 2" xfId="3008" xr:uid="{3E840061-30FF-49D5-8B50-7A34BF1789F5}"/>
    <cellStyle name="Note 24 3 4 2 2" xfId="6790" xr:uid="{D47EF58A-E2E6-47CB-979B-8EEED81C5F68}"/>
    <cellStyle name="Note 24 3 4 2 2 2" xfId="14301" xr:uid="{A639A043-F4A7-4797-BD53-E7015BEA9C88}"/>
    <cellStyle name="Note 24 3 4 2 2 2 2" xfId="30505" xr:uid="{8719FA4F-F029-470C-B365-49B8BAE1F62B}"/>
    <cellStyle name="Note 24 3 4 2 2 3" xfId="22994" xr:uid="{F9395FC1-B2BA-4FBB-A96D-2F7C17AFECFF}"/>
    <cellStyle name="Note 24 3 4 2 3" xfId="10701" xr:uid="{45E5106B-F5AC-4123-B272-F9637B7D56B0}"/>
    <cellStyle name="Note 24 3 4 2 3 2" xfId="26905" xr:uid="{3B90CDBA-002A-4E4C-8342-CDE43D14CCB1}"/>
    <cellStyle name="Note 24 3 4 2 4" xfId="19228" xr:uid="{01AAD239-F381-4B37-A653-47E5288B24CD}"/>
    <cellStyle name="Note 24 3 4 3" xfId="5934" xr:uid="{F7554495-E85A-4A0D-9C3A-DE7CAECC8886}"/>
    <cellStyle name="Note 24 3 4 3 2" xfId="13448" xr:uid="{C5F09E44-23A1-4693-94A7-84FBD9E7960F}"/>
    <cellStyle name="Note 24 3 4 3 2 2" xfId="29652" xr:uid="{8C21AF9A-FD85-40EC-B473-5AD2FCA40806}"/>
    <cellStyle name="Note 24 3 4 3 3" xfId="22138" xr:uid="{382B554A-46D5-4A8E-A804-BDE9A6B2A552}"/>
    <cellStyle name="Note 24 3 4 4" xfId="9857" xr:uid="{F2301DE9-444B-4266-8E97-916AD12ED0D9}"/>
    <cellStyle name="Note 24 3 4 4 2" xfId="26061" xr:uid="{88D19FB9-A640-4553-AB34-F001E30B158D}"/>
    <cellStyle name="Note 24 3 4 5" xfId="18382" xr:uid="{DEEAB124-59A0-41C4-976D-683C268209C8}"/>
    <cellStyle name="Note 24 3 5" xfId="2583" xr:uid="{2E2EA02D-E4BE-450D-B4DC-5DAC076D3041}"/>
    <cellStyle name="Note 24 3 5 2" xfId="6367" xr:uid="{F2619F09-FDB7-4B53-BC84-56CC1FF0D1C9}"/>
    <cellStyle name="Note 24 3 5 2 2" xfId="13879" xr:uid="{677C9665-D3B8-4F19-A1BC-C2EA36FD6F35}"/>
    <cellStyle name="Note 24 3 5 2 2 2" xfId="30083" xr:uid="{83C9D500-22EF-40C0-81C3-4119493B8E1E}"/>
    <cellStyle name="Note 24 3 5 2 3" xfId="22571" xr:uid="{287F557C-126E-42B8-8E1C-0653401E6003}"/>
    <cellStyle name="Note 24 3 5 3" xfId="10279" xr:uid="{F7877BE5-266E-4E3F-B05C-984FA733DA22}"/>
    <cellStyle name="Note 24 3 5 3 2" xfId="26483" xr:uid="{063F1C71-583F-4E54-9B82-E61377E99DFF}"/>
    <cellStyle name="Note 24 3 5 4" xfId="18805" xr:uid="{07DDA453-74A2-4AB8-8384-23487073E013}"/>
    <cellStyle name="Note 24 3 6" xfId="3459" xr:uid="{42E8ABDF-1DD6-4376-9F54-B69A0FB15D4F}"/>
    <cellStyle name="Note 24 3 6 2" xfId="7217" xr:uid="{E77BD4E3-CC64-4E73-9657-ED8FC53748FD}"/>
    <cellStyle name="Note 24 3 6 2 2" xfId="14727" xr:uid="{0AE73FD9-F3C9-49D7-97FB-05C7BC7E3C34}"/>
    <cellStyle name="Note 24 3 6 2 2 2" xfId="30931" xr:uid="{40E9EF51-FB25-4EEA-8848-5F72A9207191}"/>
    <cellStyle name="Note 24 3 6 2 3" xfId="23421" xr:uid="{E4C35129-C7F1-41FD-8708-B980A4F83621}"/>
    <cellStyle name="Note 24 3 6 3" xfId="11124" xr:uid="{80CA1B9F-CE03-4731-A403-2E550F18BF39}"/>
    <cellStyle name="Note 24 3 6 3 2" xfId="27328" xr:uid="{0FFCC82E-A098-45B0-9627-2F43FDE3F544}"/>
    <cellStyle name="Note 24 3 6 4" xfId="19675" xr:uid="{3A605682-E65B-461F-9264-D5D940A20359}"/>
    <cellStyle name="Note 24 3 7" xfId="3581" xr:uid="{4B8A9A0C-0F39-4014-81C9-6501D22D1014}"/>
    <cellStyle name="Note 24 3 8" xfId="3983" xr:uid="{3C6FAC83-E918-4B95-95DF-243842752C66}"/>
    <cellStyle name="Note 24 3 8 2" xfId="7653" xr:uid="{F8596BA4-0C41-4283-86B8-8CEA0B53DAFA}"/>
    <cellStyle name="Note 24 3 8 2 2" xfId="15160" xr:uid="{45D633C4-C9B9-4A16-A906-317B1DD9EA5E}"/>
    <cellStyle name="Note 24 3 8 2 2 2" xfId="31364" xr:uid="{D6461BD5-4FE2-41BE-9A34-88936B004FDA}"/>
    <cellStyle name="Note 24 3 8 2 3" xfId="23857" xr:uid="{1919A9E2-74B3-4324-A0DC-632AE446FD84}"/>
    <cellStyle name="Note 24 3 8 3" xfId="11546" xr:uid="{CA9FF6B9-D0F3-4C9F-B688-A5982CD176D3}"/>
    <cellStyle name="Note 24 3 8 3 2" xfId="27750" xr:uid="{297EF6AC-A6F3-4532-A07C-1F38EDADE38F}"/>
    <cellStyle name="Note 24 3 8 4" xfId="20187" xr:uid="{70810A94-FD75-42A9-8DD6-36F5E4764DF4}"/>
    <cellStyle name="Note 24 3 9" xfId="4408" xr:uid="{9EDD981F-C99A-42D6-976A-CF81A3EE9D20}"/>
    <cellStyle name="Note 24 3 9 2" xfId="8078" xr:uid="{16C94F34-072E-4306-9FDC-54B024EEE9B4}"/>
    <cellStyle name="Note 24 3 9 2 2" xfId="15585" xr:uid="{5CF0FB0B-D732-40F9-9A99-44BBE693C8F3}"/>
    <cellStyle name="Note 24 3 9 2 2 2" xfId="31789" xr:uid="{631B5CD3-D6CD-4DB9-95E8-A14858DD67AA}"/>
    <cellStyle name="Note 24 3 9 2 3" xfId="24282" xr:uid="{2FEAF4DE-02FC-44E8-8658-D825D022A1DE}"/>
    <cellStyle name="Note 24 3 9 3" xfId="11971" xr:uid="{E7EDA888-951F-4AC2-8B8B-169C478BDB19}"/>
    <cellStyle name="Note 24 3 9 3 2" xfId="28175" xr:uid="{112BDC55-34F1-4EC7-AD4A-B4F3131C69E8}"/>
    <cellStyle name="Note 24 3 9 4" xfId="20612" xr:uid="{325BA4D2-E59B-4D8C-8590-4E6096B43152}"/>
    <cellStyle name="Note 24 4" xfId="549" xr:uid="{C2683FA2-3BC1-4E51-8949-D929F7462987}"/>
    <cellStyle name="Note 24 4 10" xfId="5342" xr:uid="{46AC16CF-984C-42DF-BB8B-D9C427CD2A93}"/>
    <cellStyle name="Note 24 4 10 2" xfId="12891" xr:uid="{A6D792C7-A840-4897-B051-8418F4E09102}"/>
    <cellStyle name="Note 24 4 10 2 2" xfId="29095" xr:uid="{C8A24B25-DC6C-4C9C-B21F-0A5128797765}"/>
    <cellStyle name="Note 24 4 10 3" xfId="21546" xr:uid="{F89C4F62-D0FA-4B17-927A-4941FBA27A25}"/>
    <cellStyle name="Note 24 4 11" xfId="9457" xr:uid="{C6702061-DAF9-44F3-9F46-62348F472DA6}"/>
    <cellStyle name="Note 24 4 11 2" xfId="25661" xr:uid="{420CC7CB-DF51-460F-88FE-29689B8C580F}"/>
    <cellStyle name="Note 24 4 12" xfId="17973" xr:uid="{F4090B36-5251-444E-82F9-2F3C4F5FC564}"/>
    <cellStyle name="Note 24 4 2" xfId="2026" xr:uid="{38B99A85-7EC2-4B6B-A2B0-BE61437C99C8}"/>
    <cellStyle name="Note 24 4 2 10" xfId="9800" xr:uid="{B47314D6-2C4A-4C78-B94A-2E57BB9EBFBB}"/>
    <cellStyle name="Note 24 4 2 10 2" xfId="26004" xr:uid="{47E7396F-2914-47F5-AD33-A476B43E4422}"/>
    <cellStyle name="Note 24 4 2 11" xfId="18324" xr:uid="{37A24842-4EB7-467E-B891-5A0A62E400BB}"/>
    <cellStyle name="Note 24 4 2 2" xfId="2527" xr:uid="{CBBBDEE8-D861-4B36-90CE-2EF01229F19E}"/>
    <cellStyle name="Note 24 4 2 2 2" xfId="3374" xr:uid="{7E7FF76F-1733-4C4E-B8D4-EE9B78922704}"/>
    <cellStyle name="Note 24 4 2 2 2 2" xfId="7156" xr:uid="{57259F2D-01F2-4E05-85D9-537B7BA632B7}"/>
    <cellStyle name="Note 24 4 2 2 2 2 2" xfId="14667" xr:uid="{90A1D82E-43B9-4ADF-BDCB-2DCEB927769F}"/>
    <cellStyle name="Note 24 4 2 2 2 2 2 2" xfId="30871" xr:uid="{B9B19C2D-4753-4024-B8E1-64190E63AC00}"/>
    <cellStyle name="Note 24 4 2 2 2 2 3" xfId="23360" xr:uid="{4AB5EDAA-3988-4BDD-AF3E-87C1B7FFBEDC}"/>
    <cellStyle name="Note 24 4 2 2 2 3" xfId="11067" xr:uid="{BA3C585E-4F90-4D08-A091-0609AFCE14F4}"/>
    <cellStyle name="Note 24 4 2 2 2 3 2" xfId="27271" xr:uid="{10CA0D74-EEBC-4630-B4C0-CD662708FF47}"/>
    <cellStyle name="Note 24 4 2 2 2 4" xfId="19594" xr:uid="{0407DF4F-42F2-4CF6-A683-4DC58DDB358B}"/>
    <cellStyle name="Note 24 4 2 2 3" xfId="6311" xr:uid="{56D66BB5-5D8B-4E4D-B440-2F18CF7021FA}"/>
    <cellStyle name="Note 24 4 2 2 3 2" xfId="13823" xr:uid="{AC63A1E9-0DBE-4BCA-9568-B40DE67730D9}"/>
    <cellStyle name="Note 24 4 2 2 3 2 2" xfId="30027" xr:uid="{CF1782D5-41D1-41E7-A769-1321D85E25C5}"/>
    <cellStyle name="Note 24 4 2 2 3 3" xfId="22515" xr:uid="{C37BC78F-7CAE-4066-863F-6A0FF11FA8D8}"/>
    <cellStyle name="Note 24 4 2 2 4" xfId="10223" xr:uid="{BFBA479A-4D58-4AC5-9F59-C5851E0556BC}"/>
    <cellStyle name="Note 24 4 2 2 4 2" xfId="26427" xr:uid="{4EE4347B-BE14-4CA1-8D9D-9D1C7F798D5D}"/>
    <cellStyle name="Note 24 4 2 2 5" xfId="18749" xr:uid="{647A3FA3-2366-44E3-BC7B-22504A189C40}"/>
    <cellStyle name="Note 24 4 2 3" xfId="2949" xr:uid="{692C072F-A2E0-4D3D-9ACC-49D229186342}"/>
    <cellStyle name="Note 24 4 2 3 2" xfId="6733" xr:uid="{658D3F3D-4500-4CFE-A2B1-9A9EAACFEA44}"/>
    <cellStyle name="Note 24 4 2 3 2 2" xfId="14245" xr:uid="{5B7F3950-E7A8-4294-9AF6-B42854192FF6}"/>
    <cellStyle name="Note 24 4 2 3 2 2 2" xfId="30449" xr:uid="{608DAEA9-5D91-4F93-94C0-75671DD32615}"/>
    <cellStyle name="Note 24 4 2 3 2 3" xfId="22937" xr:uid="{F6219001-E7C2-4EF9-ABE3-FC0751C30068}"/>
    <cellStyle name="Note 24 4 2 3 3" xfId="10645" xr:uid="{D24D1BA4-3403-4F17-B171-EB32F256B898}"/>
    <cellStyle name="Note 24 4 2 3 3 2" xfId="26849" xr:uid="{109A4F3A-D035-41D8-9838-541A1FBFAC64}"/>
    <cellStyle name="Note 24 4 2 3 4" xfId="19171" xr:uid="{2395C7D1-E74D-4310-9ACA-D5CC87811DC0}"/>
    <cellStyle name="Note 24 4 2 4" xfId="3880" xr:uid="{4AF587EC-D8F8-48B0-92A7-1D15F374AFCA}"/>
    <cellStyle name="Note 24 4 2 4 2" xfId="7590" xr:uid="{0E91AD32-796B-4545-90B9-329C4B5A57FE}"/>
    <cellStyle name="Note 24 4 2 4 2 2" xfId="15099" xr:uid="{9C733D32-1486-4F44-A1B8-5082C1EA5485}"/>
    <cellStyle name="Note 24 4 2 4 2 2 2" xfId="31303" xr:uid="{586DAF70-521D-4571-98DC-841C8803AA9C}"/>
    <cellStyle name="Note 24 4 2 4 2 3" xfId="23794" xr:uid="{25789A2F-FC77-4818-8F6D-041A518A000A}"/>
    <cellStyle name="Note 24 4 2 4 3" xfId="11490" xr:uid="{F60F217F-8648-4970-AD9B-7D941B7CDE8D}"/>
    <cellStyle name="Note 24 4 2 4 3 2" xfId="27694" xr:uid="{824BED51-7B71-48EB-A855-260A7DA0FCA3}"/>
    <cellStyle name="Note 24 4 2 4 4" xfId="20089" xr:uid="{CAD9D361-FCF4-4D11-8AE6-D8B363A64C3F}"/>
    <cellStyle name="Note 24 4 2 5" xfId="3394" xr:uid="{9FDCF890-17EC-4C9C-B2E9-EEA0FFA08E48}"/>
    <cellStyle name="Note 24 4 2 6" xfId="4349" xr:uid="{8310C50A-D595-4F96-8968-DE60026F9012}"/>
    <cellStyle name="Note 24 4 2 6 2" xfId="8019" xr:uid="{6961B4D5-D987-47C7-9DF7-C4F909E79AA6}"/>
    <cellStyle name="Note 24 4 2 6 2 2" xfId="15526" xr:uid="{2374020A-5598-4747-93EE-C4411951BCB7}"/>
    <cellStyle name="Note 24 4 2 6 2 2 2" xfId="31730" xr:uid="{3480D631-94E7-4929-9D6D-025FB0B7B485}"/>
    <cellStyle name="Note 24 4 2 6 2 3" xfId="24223" xr:uid="{47B16DBE-88DB-4114-AC82-C78CB395E65F}"/>
    <cellStyle name="Note 24 4 2 6 3" xfId="11912" xr:uid="{C76BF206-78CB-4F5F-9066-B0C981BC2569}"/>
    <cellStyle name="Note 24 4 2 6 3 2" xfId="28116" xr:uid="{C6DEFFFD-8839-4384-9FC7-985E6DD04F5F}"/>
    <cellStyle name="Note 24 4 2 6 4" xfId="20553" xr:uid="{30B32E6E-163E-4DDA-8D85-1CE9586EAF6A}"/>
    <cellStyle name="Note 24 4 2 7" xfId="4774" xr:uid="{429D83E2-69C3-4B38-845D-E557E270A35E}"/>
    <cellStyle name="Note 24 4 2 7 2" xfId="8444" xr:uid="{A325858D-B630-499B-99B5-8FB117FC1165}"/>
    <cellStyle name="Note 24 4 2 7 2 2" xfId="15951" xr:uid="{2987EEED-27F4-4B03-90DB-A93F3AC5368A}"/>
    <cellStyle name="Note 24 4 2 7 2 2 2" xfId="32155" xr:uid="{AB548BB4-CC1E-4176-9FD6-9255BAE467AD}"/>
    <cellStyle name="Note 24 4 2 7 2 3" xfId="24648" xr:uid="{48A18747-14BC-45B3-B71E-1A541003D76E}"/>
    <cellStyle name="Note 24 4 2 7 3" xfId="12337" xr:uid="{6B4373E9-F045-4039-9CE4-519875EA26CB}"/>
    <cellStyle name="Note 24 4 2 7 3 2" xfId="28541" xr:uid="{229FD6CF-9854-415F-81E6-1CD4F8D4B4FE}"/>
    <cellStyle name="Note 24 4 2 7 4" xfId="20978" xr:uid="{64E7FB9A-505E-4BAB-B2F1-06F6A69D363E}"/>
    <cellStyle name="Note 24 4 2 8" xfId="5202" xr:uid="{74A9B219-FBAC-4ADC-A7CB-0208B0418F85}"/>
    <cellStyle name="Note 24 4 2 8 2" xfId="8867" xr:uid="{4464F496-C9C7-41D7-92F6-E2D3D7DCA3BE}"/>
    <cellStyle name="Note 24 4 2 8 2 2" xfId="16374" xr:uid="{E9C5E485-E75A-455B-B582-BE24369241BB}"/>
    <cellStyle name="Note 24 4 2 8 2 2 2" xfId="32578" xr:uid="{9E9C206C-BB0A-41D4-8442-8B5E14A07FBD}"/>
    <cellStyle name="Note 24 4 2 8 2 3" xfId="25071" xr:uid="{DAB8508D-0F6B-42D0-BB7E-5D85BEDFAA5C}"/>
    <cellStyle name="Note 24 4 2 8 3" xfId="12759" xr:uid="{CAE91010-A27E-4DAB-B454-BE7067785DFE}"/>
    <cellStyle name="Note 24 4 2 8 3 2" xfId="28963" xr:uid="{E2782679-D4C9-4C92-892A-F779336038FD}"/>
    <cellStyle name="Note 24 4 2 8 4" xfId="21406" xr:uid="{324F093B-0FA1-496E-A29F-47C7C429BA38}"/>
    <cellStyle name="Note 24 4 2 9" xfId="5873" xr:uid="{6FCD1E6A-5E1D-4CAC-99D5-2A61FF2FABAA}"/>
    <cellStyle name="Note 24 4 2 9 2" xfId="13388" xr:uid="{06284725-1292-454D-83D5-C24FD8882A62}"/>
    <cellStyle name="Note 24 4 2 9 2 2" xfId="29592" xr:uid="{16C31279-67CA-4ACA-AEF2-2310E71FF9FA}"/>
    <cellStyle name="Note 24 4 2 9 3" xfId="22077" xr:uid="{EC96FC58-86D2-4228-A743-6043008419BF}"/>
    <cellStyle name="Note 24 4 3" xfId="2118" xr:uid="{F085A41E-04A2-4292-9286-0C1C70A06AC9}"/>
    <cellStyle name="Note 24 4 3 2" xfId="3031" xr:uid="{A9191520-0520-41E8-A06F-EB95A55F5D02}"/>
    <cellStyle name="Note 24 4 3 2 2" xfId="6813" xr:uid="{80D3950E-6A39-41CA-A797-3FDC7E02BE61}"/>
    <cellStyle name="Note 24 4 3 2 2 2" xfId="14324" xr:uid="{32CFE365-3652-45B4-8FE4-A19CC0937E71}"/>
    <cellStyle name="Note 24 4 3 2 2 2 2" xfId="30528" xr:uid="{6BB2118D-C4A3-4136-AFF4-FFCC15FD492A}"/>
    <cellStyle name="Note 24 4 3 2 2 3" xfId="23017" xr:uid="{26D233A3-0C56-4B34-9558-C61D434F5122}"/>
    <cellStyle name="Note 24 4 3 2 3" xfId="10724" xr:uid="{023D378F-5A48-419F-B685-E57F18EEB540}"/>
    <cellStyle name="Note 24 4 3 2 3 2" xfId="26928" xr:uid="{C1AB25E8-7BB9-417A-B5B7-014D6A567A12}"/>
    <cellStyle name="Note 24 4 3 2 4" xfId="19251" xr:uid="{621C6A60-5995-4A46-BED7-DB5D976EDDC4}"/>
    <cellStyle name="Note 24 4 3 3" xfId="5957" xr:uid="{B5414B4E-3B6C-469D-B912-7ADC5729550A}"/>
    <cellStyle name="Note 24 4 3 3 2" xfId="13471" xr:uid="{7C6E3C70-E4BD-40C5-8F66-250BABBBDB3E}"/>
    <cellStyle name="Note 24 4 3 3 2 2" xfId="29675" xr:uid="{B12A2C63-FF16-4C13-902E-99A0C1FF47AF}"/>
    <cellStyle name="Note 24 4 3 3 3" xfId="22161" xr:uid="{32C715B3-05BB-495B-92BE-6275320A245C}"/>
    <cellStyle name="Note 24 4 3 4" xfId="9880" xr:uid="{05AFE822-7AA0-4644-886D-2B0E16EAD99A}"/>
    <cellStyle name="Note 24 4 3 4 2" xfId="26084" xr:uid="{951F7B4D-2FB8-48BD-BD27-9F8E2889C43A}"/>
    <cellStyle name="Note 24 4 3 5" xfId="18405" xr:uid="{2475FADF-8479-4739-8A00-F6EE4AE04099}"/>
    <cellStyle name="Note 24 4 4" xfId="2606" xr:uid="{45D137FA-A0F3-48E7-AE32-2330B9D98F3A}"/>
    <cellStyle name="Note 24 4 4 2" xfId="6390" xr:uid="{49045508-CCE8-48EC-AD53-1CA739C0C1D0}"/>
    <cellStyle name="Note 24 4 4 2 2" xfId="13902" xr:uid="{220D8635-907D-40E8-9F6E-65EA4FB0BC21}"/>
    <cellStyle name="Note 24 4 4 2 2 2" xfId="30106" xr:uid="{8B3FEC56-23FC-43C3-9365-4067D220714B}"/>
    <cellStyle name="Note 24 4 4 2 3" xfId="22594" xr:uid="{71F68B90-12CD-46C1-BEC8-F8F01D49484B}"/>
    <cellStyle name="Note 24 4 4 3" xfId="10302" xr:uid="{911F8BF0-0F95-4719-9535-3554EBBFCA46}"/>
    <cellStyle name="Note 24 4 4 3 2" xfId="26506" xr:uid="{8E789237-F577-498A-9318-6335E27B571F}"/>
    <cellStyle name="Note 24 4 4 4" xfId="18828" xr:uid="{2E3FE995-24B7-4F12-8AEF-54FC61B8C38C}"/>
    <cellStyle name="Note 24 4 5" xfId="3482" xr:uid="{3853E206-503D-42F8-AD4A-B911F0AF4878}"/>
    <cellStyle name="Note 24 4 5 2" xfId="7240" xr:uid="{4205772C-4C48-436C-9F8B-B2A2B8C0E464}"/>
    <cellStyle name="Note 24 4 5 2 2" xfId="14750" xr:uid="{258872E4-7EDF-4F1B-91D4-A4AE67F5CAF0}"/>
    <cellStyle name="Note 24 4 5 2 2 2" xfId="30954" xr:uid="{2CC7FEA9-658F-4581-8DB4-552536BC719D}"/>
    <cellStyle name="Note 24 4 5 2 3" xfId="23444" xr:uid="{8CE35D88-6BF1-4EBB-B5A1-0C8D54AE5F8C}"/>
    <cellStyle name="Note 24 4 5 3" xfId="11147" xr:uid="{A24D193A-D543-4EE8-9BA7-671531340648}"/>
    <cellStyle name="Note 24 4 5 3 2" xfId="27351" xr:uid="{F9CCA7DB-02BB-4E0E-8858-9B53E47B9D9C}"/>
    <cellStyle name="Note 24 4 5 4" xfId="19698" xr:uid="{4FB87562-FC3B-43EA-996A-359C09DADD67}"/>
    <cellStyle name="Note 24 4 6" xfId="3928" xr:uid="{98F208FE-F454-48AA-AE2B-7700E84E4166}"/>
    <cellStyle name="Note 24 4 7" xfId="4006" xr:uid="{2E26F43A-5543-4579-9F66-2D2E7EBD59C0}"/>
    <cellStyle name="Note 24 4 7 2" xfId="7676" xr:uid="{C59A58FC-1C46-4349-AFE0-B85C7265311D}"/>
    <cellStyle name="Note 24 4 7 2 2" xfId="15183" xr:uid="{F46976B1-1C76-401F-AB3C-CCFC80A1F6D6}"/>
    <cellStyle name="Note 24 4 7 2 2 2" xfId="31387" xr:uid="{088F8009-C5BA-41CC-8DE7-BC166A2844BA}"/>
    <cellStyle name="Note 24 4 7 2 3" xfId="23880" xr:uid="{D290ACCA-2C1F-4145-8EBC-15B84E819CE5}"/>
    <cellStyle name="Note 24 4 7 3" xfId="11569" xr:uid="{3B255CDC-3BCE-4D0C-A371-35536B1899D9}"/>
    <cellStyle name="Note 24 4 7 3 2" xfId="27773" xr:uid="{22BABD95-6CCA-44EE-AB04-9F2443A6EAB7}"/>
    <cellStyle name="Note 24 4 7 4" xfId="20210" xr:uid="{28AC578F-360A-4560-9E0E-90CBE8646E51}"/>
    <cellStyle name="Note 24 4 8" xfId="4431" xr:uid="{5CA7628A-23BF-41BB-BFD6-DD1A83A8575D}"/>
    <cellStyle name="Note 24 4 8 2" xfId="8101" xr:uid="{E83088A9-AAE2-49FD-A8EE-56EDC62DC47F}"/>
    <cellStyle name="Note 24 4 8 2 2" xfId="15608" xr:uid="{A4C6853A-4BFD-49D3-8D64-1AA358CBF027}"/>
    <cellStyle name="Note 24 4 8 2 2 2" xfId="31812" xr:uid="{55411270-D73B-473A-92EE-088C1DF0CC29}"/>
    <cellStyle name="Note 24 4 8 2 3" xfId="24305" xr:uid="{9AFD4752-E0E0-45AD-A526-912D9D294ADC}"/>
    <cellStyle name="Note 24 4 8 3" xfId="11994" xr:uid="{577385C6-9966-459B-A2C7-3C2F549326CD}"/>
    <cellStyle name="Note 24 4 8 3 2" xfId="28198" xr:uid="{3AFFA766-FE3F-42F9-A60B-F02A291C9908}"/>
    <cellStyle name="Note 24 4 8 4" xfId="20635" xr:uid="{3802C978-E2DF-4AA8-887A-A5919ED04EA1}"/>
    <cellStyle name="Note 24 4 9" xfId="4856" xr:uid="{637F5BF1-788C-467B-BD62-AEF16FEA1104}"/>
    <cellStyle name="Note 24 4 9 2" xfId="8524" xr:uid="{6BC2BFBB-51EA-4834-B290-3B0C2C105343}"/>
    <cellStyle name="Note 24 4 9 2 2" xfId="16031" xr:uid="{1F7A0247-28ED-4553-99FE-25FDB79294CA}"/>
    <cellStyle name="Note 24 4 9 2 2 2" xfId="32235" xr:uid="{8D63AACD-067D-47E9-A9A2-BCE39EA86862}"/>
    <cellStyle name="Note 24 4 9 2 3" xfId="24728" xr:uid="{0367A888-2DE8-46E8-827F-B2F9AD336A79}"/>
    <cellStyle name="Note 24 4 9 3" xfId="12416" xr:uid="{F697257D-C854-44D3-B81E-5DFD58746AD0}"/>
    <cellStyle name="Note 24 4 9 3 2" xfId="28620" xr:uid="{4BF994E8-2496-48F9-BCEA-CC563BFB4382}"/>
    <cellStyle name="Note 24 4 9 4" xfId="21060" xr:uid="{02CC001B-AA7C-4058-ACD2-98D6F46A1F38}"/>
    <cellStyle name="Note 24 5" xfId="2027" xr:uid="{B45D5BB6-9A01-48AC-87FD-B8056EF24E69}"/>
    <cellStyle name="Note 24 5 10" xfId="9801" xr:uid="{B94D9C3C-824F-4CDE-935B-0F9845452AB1}"/>
    <cellStyle name="Note 24 5 10 2" xfId="26005" xr:uid="{B00994B4-C87A-4419-9989-19966B18C450}"/>
    <cellStyle name="Note 24 5 11" xfId="18325" xr:uid="{B669182B-27FC-443B-87F9-228EB6ECABFA}"/>
    <cellStyle name="Note 24 5 2" xfId="2528" xr:uid="{185EC6AF-4B23-497D-951B-5E794138893A}"/>
    <cellStyle name="Note 24 5 2 2" xfId="3375" xr:uid="{C9F7F993-323E-4FED-8B9F-092EFEC63F17}"/>
    <cellStyle name="Note 24 5 2 2 2" xfId="7157" xr:uid="{9CB7D2BB-B7F0-443B-8708-EF68744ACB58}"/>
    <cellStyle name="Note 24 5 2 2 2 2" xfId="14668" xr:uid="{D3FABC73-CF68-469F-9017-50DAEDD69B4B}"/>
    <cellStyle name="Note 24 5 2 2 2 2 2" xfId="30872" xr:uid="{A5EE4482-E170-4895-B4BE-C73C2D84CFD4}"/>
    <cellStyle name="Note 24 5 2 2 2 3" xfId="23361" xr:uid="{ED0CC5CF-FD48-435C-A1B9-E457D17C86AD}"/>
    <cellStyle name="Note 24 5 2 2 3" xfId="11068" xr:uid="{C1B07EF8-185C-4C6D-ADFF-6E27BFBD1279}"/>
    <cellStyle name="Note 24 5 2 2 3 2" xfId="27272" xr:uid="{6DAB2008-7D30-4A3F-9E33-AE7488F8487C}"/>
    <cellStyle name="Note 24 5 2 2 4" xfId="19595" xr:uid="{71F81F96-B07D-4052-BFCD-66D07F3E2C23}"/>
    <cellStyle name="Note 24 5 2 3" xfId="6312" xr:uid="{59B30D73-A9CE-4E44-822C-B1F29F3ABD18}"/>
    <cellStyle name="Note 24 5 2 3 2" xfId="13824" xr:uid="{8E7C03B4-4EE4-455B-BC3B-8DA368079070}"/>
    <cellStyle name="Note 24 5 2 3 2 2" xfId="30028" xr:uid="{33CE05EF-C2A8-4CAF-B2A2-636D6577F1FF}"/>
    <cellStyle name="Note 24 5 2 3 3" xfId="22516" xr:uid="{95593A5E-130B-4134-8CEA-CC8860BD4A61}"/>
    <cellStyle name="Note 24 5 2 4" xfId="10224" xr:uid="{865484F6-1590-47D0-A409-5B6BED5E133F}"/>
    <cellStyle name="Note 24 5 2 4 2" xfId="26428" xr:uid="{35AE3036-AD55-4BBD-AF68-AEC3197B328C}"/>
    <cellStyle name="Note 24 5 2 5" xfId="18750" xr:uid="{83C007F8-A258-466E-97DC-4500EA27A21F}"/>
    <cellStyle name="Note 24 5 3" xfId="2950" xr:uid="{04B8A48D-7FEF-4BCE-844A-243CF85375D8}"/>
    <cellStyle name="Note 24 5 3 2" xfId="6734" xr:uid="{9444DA10-DB1A-4E0D-8ACC-3CBB91904B7F}"/>
    <cellStyle name="Note 24 5 3 2 2" xfId="14246" xr:uid="{A545246B-0DDC-4D69-90D8-A79C7DAA1ABB}"/>
    <cellStyle name="Note 24 5 3 2 2 2" xfId="30450" xr:uid="{664B2FF4-0997-488F-BA76-1C87F28A9FC4}"/>
    <cellStyle name="Note 24 5 3 2 3" xfId="22938" xr:uid="{1BB6B226-D95D-4A38-879B-9D9B7285A70E}"/>
    <cellStyle name="Note 24 5 3 3" xfId="10646" xr:uid="{6B35A417-71E3-4090-9FD0-25DBC253CFD4}"/>
    <cellStyle name="Note 24 5 3 3 2" xfId="26850" xr:uid="{72DF5598-B520-4328-82F7-5EEF0DC69D87}"/>
    <cellStyle name="Note 24 5 3 4" xfId="19172" xr:uid="{5906FEA5-4C86-4835-9206-0694B7D527CF}"/>
    <cellStyle name="Note 24 5 4" xfId="3881" xr:uid="{CBB9E435-9196-4509-A4BB-E143C037F63F}"/>
    <cellStyle name="Note 24 5 4 2" xfId="7591" xr:uid="{E1324FF4-027D-40BF-8208-12ED981C9A4E}"/>
    <cellStyle name="Note 24 5 4 2 2" xfId="15100" xr:uid="{E8ADC0D5-FDD3-477B-BB84-14D4E1F28103}"/>
    <cellStyle name="Note 24 5 4 2 2 2" xfId="31304" xr:uid="{2A4C4638-6843-47F3-944C-743279B988FB}"/>
    <cellStyle name="Note 24 5 4 2 3" xfId="23795" xr:uid="{EBEA8364-1116-4758-A5CB-BC2AE18D2FF2}"/>
    <cellStyle name="Note 24 5 4 3" xfId="11491" xr:uid="{80BFACEE-3429-4616-A5A9-7EA56CF0D90B}"/>
    <cellStyle name="Note 24 5 4 3 2" xfId="27695" xr:uid="{44DE5F26-472B-4137-B8B5-E904C078426C}"/>
    <cellStyle name="Note 24 5 4 4" xfId="20090" xr:uid="{860BD15B-4305-4CF9-B152-03AF757E90D9}"/>
    <cellStyle name="Note 24 5 5" xfId="3589" xr:uid="{EC8A4156-2580-45ED-A63E-586D17D4EFC6}"/>
    <cellStyle name="Note 24 5 6" xfId="4350" xr:uid="{6BDCA900-3FEF-4D2B-899F-44FDF7F40F7B}"/>
    <cellStyle name="Note 24 5 6 2" xfId="8020" xr:uid="{FE3CF1D4-862B-44B0-A383-220AC4E2B8AC}"/>
    <cellStyle name="Note 24 5 6 2 2" xfId="15527" xr:uid="{7D468B56-86AA-4ADE-B895-6C4352FC6D2F}"/>
    <cellStyle name="Note 24 5 6 2 2 2" xfId="31731" xr:uid="{448B94C0-24F8-48A0-A193-531F901EA909}"/>
    <cellStyle name="Note 24 5 6 2 3" xfId="24224" xr:uid="{53E8387B-5E13-47D0-8EFC-7D617A4391C3}"/>
    <cellStyle name="Note 24 5 6 3" xfId="11913" xr:uid="{7EF66C4F-75AB-47A5-AF87-DE86266B389A}"/>
    <cellStyle name="Note 24 5 6 3 2" xfId="28117" xr:uid="{92B9D9C0-91E5-4FD7-A478-C9645CB5E53D}"/>
    <cellStyle name="Note 24 5 6 4" xfId="20554" xr:uid="{92A22C47-7E76-4264-8C53-A9B3582C0D5A}"/>
    <cellStyle name="Note 24 5 7" xfId="4775" xr:uid="{A4123A02-8E76-4C52-9FD8-540AB86A18F9}"/>
    <cellStyle name="Note 24 5 7 2" xfId="8445" xr:uid="{E3523530-A055-4B7A-B1C6-B3D013B7A349}"/>
    <cellStyle name="Note 24 5 7 2 2" xfId="15952" xr:uid="{C6F7420E-DBFD-43CE-8E20-59A5E805776D}"/>
    <cellStyle name="Note 24 5 7 2 2 2" xfId="32156" xr:uid="{346CF8C2-57C4-490B-B58B-AC1E22433ADC}"/>
    <cellStyle name="Note 24 5 7 2 3" xfId="24649" xr:uid="{22258AF9-05EA-4B42-A4F5-15FA47E75D3C}"/>
    <cellStyle name="Note 24 5 7 3" xfId="12338" xr:uid="{F2EED8AF-1B12-4E7A-9ACE-08C30A0ED5CF}"/>
    <cellStyle name="Note 24 5 7 3 2" xfId="28542" xr:uid="{61E8DA41-92AE-43FB-8320-E7E868E4DE1C}"/>
    <cellStyle name="Note 24 5 7 4" xfId="20979" xr:uid="{BE0741D2-59C4-42B0-9308-B4291ACC2B1A}"/>
    <cellStyle name="Note 24 5 8" xfId="5203" xr:uid="{BDB9FE76-AF83-4132-84D9-34B6632E6146}"/>
    <cellStyle name="Note 24 5 8 2" xfId="8868" xr:uid="{0EE3FB2E-48D5-4D3D-AB51-A590CECE6A3A}"/>
    <cellStyle name="Note 24 5 8 2 2" xfId="16375" xr:uid="{0C057EF9-513E-401A-8105-877C2768AC08}"/>
    <cellStyle name="Note 24 5 8 2 2 2" xfId="32579" xr:uid="{3F19F6E5-237D-4F1F-8304-C7D8A5DB533A}"/>
    <cellStyle name="Note 24 5 8 2 3" xfId="25072" xr:uid="{ADA57CE2-A2E2-426A-A714-508421B0ADCB}"/>
    <cellStyle name="Note 24 5 8 3" xfId="12760" xr:uid="{6E8D6F86-05C4-474D-85D3-F403F865F0E3}"/>
    <cellStyle name="Note 24 5 8 3 2" xfId="28964" xr:uid="{96564CB8-7503-4283-9CCF-AF339424E02E}"/>
    <cellStyle name="Note 24 5 8 4" xfId="21407" xr:uid="{604DC085-37A7-4F28-8F09-F17A9B450713}"/>
    <cellStyle name="Note 24 5 9" xfId="5874" xr:uid="{8D1AFCB2-78D5-4484-A8E5-BFF043DB4E2B}"/>
    <cellStyle name="Note 24 5 9 2" xfId="13389" xr:uid="{B479ED3C-A2BD-481E-AB84-D1571FC36EEF}"/>
    <cellStyle name="Note 24 5 9 2 2" xfId="29593" xr:uid="{4F81882A-FA89-4BC5-AD6E-2693E82B690B}"/>
    <cellStyle name="Note 24 5 9 3" xfId="22078" xr:uid="{03485EB0-10F0-4D0C-9303-64CA70C6A624}"/>
    <cellStyle name="Note 24 6" xfId="2051" xr:uid="{11C07547-A835-40E2-9B1D-A483B3A40ADD}"/>
    <cellStyle name="Note 24 6 2" xfId="2964" xr:uid="{E554C1AE-35E3-4500-85FC-321E4669456E}"/>
    <cellStyle name="Note 24 6 2 2" xfId="6746" xr:uid="{8369E702-544D-47D2-B3B2-FCFA9C037D2E}"/>
    <cellStyle name="Note 24 6 2 2 2" xfId="14257" xr:uid="{75A90E90-296B-4758-AB87-62ED8A9E9EFD}"/>
    <cellStyle name="Note 24 6 2 2 2 2" xfId="30461" xr:uid="{D4BE9497-AB12-440E-80FF-641BEAF7520B}"/>
    <cellStyle name="Note 24 6 2 2 3" xfId="22950" xr:uid="{DAAF3948-09CE-4AA9-A66E-4FC2B5B5E30D}"/>
    <cellStyle name="Note 24 6 2 3" xfId="10657" xr:uid="{A8D4C9BC-97B6-4D51-8D50-F3B598155E1A}"/>
    <cellStyle name="Note 24 6 2 3 2" xfId="26861" xr:uid="{2DE56906-2603-49B4-93E6-680997C15EFE}"/>
    <cellStyle name="Note 24 6 2 4" xfId="19184" xr:uid="{C0ECE47E-3B7D-4376-80B1-C603A66465AE}"/>
    <cellStyle name="Note 24 6 3" xfId="5890" xr:uid="{6108772A-BE6E-484E-B0CD-3FF9D549A7FF}"/>
    <cellStyle name="Note 24 6 3 2" xfId="13404" xr:uid="{C7CD7CE9-0165-4A2A-A04E-744ECC13DE08}"/>
    <cellStyle name="Note 24 6 3 2 2" xfId="29608" xr:uid="{D68AF671-ACAE-4997-8195-8D719B950838}"/>
    <cellStyle name="Note 24 6 3 3" xfId="22094" xr:uid="{87E82FD5-8ABE-4384-9024-AF8B70040B41}"/>
    <cellStyle name="Note 24 6 4" xfId="9813" xr:uid="{8BB935CF-D4B3-4009-8AD0-B24ECECF5EF9}"/>
    <cellStyle name="Note 24 6 4 2" xfId="26017" xr:uid="{9C91C4DD-6FF8-40D3-81B8-7B310F85EC4F}"/>
    <cellStyle name="Note 24 6 5" xfId="18338" xr:uid="{038436C9-BD50-44B1-BE32-7480A084D91A}"/>
    <cellStyle name="Note 24 7" xfId="2539" xr:uid="{90E6BE93-513C-4C52-A323-72F0FEBA3487}"/>
    <cellStyle name="Note 24 7 2" xfId="6323" xr:uid="{9AD93138-5F1C-4053-B536-DACF29555964}"/>
    <cellStyle name="Note 24 7 2 2" xfId="13835" xr:uid="{B96A754A-BBD0-4B40-842B-EC902A13CA84}"/>
    <cellStyle name="Note 24 7 2 2 2" xfId="30039" xr:uid="{FEF76F68-B9F4-47E0-ABBB-C156053251FB}"/>
    <cellStyle name="Note 24 7 2 3" xfId="22527" xr:uid="{60466F60-4363-4FF1-BADF-C072AA6D1743}"/>
    <cellStyle name="Note 24 7 3" xfId="10235" xr:uid="{8DF938FB-4A2F-49C9-AD3A-29952A1FD109}"/>
    <cellStyle name="Note 24 7 3 2" xfId="26439" xr:uid="{3D7913A6-1B61-42DA-8712-8E4DD1E5CD42}"/>
    <cellStyle name="Note 24 7 4" xfId="18761" xr:uid="{6B58F25E-42FC-42A6-A381-66D9203C1DAC}"/>
    <cellStyle name="Note 24 8" xfId="3413" xr:uid="{A311B24C-2777-4EC3-9C88-516069A61E44}"/>
    <cellStyle name="Note 24 8 2" xfId="7173" xr:uid="{5041F860-4B1F-4D2A-ADB3-C156F96BFE9D}"/>
    <cellStyle name="Note 24 8 2 2" xfId="14683" xr:uid="{69E2F448-F2F3-4CFE-8446-214AA3DF8E90}"/>
    <cellStyle name="Note 24 8 2 2 2" xfId="30887" xr:uid="{23346518-7985-416C-88AC-941FBB323FCD}"/>
    <cellStyle name="Note 24 8 2 3" xfId="23377" xr:uid="{2D7CCACB-FFE7-40A1-B671-7CC667B78EE0}"/>
    <cellStyle name="Note 24 8 3" xfId="11080" xr:uid="{2CD2937D-E72B-47A5-9D20-18ACFAFD4524}"/>
    <cellStyle name="Note 24 8 3 2" xfId="27284" xr:uid="{BE1830C4-C225-447E-A6AA-A2D87321EB8B}"/>
    <cellStyle name="Note 24 8 4" xfId="19629" xr:uid="{D7056D53-1D20-43F1-AADB-AF9BB2686413}"/>
    <cellStyle name="Note 24 9" xfId="3554" xr:uid="{8CBD0BB0-E9B1-4112-B86E-FF16E7CB1F69}"/>
    <cellStyle name="Note 25" xfId="636" xr:uid="{AA680F30-BEB2-4D1C-B539-1359C9AE7053}"/>
    <cellStyle name="Note 25 2" xfId="2179" xr:uid="{CCDEEF65-A252-4368-962E-A8B8064E993E}"/>
    <cellStyle name="Note 26" xfId="720" xr:uid="{BCAE51B6-7AB6-44CA-8058-831031BCC02F}"/>
    <cellStyle name="Note 27" xfId="1807" xr:uid="{15DF35F7-17A5-48E9-B768-8B8C8D0EBEBB}"/>
    <cellStyle name="Note 27 10" xfId="9589" xr:uid="{B1977D6D-FC8A-4CF4-827D-44A6BBAE6482}"/>
    <cellStyle name="Note 27 10 2" xfId="25793" xr:uid="{5105318E-86C4-447A-92F9-79365C988411}"/>
    <cellStyle name="Note 27 11" xfId="18112" xr:uid="{9642EF15-E1E8-4B2B-AA90-F7F7F2C0A472}"/>
    <cellStyle name="Note 27 2" xfId="2316" xr:uid="{3DE7DA9A-F854-4EE3-A2F9-CE0231D50329}"/>
    <cellStyle name="Note 27 2 2" xfId="3163" xr:uid="{703ED23B-7974-45A0-86EC-D24D24806EB4}"/>
    <cellStyle name="Note 27 2 2 2" xfId="6945" xr:uid="{1404577A-7B30-4DB3-BCA8-54538161D390}"/>
    <cellStyle name="Note 27 2 2 2 2" xfId="14456" xr:uid="{E04EFC47-1132-4C73-936E-95DC2A51D8CD}"/>
    <cellStyle name="Note 27 2 2 2 2 2" xfId="30660" xr:uid="{52702D5B-4D38-48CD-AA27-A08D717FD0A5}"/>
    <cellStyle name="Note 27 2 2 2 3" xfId="23149" xr:uid="{FD8E0417-D6F6-4DAC-AE7B-E96CA299B388}"/>
    <cellStyle name="Note 27 2 2 3" xfId="10856" xr:uid="{D6A81229-1C2D-42B7-A590-6EE731A98B91}"/>
    <cellStyle name="Note 27 2 2 3 2" xfId="27060" xr:uid="{A1F5E075-2109-4678-88D6-AEFF2ECFB0B4}"/>
    <cellStyle name="Note 27 2 2 4" xfId="19383" xr:uid="{2C6A22C7-F0AD-4F75-A176-B196A98044E7}"/>
    <cellStyle name="Note 27 2 3" xfId="6100" xr:uid="{78A17790-5830-4899-8C67-1D9516B987D0}"/>
    <cellStyle name="Note 27 2 3 2" xfId="13612" xr:uid="{CF4BE206-48F5-4497-84BD-ABFA9ACC7418}"/>
    <cellStyle name="Note 27 2 3 2 2" xfId="29816" xr:uid="{64F8369F-6E17-44F9-ACD9-226950552FB4}"/>
    <cellStyle name="Note 27 2 3 3" xfId="22304" xr:uid="{D4DE86BF-CAD5-44CF-B4F9-FB2C34959B2D}"/>
    <cellStyle name="Note 27 2 4" xfId="10012" xr:uid="{720B6EC2-6A39-4654-BEB3-C0CAF5C4905D}"/>
    <cellStyle name="Note 27 2 4 2" xfId="26216" xr:uid="{49B8DAAE-7694-47B9-A6DE-B13D19E418BA}"/>
    <cellStyle name="Note 27 2 5" xfId="18538" xr:uid="{C206402F-DACA-4421-9310-CC72A6EA8E36}"/>
    <cellStyle name="Note 27 3" xfId="2738" xr:uid="{D1A761C9-89B6-4F5B-B6EB-CA7A2AF76C0F}"/>
    <cellStyle name="Note 27 3 2" xfId="6522" xr:uid="{6272E809-E42A-4DD7-ABD0-02D51FF2FEF7}"/>
    <cellStyle name="Note 27 3 2 2" xfId="14034" xr:uid="{BB8B88BC-9DB8-4E7B-9B9B-E25DEF987B47}"/>
    <cellStyle name="Note 27 3 2 2 2" xfId="30238" xr:uid="{0BF77D14-F21B-46FE-B427-733F7BD6FE28}"/>
    <cellStyle name="Note 27 3 2 3" xfId="22726" xr:uid="{085CDA0A-734B-47FF-8B61-C0A67A5D42C5}"/>
    <cellStyle name="Note 27 3 3" xfId="10434" xr:uid="{9053649C-2EF7-49E4-AFB1-21FC5DDAA936}"/>
    <cellStyle name="Note 27 3 3 2" xfId="26638" xr:uid="{EF1AA31E-B27B-4201-8E57-89B371DDC87D}"/>
    <cellStyle name="Note 27 3 4" xfId="18960" xr:uid="{CFB4EF88-C1C3-445F-8E63-90EF725146D2}"/>
    <cellStyle name="Note 27 4" xfId="3669" xr:uid="{F9FE3410-22F3-4D12-AC37-F1D46B7CB6C7}"/>
    <cellStyle name="Note 27 4 2" xfId="7379" xr:uid="{67037835-A936-42BC-818A-47468AF9A13A}"/>
    <cellStyle name="Note 27 4 2 2" xfId="14888" xr:uid="{5E3EE19C-E4C2-4CB6-B2D0-56510288004E}"/>
    <cellStyle name="Note 27 4 2 2 2" xfId="31092" xr:uid="{64E9DA44-6223-496A-B53D-2E2E64C7769D}"/>
    <cellStyle name="Note 27 4 2 3" xfId="23583" xr:uid="{56349569-A639-493D-8BDE-4EBE0AEFC2F9}"/>
    <cellStyle name="Note 27 4 3" xfId="11279" xr:uid="{3B15B626-9242-489D-A78A-CC0AB516DBC5}"/>
    <cellStyle name="Note 27 4 3 2" xfId="27483" xr:uid="{D2CE60AD-C68D-41AF-A7DB-B162611C1CA4}"/>
    <cellStyle name="Note 27 4 4" xfId="19878" xr:uid="{7464CBA9-2E8A-4A50-8EBC-BEC79BD31639}"/>
    <cellStyle name="Note 27 5" xfId="3387" xr:uid="{A777F65D-54E9-4686-9644-FDA33425B42D}"/>
    <cellStyle name="Note 27 6" xfId="4138" xr:uid="{0C6A6E36-3390-4E40-A96C-28FA4583232C}"/>
    <cellStyle name="Note 27 6 2" xfId="7808" xr:uid="{63259058-B8BC-449B-AE0D-668440854D0A}"/>
    <cellStyle name="Note 27 6 2 2" xfId="15315" xr:uid="{F523C343-0642-4E71-AF03-659CEEDA0AAB}"/>
    <cellStyle name="Note 27 6 2 2 2" xfId="31519" xr:uid="{EFCDC323-83E8-41BE-AF9A-C576732BA9B9}"/>
    <cellStyle name="Note 27 6 2 3" xfId="24012" xr:uid="{D49BEE78-9FB6-48A2-A82F-17B73328E700}"/>
    <cellStyle name="Note 27 6 3" xfId="11701" xr:uid="{BB9FF80A-1F60-4B6B-A6A0-56CE3047EC20}"/>
    <cellStyle name="Note 27 6 3 2" xfId="27905" xr:uid="{2A60EB14-68B6-44AE-9CAF-09EB03EBA646}"/>
    <cellStyle name="Note 27 6 4" xfId="20342" xr:uid="{4861E4E0-E956-439A-AD63-607E52F78E4F}"/>
    <cellStyle name="Note 27 7" xfId="4563" xr:uid="{96EFEF15-EFD4-4E8A-9255-6E0105D70ED6}"/>
    <cellStyle name="Note 27 7 2" xfId="8233" xr:uid="{F6374D61-4BD5-405C-B039-6E91C3799E6C}"/>
    <cellStyle name="Note 27 7 2 2" xfId="15740" xr:uid="{DFA80164-1138-4F2F-94CC-DF471FC12ACB}"/>
    <cellStyle name="Note 27 7 2 2 2" xfId="31944" xr:uid="{E975F9BF-2F79-48F2-B701-5DC0327DAD23}"/>
    <cellStyle name="Note 27 7 2 3" xfId="24437" xr:uid="{44B7E526-0D9C-42F7-9703-D1F7D8F11ABC}"/>
    <cellStyle name="Note 27 7 3" xfId="12126" xr:uid="{72D81D7F-36E7-4101-9C4B-7A8AC838C40B}"/>
    <cellStyle name="Note 27 7 3 2" xfId="28330" xr:uid="{3B57182D-15F4-41BD-9D24-2E7F7C957BB9}"/>
    <cellStyle name="Note 27 7 4" xfId="20767" xr:uid="{FD6729D5-2631-46AE-A6B6-9FCDADF947F6}"/>
    <cellStyle name="Note 27 8" xfId="4990" xr:uid="{E4213E50-6475-42BE-9F1E-6CB10EA76FDA}"/>
    <cellStyle name="Note 27 8 2" xfId="8656" xr:uid="{1CA03D84-526F-4822-9608-FEF7142F2236}"/>
    <cellStyle name="Note 27 8 2 2" xfId="16163" xr:uid="{0871626A-A0D8-428A-A6D7-ED6E3D9CA321}"/>
    <cellStyle name="Note 27 8 2 2 2" xfId="32367" xr:uid="{9E9322D0-FCE4-43E4-9177-A92137B97A36}"/>
    <cellStyle name="Note 27 8 2 3" xfId="24860" xr:uid="{20CEF55C-EA38-4DF6-BF1D-E0E344E3518E}"/>
    <cellStyle name="Note 27 8 3" xfId="12548" xr:uid="{F36559C4-27F6-4DA2-BBFC-EF21942725B1}"/>
    <cellStyle name="Note 27 8 3 2" xfId="28752" xr:uid="{547F8EA9-C386-4C58-9D3F-657D4AEA36D2}"/>
    <cellStyle name="Note 27 8 4" xfId="21194" xr:uid="{7A5DC9F4-61FD-42A8-A999-785E3BD464F8}"/>
    <cellStyle name="Note 27 9" xfId="5662" xr:uid="{57884818-004D-42B6-877E-869B5986506B}"/>
    <cellStyle name="Note 27 9 2" xfId="13177" xr:uid="{BC490F2F-1992-425D-8217-240C3B0774E2}"/>
    <cellStyle name="Note 27 9 2 2" xfId="29381" xr:uid="{8067BDBB-9E31-41B0-82F7-62D1ADFB6B64}"/>
    <cellStyle name="Note 27 9 3" xfId="21866" xr:uid="{BBD02FC3-84BE-4DD5-A9CE-C62625187399}"/>
    <cellStyle name="Note 28" xfId="319" xr:uid="{FC34BC06-7C29-4723-A03D-57BA3A12664F}"/>
    <cellStyle name="Note 29" xfId="16839" xr:uid="{7754ADA6-AC7F-4B81-B66D-F236FD251986}"/>
    <cellStyle name="Note 3" xfId="335" xr:uid="{99B522AF-61D8-4FA4-B4CD-781CE656B847}"/>
    <cellStyle name="Note 3 2" xfId="393" xr:uid="{F9BE5A10-08B2-4FAE-A078-75EF80882280}"/>
    <cellStyle name="Note 3 2 2" xfId="1238" xr:uid="{9C6C8C0F-1383-4AAA-8A3F-20B030C31920}"/>
    <cellStyle name="Note 3 2 2 2" xfId="1591" xr:uid="{AA94AC4A-1AC8-4A31-9563-25AD9C9D1023}"/>
    <cellStyle name="Note 3 2 3" xfId="686" xr:uid="{85D95A77-55CC-45DC-832E-07A6FBB58595}"/>
    <cellStyle name="Note 3 2 4" xfId="1804" xr:uid="{92B41DCB-A549-4BCA-AC4F-08AD7C54F190}"/>
    <cellStyle name="Note 3 3" xfId="377" xr:uid="{1AEF747F-DBB0-4266-BD7A-A1FE882EF130}"/>
    <cellStyle name="Note 3 3 2" xfId="1239" xr:uid="{46AC391F-DF85-4C12-885D-B2C9881E26FC}"/>
    <cellStyle name="Note 3 3 2 2" xfId="1592" xr:uid="{D265514C-390F-4FB0-BADF-9DC1586B03F3}"/>
    <cellStyle name="Note 3 3 3" xfId="1070" xr:uid="{53C6DB55-EF82-47D0-A8FF-8134BE10CC9A}"/>
    <cellStyle name="Note 3 3 4" xfId="2028" xr:uid="{1C8263D9-153A-4B65-8481-5B5E8FD31C44}"/>
    <cellStyle name="Note 3 4" xfId="652" xr:uid="{1EC6CC20-A6EB-4ECA-B540-909883267633}"/>
    <cellStyle name="Note 3 4 2" xfId="1206" xr:uid="{6469546E-36BD-4702-8E6F-6197633CE6F5}"/>
    <cellStyle name="Note 3 4 3" xfId="1082" xr:uid="{D0DF6C2F-76B2-441F-90F0-5DF12BC5884E}"/>
    <cellStyle name="Note 3 5" xfId="1098" xr:uid="{BACE442B-874D-4A71-AB5C-ABACE50E4513}"/>
    <cellStyle name="Note 3 5 2" xfId="1207" xr:uid="{B00EBD41-EB5F-47F1-8C89-48AF9DE8BB09}"/>
    <cellStyle name="Note 3 6" xfId="1128" xr:uid="{6E57A7C9-2F31-496D-B61B-AD66F9A9BD4D}"/>
    <cellStyle name="Note 3 6 2" xfId="1208" xr:uid="{F31260EB-ABD8-4170-B310-67D1DED480C1}"/>
    <cellStyle name="Note 3 7" xfId="1237" xr:uid="{4A109EDD-E01E-4B1F-90F0-C769AFEBC7C2}"/>
    <cellStyle name="Note 3 7 2" xfId="1590" xr:uid="{4AC90B18-84EF-45EC-B6E1-B4117872B995}"/>
    <cellStyle name="Note 3 8" xfId="1513" xr:uid="{8ED49B32-8EAE-4196-B22A-D7E6CC17ABA4}"/>
    <cellStyle name="Note 3 8 2" xfId="1608" xr:uid="{B58075B7-4B68-4C3F-B536-26100D97AD3E}"/>
    <cellStyle name="Note 3 9" xfId="705" xr:uid="{27B77AF0-6D08-443F-BDA7-88782FD276EA}"/>
    <cellStyle name="Note 4" xfId="336" xr:uid="{29834BC0-602F-42CC-9D59-55DD77BED962}"/>
    <cellStyle name="Note 4 2" xfId="653" xr:uid="{A6D658E2-C3A0-4F29-A7CB-558F66F26FD2}"/>
    <cellStyle name="Note 4 2 2" xfId="1209" xr:uid="{559771A3-593A-4A32-ACF9-03F4AD3E6905}"/>
    <cellStyle name="Note 4 3" xfId="1548" xr:uid="{F42CDB0B-2DB3-483A-A449-A1BD816CA189}"/>
    <cellStyle name="Note 4 4" xfId="704" xr:uid="{7702DCDB-6F35-4126-B903-ACC9F79AA5F9}"/>
    <cellStyle name="Note 5" xfId="337" xr:uid="{5CB3509C-EA8F-42C9-83AA-FC66D8489535}"/>
    <cellStyle name="Note 5 2" xfId="654" xr:uid="{82848B0A-3E13-47F9-BEA6-A266A23BF31B}"/>
    <cellStyle name="Note 5 2 2" xfId="1210" xr:uid="{590E4F9B-3BC7-4399-A766-66A86A2373B9}"/>
    <cellStyle name="Note 5 3" xfId="1549" xr:uid="{83DC5F51-F025-429A-B88C-1009114B8EE7}"/>
    <cellStyle name="Note 5 4" xfId="703" xr:uid="{5ECA71E4-472A-49A2-91DE-C71AE5D45BF3}"/>
    <cellStyle name="Note 6" xfId="338" xr:uid="{670A7FA3-BA64-4837-948A-302425EE5969}"/>
    <cellStyle name="Note 6 2" xfId="655" xr:uid="{CE7B90CE-B1CD-47BA-8545-361CD6C3A4C7}"/>
    <cellStyle name="Note 6 2 2" xfId="1211" xr:uid="{617D1412-C730-42E1-983E-EA0D0247925C}"/>
    <cellStyle name="Note 6 3" xfId="1550" xr:uid="{FF4D54C4-92E4-470E-AC80-450604C4E6A9}"/>
    <cellStyle name="Note 6 4" xfId="702" xr:uid="{371E4339-9E9C-4971-81B8-B4790C904332}"/>
    <cellStyle name="Note 7" xfId="339" xr:uid="{7DB235BA-E43D-4EDA-892F-EF4002177503}"/>
    <cellStyle name="Note 7 2" xfId="656" xr:uid="{3E0BD33E-F951-4E8E-8789-78B636C6773F}"/>
    <cellStyle name="Note 7 2 2" xfId="1212" xr:uid="{B3F28CDD-2532-4FDC-BA3D-23FE3D7EBA8E}"/>
    <cellStyle name="Note 7 3" xfId="1551" xr:uid="{1D6C46D7-DB02-4FC1-B589-8C232BF55A10}"/>
    <cellStyle name="Note 7 4" xfId="701" xr:uid="{B0A6EB38-6A9C-48EF-818D-9AC0D380175B}"/>
    <cellStyle name="Note 8" xfId="340" xr:uid="{AADE72F2-2DDA-4895-B2A8-1C8A703C8AB8}"/>
    <cellStyle name="Note 8 2" xfId="657" xr:uid="{EAF8EF0D-E688-4ABD-BF1B-539012A8B9AA}"/>
    <cellStyle name="Note 8 2 2" xfId="1213" xr:uid="{C2D3F9EF-1906-4E78-A575-F84B606C6743}"/>
    <cellStyle name="Note 8 3" xfId="1552" xr:uid="{E7D6EC5E-01DE-473D-92A4-DBC573CB1902}"/>
    <cellStyle name="Note 8 4" xfId="700" xr:uid="{3805CE80-41D3-47EC-A6EB-8D72E483184C}"/>
    <cellStyle name="Note 9" xfId="341" xr:uid="{22BD3615-119B-43F8-A3FB-47AE0856A684}"/>
    <cellStyle name="Note 9 2" xfId="658" xr:uid="{D3EBEAF5-B27D-404F-B62E-4E6DCA7CA28F}"/>
    <cellStyle name="Note 9 2 2" xfId="1214" xr:uid="{68142EC9-7FBB-4F7F-A2AC-A7125A9014B1}"/>
    <cellStyle name="Note 9 3" xfId="1553" xr:uid="{BD25386F-6527-43F8-87AF-B6AB26422A96}"/>
    <cellStyle name="Note 9 4" xfId="699" xr:uid="{CEDCE93A-64DD-4AFB-AAC0-ED811391289F}"/>
    <cellStyle name="Output 2" xfId="440" xr:uid="{6395BA5D-F125-4B0A-A53C-221CD07F26FA}"/>
    <cellStyle name="Output 2 2" xfId="1046" xr:uid="{8669E8B1-D2B1-40BF-8A1C-B527173F1EA6}"/>
    <cellStyle name="Output 3" xfId="457" xr:uid="{BF62E06E-11F3-4DA7-ABB0-C0B39C747002}"/>
    <cellStyle name="Output 3 2" xfId="1554" xr:uid="{D2C7025D-A39F-4033-87AF-AA4DEBFE0CF6}"/>
    <cellStyle name="Output 4" xfId="698" xr:uid="{46382BF0-9AE2-48EE-9322-5698CC407804}"/>
    <cellStyle name="Output 5" xfId="342" xr:uid="{E15A59AD-380D-4D20-93D8-266D0FE9AB26}"/>
    <cellStyle name="Output 6" xfId="16834" xr:uid="{A89CCE7C-9D49-4561-BB3B-371456E4AB9E}"/>
    <cellStyle name="OUTPUT AMOUNTS" xfId="343" xr:uid="{CAF2660A-F20F-4B59-931F-EC35CC4C0163}"/>
    <cellStyle name="Percent" xfId="33964" builtinId="5"/>
    <cellStyle name="Percent 2" xfId="344" xr:uid="{F44BA1CA-FC16-4D37-826F-4DE5FDF4A8D3}"/>
    <cellStyle name="Percent 2 2" xfId="401" xr:uid="{BC5E8C02-302B-4CA3-8B83-B2B948B98D25}"/>
    <cellStyle name="Percent 2 2 2" xfId="1215" xr:uid="{093B130C-3988-4AB8-A42B-8CF9767A6587}"/>
    <cellStyle name="Percent 2 3" xfId="489" xr:uid="{1498E671-77A6-48CF-A9CB-0628FAF989C2}"/>
    <cellStyle name="Percent 2 3 2" xfId="539" xr:uid="{52447DB2-9603-4014-A052-4F02D9ED5EEC}"/>
    <cellStyle name="Percent 2 3 2 2" xfId="2029" xr:uid="{BAFCCCD0-4BDA-4C8E-B02C-4BAA10912066}"/>
    <cellStyle name="Percent 2 4" xfId="378" xr:uid="{110464FE-5DD1-49DB-87A0-49FCDB6ED0CC}"/>
    <cellStyle name="Percent 2 4 2" xfId="2030" xr:uid="{49209F2C-27D6-4CCD-829E-A7CF4FADA68F}"/>
    <cellStyle name="Percent 2 5" xfId="17877" xr:uid="{19D4E494-5A7B-4F77-AA3D-4C0E326DB50F}"/>
    <cellStyle name="Percent 2 5 2" xfId="33949" xr:uid="{35906B18-3465-4516-AF5C-675B0B1F74FA}"/>
    <cellStyle name="Percent 3" xfId="345" xr:uid="{9E7887BF-5495-40BB-AAD1-BF7633DA600A}"/>
    <cellStyle name="Percent 3 2" xfId="394" xr:uid="{EF0004A9-FD40-4798-A08D-D3B0D63DC17A}"/>
    <cellStyle name="Percent 3 2 2" xfId="1593" xr:uid="{FB2CB951-0CCB-4703-9712-8A3DADA4304E}"/>
    <cellStyle name="Percent 3 3" xfId="379" xr:uid="{57906C6B-2EFF-42EC-87CC-1D2D6C961257}"/>
    <cellStyle name="Percent 3 3 2" xfId="2031" xr:uid="{9ABF4791-3949-4087-B17A-BF132268E17C}"/>
    <cellStyle name="Percent 3 4" xfId="659" xr:uid="{DA188531-7A13-4701-BE4C-EDD2D320A96B}"/>
    <cellStyle name="Percent 4" xfId="666" xr:uid="{F602EA08-4CA6-44DF-8890-9289959FF5C1}"/>
    <cellStyle name="Percent 4 2" xfId="1607" xr:uid="{B91DD7B3-B3D6-45C7-B72B-4355F83BF5CD}"/>
    <cellStyle name="Percent 4 3" xfId="1506" xr:uid="{F896770B-0F33-4EAD-86EB-8F7F0A323FD1}"/>
    <cellStyle name="Percent 5" xfId="1800" xr:uid="{24230014-7F1E-40E3-89FD-A178D4E05848}"/>
    <cellStyle name="Percent 5 10" xfId="9587" xr:uid="{8E425BD7-FF8A-4EA6-88DF-243275207732}"/>
    <cellStyle name="Percent 5 10 2" xfId="25791" xr:uid="{80D3B52A-DABA-43E7-9113-025CB0C9C768}"/>
    <cellStyle name="Percent 5 11" xfId="18110" xr:uid="{80CA35D9-09F1-474C-B809-469EAE6A31B8}"/>
    <cellStyle name="Percent 5 2" xfId="2314" xr:uid="{F71D933F-3EA8-4CFB-B825-1627D570ED6D}"/>
    <cellStyle name="Percent 5 2 2" xfId="3161" xr:uid="{A42BB250-C3B6-49E2-991B-47973AE06F9F}"/>
    <cellStyle name="Percent 5 2 2 2" xfId="6943" xr:uid="{2F28895D-F71E-4281-8BBB-3E384F785C52}"/>
    <cellStyle name="Percent 5 2 2 2 2" xfId="14454" xr:uid="{742CE3BB-C2A9-4225-8B50-C249D4FD40FB}"/>
    <cellStyle name="Percent 5 2 2 2 2 2" xfId="30658" xr:uid="{92B015A1-7112-4D2F-994E-B40EDF19AFEE}"/>
    <cellStyle name="Percent 5 2 2 2 3" xfId="23147" xr:uid="{8C8621B2-E2E4-4D5D-927C-C318B49E9D51}"/>
    <cellStyle name="Percent 5 2 2 3" xfId="10854" xr:uid="{0427AF72-40F3-4AA1-9DFB-C689FECC763A}"/>
    <cellStyle name="Percent 5 2 2 3 2" xfId="27058" xr:uid="{56FA1BA3-15C7-4E47-9127-904A25CA12D1}"/>
    <cellStyle name="Percent 5 2 2 4" xfId="19381" xr:uid="{32256422-5095-4853-AF87-334534368601}"/>
    <cellStyle name="Percent 5 2 3" xfId="6098" xr:uid="{FD605395-4DAC-4C22-A68E-A6187763E0B9}"/>
    <cellStyle name="Percent 5 2 3 2" xfId="13610" xr:uid="{3017B5B4-8C35-46ED-BA42-BA56289649C6}"/>
    <cellStyle name="Percent 5 2 3 2 2" xfId="29814" xr:uid="{8F205830-8713-41D5-BAC4-01C74BCB2618}"/>
    <cellStyle name="Percent 5 2 3 3" xfId="22302" xr:uid="{CEF91C1D-CCA0-4858-86B6-E3E5EFB429AD}"/>
    <cellStyle name="Percent 5 2 4" xfId="10010" xr:uid="{CD153ADA-64B5-47CF-8950-C0D6C55D648F}"/>
    <cellStyle name="Percent 5 2 4 2" xfId="26214" xr:uid="{98152913-A597-4B2E-AF6A-4AAE25748523}"/>
    <cellStyle name="Percent 5 2 5" xfId="18536" xr:uid="{7F9AE295-B031-45A4-BFAC-322ADAEDF5F8}"/>
    <cellStyle name="Percent 5 3" xfId="2736" xr:uid="{ACA42D4A-8CA3-48AE-96EA-6271B82D7B74}"/>
    <cellStyle name="Percent 5 3 2" xfId="6520" xr:uid="{4BE4D4C3-5E8A-4321-90DC-7A2716979DB1}"/>
    <cellStyle name="Percent 5 3 2 2" xfId="14032" xr:uid="{364AB65A-FC27-4F37-B5BB-1F89CCED7D34}"/>
    <cellStyle name="Percent 5 3 2 2 2" xfId="30236" xr:uid="{250047F6-4F4E-4E48-9817-0E526140F30C}"/>
    <cellStyle name="Percent 5 3 2 3" xfId="22724" xr:uid="{604087A6-4E6D-46B2-A66F-EE311E0FC1F7}"/>
    <cellStyle name="Percent 5 3 3" xfId="10432" xr:uid="{8EDA3B5E-2985-4BCB-9F8D-BD0A659A1CEF}"/>
    <cellStyle name="Percent 5 3 3 2" xfId="26636" xr:uid="{747EAC28-2CD0-4957-AE06-8C9398352BCC}"/>
    <cellStyle name="Percent 5 3 4" xfId="18958" xr:uid="{B9DB65DF-57F2-4008-87E2-2D4B29EFFB9F}"/>
    <cellStyle name="Percent 5 4" xfId="3666" xr:uid="{63BFBA26-831F-4037-9C08-9C7344880610}"/>
    <cellStyle name="Percent 5 4 2" xfId="7376" xr:uid="{BF417A3D-D4BA-4D02-B82C-CC55FB2DD34A}"/>
    <cellStyle name="Percent 5 4 2 2" xfId="14885" xr:uid="{52034899-2368-488A-889D-908B9BCC2131}"/>
    <cellStyle name="Percent 5 4 2 2 2" xfId="31089" xr:uid="{15BECD4E-D518-4592-B2DC-0C1260EAD023}"/>
    <cellStyle name="Percent 5 4 2 3" xfId="23580" xr:uid="{AA2F07AC-7AA7-4568-8459-2846B363F1AF}"/>
    <cellStyle name="Percent 5 4 3" xfId="11277" xr:uid="{257FE950-B42D-40F9-8606-50F8951F136B}"/>
    <cellStyle name="Percent 5 4 3 2" xfId="27481" xr:uid="{BA5277B9-DFE1-4B3F-8933-EE860FB4E2A3}"/>
    <cellStyle name="Percent 5 4 4" xfId="19875" xr:uid="{872431F5-B3AE-4633-9E8B-04D09661ADE0}"/>
    <cellStyle name="Percent 5 5" xfId="3915" xr:uid="{CB40FBE5-51F1-4CD2-B4F3-DA3461A8AE55}"/>
    <cellStyle name="Percent 5 6" xfId="4136" xr:uid="{8102E776-FBE4-478C-8552-F4514238BCAC}"/>
    <cellStyle name="Percent 5 6 2" xfId="7806" xr:uid="{CF0EF248-1E5A-40C2-91A7-1BFB5360D2FF}"/>
    <cellStyle name="Percent 5 6 2 2" xfId="15313" xr:uid="{7ED68BC5-E2A7-47C5-9B17-B4448C6CE192}"/>
    <cellStyle name="Percent 5 6 2 2 2" xfId="31517" xr:uid="{F0CFF79D-C0AD-4E5F-879C-F7946CED8F36}"/>
    <cellStyle name="Percent 5 6 2 3" xfId="24010" xr:uid="{DCE62769-F021-499D-A5A4-1A8F3191B4B6}"/>
    <cellStyle name="Percent 5 6 3" xfId="11699" xr:uid="{44F7A1C6-181B-464C-BFF2-9760654B1A51}"/>
    <cellStyle name="Percent 5 6 3 2" xfId="27903" xr:uid="{FCA721CF-F6A7-4784-8318-8CCED2E724B6}"/>
    <cellStyle name="Percent 5 6 4" xfId="20340" xr:uid="{4ABAE363-BC58-4126-AF5F-1F8EC95C6C00}"/>
    <cellStyle name="Percent 5 7" xfId="4561" xr:uid="{9EA7BD17-B657-4D7C-BC00-878881A6FF9E}"/>
    <cellStyle name="Percent 5 7 2" xfId="8231" xr:uid="{52BBC1C0-578B-428B-B1FA-FB63A31F2504}"/>
    <cellStyle name="Percent 5 7 2 2" xfId="15738" xr:uid="{E1FC1646-5F12-448B-86CD-45A211DEABAD}"/>
    <cellStyle name="Percent 5 7 2 2 2" xfId="31942" xr:uid="{17980C3C-04A1-454E-A519-FED40A5F2F06}"/>
    <cellStyle name="Percent 5 7 2 3" xfId="24435" xr:uid="{74C7B299-C016-4E02-9B6B-C1972AAE1BB2}"/>
    <cellStyle name="Percent 5 7 3" xfId="12124" xr:uid="{3BCF631A-E2A4-4F1C-B525-1660585DAB94}"/>
    <cellStyle name="Percent 5 7 3 2" xfId="28328" xr:uid="{B9BEE350-D46B-4F3D-B30A-594A2FC223C6}"/>
    <cellStyle name="Percent 5 7 4" xfId="20765" xr:uid="{54D91C01-AE1D-4E64-81B0-FD5C457AB7B5}"/>
    <cellStyle name="Percent 5 8" xfId="4988" xr:uid="{51D3D8E2-97C2-49C8-8406-550F13BE32F3}"/>
    <cellStyle name="Percent 5 8 2" xfId="8654" xr:uid="{A2FF3DF8-E3A4-4CCA-AB77-2BE7C6DFF3F1}"/>
    <cellStyle name="Percent 5 8 2 2" xfId="16161" xr:uid="{4F18C5A6-554A-4741-8F1A-7B46A9D933AA}"/>
    <cellStyle name="Percent 5 8 2 2 2" xfId="32365" xr:uid="{7782EA04-935A-46E9-A254-D82029A1D2FD}"/>
    <cellStyle name="Percent 5 8 2 3" xfId="24858" xr:uid="{4224B920-C757-4E51-96C5-B88065775963}"/>
    <cellStyle name="Percent 5 8 3" xfId="12546" xr:uid="{4835448F-B78A-4BAB-8580-F9165A2B1995}"/>
    <cellStyle name="Percent 5 8 3 2" xfId="28750" xr:uid="{8CFF9D51-7649-4982-A793-3F69C165F7E6}"/>
    <cellStyle name="Percent 5 8 4" xfId="21192" xr:uid="{D6EF4E24-3AD6-4BBE-9272-B0205803E595}"/>
    <cellStyle name="Percent 5 9" xfId="5659" xr:uid="{EA5EF40C-9088-44F0-9BA3-278C8BAB405F}"/>
    <cellStyle name="Percent 5 9 2" xfId="13174" xr:uid="{E55BA9F3-012B-4C79-94A3-0762139F0B89}"/>
    <cellStyle name="Percent 5 9 2 2" xfId="29378" xr:uid="{4DC639CC-E8E7-48C2-9010-296358831EA8}"/>
    <cellStyle name="Percent 5 9 3" xfId="21863" xr:uid="{6EE7276A-37B4-4099-BC4E-C62B67EB411A}"/>
    <cellStyle name="Percent 6" xfId="4354" xr:uid="{D337DAF1-29AF-43AC-A5C3-164ACB5D849F}"/>
    <cellStyle name="Percent 6 2" xfId="8024" xr:uid="{9078FA5D-593C-442B-85EC-C240F9A3B7C8}"/>
    <cellStyle name="Percent 6 2 2" xfId="15531" xr:uid="{E8EBCF01-7535-49E4-96D3-A9E37DCEC418}"/>
    <cellStyle name="Percent 6 2 2 2" xfId="31735" xr:uid="{41235942-3D46-4432-A89A-61944F977E3F}"/>
    <cellStyle name="Percent 6 2 3" xfId="24228" xr:uid="{B0599D02-4E16-42D5-BC64-80CD31F951C8}"/>
    <cellStyle name="Percent 6 3" xfId="11917" xr:uid="{267BA15A-00F1-497B-995D-2E9567A4B1ED}"/>
    <cellStyle name="Percent 6 3 2" xfId="28121" xr:uid="{22C59F73-714C-41C8-9027-2A6FDE5A6720}"/>
    <cellStyle name="Percent 6 4" xfId="20558" xr:uid="{75A89624-52A3-4014-82CE-F127AAF2C7F3}"/>
    <cellStyle name="PivotComment" xfId="346" xr:uid="{6F9C2E01-7399-4FCB-BFD9-F46230B0D1AC}"/>
    <cellStyle name="PivotComment 2" xfId="395" xr:uid="{0D93E951-25CA-4F50-9D48-44F02461DFA1}"/>
    <cellStyle name="PivotComment 2 2" xfId="1216" xr:uid="{4F3B3A33-31A0-48B5-991A-20C06FEEDDE7}"/>
    <cellStyle name="PivotComment 2 2 2" xfId="17815" xr:uid="{921F081C-0927-4B58-A0C6-8B6EB488E2DF}"/>
    <cellStyle name="PivotComment 2 3" xfId="1047" xr:uid="{42BA0B23-745E-4357-8BC4-988E6A10129F}"/>
    <cellStyle name="PivotComment 2 3 2" xfId="17816" xr:uid="{37E715B7-B187-466C-8FDC-5991155F3887}"/>
    <cellStyle name="PivotComment 2 4" xfId="17814" xr:uid="{90AA734C-4BC1-4854-820E-345D0B725E87}"/>
    <cellStyle name="PivotComment 3" xfId="380" xr:uid="{5E1221A0-FDB6-4746-8A9A-FCD54EAB0080}"/>
    <cellStyle name="PivotComment 3 2" xfId="1594" xr:uid="{6389B340-DF60-443C-BD0F-1595FA04AF96}"/>
    <cellStyle name="PivotComment 3 2 2" xfId="17818" xr:uid="{B4AF04DE-ACF5-48A8-A2E2-33F0EA5A3333}"/>
    <cellStyle name="PivotComment 3 3" xfId="1240" xr:uid="{ED9C41D9-38CD-40A7-845F-919C25C2F894}"/>
    <cellStyle name="PivotComment 3 3 2" xfId="17819" xr:uid="{EBA701B0-3A66-4F01-B811-52DD0E5C20AD}"/>
    <cellStyle name="PivotComment 3 4" xfId="17817" xr:uid="{21F6DBBE-CAE0-4EAE-AC37-258EDDA3194C}"/>
    <cellStyle name="PivotComment 4" xfId="660" xr:uid="{2239B40C-DD6A-4B77-A445-23589B830EF6}"/>
    <cellStyle name="PivotComment 4 2" xfId="1606" xr:uid="{93715893-879E-4753-A2B6-017C5CBB5DE5}"/>
    <cellStyle name="PivotComment 4 2 2" xfId="17821" xr:uid="{AC255C36-EEBE-414D-A9BB-D3E2EC7AA778}"/>
    <cellStyle name="PivotComment 4 3" xfId="17820" xr:uid="{8543FF76-28C3-4952-8EE2-4251A16037D8}"/>
    <cellStyle name="PivotComment 5" xfId="17813" xr:uid="{563203F9-BBB6-42EA-BA89-F6D4E86F7406}"/>
    <cellStyle name="PivotDateEffect" xfId="347" xr:uid="{FD8AEE8E-B894-4D2B-9AD6-4C2B825CFD1A}"/>
    <cellStyle name="PivotDateEffect 2" xfId="396" xr:uid="{9ED321B3-44A6-45AA-BC7F-5DD9AFF42F34}"/>
    <cellStyle name="PivotDateEffect 2 2" xfId="1217" xr:uid="{E090C186-8E50-485C-852F-EECF1FD1B472}"/>
    <cellStyle name="PivotDateEffect 2 2 2" xfId="17824" xr:uid="{F1C9325A-9456-4511-B0B0-585869539CF0}"/>
    <cellStyle name="PivotDateEffect 2 3" xfId="1048" xr:uid="{B31FE801-F39F-4225-9621-5145FCD0F282}"/>
    <cellStyle name="PivotDateEffect 2 3 2" xfId="17825" xr:uid="{059C54BF-307B-4C65-83BB-D158977E9CDE}"/>
    <cellStyle name="PivotDateEffect 2 4" xfId="17823" xr:uid="{1CF771F8-209B-4AB7-862F-065B9C609AFE}"/>
    <cellStyle name="PivotDateEffect 3" xfId="381" xr:uid="{02F406CF-1D87-4B93-8098-5A0F8059438A}"/>
    <cellStyle name="PivotDateEffect 3 2" xfId="1595" xr:uid="{34452E68-775D-4429-BB70-2F887811C575}"/>
    <cellStyle name="PivotDateEffect 3 2 2" xfId="17827" xr:uid="{3EE7F050-797B-4B09-A984-711BD5B08E5A}"/>
    <cellStyle name="PivotDateEffect 3 3" xfId="1241" xr:uid="{B0FD9104-2CCE-494F-BE64-DCC3AC3A54B3}"/>
    <cellStyle name="PivotDateEffect 3 3 2" xfId="17828" xr:uid="{136F0346-0E11-40E1-9A18-9B305116E723}"/>
    <cellStyle name="PivotDateEffect 3 4" xfId="17826" xr:uid="{8C6092B2-B39B-40C0-9E4F-BBA7D6BF5535}"/>
    <cellStyle name="PivotDateEffect 4" xfId="661" xr:uid="{83E8AC32-7C7E-4ACD-9CAA-55613EB412E7}"/>
    <cellStyle name="PivotDateEffect 4 2" xfId="1605" xr:uid="{2D58C4AD-AA0F-402D-BBB9-483E712DF260}"/>
    <cellStyle name="PivotDateEffect 4 2 2" xfId="17830" xr:uid="{7AA313E6-C8D9-432C-9C3C-686F8F14638F}"/>
    <cellStyle name="PivotDateEffect 4 3" xfId="17829" xr:uid="{BA509A3C-56A3-4486-8BEA-142FF4A87E99}"/>
    <cellStyle name="PivotDateEffect 5" xfId="17822" xr:uid="{0D0A651D-5E96-45FC-BB45-86D9E749196D}"/>
    <cellStyle name="PivotDollars" xfId="348" xr:uid="{D9257DA9-E100-4971-BCE8-B159252499B6}"/>
    <cellStyle name="PivotDollars 2" xfId="1049" xr:uid="{AC1A5766-F551-4857-8B83-304CEDFA21A0}"/>
    <cellStyle name="PivotDollars 2 2" xfId="1218" xr:uid="{8C36DBD0-DEF0-4BF4-A0F4-149B9E28F242}"/>
    <cellStyle name="PivotDollars 2 2 2" xfId="17833" xr:uid="{CD1A95BF-6F6A-466E-AECD-063901C956D3}"/>
    <cellStyle name="PivotDollars 2 3" xfId="17832" xr:uid="{529F220D-F5D8-40FE-8271-D991B60574B3}"/>
    <cellStyle name="PivotDollars 3" xfId="1242" xr:uid="{F5C64CE1-B541-4FD6-9C3A-D0AF2AFCF778}"/>
    <cellStyle name="PivotDollars 3 2" xfId="1596" xr:uid="{67A35A48-5FE5-47E1-8086-F39BBEA6D077}"/>
    <cellStyle name="PivotDollars 3 2 2" xfId="17835" xr:uid="{E0A9EB97-8886-4722-BB1A-DD89B3A614A2}"/>
    <cellStyle name="PivotDollars 3 3" xfId="17834" xr:uid="{2F08568D-5884-4974-9917-74EE7DCE2547}"/>
    <cellStyle name="PivotDollars 4" xfId="17831" xr:uid="{8914FC43-02F0-48B6-BE70-7A4510F40512}"/>
    <cellStyle name="PivotDollarsEnd" xfId="349" xr:uid="{8C921435-03D5-4660-8202-59479854E678}"/>
    <cellStyle name="PivotDollarsEnd 2" xfId="1050" xr:uid="{53ACE038-A6E1-47D3-83BF-54E1AF8C488D}"/>
    <cellStyle name="PivotDollarsEnd 2 2" xfId="1219" xr:uid="{BA8D8413-60D7-4374-80EA-DA151975AAB5}"/>
    <cellStyle name="PivotDollarsEnd 2 2 2" xfId="17838" xr:uid="{5D470BBD-028D-49D1-B60D-F9F7D8600E72}"/>
    <cellStyle name="PivotDollarsEnd 2 3" xfId="17837" xr:uid="{1E73FA49-101A-46A8-B33B-FCB9A5F97473}"/>
    <cellStyle name="PivotDollarsEnd 3" xfId="1243" xr:uid="{73F4C1DC-0192-4D38-8D2E-8DECEEF7E2AE}"/>
    <cellStyle name="PivotDollarsEnd 3 2" xfId="1597" xr:uid="{51454BAB-7A04-45EB-8402-B97FF46FE853}"/>
    <cellStyle name="PivotDollarsEnd 3 2 2" xfId="17840" xr:uid="{6DE2CB16-1C9A-4640-A0EE-A5349831DE96}"/>
    <cellStyle name="PivotDollarsEnd 3 3" xfId="17839" xr:uid="{869ACB4E-086D-4EE7-8B9C-0B702C3F517C}"/>
    <cellStyle name="PivotDollarsEnd 4" xfId="17836" xr:uid="{5F6CD8FB-AC6C-4A84-83A3-E7D1C2CFA18F}"/>
    <cellStyle name="PivotDollarsMiddle" xfId="350" xr:uid="{114C3C17-FA76-4222-B970-18CE22A2CAAE}"/>
    <cellStyle name="PivotDollarsMiddle 2" xfId="1051" xr:uid="{0605BC51-9198-4FFA-BA52-EBFB85602D91}"/>
    <cellStyle name="PivotDollarsMiddle 2 2" xfId="1220" xr:uid="{BBE4B008-3B74-47C9-9E5A-B6770077F1DE}"/>
    <cellStyle name="PivotDollarsMiddle 2 2 2" xfId="17843" xr:uid="{9FD84C9A-0C95-4681-8D01-48A4E8CBBAFD}"/>
    <cellStyle name="PivotDollarsMiddle 2 3" xfId="17842" xr:uid="{CD8235B2-C9B1-4585-A430-2CE96C1BF1B8}"/>
    <cellStyle name="PivotDollarsMiddle 3" xfId="1244" xr:uid="{D7244F58-7B06-47B6-9D06-0B7233F18A86}"/>
    <cellStyle name="PivotDollarsMiddle 3 2" xfId="1598" xr:uid="{4D479FC0-7174-498E-B1DC-71F4FF0BF167}"/>
    <cellStyle name="PivotDollarsMiddle 3 2 2" xfId="17845" xr:uid="{5763E616-7EBA-4377-BA95-9CDC2352F42C}"/>
    <cellStyle name="PivotDollarsMiddle 3 3" xfId="17844" xr:uid="{9AD964B3-780A-45E7-91C6-B39E0621B215}"/>
    <cellStyle name="PivotDollarsMiddle 4" xfId="17841" xr:uid="{22E9E23E-943D-4119-933F-3A66FD5F62A6}"/>
    <cellStyle name="PivotSelection" xfId="351" xr:uid="{BEB4B3F5-8D53-405C-BDEE-FC43DA4C2DE9}"/>
    <cellStyle name="PivotSelection 2" xfId="1071" xr:uid="{E6C57114-4A6B-4CBE-9052-9EEC427A2CF8}"/>
    <cellStyle name="PivotSelection 3" xfId="1130" xr:uid="{B97CF964-7F65-45C4-B1A0-6887CD68216B}"/>
    <cellStyle name="PivotSelection 4" xfId="697" xr:uid="{C3061CFA-5D81-4361-A276-09C8C6010DA9}"/>
    <cellStyle name="purple" xfId="352" xr:uid="{0903A71C-FADA-4314-8A63-272C5597329B}"/>
    <cellStyle name="purple 2" xfId="1072" xr:uid="{18ABEEFE-B78A-486D-8F41-83542B3C7567}"/>
    <cellStyle name="purple 3" xfId="1131" xr:uid="{8B951E21-ABEA-4456-8A71-1F467050826A}"/>
    <cellStyle name="purple 4" xfId="696" xr:uid="{61883B69-01F8-4D3A-810A-E961B1501D99}"/>
    <cellStyle name="Report" xfId="353" xr:uid="{ABA966BF-B750-4025-A7B1-94C5A31F92F0}"/>
    <cellStyle name="ReportDate" xfId="354" xr:uid="{6B208FF3-05FA-4860-B415-C04961337BF4}"/>
    <cellStyle name="ReportDate 2" xfId="1221" xr:uid="{654DAC6A-5BDC-4331-84F9-5F608EFFB3BA}"/>
    <cellStyle name="ReportNumbers" xfId="355" xr:uid="{CFB21016-E406-4ED5-B40F-EC2A9ACBEEC1}"/>
    <cellStyle name="ReportNumbers 2" xfId="397" xr:uid="{C196FF58-F67B-4087-BBDA-714B327F96CB}"/>
    <cellStyle name="ReportNumbers 2 2" xfId="1222" xr:uid="{A2D9DC09-2131-4465-976E-E61292094375}"/>
    <cellStyle name="ReportNumbers 2 2 2" xfId="17848" xr:uid="{5159F886-9062-4EA7-8FDC-3A6F7EF53D43}"/>
    <cellStyle name="ReportNumbers 2 3" xfId="17847" xr:uid="{CA0D1198-31E8-4561-AC12-10890D36DC61}"/>
    <cellStyle name="ReportNumbers 3" xfId="382" xr:uid="{E18B349D-E81E-4DD7-9419-CAE0C20FA30C}"/>
    <cellStyle name="ReportNumbers 3 2" xfId="1599" xr:uid="{FD04727A-4C08-4525-BCAA-00894D56EB76}"/>
    <cellStyle name="ReportNumbers 3 2 2" xfId="17850" xr:uid="{D3EE291A-D72F-4092-8B92-38536350B3EA}"/>
    <cellStyle name="ReportNumbers 3 3" xfId="17849" xr:uid="{4D8E0942-FCC1-4A55-A409-597407E3329D}"/>
    <cellStyle name="ReportNumbers 4" xfId="17846" xr:uid="{F9063A45-901A-4FAC-9594-11283AA382F4}"/>
    <cellStyle name="ReportWord" xfId="356" xr:uid="{E2BB8DB3-7363-4BEE-96D3-7482BACAEEA7}"/>
    <cellStyle name="ReportWord 2" xfId="1052" xr:uid="{7241716D-1C5E-4456-8A32-4F8C54336837}"/>
    <cellStyle name="ReportWord 2 2" xfId="1223" xr:uid="{44D0389F-90E1-44A5-9676-92F1AB2C390E}"/>
    <cellStyle name="ReportWord 3" xfId="1073" xr:uid="{1265E101-4D27-41D8-94BF-E8BA4A3DDF38}"/>
    <cellStyle name="ReportWord 3 2" xfId="1246" xr:uid="{E201BDE2-AC87-43AE-91E5-B836445B92BE}"/>
    <cellStyle name="ReportWord 3 2 2" xfId="1601" xr:uid="{A691C6C0-FC88-46B7-BFE9-5FBD489CFBAE}"/>
    <cellStyle name="ReportWord 4" xfId="1083" xr:uid="{4A2CE018-149A-48DF-9AD2-8E3276C705FE}"/>
    <cellStyle name="ReportWord 4 2" xfId="1224" xr:uid="{C2D514C3-E1FE-46BC-BE4F-592587D19C17}"/>
    <cellStyle name="ReportWord 5" xfId="1132" xr:uid="{B859EC68-BE2C-4240-AC78-F143F13A77BA}"/>
    <cellStyle name="ReportWord 5 2" xfId="1225" xr:uid="{B2F5B9B4-43E6-4184-99DE-48CA9FC19865}"/>
    <cellStyle name="ReportWord 6" xfId="1245" xr:uid="{BFC4E260-B84F-4119-93DF-2C27CD7B49E7}"/>
    <cellStyle name="ReportWord 6 2" xfId="1600" xr:uid="{8B89D0DD-DADE-45F8-B2A6-9BFB36DDA092}"/>
    <cellStyle name="ReportWord 7" xfId="1501" xr:uid="{70C948A2-1BCC-4C06-9DF5-7A06EF68D96F}"/>
    <cellStyle name="ReportWord 7 2" xfId="1604" xr:uid="{A1B7740C-2372-4B12-941B-4711DE18A955}"/>
    <cellStyle name="ReportWord 8" xfId="695" xr:uid="{7E2E4E80-B383-4F56-A78C-99B9D2E25CAF}"/>
    <cellStyle name="result" xfId="357" xr:uid="{67636D3E-9DA6-4462-8844-5BDAF7C123E3}"/>
    <cellStyle name="result 2" xfId="1074" xr:uid="{E74FEFD8-31E9-4004-8B3A-7F1769FB8CA6}"/>
    <cellStyle name="result 3" xfId="1133" xr:uid="{BCA5D9A4-EE3E-4100-AD4A-7C0B2E6740BD}"/>
    <cellStyle name="result 4" xfId="694" xr:uid="{D6486243-B5B8-4EA3-BC80-8F69FC22CE0A}"/>
    <cellStyle name="secondary" xfId="358" xr:uid="{43A75754-60AA-48B0-AD10-89F3210AD3C4}"/>
    <cellStyle name="section" xfId="359" xr:uid="{3E773D07-824E-40D9-BD3F-9C75148ACA98}"/>
    <cellStyle name="section 2" xfId="1075" xr:uid="{4284D938-0EA8-4F44-98C1-03A3D6779FFA}"/>
    <cellStyle name="section 3" xfId="1134" xr:uid="{DABE7DC1-D3B0-4081-86F0-A0E205C205D6}"/>
    <cellStyle name="section 4" xfId="693" xr:uid="{05F91D1E-8083-4D5B-A78A-4971BADD595E}"/>
    <cellStyle name="Style 1" xfId="33960" xr:uid="{80143374-D6B9-40BC-BA6A-DAFB17C92DFF}"/>
    <cellStyle name="TableNumbers" xfId="360" xr:uid="{22903C31-906E-483E-90A5-EE6FB2889D35}"/>
    <cellStyle name="TableNumbers 2" xfId="398" xr:uid="{D428840C-F636-4574-AEA2-75975CBE7738}"/>
    <cellStyle name="TableNumbers 2 2" xfId="1226" xr:uid="{656B9CA7-9A40-4D50-B29B-C73334C8EC1B}"/>
    <cellStyle name="TableNumbers 2 2 2" xfId="17853" xr:uid="{FA798297-320F-4C76-9C33-97EC0E805735}"/>
    <cellStyle name="TableNumbers 2 3" xfId="1053" xr:uid="{E573D2D0-36A1-4AB2-9957-276F0C9D8C69}"/>
    <cellStyle name="TableNumbers 2 3 2" xfId="17854" xr:uid="{1595164B-4666-4340-91C4-A01F5C684AAB}"/>
    <cellStyle name="TableNumbers 2 4" xfId="1806" xr:uid="{C61E0E0A-1E36-4BD4-AD26-73FA1346C354}"/>
    <cellStyle name="TableNumbers 2 4 2" xfId="17855" xr:uid="{EBE94750-45CF-47C8-A9C5-52924FC1554A}"/>
    <cellStyle name="TableNumbers 2 5" xfId="17852" xr:uid="{BC3526D2-614A-44B0-9F56-37169F2877E0}"/>
    <cellStyle name="TableNumbers 3" xfId="383" xr:uid="{36E6391B-CE77-4A65-B5EA-5937148A7B28}"/>
    <cellStyle name="TableNumbers 3 2" xfId="1248" xr:uid="{5E050556-9E50-47D3-80EF-EF0B3A92F0C8}"/>
    <cellStyle name="TableNumbers 3 2 2" xfId="1603" xr:uid="{B141D178-B6F6-4378-AA86-B914A7E16941}"/>
    <cellStyle name="TableNumbers 3 2 2 2" xfId="17858" xr:uid="{1A8D09A2-9B62-404F-9DC3-59FDD7407354}"/>
    <cellStyle name="TableNumbers 3 2 3" xfId="17857" xr:uid="{E1A46E52-9A72-4A1D-9801-B2E407BA56D8}"/>
    <cellStyle name="TableNumbers 3 3" xfId="1076" xr:uid="{4C0463CB-FE51-42AA-84E1-38F3BFB6525E}"/>
    <cellStyle name="TableNumbers 3 3 2" xfId="17859" xr:uid="{5FDAD546-80A9-4168-A053-1A3544B8D6F2}"/>
    <cellStyle name="TableNumbers 3 4" xfId="2032" xr:uid="{226E82B5-5349-4B03-BFFE-7329C57CAF24}"/>
    <cellStyle name="TableNumbers 3 4 2" xfId="17860" xr:uid="{B5EDF127-F92D-4C82-9EDD-B7FFC52BB20D}"/>
    <cellStyle name="TableNumbers 3 5" xfId="17856" xr:uid="{1C1DDA25-DBA6-43C4-ACDE-5E2D4EE4C857}"/>
    <cellStyle name="TableNumbers 4" xfId="662" xr:uid="{07D0E67A-6CAC-47EC-B6FF-64AA98A3646D}"/>
    <cellStyle name="TableNumbers 4 2" xfId="1227" xr:uid="{8C95BBB4-1D4D-40BC-9D88-2A5822B6DD28}"/>
    <cellStyle name="TableNumbers 4 2 2" xfId="17862" xr:uid="{18D682D0-4D83-43F3-857C-A4AFCB8E578B}"/>
    <cellStyle name="TableNumbers 4 3" xfId="1084" xr:uid="{7D657C11-5E10-4827-8EA4-14AEF7181843}"/>
    <cellStyle name="TableNumbers 4 3 2" xfId="17863" xr:uid="{DCCBB783-AB93-4C0E-8132-50356BB3000D}"/>
    <cellStyle name="TableNumbers 4 4" xfId="17861" xr:uid="{ACBD8B2F-A07A-4D4C-B633-AFAE9074CA78}"/>
    <cellStyle name="TableNumbers 5" xfId="1135" xr:uid="{86E40293-9175-4F96-9316-959A26070C0B}"/>
    <cellStyle name="TableNumbers 5 2" xfId="1228" xr:uid="{9763DE57-D4F4-4BE0-B529-6E643183596E}"/>
    <cellStyle name="TableNumbers 5 2 2" xfId="17865" xr:uid="{8668F277-0226-4B35-B158-BF899D67D5D0}"/>
    <cellStyle name="TableNumbers 5 3" xfId="17864" xr:uid="{0133FB5F-A15B-4AF0-83B7-CC95491A4664}"/>
    <cellStyle name="TableNumbers 6" xfId="1247" xr:uid="{2E5BE7FF-8FAC-467B-8F86-3A465382129D}"/>
    <cellStyle name="TableNumbers 6 2" xfId="1602" xr:uid="{A0911A24-0887-4626-9344-681693AD77E8}"/>
    <cellStyle name="TableNumbers 6 2 2" xfId="17867" xr:uid="{0DC21A15-C9E6-4E6A-BA51-FB628970F416}"/>
    <cellStyle name="TableNumbers 6 3" xfId="17866" xr:uid="{59B3DE85-4F23-47FE-84C0-51B48C3BA0FF}"/>
    <cellStyle name="TableNumbers 7" xfId="1560" xr:uid="{A9EFCCA8-D023-42CA-B33A-61E2B43A1CE0}"/>
    <cellStyle name="TableNumbers 7 2" xfId="1615" xr:uid="{2EA5FB5E-1F79-42DE-9F7D-EA5E056BC763}"/>
    <cellStyle name="TableNumbers 7 2 2" xfId="17869" xr:uid="{5DD58A23-4B90-4295-9165-FC050670DCD0}"/>
    <cellStyle name="TableNumbers 7 3" xfId="17868" xr:uid="{879B5B12-0DF9-4792-9C6D-0463C12EA84B}"/>
    <cellStyle name="TableNumbers 8" xfId="692" xr:uid="{D6B00C4F-6E22-4951-9023-88605CB558C8}"/>
    <cellStyle name="TableNumbers 8 2" xfId="17870" xr:uid="{BC446B36-7DB2-462A-A028-2F62F7665410}"/>
    <cellStyle name="TableNumbers 9" xfId="17851" xr:uid="{21C7F66D-1E74-4821-8B51-2FA3A3558FB1}"/>
    <cellStyle name="Title 2" xfId="441" xr:uid="{4D653154-EBDF-4B43-9698-02408FBDD211}"/>
    <cellStyle name="Title 2 2" xfId="1054" xr:uid="{FCC52650-4805-41E6-A2D4-829D151CFC78}"/>
    <cellStyle name="Title 3" xfId="448" xr:uid="{7EDBF1E0-4356-4C14-A751-AB16AD644FFC}"/>
    <cellStyle name="Title 3 2" xfId="1557" xr:uid="{6DC7F997-A15D-4211-A026-4A05C7AAC995}"/>
    <cellStyle name="Title 4" xfId="691" xr:uid="{7DAB8A22-928E-4A8C-8F33-22D96CBB0A24}"/>
    <cellStyle name="Title 5" xfId="361" xr:uid="{7BB336CA-38E9-4B1A-B391-5706E2588801}"/>
    <cellStyle name="Title 6" xfId="16825" xr:uid="{27613DC6-E5A1-4CEE-AA07-CB88F61BF60C}"/>
    <cellStyle name="Total 2" xfId="442" xr:uid="{1040938C-0805-4609-8BC9-9F416F6A3F6E}"/>
    <cellStyle name="Total 2 2" xfId="1055" xr:uid="{A877047A-CE5F-4E12-B2E9-163A2F551DC9}"/>
    <cellStyle name="Total 3" xfId="464" xr:uid="{4F1BFAEB-0A53-4FB7-A583-2E8C81D7CA67}"/>
    <cellStyle name="Total 3 2" xfId="1558" xr:uid="{B604C7C5-7604-4DFC-8D62-BB00EE538E89}"/>
    <cellStyle name="Total 4" xfId="690" xr:uid="{D6880592-D7E9-4AA8-A66C-A3A7D98C9BEF}"/>
    <cellStyle name="Total 5" xfId="362" xr:uid="{4C393453-DA38-443F-B0BF-BF5893A2E981}"/>
    <cellStyle name="Total 6" xfId="16841" xr:uid="{E2CB90A2-B48D-4DCA-9B3B-7589E4ED6435}"/>
    <cellStyle name="TotalNumbers" xfId="363" xr:uid="{0454B5AE-60B6-4013-B56B-93AA56008AF5}"/>
    <cellStyle name="TotalNumbers 2" xfId="17871" xr:uid="{AD4880B9-3CB6-4ABB-9743-6C6ABF1FA962}"/>
    <cellStyle name="UNDERLINE" xfId="364" xr:uid="{E3FD0C0F-BF92-435F-851E-6C57E418BD76}"/>
    <cellStyle name="UNDERLINE 2" xfId="1077" xr:uid="{53A92A87-CDF3-4229-B986-AA5532D8F6E5}"/>
    <cellStyle name="UNDERLINE 3" xfId="1136" xr:uid="{F20D44C2-2E93-444B-8D8C-AD7290F11CAA}"/>
    <cellStyle name="UNDERLINE 4" xfId="689" xr:uid="{E4B3D558-66F0-4718-A510-917B489DF746}"/>
    <cellStyle name="unique" xfId="365" xr:uid="{BDCECB56-10B0-4AEF-AE6B-5AD6891B8867}"/>
    <cellStyle name="Usual" xfId="366" xr:uid="{58E3BDEF-4D9D-4EF8-ABBC-D2F6C68B1D61}"/>
    <cellStyle name="Warning Text 2" xfId="443" xr:uid="{8AD799F9-01F5-462D-A706-CF9AF628D00E}"/>
    <cellStyle name="Warning Text 2 2" xfId="1056" xr:uid="{DAA2EE5B-4397-43F6-8849-147B7058A5D0}"/>
    <cellStyle name="Warning Text 3" xfId="461" xr:uid="{84B18DA1-549D-4BA9-8AD2-32BFFF25A397}"/>
    <cellStyle name="Warning Text 3 2" xfId="1559" xr:uid="{02D2A375-D6BA-40A7-BF02-524753FF405C}"/>
    <cellStyle name="Warning Text 4" xfId="687" xr:uid="{3B139C7B-DB24-4585-B70A-9BE322AEB7C3}"/>
    <cellStyle name="Warning Text 5" xfId="367" xr:uid="{4DEBC505-25AF-4BCA-A870-FBA85BF56119}"/>
    <cellStyle name="Warning Text 6" xfId="16838" xr:uid="{2F0BDAE5-5553-489A-BB0C-3DA432FE6B15}"/>
  </cellStyles>
  <dxfs count="473">
    <dxf>
      <numFmt numFmtId="179" formatCode="\-"/>
    </dxf>
    <dxf>
      <numFmt numFmtId="1" formatCode="0"/>
    </dxf>
    <dxf>
      <numFmt numFmtId="1" formatCode="0"/>
    </dxf>
    <dxf>
      <numFmt numFmtId="179" formatCode="\-"/>
    </dxf>
    <dxf>
      <numFmt numFmtId="1" formatCode="0"/>
    </dxf>
    <dxf>
      <numFmt numFmtId="1" formatCode="0"/>
    </dxf>
    <dxf>
      <numFmt numFmtId="179" formatCode="\-"/>
    </dxf>
    <dxf>
      <numFmt numFmtId="179" formatCode="\-"/>
    </dxf>
    <dxf>
      <numFmt numFmtId="179" formatCode="\-"/>
    </dxf>
    <dxf>
      <numFmt numFmtId="179" formatCode="\-"/>
    </dxf>
    <dxf>
      <numFmt numFmtId="1" formatCode="0"/>
    </dxf>
    <dxf>
      <numFmt numFmtId="1" formatCode="0"/>
    </dxf>
    <dxf>
      <numFmt numFmtId="1" formatCode="0"/>
    </dxf>
    <dxf>
      <numFmt numFmtId="179" formatCode="\-"/>
    </dxf>
    <dxf>
      <numFmt numFmtId="1" formatCode="0"/>
    </dxf>
    <dxf>
      <numFmt numFmtId="179" formatCode="\-"/>
    </dxf>
    <dxf>
      <numFmt numFmtId="1" formatCode="0"/>
    </dxf>
    <dxf>
      <numFmt numFmtId="1" formatCode="0"/>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 formatCode="0"/>
    </dxf>
    <dxf>
      <numFmt numFmtId="1" formatCode="0"/>
    </dxf>
    <dxf>
      <numFmt numFmtId="179" formatCode="\-"/>
    </dxf>
    <dxf>
      <numFmt numFmtId="1" formatCode="0"/>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 formatCode="0"/>
    </dxf>
    <dxf>
      <numFmt numFmtId="1" formatCode="0"/>
    </dxf>
    <dxf>
      <numFmt numFmtId="1" formatCode="0"/>
    </dxf>
    <dxf>
      <numFmt numFmtId="1" formatCode="0"/>
    </dxf>
    <dxf>
      <numFmt numFmtId="179" formatCode="\-"/>
    </dxf>
    <dxf>
      <numFmt numFmtId="1" formatCode="0"/>
    </dxf>
    <dxf>
      <numFmt numFmtId="1" formatCode="0"/>
    </dxf>
    <dxf>
      <numFmt numFmtId="1" formatCode="0"/>
    </dxf>
    <dxf>
      <numFmt numFmtId="179" formatCode="\-"/>
    </dxf>
    <dxf>
      <numFmt numFmtId="1" formatCode="0"/>
    </dxf>
    <dxf>
      <numFmt numFmtId="179" formatCode="\-"/>
    </dxf>
    <dxf>
      <numFmt numFmtId="179" formatCode="\-"/>
    </dxf>
    <dxf>
      <numFmt numFmtId="1" formatCode="0"/>
    </dxf>
    <dxf>
      <numFmt numFmtId="179" formatCode="\-"/>
    </dxf>
    <dxf>
      <numFmt numFmtId="1" formatCode="0"/>
    </dxf>
    <dxf>
      <numFmt numFmtId="1" formatCode="0"/>
    </dxf>
    <dxf>
      <numFmt numFmtId="1" formatCode="0"/>
    </dxf>
    <dxf>
      <numFmt numFmtId="179" formatCode="\-"/>
    </dxf>
    <dxf>
      <numFmt numFmtId="1" formatCode="0"/>
    </dxf>
    <dxf>
      <numFmt numFmtId="1" formatCode="0"/>
    </dxf>
    <dxf>
      <numFmt numFmtId="179" formatCode="\-"/>
    </dxf>
    <dxf>
      <numFmt numFmtId="179" formatCode="\-"/>
    </dxf>
    <dxf>
      <numFmt numFmtId="1" formatCode="0"/>
    </dxf>
    <dxf>
      <numFmt numFmtId="179" formatCode="\-"/>
    </dxf>
    <dxf>
      <numFmt numFmtId="1" formatCode="0"/>
    </dxf>
    <dxf>
      <numFmt numFmtId="179" formatCode="\-"/>
    </dxf>
    <dxf>
      <numFmt numFmtId="179" formatCode="\-"/>
    </dxf>
    <dxf>
      <numFmt numFmtId="1" formatCode="0"/>
    </dxf>
    <dxf>
      <numFmt numFmtId="1" formatCode="0"/>
    </dxf>
    <dxf>
      <numFmt numFmtId="179" formatCode="\-"/>
    </dxf>
    <dxf>
      <numFmt numFmtId="1" formatCode="0"/>
    </dxf>
    <dxf>
      <numFmt numFmtId="179" formatCode="\-"/>
    </dxf>
    <dxf>
      <numFmt numFmtId="179" formatCode="\-"/>
    </dxf>
    <dxf>
      <numFmt numFmtId="179" formatCode="\-"/>
    </dxf>
    <dxf>
      <numFmt numFmtId="179" formatCode="\-"/>
    </dxf>
    <dxf>
      <numFmt numFmtId="179" formatCode="\-"/>
    </dxf>
    <dxf>
      <numFmt numFmtId="1" formatCode="0"/>
    </dxf>
    <dxf>
      <numFmt numFmtId="179" formatCode="\-"/>
    </dxf>
    <dxf>
      <numFmt numFmtId="1" formatCode="0"/>
    </dxf>
    <dxf>
      <numFmt numFmtId="1" formatCode="0"/>
    </dxf>
    <dxf>
      <numFmt numFmtId="179" formatCode="\-"/>
    </dxf>
    <dxf>
      <numFmt numFmtId="1" formatCode="0"/>
    </dxf>
    <dxf>
      <numFmt numFmtId="179" formatCode="\-"/>
    </dxf>
    <dxf>
      <numFmt numFmtId="179" formatCode="\-"/>
    </dxf>
    <dxf>
      <numFmt numFmtId="1" formatCode="0"/>
    </dxf>
    <dxf>
      <numFmt numFmtId="1" formatCode="0"/>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 formatCode="0"/>
    </dxf>
    <dxf>
      <numFmt numFmtId="179" formatCode="\-"/>
    </dxf>
    <dxf>
      <numFmt numFmtId="1" formatCode="0"/>
    </dxf>
    <dxf>
      <numFmt numFmtId="1" formatCode="0"/>
    </dxf>
    <dxf>
      <numFmt numFmtId="1" formatCode="0"/>
    </dxf>
    <dxf>
      <numFmt numFmtId="179" formatCode="\-"/>
    </dxf>
    <dxf>
      <numFmt numFmtId="1" formatCode="0"/>
    </dxf>
    <dxf>
      <numFmt numFmtId="1" formatCode="0"/>
    </dxf>
    <dxf>
      <numFmt numFmtId="179" formatCode="\-"/>
    </dxf>
    <dxf>
      <numFmt numFmtId="179" formatCode="\-"/>
    </dxf>
    <dxf>
      <numFmt numFmtId="1" formatCode="0"/>
    </dxf>
    <dxf>
      <numFmt numFmtId="179" formatCode="\-"/>
    </dxf>
    <dxf>
      <numFmt numFmtId="1" formatCode="0"/>
    </dxf>
    <dxf>
      <numFmt numFmtId="179" formatCode="\-"/>
    </dxf>
    <dxf>
      <numFmt numFmtId="1" formatCode="0"/>
    </dxf>
    <dxf>
      <numFmt numFmtId="1" formatCode="0"/>
    </dxf>
    <dxf>
      <numFmt numFmtId="179" formatCode="\-"/>
    </dxf>
    <dxf>
      <numFmt numFmtId="1" formatCode="0"/>
    </dxf>
    <dxf>
      <numFmt numFmtId="179" formatCode="\-"/>
    </dxf>
    <dxf>
      <numFmt numFmtId="1" formatCode="0"/>
    </dxf>
    <dxf>
      <numFmt numFmtId="179" formatCode="\-"/>
    </dxf>
    <dxf>
      <numFmt numFmtId="1" formatCode="0"/>
    </dxf>
    <dxf>
      <numFmt numFmtId="179" formatCode="\-"/>
    </dxf>
    <dxf>
      <numFmt numFmtId="179" formatCode="\-"/>
    </dxf>
    <dxf>
      <numFmt numFmtId="1" formatCode="0"/>
    </dxf>
    <dxf>
      <numFmt numFmtId="179" formatCode="\-"/>
    </dxf>
    <dxf>
      <numFmt numFmtId="1" formatCode="0"/>
    </dxf>
    <dxf>
      <numFmt numFmtId="179" formatCode="\-"/>
    </dxf>
    <dxf>
      <numFmt numFmtId="1" formatCode="0"/>
    </dxf>
    <dxf>
      <numFmt numFmtId="179" formatCode="\-"/>
    </dxf>
    <dxf>
      <numFmt numFmtId="1" formatCode="0"/>
    </dxf>
    <dxf>
      <numFmt numFmtId="1" formatCode="0"/>
    </dxf>
    <dxf>
      <numFmt numFmtId="1" formatCode="0"/>
    </dxf>
    <dxf>
      <numFmt numFmtId="179" formatCode="\-"/>
    </dxf>
    <dxf>
      <numFmt numFmtId="1" formatCode="0"/>
    </dxf>
    <dxf>
      <numFmt numFmtId="179" formatCode="\-"/>
    </dxf>
    <dxf>
      <numFmt numFmtId="1" formatCode="0"/>
    </dxf>
    <dxf>
      <numFmt numFmtId="179" formatCode="\-"/>
    </dxf>
    <dxf>
      <numFmt numFmtId="179" formatCode="\-"/>
    </dxf>
    <dxf>
      <numFmt numFmtId="179" formatCode="\-"/>
    </dxf>
    <dxf>
      <numFmt numFmtId="179" formatCode="\-"/>
    </dxf>
    <dxf>
      <numFmt numFmtId="179" formatCode="\-"/>
    </dxf>
    <dxf>
      <numFmt numFmtId="179" formatCode="\-"/>
    </dxf>
    <dxf>
      <numFmt numFmtId="1" formatCode="0"/>
    </dxf>
    <dxf>
      <numFmt numFmtId="179" formatCode="\-"/>
    </dxf>
    <dxf>
      <numFmt numFmtId="1" formatCode="0"/>
    </dxf>
    <dxf>
      <numFmt numFmtId="179" formatCode="\-"/>
    </dxf>
    <dxf>
      <numFmt numFmtId="179" formatCode="\-"/>
    </dxf>
    <dxf>
      <numFmt numFmtId="1" formatCode="0"/>
    </dxf>
    <dxf>
      <numFmt numFmtId="179" formatCode="\-"/>
    </dxf>
    <dxf>
      <numFmt numFmtId="179" formatCode="\-"/>
    </dxf>
    <dxf>
      <numFmt numFmtId="179" formatCode="\-"/>
    </dxf>
    <dxf>
      <numFmt numFmtId="179"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79"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79" formatCode="\-"/>
    </dxf>
    <dxf>
      <numFmt numFmtId="1" formatCode="0"/>
    </dxf>
    <dxf>
      <numFmt numFmtId="179" formatCode="\-"/>
    </dxf>
    <dxf>
      <numFmt numFmtId="1" formatCode="0"/>
    </dxf>
    <dxf>
      <numFmt numFmtId="179" formatCode="\-"/>
    </dxf>
    <dxf>
      <numFmt numFmtId="1" formatCode="0"/>
    </dxf>
    <dxf>
      <numFmt numFmtId="179" formatCode="\-"/>
    </dxf>
    <dxf>
      <numFmt numFmtId="1" formatCode="0"/>
    </dxf>
    <dxf>
      <numFmt numFmtId="179" formatCode="\-"/>
    </dxf>
    <dxf>
      <numFmt numFmtId="179" formatCode="\-"/>
    </dxf>
    <dxf>
      <numFmt numFmtId="1" formatCode="0"/>
    </dxf>
    <dxf>
      <numFmt numFmtId="179" formatCode="\-"/>
    </dxf>
    <dxf>
      <numFmt numFmtId="1" formatCode="0"/>
    </dxf>
    <dxf>
      <numFmt numFmtId="179" formatCode="\-"/>
    </dxf>
    <dxf>
      <numFmt numFmtId="1" formatCode="0"/>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79" formatCode="\-"/>
    </dxf>
    <dxf>
      <numFmt numFmtId="1" formatCode="0"/>
    </dxf>
    <dxf>
      <numFmt numFmtId="1" formatCode="0"/>
    </dxf>
    <dxf>
      <numFmt numFmtId="1" formatCode="0"/>
    </dxf>
    <dxf>
      <numFmt numFmtId="1" formatCode="0"/>
    </dxf>
    <dxf>
      <numFmt numFmtId="179" formatCode="\-"/>
    </dxf>
    <dxf>
      <numFmt numFmtId="179" formatCode="\-"/>
    </dxf>
    <dxf>
      <numFmt numFmtId="179" formatCode="\-"/>
    </dxf>
    <dxf>
      <font>
        <color rgb="FF9C0006"/>
      </font>
      <fill>
        <patternFill>
          <bgColor rgb="FFFFC7CE"/>
        </patternFill>
      </fill>
    </dxf>
    <dxf>
      <fill>
        <patternFill>
          <bgColor rgb="FF9CD9F4"/>
        </patternFill>
      </fill>
    </dxf>
    <dxf>
      <fill>
        <patternFill>
          <bgColor theme="3" tint="0.79998168889431442"/>
        </patternFill>
      </fill>
    </dxf>
    <dxf>
      <fill>
        <patternFill>
          <bgColor theme="6"/>
        </patternFill>
      </fill>
    </dxf>
    <dxf>
      <numFmt numFmtId="179" formatCode="\-"/>
    </dxf>
    <dxf>
      <fill>
        <patternFill>
          <bgColor rgb="FF9CD9E2"/>
        </patternFill>
      </fill>
    </dxf>
    <dxf>
      <fill>
        <patternFill>
          <bgColor rgb="FF9CD9E0"/>
        </patternFill>
      </fill>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numFmt numFmtId="1" formatCode="0"/>
    </dxf>
    <dxf>
      <numFmt numFmtId="1" formatCode="0"/>
    </dxf>
    <dxf>
      <numFmt numFmtId="1" formatCode="0"/>
    </dxf>
    <dxf>
      <numFmt numFmtId="1" formatCode="0"/>
    </dxf>
    <dxf>
      <numFmt numFmtId="1" formatCode="0"/>
    </dxf>
    <dxf>
      <fill>
        <patternFill>
          <bgColor rgb="FFFF0000"/>
        </patternFill>
      </fill>
    </dxf>
    <dxf>
      <numFmt numFmtId="1" formatCode="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79" formatCode="\-"/>
    </dxf>
    <dxf>
      <numFmt numFmtId="179" formatCode="\-"/>
    </dxf>
    <dxf>
      <numFmt numFmtId="179" formatCode="\-"/>
    </dxf>
    <dxf>
      <numFmt numFmtId="1" formatCode="0"/>
    </dxf>
    <dxf>
      <numFmt numFmtId="1" formatCode="0"/>
    </dxf>
    <dxf>
      <numFmt numFmtId="1" formatCode="0"/>
    </dxf>
    <dxf>
      <numFmt numFmtId="1" formatCode="0"/>
    </dxf>
    <dxf>
      <numFmt numFmtId="1" formatCode="0"/>
    </dxf>
    <dxf>
      <numFmt numFmtId="1" formatCode="0"/>
    </dxf>
    <dxf>
      <numFmt numFmtId="0" formatCode="General"/>
      <fill>
        <patternFill patternType="none">
          <fgColor indexed="64"/>
          <bgColor indexed="65"/>
        </patternFill>
      </fill>
      <border diagonalUp="0" diagonalDown="0">
        <left style="thin">
          <color indexed="64"/>
        </left>
        <right style="thin">
          <color indexed="64"/>
        </right>
        <top/>
        <bottom/>
        <vertical/>
        <horizontal/>
      </border>
    </dxf>
    <dxf>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bottom/>
        <vertical/>
        <horizontal/>
      </border>
    </dxf>
    <dxf>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bottom/>
        <vertical/>
        <horizontal/>
      </border>
    </dxf>
    <dxf>
      <fill>
        <patternFill patternType="none">
          <fgColor indexed="64"/>
          <bgColor auto="1"/>
        </patternFill>
      </fill>
      <border diagonalUp="0" diagonalDown="0" outline="0">
        <left style="thin">
          <color indexed="64"/>
        </left>
        <right style="thin">
          <color indexed="64"/>
        </right>
        <top/>
        <bottom/>
      </border>
    </dxf>
    <dxf>
      <fill>
        <patternFill patternType="none">
          <fgColor indexed="64"/>
          <bgColor auto="1"/>
        </patternFill>
      </fill>
      <border diagonalUp="0" diagonalDown="0" outline="0">
        <left/>
        <right style="thin">
          <color indexed="64"/>
        </right>
        <top/>
        <bottom/>
      </border>
    </dxf>
    <dxf>
      <border outline="0">
        <right style="thin">
          <color indexed="64"/>
        </right>
        <top style="thin">
          <color indexed="64"/>
        </top>
      </border>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patternType="solid">
          <fgColor indexed="64"/>
          <bgColor theme="6" tint="0.79998168889431442"/>
        </patternFill>
      </fill>
      <alignment horizontal="left" vertical="top" textRotation="0" wrapText="1" indent="0" justifyLastLine="0" shrinkToFit="0" readingOrder="0"/>
    </dxf>
    <dxf>
      <fill>
        <patternFill patternType="solid">
          <fgColor indexed="64"/>
          <bgColor theme="6" tint="0.79998168889431442"/>
        </patternFill>
      </fill>
      <alignment horizontal="left" vertical="top" textRotation="0" wrapText="1" indent="0" justifyLastLine="0" shrinkToFit="0" readingOrder="0"/>
    </dxf>
    <dxf>
      <fill>
        <patternFill patternType="solid">
          <bgColor theme="6" tint="0.79998168889431442"/>
        </patternFill>
      </fill>
      <alignment vertical="top" textRotation="0" wrapText="1"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border outline="0">
        <left style="thin">
          <color indexed="64"/>
        </left>
      </border>
    </dxf>
    <dxf>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bottom/>
      </border>
    </dxf>
    <dxf>
      <fill>
        <patternFill patternType="none">
          <fgColor indexed="64"/>
          <bgColor auto="1"/>
        </patternFill>
      </fill>
      <alignment horizontal="left" vertical="bottom" textRotation="0" wrapText="0" indent="1" justifyLastLine="0" shrinkToFit="0" readingOrder="0"/>
      <border diagonalUp="0" diagonalDown="0" outline="0">
        <left style="thin">
          <color indexed="64"/>
        </left>
        <right style="thin">
          <color indexed="64"/>
        </right>
        <top/>
        <bottom/>
      </border>
    </dxf>
    <dxf>
      <border outline="0">
        <right style="thin">
          <color indexed="64"/>
        </right>
      </border>
    </dxf>
    <dxf>
      <border outline="0">
        <bottom style="thin">
          <color indexed="64"/>
        </bottom>
      </border>
    </dxf>
    <dxf>
      <font>
        <b/>
        <i val="0"/>
        <strike val="0"/>
        <condense val="0"/>
        <extend val="0"/>
        <outline val="0"/>
        <shadow val="0"/>
        <u val="none"/>
        <vertAlign val="baseline"/>
        <sz val="10"/>
        <color rgb="FF000000"/>
        <name val="Arial"/>
        <family val="2"/>
        <scheme val="none"/>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name val="Arial"/>
        <family val="2"/>
        <scheme val="none"/>
      </font>
      <fill>
        <patternFill patternType="none">
          <fgColor indexed="64"/>
          <bgColor auto="1"/>
        </patternFill>
      </fill>
      <alignment vertical="top"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0"/>
        <name val="Arial"/>
        <family val="2"/>
        <scheme val="none"/>
      </font>
      <fill>
        <patternFill patternType="none">
          <fgColor indexed="64"/>
          <bgColor auto="1"/>
        </patternFill>
      </fill>
      <alignment vertical="top" textRotation="0" wrapText="1" indent="0" justifyLastLine="0" shrinkToFit="0" readingOrder="0"/>
    </dxf>
    <dxf>
      <fill>
        <patternFill patternType="none">
          <fgColor indexed="64"/>
          <bgColor auto="1"/>
        </patternFill>
      </fill>
      <border diagonalUp="0" diagonalDown="0" outline="0">
        <left style="thin">
          <color indexed="64"/>
        </left>
        <right style="thin">
          <color indexed="64"/>
        </right>
      </border>
    </dxf>
    <dxf>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border>
    </dxf>
    <dxf>
      <numFmt numFmtId="0" formatCode="General"/>
      <fill>
        <patternFill patternType="none">
          <bgColor auto="1"/>
        </patternFill>
      </fill>
      <alignment horizontal="center" vertical="center" textRotation="0" wrapText="0" indent="0" justifyLastLine="0" shrinkToFit="0" readingOrder="0"/>
    </dxf>
    <dxf>
      <numFmt numFmtId="0" formatCode="General"/>
      <fill>
        <patternFill patternType="none">
          <bgColor auto="1"/>
        </patternFill>
      </fill>
      <alignment horizontal="center" vertical="center" textRotation="0" wrapText="0" indent="0" justifyLastLine="0" shrinkToFit="0" readingOrder="0"/>
    </dxf>
    <dxf>
      <numFmt numFmtId="0" formatCode="General"/>
      <fill>
        <patternFill patternType="none">
          <bgColor auto="1"/>
        </patternFill>
      </fill>
      <alignment horizontal="center" vertical="center" textRotation="0" wrapText="0" indent="0" justifyLastLine="0" shrinkToFit="0" readingOrder="0"/>
    </dxf>
    <dxf>
      <numFmt numFmtId="0" formatCode="General"/>
      <fill>
        <patternFill patternType="none">
          <bgColor auto="1"/>
        </patternFill>
      </fill>
      <alignment horizontal="center" vertical="center" textRotation="0" wrapText="0" indent="0" justifyLastLine="0" shrinkToFit="0" readingOrder="0"/>
    </dxf>
    <dxf>
      <numFmt numFmtId="0" formatCode="General"/>
      <fill>
        <patternFill patternType="none">
          <bgColor auto="1"/>
        </patternFill>
      </fill>
      <alignment horizontal="center" vertical="center" textRotation="0" wrapText="0" indent="0" justifyLastLine="0" shrinkToFit="0" readingOrder="0"/>
    </dxf>
    <dxf>
      <fill>
        <patternFill patternType="none">
          <fgColor indexed="64"/>
          <bgColor auto="1"/>
        </patternFill>
      </fill>
      <border diagonalUp="0" diagonalDown="0" outline="0">
        <left style="thin">
          <color indexed="64"/>
        </left>
        <right/>
      </border>
    </dxf>
    <dxf>
      <fill>
        <patternFill patternType="none">
          <fgColor indexed="64"/>
          <bgColor auto="1"/>
        </patternFill>
      </fill>
      <border diagonalUp="0" diagonalDown="0" outline="0">
        <left style="thin">
          <color indexed="64"/>
        </left>
        <right style="thin">
          <color indexed="64"/>
        </right>
      </border>
    </dxf>
    <dxf>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0"/>
        <color rgb="FF000000"/>
        <name val="Arial"/>
        <family val="2"/>
        <scheme val="none"/>
      </font>
      <numFmt numFmtId="168" formatCode="#,##0.000"/>
      <fill>
        <patternFill patternType="none">
          <fgColor indexed="64"/>
          <bgColor auto="1"/>
        </patternFill>
      </fill>
      <border diagonalUp="0" diagonalDown="0" outline="0">
        <right style="thin">
          <color indexed="64"/>
        </right>
        <top/>
        <bottom/>
      </border>
    </dxf>
    <dxf>
      <font>
        <b val="0"/>
        <i val="0"/>
        <strike val="0"/>
        <condense val="0"/>
        <extend val="0"/>
        <outline val="0"/>
        <shadow val="0"/>
        <u val="none"/>
        <vertAlign val="baseline"/>
        <sz val="10"/>
        <color rgb="FF000000"/>
        <name val="Arial"/>
        <family val="2"/>
        <scheme val="none"/>
      </font>
      <numFmt numFmtId="168" formatCode="#,##0.000"/>
      <fill>
        <patternFill patternType="none">
          <fgColor indexed="64"/>
          <bgColor auto="1"/>
        </patternFill>
      </fill>
    </dxf>
    <dxf>
      <font>
        <b val="0"/>
        <i val="0"/>
        <strike val="0"/>
        <condense val="0"/>
        <extend val="0"/>
        <outline val="0"/>
        <shadow val="0"/>
        <u val="none"/>
        <vertAlign val="baseline"/>
        <sz val="10"/>
        <color rgb="FF000000"/>
        <name val="Arial"/>
        <family val="2"/>
        <scheme val="none"/>
      </font>
      <numFmt numFmtId="168" formatCode="#,##0.000"/>
      <fill>
        <patternFill patternType="none">
          <fgColor indexed="64"/>
          <bgColor auto="1"/>
        </patternFill>
      </fill>
      <border diagonalUp="0" diagonalDown="0" outline="0">
        <left style="thick">
          <color indexed="64"/>
        </left>
      </border>
    </dxf>
    <dxf>
      <font>
        <b val="0"/>
        <i val="0"/>
        <strike val="0"/>
        <condense val="0"/>
        <extend val="0"/>
        <outline val="0"/>
        <shadow val="0"/>
        <u val="none"/>
        <vertAlign val="baseline"/>
        <sz val="10"/>
        <color rgb="FF000000"/>
        <name val="Arial"/>
        <family val="2"/>
        <scheme val="none"/>
      </font>
      <numFmt numFmtId="168" formatCode="#,##0.000"/>
      <fill>
        <patternFill patternType="none">
          <fgColor indexed="64"/>
          <bgColor auto="1"/>
        </patternFill>
      </fill>
      <border diagonalUp="0" diagonalDown="0" outline="0">
        <left style="thick">
          <color indexed="64"/>
        </left>
        <right style="thick">
          <color indexed="64"/>
        </right>
      </border>
    </dxf>
    <dxf>
      <font>
        <b val="0"/>
        <i val="0"/>
        <strike val="0"/>
        <condense val="0"/>
        <extend val="0"/>
        <outline val="0"/>
        <shadow val="0"/>
        <u val="none"/>
        <vertAlign val="baseline"/>
        <sz val="10"/>
        <color rgb="FF000000"/>
        <name val="Arial"/>
        <family val="2"/>
        <scheme val="none"/>
      </font>
      <numFmt numFmtId="168" formatCode="#,##0.000"/>
      <fill>
        <patternFill patternType="none">
          <fgColor indexed="64"/>
          <bgColor auto="1"/>
        </patternFill>
      </fill>
      <border diagonalUp="0" diagonalDown="0" outline="0">
        <left style="thick">
          <color indexed="64"/>
        </left>
        <right style="thick">
          <color indexed="64"/>
        </right>
        <top/>
        <bottom/>
      </border>
    </dxf>
    <dxf>
      <font>
        <b val="0"/>
        <i val="0"/>
        <strike val="0"/>
        <condense val="0"/>
        <extend val="0"/>
        <outline val="0"/>
        <shadow val="0"/>
        <u val="none"/>
        <vertAlign val="baseline"/>
        <sz val="10"/>
        <color rgb="FF000000"/>
        <name val="Arial"/>
        <family val="2"/>
        <scheme val="none"/>
      </font>
      <numFmt numFmtId="166" formatCode="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0"/>
        <color rgb="FF000000"/>
        <name val="Arial"/>
        <family val="2"/>
        <scheme val="none"/>
      </font>
      <numFmt numFmtId="168" formatCode="#,##0.000"/>
      <fill>
        <patternFill patternType="none">
          <fgColor indexed="64"/>
          <bgColor auto="1"/>
        </patternFill>
      </fill>
    </dxf>
    <dxf>
      <font>
        <b val="0"/>
        <i val="0"/>
        <strike val="0"/>
        <condense val="0"/>
        <extend val="0"/>
        <outline val="0"/>
        <shadow val="0"/>
        <u val="none"/>
        <vertAlign val="baseline"/>
        <sz val="10"/>
        <color rgb="FF000000"/>
        <name val="Arial"/>
        <family val="2"/>
        <scheme val="none"/>
      </font>
      <numFmt numFmtId="168" formatCode="#,##0.000"/>
      <fill>
        <patternFill patternType="none">
          <fgColor indexed="64"/>
          <bgColor auto="1"/>
        </patternFill>
      </fill>
    </dxf>
    <dxf>
      <font>
        <b val="0"/>
        <i val="0"/>
        <strike val="0"/>
        <condense val="0"/>
        <extend val="0"/>
        <outline val="0"/>
        <shadow val="0"/>
        <u val="none"/>
        <vertAlign val="baseline"/>
        <sz val="10"/>
        <color rgb="FF000000"/>
        <name val="Arial"/>
        <family val="2"/>
        <scheme val="none"/>
      </font>
      <numFmt numFmtId="168" formatCode="#,##0.00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ill>
        <patternFill patternType="none">
          <fgColor indexed="64"/>
          <bgColor auto="1"/>
        </patternFill>
      </fill>
      <border diagonalUp="0" diagonalDown="0" outline="0">
        <left style="thin">
          <color indexed="64"/>
        </left>
        <right style="thin">
          <color indexed="64"/>
        </right>
        <top/>
        <bottom/>
      </border>
    </dxf>
    <dxf>
      <fill>
        <patternFill patternType="none">
          <fgColor indexed="64"/>
          <bgColor auto="1"/>
        </patternFill>
      </fill>
    </dxf>
    <dxf>
      <border outline="0">
        <top style="thin">
          <color indexed="64"/>
        </top>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1"/>
        <name val="Arial"/>
        <family val="2"/>
        <scheme val="none"/>
      </font>
      <fill>
        <patternFill patternType="solid">
          <fgColor indexed="64"/>
          <bgColor theme="0" tint="-0.249977111117893"/>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0" formatCode="General"/>
      <fill>
        <patternFill patternType="none">
          <bgColor auto="1"/>
        </patternFill>
      </fill>
      <alignment horizontal="center" vertical="center" textRotation="0" wrapText="0" indent="0" justifyLastLine="0" shrinkToFit="0" readingOrder="0"/>
      <border diagonalUp="0" diagonalDown="0" outline="0">
        <left/>
        <right style="thin">
          <color indexed="64"/>
        </right>
      </border>
    </dxf>
    <dxf>
      <font>
        <b val="0"/>
        <i val="0"/>
        <strike val="0"/>
        <condense val="0"/>
        <extend val="0"/>
        <outline val="0"/>
        <shadow val="0"/>
        <u val="none"/>
        <vertAlign val="baseline"/>
        <sz val="10"/>
        <color rgb="FF000000"/>
        <name val="Arial"/>
        <family val="2"/>
        <scheme val="none"/>
      </font>
      <numFmt numFmtId="0" formatCode="General"/>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0" formatCode="General"/>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0" formatCode="General"/>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0" formatCode="General"/>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0"/>
        <color rgb="FF000000"/>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0"/>
        <color rgb="FF000000"/>
        <name val="Arial"/>
        <family val="2"/>
        <scheme val="none"/>
      </font>
      <numFmt numFmtId="2" formatCode="0.00"/>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rgb="FF000000"/>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rgb="FF000000"/>
        <name val="Arial"/>
        <family val="2"/>
        <scheme val="none"/>
      </font>
      <numFmt numFmtId="166" formatCode="0.000"/>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rgb="FF000000"/>
        <name val="Arial"/>
        <family val="2"/>
        <scheme val="none"/>
      </font>
      <numFmt numFmtId="166" formatCode="0.000"/>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rgb="FF000000"/>
        <name val="Arial"/>
        <family val="2"/>
        <scheme val="none"/>
      </font>
      <numFmt numFmtId="166" formatCode="0.000"/>
      <fill>
        <patternFill patternType="none">
          <fgColor indexed="64"/>
          <bgColor auto="1"/>
        </patternFill>
      </fill>
      <border diagonalUp="0" diagonalDown="0" outline="0">
        <left/>
        <right style="thick">
          <color indexed="64"/>
        </right>
        <top/>
        <bottom/>
      </border>
    </dxf>
    <dxf>
      <font>
        <b val="0"/>
        <i val="0"/>
        <strike val="0"/>
        <condense val="0"/>
        <extend val="0"/>
        <outline val="0"/>
        <shadow val="0"/>
        <u val="none"/>
        <vertAlign val="baseline"/>
        <sz val="10"/>
        <color rgb="FF000000"/>
        <name val="Arial"/>
        <family val="2"/>
        <scheme val="none"/>
      </font>
      <numFmt numFmtId="166" formatCode="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166" formatCode="0.000"/>
      <fill>
        <patternFill patternType="none">
          <fgColor indexed="64"/>
          <bgColor auto="1"/>
        </patternFill>
      </fill>
      <alignment horizontal="general" vertical="center" textRotation="0" wrapText="0" indent="0" justifyLastLine="0" shrinkToFit="0" readingOrder="0"/>
      <border diagonalUp="0" diagonalDown="0" outline="0">
        <left style="thick">
          <color indexed="64"/>
        </left>
        <right/>
        <top/>
        <bottom/>
      </border>
    </dxf>
    <dxf>
      <font>
        <b val="0"/>
        <i val="0"/>
        <strike val="0"/>
        <condense val="0"/>
        <extend val="0"/>
        <outline val="0"/>
        <shadow val="0"/>
        <u val="none"/>
        <vertAlign val="baseline"/>
        <sz val="10"/>
        <color rgb="FF000000"/>
        <name val="Arial"/>
        <family val="2"/>
        <scheme val="none"/>
      </font>
      <numFmt numFmtId="166" formatCode="0.000"/>
      <fill>
        <patternFill patternType="none">
          <fgColor indexed="64"/>
          <bgColor auto="1"/>
        </patternFill>
      </fill>
      <border diagonalUp="0" diagonalDown="0" outline="0">
        <left style="medium">
          <color indexed="64"/>
        </left>
        <right style="medium">
          <color indexed="64"/>
        </right>
        <top/>
        <bottom/>
      </border>
    </dxf>
    <dxf>
      <font>
        <b val="0"/>
        <i val="0"/>
        <strike val="0"/>
        <condense val="0"/>
        <extend val="0"/>
        <outline val="0"/>
        <shadow val="0"/>
        <u val="none"/>
        <vertAlign val="baseline"/>
        <sz val="10"/>
        <color rgb="FF000000"/>
        <name val="Arial"/>
        <family val="2"/>
        <scheme val="none"/>
      </font>
      <numFmt numFmtId="166" formatCode="0.000"/>
      <fill>
        <patternFill patternType="none">
          <fgColor indexed="64"/>
          <bgColor auto="1"/>
        </patternFill>
      </fill>
      <border diagonalUp="0" diagonalDown="0" outline="0">
        <left style="thick">
          <color indexed="64"/>
        </left>
        <right style="thick">
          <color indexed="64"/>
        </right>
        <top/>
        <bottom/>
      </border>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border diagonalUp="0" diagonalDown="0" outline="0">
        <left/>
        <right/>
        <top/>
        <bottom style="double">
          <color indexed="64"/>
        </bottom>
      </border>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6" formatCode="0.000"/>
      <fill>
        <patternFill patternType="none">
          <fgColor indexed="64"/>
          <bgColor auto="1"/>
        </patternFill>
      </fill>
      <alignment horizontal="right" vertical="center" textRotation="0" wrapText="0" indent="0" justifyLastLine="0" shrinkToFit="0" readingOrder="0"/>
    </dxf>
    <dxf>
      <fill>
        <patternFill patternType="none">
          <fgColor indexed="64"/>
          <bgColor auto="1"/>
        </patternFill>
      </fill>
      <border diagonalUp="0" diagonalDown="0" outline="0">
        <left style="thin">
          <color indexed="64"/>
        </left>
        <right style="thin">
          <color indexed="64"/>
        </right>
        <top/>
        <bottom/>
      </border>
    </dxf>
    <dxf>
      <fill>
        <patternFill patternType="none">
          <fgColor indexed="64"/>
          <bgColor auto="1"/>
        </patternFill>
      </fill>
      <alignment horizontal="left" vertical="bottom" textRotation="0" wrapText="0" indent="1"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top" textRotation="0" wrapText="0" indent="0" justifyLastLine="0" shrinkToFit="0" readingOrder="0"/>
    </dxf>
    <dxf>
      <font>
        <b/>
        <i val="0"/>
        <strike val="0"/>
        <condense val="0"/>
        <extend val="0"/>
        <outline val="0"/>
        <shadow val="0"/>
        <u val="none"/>
        <vertAlign val="baseline"/>
        <sz val="10"/>
        <color theme="1"/>
        <name val="Arial"/>
        <family val="2"/>
        <scheme val="none"/>
      </font>
      <fill>
        <patternFill patternType="solid">
          <fgColor indexed="64"/>
          <bgColor theme="0" tint="-0.249977111117893"/>
        </patternFill>
      </fill>
      <alignment horizontal="center" vertical="center" textRotation="0" wrapText="1" indent="0" justifyLastLine="0" shrinkToFit="0" readingOrder="0"/>
    </dxf>
    <dxf>
      <font>
        <b/>
        <i val="0"/>
        <color theme="1"/>
      </font>
      <fill>
        <patternFill>
          <bgColor theme="0" tint="-0.24994659260841701"/>
        </patternFill>
      </fill>
    </dxf>
  </dxfs>
  <tableStyles count="1" defaultTableStyle="TableStyleMedium2" defaultPivotStyle="PivotStyleLight16">
    <tableStyle name="Table Style 1" pivot="0" count="1" xr9:uid="{7F714AE4-F43B-4972-A3BA-C49CB2D92DB4}">
      <tableStyleElement type="headerRow" dxfId="472"/>
    </tableStyle>
  </tableStyles>
  <colors>
    <mruColors>
      <color rgb="FFBFBFBF"/>
      <color rgb="FFC973AF"/>
      <color rgb="FFB0EAFF"/>
      <color rgb="FF1B9590"/>
      <color rgb="FFF2F2F2"/>
      <color rgb="FF5B9BD5"/>
      <color rgb="FF005CAF"/>
      <color rgb="FF005677"/>
      <color rgb="FF9CD9E2"/>
      <color rgb="FF9CD9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hyperlink" Target="#'KT &amp; RC'!A1"/><Relationship Id="rId13" Type="http://schemas.openxmlformats.org/officeDocument/2006/relationships/hyperlink" Target="#Definitions!A1"/><Relationship Id="rId18" Type="http://schemas.openxmlformats.org/officeDocument/2006/relationships/image" Target="../media/image2.png"/><Relationship Id="rId3" Type="http://schemas.openxmlformats.org/officeDocument/2006/relationships/hyperlink" Target="#Portfolio!A1"/><Relationship Id="rId7" Type="http://schemas.openxmlformats.org/officeDocument/2006/relationships/hyperlink" Target="#'Other SRI'!A1"/><Relationship Id="rId12" Type="http://schemas.openxmlformats.org/officeDocument/2006/relationships/hyperlink" Target="#Notes!A1"/><Relationship Id="rId17" Type="http://schemas.openxmlformats.org/officeDocument/2006/relationships/hyperlink" Target="https://www.industry.gov.au/publications/science-research-and-innovation-sri-budget-tables" TargetMode="External"/><Relationship Id="rId2" Type="http://schemas.openxmlformats.org/officeDocument/2006/relationships/hyperlink" Target="#Sector!A1"/><Relationship Id="rId16" Type="http://schemas.openxmlformats.org/officeDocument/2006/relationships/hyperlink" Target="mailto:sribudgettables@industry.gov.au" TargetMode="External"/><Relationship Id="rId1" Type="http://schemas.openxmlformats.org/officeDocument/2006/relationships/hyperlink" Target="#'R&amp;D'!A1"/><Relationship Id="rId6" Type="http://schemas.openxmlformats.org/officeDocument/2006/relationships/hyperlink" Target="#Programs!A1"/><Relationship Id="rId11" Type="http://schemas.openxmlformats.org/officeDocument/2006/relationships/hyperlink" Target="#Publication!A1"/><Relationship Id="rId5" Type="http://schemas.openxmlformats.org/officeDocument/2006/relationships/hyperlink" Target="#SEO!A1"/><Relationship Id="rId15" Type="http://schemas.openxmlformats.org/officeDocument/2006/relationships/hyperlink" Target="https://app.powerbi.com/view?r=eyJrIjoiNzBjZGM2ODItYjA5NC00NTVkLWFiNGMtZjIzZmVjZDRjNzM3IiwidCI6IjA3MDk5MWRkLWNkYjctNDc2Zi04MGRjLWU4YzNhOTFjNzBhZiJ9" TargetMode="External"/><Relationship Id="rId10" Type="http://schemas.openxmlformats.org/officeDocument/2006/relationships/hyperlink" Target="#'About SRI'!A1"/><Relationship Id="rId4" Type="http://schemas.openxmlformats.org/officeDocument/2006/relationships/hyperlink" Target="#Rural!A1"/><Relationship Id="rId9" Type="http://schemas.openxmlformats.org/officeDocument/2006/relationships/hyperlink" Target="#AGOR!A1"/><Relationship Id="rId14"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17</xdr:col>
      <xdr:colOff>0</xdr:colOff>
      <xdr:row>7</xdr:row>
      <xdr:rowOff>76200</xdr:rowOff>
    </xdr:from>
    <xdr:ext cx="3293534" cy="499534"/>
    <xdr:sp macro="" textlink="">
      <xdr:nvSpPr>
        <xdr:cNvPr id="2" name="TextBox 1">
          <a:hlinkClick xmlns:r="http://schemas.openxmlformats.org/officeDocument/2006/relationships" r:id="rId1"/>
          <a:extLst>
            <a:ext uri="{FF2B5EF4-FFF2-40B4-BE49-F238E27FC236}">
              <a16:creationId xmlns:a16="http://schemas.microsoft.com/office/drawing/2014/main" id="{20F35FD4-F303-463A-9438-50B767121234}"/>
            </a:ext>
          </a:extLst>
        </xdr:cNvPr>
        <xdr:cNvSpPr txBox="1"/>
      </xdr:nvSpPr>
      <xdr:spPr>
        <a:xfrm>
          <a:off x="4191000" y="2781300"/>
          <a:ext cx="3293534" cy="4995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r>
            <a:rPr lang="en-US" sz="1100" b="1">
              <a:solidFill>
                <a:schemeClr val="tx1"/>
              </a:solidFill>
              <a:latin typeface="Arial" panose="020B0604020202020204" pitchFamily="34" charset="0"/>
              <a:cs typeface="Arial" panose="020B0604020202020204" pitchFamily="34" charset="0"/>
            </a:rPr>
            <a:t>Research &amp;</a:t>
          </a:r>
          <a:r>
            <a:rPr lang="en-US" sz="1100" b="1" i="0" u="none" strike="noStrike">
              <a:solidFill>
                <a:schemeClr val="tx1"/>
              </a:solidFill>
              <a:latin typeface="Arial" panose="020B0604020202020204" pitchFamily="34" charset="0"/>
              <a:cs typeface="Arial" panose="020B0604020202020204" pitchFamily="34" charset="0"/>
            </a:rPr>
            <a:t> </a:t>
          </a:r>
        </a:p>
        <a:p>
          <a:pPr marL="0" indent="0" algn="ctr"/>
          <a:r>
            <a:rPr lang="en-US" sz="1100" b="1">
              <a:solidFill>
                <a:schemeClr val="tx1"/>
              </a:solidFill>
              <a:latin typeface="Arial" panose="020B0604020202020204" pitchFamily="34" charset="0"/>
              <a:cs typeface="Arial" panose="020B0604020202020204" pitchFamily="34" charset="0"/>
            </a:rPr>
            <a:t>Development </a:t>
          </a:r>
        </a:p>
      </xdr:txBody>
    </xdr:sp>
    <xdr:clientData/>
  </xdr:oneCellAnchor>
  <xdr:oneCellAnchor>
    <xdr:from>
      <xdr:col>34</xdr:col>
      <xdr:colOff>9524</xdr:colOff>
      <xdr:row>8</xdr:row>
      <xdr:rowOff>20653</xdr:rowOff>
    </xdr:from>
    <xdr:ext cx="3140075" cy="419987"/>
    <xdr:sp macro="" textlink="">
      <xdr:nvSpPr>
        <xdr:cNvPr id="3" name="TextBox 2">
          <a:hlinkClick xmlns:r="http://schemas.openxmlformats.org/officeDocument/2006/relationships" r:id="rId2"/>
          <a:extLst>
            <a:ext uri="{FF2B5EF4-FFF2-40B4-BE49-F238E27FC236}">
              <a16:creationId xmlns:a16="http://schemas.microsoft.com/office/drawing/2014/main" id="{4196FA04-6402-4046-B592-072AAB4ED3B3}"/>
            </a:ext>
          </a:extLst>
        </xdr:cNvPr>
        <xdr:cNvSpPr txBox="1"/>
      </xdr:nvSpPr>
      <xdr:spPr>
        <a:xfrm>
          <a:off x="8080374" y="2840053"/>
          <a:ext cx="3140075" cy="419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lvl="0" algn="ctr"/>
          <a:r>
            <a:rPr lang="en-AU" sz="1100" b="1">
              <a:solidFill>
                <a:schemeClr val="tx1"/>
              </a:solidFill>
              <a:latin typeface="Arial" panose="020B0604020202020204" pitchFamily="34" charset="0"/>
              <a:cs typeface="Arial" panose="020B0604020202020204" pitchFamily="34" charset="0"/>
            </a:rPr>
            <a:t>Research</a:t>
          </a:r>
          <a:r>
            <a:rPr lang="en-AU" sz="1100" b="1" baseline="0">
              <a:solidFill>
                <a:schemeClr val="tx1"/>
              </a:solidFill>
              <a:latin typeface="Arial" panose="020B0604020202020204" pitchFamily="34" charset="0"/>
              <a:cs typeface="Arial" panose="020B0604020202020204" pitchFamily="34" charset="0"/>
            </a:rPr>
            <a:t> &amp; Development </a:t>
          </a:r>
        </a:p>
        <a:p>
          <a:pPr algn="ctr"/>
          <a:r>
            <a:rPr lang="en-AU" sz="1100" b="1">
              <a:solidFill>
                <a:schemeClr val="tx1"/>
              </a:solidFill>
              <a:latin typeface="Arial" panose="020B0604020202020204" pitchFamily="34" charset="0"/>
              <a:cs typeface="Arial" panose="020B0604020202020204" pitchFamily="34" charset="0"/>
            </a:rPr>
            <a:t> by Sector</a:t>
          </a:r>
        </a:p>
      </xdr:txBody>
    </xdr:sp>
    <xdr:clientData/>
  </xdr:oneCellAnchor>
  <xdr:oneCellAnchor>
    <xdr:from>
      <xdr:col>34</xdr:col>
      <xdr:colOff>9525</xdr:colOff>
      <xdr:row>14</xdr:row>
      <xdr:rowOff>155327</xdr:rowOff>
    </xdr:from>
    <xdr:ext cx="3157008" cy="416781"/>
    <xdr:sp macro="" textlink="">
      <xdr:nvSpPr>
        <xdr:cNvPr id="4" name="TextBox 3">
          <a:hlinkClick xmlns:r="http://schemas.openxmlformats.org/officeDocument/2006/relationships" r:id="rId3"/>
          <a:extLst>
            <a:ext uri="{FF2B5EF4-FFF2-40B4-BE49-F238E27FC236}">
              <a16:creationId xmlns:a16="http://schemas.microsoft.com/office/drawing/2014/main" id="{9B925FCF-911E-41FE-B3CB-EA7F1EC614D8}"/>
            </a:ext>
          </a:extLst>
        </xdr:cNvPr>
        <xdr:cNvSpPr txBox="1"/>
      </xdr:nvSpPr>
      <xdr:spPr>
        <a:xfrm>
          <a:off x="8074025" y="4070102"/>
          <a:ext cx="3157008"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a:solidFill>
                <a:schemeClr val="tx1"/>
              </a:solidFill>
              <a:effectLst/>
              <a:latin typeface="Arial" panose="020B0604020202020204" pitchFamily="34" charset="0"/>
              <a:ea typeface="+mn-ea"/>
              <a:cs typeface="Arial" panose="020B0604020202020204" pitchFamily="34" charset="0"/>
            </a:rPr>
            <a:t>Research</a:t>
          </a:r>
          <a:r>
            <a:rPr lang="en-AU" sz="1100" b="1" baseline="0">
              <a:solidFill>
                <a:schemeClr val="tx1"/>
              </a:solidFill>
              <a:effectLst/>
              <a:latin typeface="Arial" panose="020B0604020202020204" pitchFamily="34" charset="0"/>
              <a:ea typeface="+mn-ea"/>
              <a:cs typeface="Arial" panose="020B0604020202020204" pitchFamily="34" charset="0"/>
            </a:rPr>
            <a:t> &amp; Development</a:t>
          </a:r>
          <a:r>
            <a:rPr lang="en-AU" sz="1100" b="1">
              <a:solidFill>
                <a:schemeClr val="tx1"/>
              </a:solidFill>
              <a:latin typeface="Arial" panose="020B0604020202020204" pitchFamily="34" charset="0"/>
              <a:cs typeface="Arial" panose="020B0604020202020204"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lang="en-AU" sz="1100" b="1">
              <a:solidFill>
                <a:schemeClr val="tx1"/>
              </a:solidFill>
              <a:latin typeface="Arial" panose="020B0604020202020204" pitchFamily="34" charset="0"/>
              <a:cs typeface="Arial" panose="020B0604020202020204" pitchFamily="34" charset="0"/>
            </a:rPr>
            <a:t>by Portfolio</a:t>
          </a:r>
        </a:p>
      </xdr:txBody>
    </xdr:sp>
    <xdr:clientData/>
  </xdr:oneCellAnchor>
  <xdr:oneCellAnchor>
    <xdr:from>
      <xdr:col>34</xdr:col>
      <xdr:colOff>9524</xdr:colOff>
      <xdr:row>22</xdr:row>
      <xdr:rowOff>4234</xdr:rowOff>
    </xdr:from>
    <xdr:ext cx="3157009" cy="254557"/>
    <xdr:sp macro="" textlink="">
      <xdr:nvSpPr>
        <xdr:cNvPr id="5" name="TextBox 4">
          <a:hlinkClick xmlns:r="http://schemas.openxmlformats.org/officeDocument/2006/relationships" r:id="rId4"/>
          <a:extLst>
            <a:ext uri="{FF2B5EF4-FFF2-40B4-BE49-F238E27FC236}">
              <a16:creationId xmlns:a16="http://schemas.microsoft.com/office/drawing/2014/main" id="{4C5D69CC-9C7E-4755-922F-6805C115DE6F}"/>
            </a:ext>
          </a:extLst>
        </xdr:cNvPr>
        <xdr:cNvSpPr txBox="1"/>
      </xdr:nvSpPr>
      <xdr:spPr>
        <a:xfrm>
          <a:off x="8080374" y="5369984"/>
          <a:ext cx="3157009"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Rural Research Levies and Programs</a:t>
          </a:r>
        </a:p>
      </xdr:txBody>
    </xdr:sp>
    <xdr:clientData/>
  </xdr:oneCellAnchor>
  <xdr:oneCellAnchor>
    <xdr:from>
      <xdr:col>34</xdr:col>
      <xdr:colOff>0</xdr:colOff>
      <xdr:row>18</xdr:row>
      <xdr:rowOff>152401</xdr:rowOff>
    </xdr:from>
    <xdr:ext cx="3158067" cy="254557"/>
    <xdr:sp macro="" textlink="">
      <xdr:nvSpPr>
        <xdr:cNvPr id="6" name="TextBox 5">
          <a:hlinkClick xmlns:r="http://schemas.openxmlformats.org/officeDocument/2006/relationships" r:id="rId5"/>
          <a:extLst>
            <a:ext uri="{FF2B5EF4-FFF2-40B4-BE49-F238E27FC236}">
              <a16:creationId xmlns:a16="http://schemas.microsoft.com/office/drawing/2014/main" id="{DAD179A4-0BFD-4C7B-8273-AE8B14243319}"/>
            </a:ext>
          </a:extLst>
        </xdr:cNvPr>
        <xdr:cNvSpPr txBox="1"/>
      </xdr:nvSpPr>
      <xdr:spPr>
        <a:xfrm>
          <a:off x="8067675" y="4791076"/>
          <a:ext cx="315806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Socio Economic Objectives </a:t>
          </a:r>
        </a:p>
      </xdr:txBody>
    </xdr:sp>
    <xdr:clientData/>
  </xdr:oneCellAnchor>
  <xdr:oneCellAnchor>
    <xdr:from>
      <xdr:col>34</xdr:col>
      <xdr:colOff>19049</xdr:colOff>
      <xdr:row>11</xdr:row>
      <xdr:rowOff>45679</xdr:rowOff>
    </xdr:from>
    <xdr:ext cx="3155951" cy="419987"/>
    <xdr:sp macro="" textlink="">
      <xdr:nvSpPr>
        <xdr:cNvPr id="7" name="TextBox 6">
          <a:hlinkClick xmlns:r="http://schemas.openxmlformats.org/officeDocument/2006/relationships" r:id="rId6"/>
          <a:extLst>
            <a:ext uri="{FF2B5EF4-FFF2-40B4-BE49-F238E27FC236}">
              <a16:creationId xmlns:a16="http://schemas.microsoft.com/office/drawing/2014/main" id="{00B2646D-F592-44A9-9C1F-362E0242FB0D}"/>
            </a:ext>
          </a:extLst>
        </xdr:cNvPr>
        <xdr:cNvSpPr txBox="1"/>
      </xdr:nvSpPr>
      <xdr:spPr>
        <a:xfrm>
          <a:off x="8086724" y="3420704"/>
          <a:ext cx="3155951" cy="419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a:solidFill>
                <a:schemeClr val="tx1"/>
              </a:solidFill>
              <a:effectLst/>
              <a:latin typeface="Arial" panose="020B0604020202020204" pitchFamily="34" charset="0"/>
              <a:ea typeface="+mn-ea"/>
              <a:cs typeface="Arial" panose="020B0604020202020204" pitchFamily="34" charset="0"/>
            </a:rPr>
            <a:t>Research</a:t>
          </a:r>
          <a:r>
            <a:rPr lang="en-AU" sz="1100" b="1" baseline="0">
              <a:solidFill>
                <a:schemeClr val="tx1"/>
              </a:solidFill>
              <a:effectLst/>
              <a:latin typeface="Arial" panose="020B0604020202020204" pitchFamily="34" charset="0"/>
              <a:ea typeface="+mn-ea"/>
              <a:cs typeface="Arial" panose="020B0604020202020204" pitchFamily="34" charset="0"/>
            </a:rPr>
            <a:t> &amp; Development </a:t>
          </a:r>
          <a:r>
            <a:rPr lang="en-AU" sz="1100" b="1">
              <a:solidFill>
                <a:schemeClr val="tx1"/>
              </a:solidFill>
              <a:latin typeface="Arial" panose="020B0604020202020204" pitchFamily="34" charset="0"/>
              <a:cs typeface="Arial" panose="020B0604020202020204"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lang="en-AU" sz="1100" b="1">
              <a:solidFill>
                <a:schemeClr val="tx1"/>
              </a:solidFill>
              <a:latin typeface="Arial" panose="020B0604020202020204" pitchFamily="34" charset="0"/>
              <a:cs typeface="Arial" panose="020B0604020202020204" pitchFamily="34" charset="0"/>
            </a:rPr>
            <a:t>by Programs/activities</a:t>
          </a:r>
        </a:p>
      </xdr:txBody>
    </xdr:sp>
    <xdr:clientData/>
  </xdr:oneCellAnchor>
  <xdr:oneCellAnchor>
    <xdr:from>
      <xdr:col>17</xdr:col>
      <xdr:colOff>0</xdr:colOff>
      <xdr:row>11</xdr:row>
      <xdr:rowOff>65818</xdr:rowOff>
    </xdr:from>
    <xdr:ext cx="3293534" cy="416781"/>
    <xdr:sp macro="" textlink="">
      <xdr:nvSpPr>
        <xdr:cNvPr id="8" name="TextBox 7">
          <a:hlinkClick xmlns:r="http://schemas.openxmlformats.org/officeDocument/2006/relationships" r:id="rId7"/>
          <a:extLst>
            <a:ext uri="{FF2B5EF4-FFF2-40B4-BE49-F238E27FC236}">
              <a16:creationId xmlns:a16="http://schemas.microsoft.com/office/drawing/2014/main" id="{1D701493-5A60-451E-B10F-B315086599C3}"/>
            </a:ext>
          </a:extLst>
        </xdr:cNvPr>
        <xdr:cNvSpPr txBox="1"/>
      </xdr:nvSpPr>
      <xdr:spPr>
        <a:xfrm>
          <a:off x="4191000" y="3440843"/>
          <a:ext cx="3293534"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Other Science,</a:t>
          </a:r>
          <a:r>
            <a:rPr lang="en-AU" sz="1100" b="1" baseline="0">
              <a:solidFill>
                <a:schemeClr val="tx1"/>
              </a:solidFill>
              <a:latin typeface="Arial" panose="020B0604020202020204" pitchFamily="34" charset="0"/>
              <a:cs typeface="Arial" panose="020B0604020202020204" pitchFamily="34" charset="0"/>
            </a:rPr>
            <a:t> Research</a:t>
          </a:r>
          <a:br>
            <a:rPr lang="en-AU" sz="1100" b="1" baseline="0">
              <a:solidFill>
                <a:schemeClr val="tx1"/>
              </a:solidFill>
              <a:latin typeface="Arial" panose="020B0604020202020204" pitchFamily="34" charset="0"/>
              <a:cs typeface="Arial" panose="020B0604020202020204" pitchFamily="34" charset="0"/>
            </a:rPr>
          </a:br>
          <a:r>
            <a:rPr lang="en-AU" sz="1100" b="1" baseline="0">
              <a:solidFill>
                <a:schemeClr val="tx1"/>
              </a:solidFill>
              <a:latin typeface="Arial" panose="020B0604020202020204" pitchFamily="34" charset="0"/>
              <a:cs typeface="Arial" panose="020B0604020202020204" pitchFamily="34" charset="0"/>
            </a:rPr>
            <a:t>&amp; Innovation </a:t>
          </a:r>
        </a:p>
      </xdr:txBody>
    </xdr:sp>
    <xdr:clientData/>
  </xdr:oneCellAnchor>
  <xdr:oneCellAnchor>
    <xdr:from>
      <xdr:col>17</xdr:col>
      <xdr:colOff>0</xdr:colOff>
      <xdr:row>14</xdr:row>
      <xdr:rowOff>175230</xdr:rowOff>
    </xdr:from>
    <xdr:ext cx="3293534" cy="416781"/>
    <xdr:sp macro="" textlink="">
      <xdr:nvSpPr>
        <xdr:cNvPr id="9" name="TextBox 8">
          <a:hlinkClick xmlns:r="http://schemas.openxmlformats.org/officeDocument/2006/relationships" r:id="rId8"/>
          <a:extLst>
            <a:ext uri="{FF2B5EF4-FFF2-40B4-BE49-F238E27FC236}">
              <a16:creationId xmlns:a16="http://schemas.microsoft.com/office/drawing/2014/main" id="{F8B525C0-7DAC-4EF6-939E-D4EE0F0E92B8}"/>
            </a:ext>
          </a:extLst>
        </xdr:cNvPr>
        <xdr:cNvSpPr txBox="1"/>
      </xdr:nvSpPr>
      <xdr:spPr>
        <a:xfrm>
          <a:off x="4191000" y="4093180"/>
          <a:ext cx="3293534" cy="416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Knowledge Transfer &amp; Research Commercialisation </a:t>
          </a:r>
        </a:p>
      </xdr:txBody>
    </xdr:sp>
    <xdr:clientData/>
  </xdr:oneCellAnchor>
  <xdr:oneCellAnchor>
    <xdr:from>
      <xdr:col>17</xdr:col>
      <xdr:colOff>0</xdr:colOff>
      <xdr:row>18</xdr:row>
      <xdr:rowOff>67733</xdr:rowOff>
    </xdr:from>
    <xdr:ext cx="3293534" cy="419987"/>
    <xdr:sp macro="" textlink="">
      <xdr:nvSpPr>
        <xdr:cNvPr id="10" name="TextBox 9">
          <a:hlinkClick xmlns:r="http://schemas.openxmlformats.org/officeDocument/2006/relationships" r:id="rId9"/>
          <a:extLst>
            <a:ext uri="{FF2B5EF4-FFF2-40B4-BE49-F238E27FC236}">
              <a16:creationId xmlns:a16="http://schemas.microsoft.com/office/drawing/2014/main" id="{93EE0AC8-50DE-42A0-8711-7B5EDDD9BFDB}"/>
            </a:ext>
          </a:extLst>
        </xdr:cNvPr>
        <xdr:cNvSpPr txBox="1"/>
      </xdr:nvSpPr>
      <xdr:spPr>
        <a:xfrm>
          <a:off x="4191000" y="4703233"/>
          <a:ext cx="3293534" cy="419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AU" sz="1100" b="1">
              <a:solidFill>
                <a:schemeClr val="tx1"/>
              </a:solidFill>
              <a:latin typeface="Arial" panose="020B0604020202020204" pitchFamily="34" charset="0"/>
              <a:cs typeface="Arial" panose="020B0604020202020204" pitchFamily="34" charset="0"/>
            </a:rPr>
            <a:t>Australian Government </a:t>
          </a:r>
        </a:p>
        <a:p>
          <a:pPr algn="ctr"/>
          <a:r>
            <a:rPr lang="en-AU" sz="1100" b="1">
              <a:solidFill>
                <a:schemeClr val="tx1"/>
              </a:solidFill>
              <a:latin typeface="Arial" panose="020B0604020202020204" pitchFamily="34" charset="0"/>
              <a:cs typeface="Arial" panose="020B0604020202020204" pitchFamily="34" charset="0"/>
            </a:rPr>
            <a:t>Organisations Register </a:t>
          </a:r>
        </a:p>
      </xdr:txBody>
    </xdr:sp>
    <xdr:clientData/>
  </xdr:oneCellAnchor>
  <xdr:twoCellAnchor>
    <xdr:from>
      <xdr:col>2</xdr:col>
      <xdr:colOff>1905</xdr:colOff>
      <xdr:row>4</xdr:row>
      <xdr:rowOff>4763</xdr:rowOff>
    </xdr:from>
    <xdr:to>
      <xdr:col>12</xdr:col>
      <xdr:colOff>34738</xdr:colOff>
      <xdr:row>4</xdr:row>
      <xdr:rowOff>328763</xdr:rowOff>
    </xdr:to>
    <xdr:sp macro="" textlink="">
      <xdr:nvSpPr>
        <xdr:cNvPr id="11" name="Rounded Rectangle 42">
          <a:hlinkClick xmlns:r="http://schemas.openxmlformats.org/officeDocument/2006/relationships" r:id="rId10"/>
          <a:extLst>
            <a:ext uri="{FF2B5EF4-FFF2-40B4-BE49-F238E27FC236}">
              <a16:creationId xmlns:a16="http://schemas.microsoft.com/office/drawing/2014/main" id="{FCBE90E6-FA21-4C09-A7F9-185BC657F3C6}"/>
            </a:ext>
            <a:ext uri="{147F2762-F138-4A5C-976F-8EAC2B608ADB}">
              <a16:predDERef xmlns:a16="http://schemas.microsoft.com/office/drawing/2014/main" pred="{93EE0AC8-50DE-42A0-8711-7B5EDDD9BFDB}"/>
            </a:ext>
          </a:extLst>
        </xdr:cNvPr>
        <xdr:cNvSpPr/>
      </xdr:nvSpPr>
      <xdr:spPr>
        <a:xfrm>
          <a:off x="468630" y="1731963"/>
          <a:ext cx="2468058" cy="324000"/>
        </a:xfrm>
        <a:prstGeom prst="roundRect">
          <a:avLst/>
        </a:prstGeom>
        <a:solidFill>
          <a:srgbClr val="005677"/>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chemeClr val="bg1"/>
              </a:solidFill>
              <a:latin typeface="Arial" panose="020B0604020202020204" pitchFamily="34" charset="0"/>
              <a:ea typeface="+mn-ea"/>
              <a:cs typeface="Arial" panose="020B0604020202020204" pitchFamily="34" charset="0"/>
            </a:rPr>
            <a:t>About </a:t>
          </a:r>
        </a:p>
      </xdr:txBody>
    </xdr:sp>
    <xdr:clientData/>
  </xdr:twoCellAnchor>
  <xdr:twoCellAnchor>
    <xdr:from>
      <xdr:col>13</xdr:col>
      <xdr:colOff>96020</xdr:colOff>
      <xdr:row>4</xdr:row>
      <xdr:rowOff>4763</xdr:rowOff>
    </xdr:from>
    <xdr:to>
      <xdr:col>24</xdr:col>
      <xdr:colOff>1853</xdr:colOff>
      <xdr:row>4</xdr:row>
      <xdr:rowOff>328763</xdr:rowOff>
    </xdr:to>
    <xdr:sp macro="" textlink="">
      <xdr:nvSpPr>
        <xdr:cNvPr id="12" name="Rounded Rectangle 43">
          <a:hlinkClick xmlns:r="http://schemas.openxmlformats.org/officeDocument/2006/relationships" r:id="rId11"/>
          <a:extLst>
            <a:ext uri="{FF2B5EF4-FFF2-40B4-BE49-F238E27FC236}">
              <a16:creationId xmlns:a16="http://schemas.microsoft.com/office/drawing/2014/main" id="{59C21825-F19D-440B-80D3-162BA8284C65}"/>
            </a:ext>
            <a:ext uri="{147F2762-F138-4A5C-976F-8EAC2B608ADB}">
              <a16:predDERef xmlns:a16="http://schemas.microsoft.com/office/drawing/2014/main" pred="{FCBE90E6-FA21-4C09-A7F9-185BC657F3C6}"/>
            </a:ext>
          </a:extLst>
        </xdr:cNvPr>
        <xdr:cNvSpPr/>
      </xdr:nvSpPr>
      <xdr:spPr>
        <a:xfrm>
          <a:off x="3258320" y="1731963"/>
          <a:ext cx="2468058" cy="324000"/>
        </a:xfrm>
        <a:prstGeom prst="roundRect">
          <a:avLst/>
        </a:prstGeom>
        <a:solidFill>
          <a:srgbClr val="005677"/>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chemeClr val="bg1"/>
              </a:solidFill>
              <a:latin typeface="Arial" panose="020B0604020202020204" pitchFamily="34" charset="0"/>
              <a:ea typeface="+mn-ea"/>
              <a:cs typeface="Arial" panose="020B0604020202020204" pitchFamily="34" charset="0"/>
            </a:rPr>
            <a:t>Publication</a:t>
          </a:r>
        </a:p>
      </xdr:txBody>
    </xdr:sp>
    <xdr:clientData/>
  </xdr:twoCellAnchor>
  <xdr:twoCellAnchor>
    <xdr:from>
      <xdr:col>25</xdr:col>
      <xdr:colOff>63134</xdr:colOff>
      <xdr:row>4</xdr:row>
      <xdr:rowOff>4763</xdr:rowOff>
    </xdr:from>
    <xdr:to>
      <xdr:col>35</xdr:col>
      <xdr:colOff>180634</xdr:colOff>
      <xdr:row>4</xdr:row>
      <xdr:rowOff>328763</xdr:rowOff>
    </xdr:to>
    <xdr:sp macro="" textlink="">
      <xdr:nvSpPr>
        <xdr:cNvPr id="13" name="Rounded Rectangle 45">
          <a:hlinkClick xmlns:r="http://schemas.openxmlformats.org/officeDocument/2006/relationships" r:id="rId12"/>
          <a:extLst>
            <a:ext uri="{FF2B5EF4-FFF2-40B4-BE49-F238E27FC236}">
              <a16:creationId xmlns:a16="http://schemas.microsoft.com/office/drawing/2014/main" id="{2F20FD5B-8B3E-41F7-A5B9-67D96C8E9EB9}"/>
            </a:ext>
            <a:ext uri="{147F2762-F138-4A5C-976F-8EAC2B608ADB}">
              <a16:predDERef xmlns:a16="http://schemas.microsoft.com/office/drawing/2014/main" pred="{59C21825-F19D-440B-80D3-162BA8284C65}"/>
            </a:ext>
          </a:extLst>
        </xdr:cNvPr>
        <xdr:cNvSpPr/>
      </xdr:nvSpPr>
      <xdr:spPr>
        <a:xfrm>
          <a:off x="6048009" y="1731963"/>
          <a:ext cx="2460650" cy="324000"/>
        </a:xfrm>
        <a:prstGeom prst="roundRect">
          <a:avLst/>
        </a:prstGeom>
        <a:solidFill>
          <a:srgbClr val="005677"/>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chemeClr val="bg1"/>
              </a:solidFill>
              <a:latin typeface="Arial" panose="020B0604020202020204" pitchFamily="34" charset="0"/>
              <a:ea typeface="+mn-ea"/>
              <a:cs typeface="Arial" panose="020B0604020202020204" pitchFamily="34" charset="0"/>
            </a:rPr>
            <a:t>Notes</a:t>
          </a:r>
        </a:p>
      </xdr:txBody>
    </xdr:sp>
    <xdr:clientData/>
  </xdr:twoCellAnchor>
  <xdr:twoCellAnchor>
    <xdr:from>
      <xdr:col>36</xdr:col>
      <xdr:colOff>241917</xdr:colOff>
      <xdr:row>4</xdr:row>
      <xdr:rowOff>4763</xdr:rowOff>
    </xdr:from>
    <xdr:to>
      <xdr:col>47</xdr:col>
      <xdr:colOff>20750</xdr:colOff>
      <xdr:row>4</xdr:row>
      <xdr:rowOff>328763</xdr:rowOff>
    </xdr:to>
    <xdr:sp macro="" textlink="">
      <xdr:nvSpPr>
        <xdr:cNvPr id="14" name="Rounded Rectangle 46">
          <a:hlinkClick xmlns:r="http://schemas.openxmlformats.org/officeDocument/2006/relationships" r:id="rId13"/>
          <a:extLst>
            <a:ext uri="{FF2B5EF4-FFF2-40B4-BE49-F238E27FC236}">
              <a16:creationId xmlns:a16="http://schemas.microsoft.com/office/drawing/2014/main" id="{90CDA590-4EB5-4AA1-B197-FB5D22BA9DE8}"/>
            </a:ext>
            <a:ext uri="{147F2762-F138-4A5C-976F-8EAC2B608ADB}">
              <a16:predDERef xmlns:a16="http://schemas.microsoft.com/office/drawing/2014/main" pred="{2F20FD5B-8B3E-41F7-A5B9-67D96C8E9EB9}"/>
            </a:ext>
          </a:extLst>
        </xdr:cNvPr>
        <xdr:cNvSpPr/>
      </xdr:nvSpPr>
      <xdr:spPr>
        <a:xfrm>
          <a:off x="8820767" y="1731963"/>
          <a:ext cx="2477583" cy="324000"/>
        </a:xfrm>
        <a:prstGeom prst="roundRect">
          <a:avLst/>
        </a:prstGeom>
        <a:solidFill>
          <a:srgbClr val="005677"/>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100" b="1">
              <a:solidFill>
                <a:schemeClr val="bg1"/>
              </a:solidFill>
              <a:latin typeface="Arial" panose="020B0604020202020204" pitchFamily="34" charset="0"/>
              <a:ea typeface="+mn-ea"/>
              <a:cs typeface="Arial" panose="020B0604020202020204" pitchFamily="34" charset="0"/>
            </a:rPr>
            <a:t>Definitions</a:t>
          </a:r>
        </a:p>
      </xdr:txBody>
    </xdr:sp>
    <xdr:clientData/>
  </xdr:twoCellAnchor>
  <xdr:twoCellAnchor editAs="oneCell">
    <xdr:from>
      <xdr:col>1</xdr:col>
      <xdr:colOff>177801</xdr:colOff>
      <xdr:row>1</xdr:row>
      <xdr:rowOff>1</xdr:rowOff>
    </xdr:from>
    <xdr:to>
      <xdr:col>47</xdr:col>
      <xdr:colOff>8467</xdr:colOff>
      <xdr:row>3</xdr:row>
      <xdr:rowOff>12644</xdr:rowOff>
    </xdr:to>
    <xdr:pic>
      <xdr:nvPicPr>
        <xdr:cNvPr id="16" name="Picture 15" descr="Science, Research and Innovation (SRI) Budget Tables">
          <a:extLst>
            <a:ext uri="{FF2B5EF4-FFF2-40B4-BE49-F238E27FC236}">
              <a16:creationId xmlns:a16="http://schemas.microsoft.com/office/drawing/2014/main" id="{318F7F09-05E7-4D36-84F9-6A007E1811A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457201" y="152401"/>
          <a:ext cx="10832041" cy="1400118"/>
        </a:xfrm>
        <a:prstGeom prst="rect">
          <a:avLst/>
        </a:prstGeom>
      </xdr:spPr>
    </xdr:pic>
    <xdr:clientData/>
  </xdr:twoCellAnchor>
  <xdr:twoCellAnchor>
    <xdr:from>
      <xdr:col>1</xdr:col>
      <xdr:colOff>175531</xdr:colOff>
      <xdr:row>7</xdr:row>
      <xdr:rowOff>8465</xdr:rowOff>
    </xdr:from>
    <xdr:to>
      <xdr:col>15</xdr:col>
      <xdr:colOff>8466</xdr:colOff>
      <xdr:row>12</xdr:row>
      <xdr:rowOff>164122</xdr:rowOff>
    </xdr:to>
    <xdr:sp macro="" textlink="">
      <xdr:nvSpPr>
        <xdr:cNvPr id="17" name="Rectangle 16">
          <a:hlinkClick xmlns:r="http://schemas.openxmlformats.org/officeDocument/2006/relationships" r:id="rId15"/>
          <a:extLst>
            <a:ext uri="{FF2B5EF4-FFF2-40B4-BE49-F238E27FC236}">
              <a16:creationId xmlns:a16="http://schemas.microsoft.com/office/drawing/2014/main" id="{D1ACAD04-DFDF-4F38-AA83-F3FC9E80BCB8}"/>
            </a:ext>
          </a:extLst>
        </xdr:cNvPr>
        <xdr:cNvSpPr/>
      </xdr:nvSpPr>
      <xdr:spPr>
        <a:xfrm>
          <a:off x="454931" y="2716740"/>
          <a:ext cx="3233360" cy="997032"/>
        </a:xfrm>
        <a:prstGeom prst="rect">
          <a:avLst/>
        </a:prstGeom>
        <a:solidFill>
          <a:schemeClr val="bg1">
            <a:lumMod val="9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400" b="1">
              <a:solidFill>
                <a:sysClr val="windowText" lastClr="000000"/>
              </a:solidFill>
              <a:latin typeface="Arial" panose="020B0604020202020204" pitchFamily="34" charset="0"/>
              <a:ea typeface="+mn-ea"/>
              <a:cs typeface="Arial" panose="020B0604020202020204" pitchFamily="34" charset="0"/>
            </a:rPr>
            <a:t>Power BI</a:t>
          </a:r>
        </a:p>
        <a:p>
          <a:pPr marL="0" indent="0" algn="ctr"/>
          <a:r>
            <a:rPr lang="en-AU" sz="1400" b="1">
              <a:solidFill>
                <a:sysClr val="windowText" lastClr="000000"/>
              </a:solidFill>
              <a:latin typeface="Arial" panose="020B0604020202020204" pitchFamily="34" charset="0"/>
              <a:ea typeface="+mn-ea"/>
              <a:cs typeface="Arial" panose="020B0604020202020204" pitchFamily="34" charset="0"/>
            </a:rPr>
            <a:t>Interactive Charts</a:t>
          </a:r>
          <a:endParaRPr lang="en-AU" sz="1600" b="1">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1</xdr:col>
      <xdr:colOff>177799</xdr:colOff>
      <xdr:row>12</xdr:row>
      <xdr:rowOff>158260</xdr:rowOff>
    </xdr:from>
    <xdr:to>
      <xdr:col>15</xdr:col>
      <xdr:colOff>8467</xdr:colOff>
      <xdr:row>18</xdr:row>
      <xdr:rowOff>161764</xdr:rowOff>
    </xdr:to>
    <xdr:sp macro="" textlink="">
      <xdr:nvSpPr>
        <xdr:cNvPr id="18" name="Rectangle 17">
          <a:hlinkClick xmlns:r="http://schemas.openxmlformats.org/officeDocument/2006/relationships" r:id="rId16"/>
          <a:extLst>
            <a:ext uri="{FF2B5EF4-FFF2-40B4-BE49-F238E27FC236}">
              <a16:creationId xmlns:a16="http://schemas.microsoft.com/office/drawing/2014/main" id="{E24034CE-8319-4631-85ED-F50379573BC7}"/>
            </a:ext>
          </a:extLst>
        </xdr:cNvPr>
        <xdr:cNvSpPr/>
      </xdr:nvSpPr>
      <xdr:spPr>
        <a:xfrm>
          <a:off x="457199" y="3714260"/>
          <a:ext cx="3231093" cy="1089354"/>
        </a:xfrm>
        <a:prstGeom prst="rect">
          <a:avLst/>
        </a:prstGeom>
        <a:solidFill>
          <a:schemeClr val="bg1">
            <a:lumMod val="9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spcCol="36000" rtlCol="0" anchor="ctr"/>
        <a:lstStyle/>
        <a:p>
          <a:pPr marL="0" indent="0" algn="ctr">
            <a:lnSpc>
              <a:spcPct val="120000"/>
            </a:lnSpc>
          </a:pPr>
          <a:r>
            <a:rPr lang="en-AU" sz="1400" b="1">
              <a:solidFill>
                <a:sysClr val="windowText" lastClr="000000"/>
              </a:solidFill>
              <a:latin typeface="Arial" panose="020B0604020202020204" pitchFamily="34" charset="0"/>
              <a:ea typeface="+mn-ea"/>
              <a:cs typeface="Arial" panose="020B0604020202020204" pitchFamily="34" charset="0"/>
            </a:rPr>
            <a:t>Contact</a:t>
          </a:r>
          <a:endParaRPr lang="en-AU" sz="1000" b="1">
            <a:solidFill>
              <a:sysClr val="windowText" lastClr="000000"/>
            </a:solidFill>
            <a:latin typeface="Arial" panose="020B0604020202020204" pitchFamily="34" charset="0"/>
            <a:ea typeface="+mn-ea"/>
            <a:cs typeface="Arial" panose="020B0604020202020204" pitchFamily="34" charset="0"/>
          </a:endParaRPr>
        </a:p>
        <a:p>
          <a:pPr marL="0" indent="0" algn="ctr">
            <a:lnSpc>
              <a:spcPct val="120000"/>
            </a:lnSpc>
          </a:pPr>
          <a:r>
            <a:rPr lang="en-AU" sz="1100" b="0">
              <a:solidFill>
                <a:sysClr val="windowText" lastClr="000000"/>
              </a:solidFill>
              <a:latin typeface="Arial" panose="020B0604020202020204" pitchFamily="34" charset="0"/>
              <a:ea typeface="+mn-ea"/>
              <a:cs typeface="Arial" panose="020B0604020202020204" pitchFamily="34" charset="0"/>
            </a:rPr>
            <a:t>SRIBudgetTables@industry.gov.au</a:t>
          </a:r>
        </a:p>
      </xdr:txBody>
    </xdr:sp>
    <xdr:clientData/>
  </xdr:twoCellAnchor>
  <xdr:twoCellAnchor>
    <xdr:from>
      <xdr:col>2</xdr:col>
      <xdr:colOff>1057</xdr:colOff>
      <xdr:row>18</xdr:row>
      <xdr:rowOff>153251</xdr:rowOff>
    </xdr:from>
    <xdr:to>
      <xdr:col>14</xdr:col>
      <xdr:colOff>245534</xdr:colOff>
      <xdr:row>24</xdr:row>
      <xdr:rowOff>169333</xdr:rowOff>
    </xdr:to>
    <xdr:sp macro="" textlink="">
      <xdr:nvSpPr>
        <xdr:cNvPr id="19" name="Rectangle 18">
          <a:hlinkClick xmlns:r="http://schemas.openxmlformats.org/officeDocument/2006/relationships" r:id="rId17"/>
          <a:extLst>
            <a:ext uri="{FF2B5EF4-FFF2-40B4-BE49-F238E27FC236}">
              <a16:creationId xmlns:a16="http://schemas.microsoft.com/office/drawing/2014/main" id="{5F3B80FE-7D80-4894-B227-BCAD670B2D5E}"/>
            </a:ext>
          </a:extLst>
        </xdr:cNvPr>
        <xdr:cNvSpPr/>
      </xdr:nvSpPr>
      <xdr:spPr>
        <a:xfrm>
          <a:off x="467782" y="4791926"/>
          <a:ext cx="3197227" cy="1101932"/>
        </a:xfrm>
        <a:prstGeom prst="rect">
          <a:avLst/>
        </a:prstGeom>
        <a:solidFill>
          <a:schemeClr val="bg1">
            <a:lumMod val="9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r>
            <a:rPr lang="en-AU" sz="1400" b="1">
              <a:solidFill>
                <a:sysClr val="windowText" lastClr="000000"/>
              </a:solidFill>
              <a:latin typeface="Arial" panose="020B0604020202020204" pitchFamily="34" charset="0"/>
              <a:ea typeface="+mn-ea"/>
              <a:cs typeface="Arial" panose="020B0604020202020204" pitchFamily="34" charset="0"/>
            </a:rPr>
            <a:t>Website</a:t>
          </a:r>
          <a:endParaRPr lang="en-AU" sz="1600" b="1">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oneCell">
    <xdr:from>
      <xdr:col>4</xdr:col>
      <xdr:colOff>16934</xdr:colOff>
      <xdr:row>1</xdr:row>
      <xdr:rowOff>323849</xdr:rowOff>
    </xdr:from>
    <xdr:to>
      <xdr:col>13</xdr:col>
      <xdr:colOff>69775</xdr:colOff>
      <xdr:row>1</xdr:row>
      <xdr:rowOff>963083</xdr:rowOff>
    </xdr:to>
    <xdr:pic>
      <xdr:nvPicPr>
        <xdr:cNvPr id="20" name="Picture 19">
          <a:extLst>
            <a:ext uri="{FF2B5EF4-FFF2-40B4-BE49-F238E27FC236}">
              <a16:creationId xmlns:a16="http://schemas.microsoft.com/office/drawing/2014/main" id="{41AE8B5C-F0D6-495A-9546-FC7EF75F1E8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98009" y="476249"/>
          <a:ext cx="2230891" cy="636059"/>
        </a:xfrm>
        <a:prstGeom prst="rect">
          <a:avLst/>
        </a:prstGeom>
      </xdr:spPr>
    </xdr:pic>
    <xdr:clientData/>
  </xdr:twoCellAnchor>
  <xdr:twoCellAnchor>
    <xdr:from>
      <xdr:col>24</xdr:col>
      <xdr:colOff>0</xdr:colOff>
      <xdr:row>10</xdr:row>
      <xdr:rowOff>152399</xdr:rowOff>
    </xdr:from>
    <xdr:to>
      <xdr:col>25</xdr:col>
      <xdr:colOff>0</xdr:colOff>
      <xdr:row>10</xdr:row>
      <xdr:rowOff>152399</xdr:rowOff>
    </xdr:to>
    <xdr:cxnSp macro="">
      <xdr:nvCxnSpPr>
        <xdr:cNvPr id="21" name="Straight Connector 20">
          <a:extLst>
            <a:ext uri="{FF2B5EF4-FFF2-40B4-BE49-F238E27FC236}">
              <a16:creationId xmlns:a16="http://schemas.microsoft.com/office/drawing/2014/main" id="{7DF408AE-E487-412B-9F76-17E73747CAAE}"/>
            </a:ext>
          </a:extLst>
        </xdr:cNvPr>
        <xdr:cNvCxnSpPr/>
      </xdr:nvCxnSpPr>
      <xdr:spPr>
        <a:xfrm>
          <a:off x="5724525" y="3333749"/>
          <a:ext cx="257175" cy="0"/>
        </a:xfrm>
        <a:prstGeom prst="line">
          <a:avLst/>
        </a:prstGeom>
        <a:ln w="285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14</xdr:row>
      <xdr:rowOff>42332</xdr:rowOff>
    </xdr:from>
    <xdr:to>
      <xdr:col>25</xdr:col>
      <xdr:colOff>0</xdr:colOff>
      <xdr:row>14</xdr:row>
      <xdr:rowOff>42332</xdr:rowOff>
    </xdr:to>
    <xdr:cxnSp macro="">
      <xdr:nvCxnSpPr>
        <xdr:cNvPr id="22" name="Straight Connector 21">
          <a:extLst>
            <a:ext uri="{FF2B5EF4-FFF2-40B4-BE49-F238E27FC236}">
              <a16:creationId xmlns:a16="http://schemas.microsoft.com/office/drawing/2014/main" id="{627B7D46-6A07-4F34-BB4F-05E29EC3E9B3}"/>
            </a:ext>
          </a:extLst>
        </xdr:cNvPr>
        <xdr:cNvCxnSpPr/>
      </xdr:nvCxnSpPr>
      <xdr:spPr>
        <a:xfrm>
          <a:off x="5724525" y="3960282"/>
          <a:ext cx="257175" cy="0"/>
        </a:xfrm>
        <a:prstGeom prst="line">
          <a:avLst/>
        </a:prstGeom>
        <a:ln w="285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17</xdr:row>
      <xdr:rowOff>152399</xdr:rowOff>
    </xdr:from>
    <xdr:to>
      <xdr:col>25</xdr:col>
      <xdr:colOff>0</xdr:colOff>
      <xdr:row>17</xdr:row>
      <xdr:rowOff>152399</xdr:rowOff>
    </xdr:to>
    <xdr:cxnSp macro="">
      <xdr:nvCxnSpPr>
        <xdr:cNvPr id="23" name="Straight Connector 22">
          <a:extLst>
            <a:ext uri="{FF2B5EF4-FFF2-40B4-BE49-F238E27FC236}">
              <a16:creationId xmlns:a16="http://schemas.microsoft.com/office/drawing/2014/main" id="{AC7E1AFA-2014-4EB8-9155-2C844A21DD15}"/>
            </a:ext>
          </a:extLst>
        </xdr:cNvPr>
        <xdr:cNvCxnSpPr/>
      </xdr:nvCxnSpPr>
      <xdr:spPr>
        <a:xfrm>
          <a:off x="5724525" y="4610099"/>
          <a:ext cx="257175" cy="0"/>
        </a:xfrm>
        <a:prstGeom prst="line">
          <a:avLst/>
        </a:prstGeom>
        <a:ln w="285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8466</xdr:colOff>
      <xdr:row>21</xdr:row>
      <xdr:rowOff>67732</xdr:rowOff>
    </xdr:from>
    <xdr:to>
      <xdr:col>25</xdr:col>
      <xdr:colOff>8466</xdr:colOff>
      <xdr:row>21</xdr:row>
      <xdr:rowOff>67732</xdr:rowOff>
    </xdr:to>
    <xdr:cxnSp macro="">
      <xdr:nvCxnSpPr>
        <xdr:cNvPr id="24" name="Straight Connector 23">
          <a:extLst>
            <a:ext uri="{FF2B5EF4-FFF2-40B4-BE49-F238E27FC236}">
              <a16:creationId xmlns:a16="http://schemas.microsoft.com/office/drawing/2014/main" id="{31159CF2-62DF-43EC-BF7A-6C2E65033D5D}"/>
            </a:ext>
          </a:extLst>
        </xdr:cNvPr>
        <xdr:cNvCxnSpPr/>
      </xdr:nvCxnSpPr>
      <xdr:spPr>
        <a:xfrm>
          <a:off x="5736166" y="5246157"/>
          <a:ext cx="257175" cy="0"/>
        </a:xfrm>
        <a:prstGeom prst="line">
          <a:avLst/>
        </a:prstGeom>
        <a:ln w="285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177801</xdr:colOff>
      <xdr:row>10</xdr:row>
      <xdr:rowOff>152399</xdr:rowOff>
    </xdr:from>
    <xdr:to>
      <xdr:col>40</xdr:col>
      <xdr:colOff>177801</xdr:colOff>
      <xdr:row>10</xdr:row>
      <xdr:rowOff>152399</xdr:rowOff>
    </xdr:to>
    <xdr:cxnSp macro="">
      <xdr:nvCxnSpPr>
        <xdr:cNvPr id="25" name="Straight Connector 24">
          <a:extLst>
            <a:ext uri="{FF2B5EF4-FFF2-40B4-BE49-F238E27FC236}">
              <a16:creationId xmlns:a16="http://schemas.microsoft.com/office/drawing/2014/main" id="{78BA4B2F-17C2-4682-A9AB-978F760DD14C}"/>
            </a:ext>
          </a:extLst>
        </xdr:cNvPr>
        <xdr:cNvCxnSpPr/>
      </xdr:nvCxnSpPr>
      <xdr:spPr>
        <a:xfrm>
          <a:off x="9534526" y="3333749"/>
          <a:ext cx="257175" cy="0"/>
        </a:xfrm>
        <a:prstGeom prst="line">
          <a:avLst/>
        </a:prstGeom>
        <a:ln w="285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177801</xdr:colOff>
      <xdr:row>14</xdr:row>
      <xdr:rowOff>42332</xdr:rowOff>
    </xdr:from>
    <xdr:to>
      <xdr:col>40</xdr:col>
      <xdr:colOff>177801</xdr:colOff>
      <xdr:row>14</xdr:row>
      <xdr:rowOff>42332</xdr:rowOff>
    </xdr:to>
    <xdr:cxnSp macro="">
      <xdr:nvCxnSpPr>
        <xdr:cNvPr id="26" name="Straight Connector 25">
          <a:extLst>
            <a:ext uri="{FF2B5EF4-FFF2-40B4-BE49-F238E27FC236}">
              <a16:creationId xmlns:a16="http://schemas.microsoft.com/office/drawing/2014/main" id="{00CA6DB5-EA70-4D85-BCAB-BE4F738E65F4}"/>
            </a:ext>
          </a:extLst>
        </xdr:cNvPr>
        <xdr:cNvCxnSpPr/>
      </xdr:nvCxnSpPr>
      <xdr:spPr>
        <a:xfrm>
          <a:off x="9534526" y="3960282"/>
          <a:ext cx="257175" cy="0"/>
        </a:xfrm>
        <a:prstGeom prst="line">
          <a:avLst/>
        </a:prstGeom>
        <a:ln w="285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177801</xdr:colOff>
      <xdr:row>17</xdr:row>
      <xdr:rowOff>152399</xdr:rowOff>
    </xdr:from>
    <xdr:to>
      <xdr:col>40</xdr:col>
      <xdr:colOff>177801</xdr:colOff>
      <xdr:row>17</xdr:row>
      <xdr:rowOff>152399</xdr:rowOff>
    </xdr:to>
    <xdr:cxnSp macro="">
      <xdr:nvCxnSpPr>
        <xdr:cNvPr id="27" name="Straight Connector 26">
          <a:extLst>
            <a:ext uri="{FF2B5EF4-FFF2-40B4-BE49-F238E27FC236}">
              <a16:creationId xmlns:a16="http://schemas.microsoft.com/office/drawing/2014/main" id="{01988C91-8ECB-4A38-909E-BEF12C4B089D}"/>
            </a:ext>
          </a:extLst>
        </xdr:cNvPr>
        <xdr:cNvCxnSpPr/>
      </xdr:nvCxnSpPr>
      <xdr:spPr>
        <a:xfrm>
          <a:off x="9534526" y="4610099"/>
          <a:ext cx="257175" cy="0"/>
        </a:xfrm>
        <a:prstGeom prst="line">
          <a:avLst/>
        </a:prstGeom>
        <a:ln w="285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186267</xdr:colOff>
      <xdr:row>21</xdr:row>
      <xdr:rowOff>67732</xdr:rowOff>
    </xdr:from>
    <xdr:to>
      <xdr:col>40</xdr:col>
      <xdr:colOff>186267</xdr:colOff>
      <xdr:row>21</xdr:row>
      <xdr:rowOff>67732</xdr:rowOff>
    </xdr:to>
    <xdr:cxnSp macro="">
      <xdr:nvCxnSpPr>
        <xdr:cNvPr id="28" name="Straight Connector 27">
          <a:extLst>
            <a:ext uri="{FF2B5EF4-FFF2-40B4-BE49-F238E27FC236}">
              <a16:creationId xmlns:a16="http://schemas.microsoft.com/office/drawing/2014/main" id="{557505E5-C736-45EC-9E4C-FE8840D4B38F}"/>
            </a:ext>
          </a:extLst>
        </xdr:cNvPr>
        <xdr:cNvCxnSpPr/>
      </xdr:nvCxnSpPr>
      <xdr:spPr>
        <a:xfrm>
          <a:off x="9536642" y="5246157"/>
          <a:ext cx="257175" cy="0"/>
        </a:xfrm>
        <a:prstGeom prst="line">
          <a:avLst/>
        </a:prstGeom>
        <a:ln w="285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67409</xdr:colOff>
      <xdr:row>12</xdr:row>
      <xdr:rowOff>158260</xdr:rowOff>
    </xdr:from>
    <xdr:to>
      <xdr:col>9</xdr:col>
      <xdr:colOff>67409</xdr:colOff>
      <xdr:row>12</xdr:row>
      <xdr:rowOff>158260</xdr:rowOff>
    </xdr:to>
    <xdr:cxnSp macro="">
      <xdr:nvCxnSpPr>
        <xdr:cNvPr id="29" name="Straight Connector 28">
          <a:extLst>
            <a:ext uri="{FF2B5EF4-FFF2-40B4-BE49-F238E27FC236}">
              <a16:creationId xmlns:a16="http://schemas.microsoft.com/office/drawing/2014/main" id="{6ED37247-D2B8-4101-A8ED-105468579D5E}"/>
            </a:ext>
          </a:extLst>
        </xdr:cNvPr>
        <xdr:cNvCxnSpPr/>
      </xdr:nvCxnSpPr>
      <xdr:spPr>
        <a:xfrm>
          <a:off x="1940659" y="3714260"/>
          <a:ext cx="257175" cy="0"/>
        </a:xfrm>
        <a:prstGeom prst="line">
          <a:avLst/>
        </a:prstGeom>
        <a:ln w="285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67409</xdr:colOff>
      <xdr:row>18</xdr:row>
      <xdr:rowOff>175844</xdr:rowOff>
    </xdr:from>
    <xdr:to>
      <xdr:col>9</xdr:col>
      <xdr:colOff>67409</xdr:colOff>
      <xdr:row>18</xdr:row>
      <xdr:rowOff>175844</xdr:rowOff>
    </xdr:to>
    <xdr:cxnSp macro="">
      <xdr:nvCxnSpPr>
        <xdr:cNvPr id="30" name="Straight Connector 29">
          <a:extLst>
            <a:ext uri="{FF2B5EF4-FFF2-40B4-BE49-F238E27FC236}">
              <a16:creationId xmlns:a16="http://schemas.microsoft.com/office/drawing/2014/main" id="{FB41BA0D-6397-4D98-8FE5-E747C83AF19B}"/>
            </a:ext>
          </a:extLst>
        </xdr:cNvPr>
        <xdr:cNvCxnSpPr/>
      </xdr:nvCxnSpPr>
      <xdr:spPr>
        <a:xfrm>
          <a:off x="1940659" y="4817694"/>
          <a:ext cx="257175" cy="0"/>
        </a:xfrm>
        <a:prstGeom prst="line">
          <a:avLst/>
        </a:prstGeom>
        <a:ln w="285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201084</xdr:colOff>
      <xdr:row>1</xdr:row>
      <xdr:rowOff>127000</xdr:rowOff>
    </xdr:from>
    <xdr:to>
      <xdr:col>43</xdr:col>
      <xdr:colOff>118536</xdr:colOff>
      <xdr:row>1</xdr:row>
      <xdr:rowOff>431800</xdr:rowOff>
    </xdr:to>
    <xdr:sp macro="" textlink="">
      <xdr:nvSpPr>
        <xdr:cNvPr id="31" name="TextBox 30">
          <a:extLst>
            <a:ext uri="{FF2B5EF4-FFF2-40B4-BE49-F238E27FC236}">
              <a16:creationId xmlns:a16="http://schemas.microsoft.com/office/drawing/2014/main" id="{546273BB-3B34-4F37-8535-98BD48AFB82E}"/>
            </a:ext>
            <a:ext uri="{147F2762-F138-4A5C-976F-8EAC2B608ADB}">
              <a16:predDERef xmlns:a16="http://schemas.microsoft.com/office/drawing/2014/main" pred="{FB41BA0D-6397-4D98-8FE5-E747C83AF19B}"/>
            </a:ext>
          </a:extLst>
        </xdr:cNvPr>
        <xdr:cNvSpPr txBox="1"/>
      </xdr:nvSpPr>
      <xdr:spPr>
        <a:xfrm>
          <a:off x="9037109" y="276225"/>
          <a:ext cx="1466852"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r>
            <a:rPr lang="en-US" sz="2000" b="0">
              <a:solidFill>
                <a:schemeClr val="bg1"/>
              </a:solidFill>
              <a:latin typeface="+mn-lt"/>
              <a:ea typeface="+mn-lt"/>
              <a:cs typeface="+mn-lt"/>
            </a:rPr>
            <a:t>202</a:t>
          </a:r>
          <a:r>
            <a:rPr lang="en-US" sz="2000" b="0" i="0" u="none" strike="noStrike">
              <a:solidFill>
                <a:schemeClr val="bg1"/>
              </a:solidFill>
              <a:latin typeface="Calibri" panose="020F0502020204030204" pitchFamily="34" charset="0"/>
              <a:ea typeface="+mn-ea"/>
              <a:cs typeface="Calibri" panose="020F0502020204030204" pitchFamily="34" charset="0"/>
            </a:rPr>
            <a:t>5</a:t>
          </a:r>
          <a:r>
            <a:rPr lang="en-US" sz="2000" b="0">
              <a:solidFill>
                <a:schemeClr val="bg1"/>
              </a:solidFill>
              <a:latin typeface="+mn-lt"/>
              <a:ea typeface="+mn-lt"/>
              <a:cs typeface="+mn-lt"/>
            </a:rPr>
            <a:t>-202</a:t>
          </a:r>
          <a:r>
            <a:rPr lang="en-US" sz="2000" b="0" i="0" u="none" strike="noStrike">
              <a:solidFill>
                <a:schemeClr val="bg1"/>
              </a:solidFill>
              <a:latin typeface="Calibri" panose="020F0502020204030204" pitchFamily="34" charset="0"/>
              <a:ea typeface="+mn-ea"/>
              <a:cs typeface="Calibri" panose="020F0502020204030204" pitchFamily="34" charset="0"/>
            </a:rPr>
            <a:t>6</a:t>
          </a:r>
          <a:endParaRPr lang="en-US" sz="2000" b="0" i="0" u="none" strike="noStrike">
            <a:solidFill>
              <a:schemeClr val="bg1"/>
            </a:solidFill>
            <a:latin typeface="Calibri" panose="020F0502020204030204" pitchFamily="34" charset="0"/>
            <a:cs typeface="Calibri" panose="020F050202020403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1978025</xdr:colOff>
      <xdr:row>6</xdr:row>
      <xdr:rowOff>80963</xdr:rowOff>
    </xdr:from>
    <xdr:to>
      <xdr:col>1</xdr:col>
      <xdr:colOff>3333750</xdr:colOff>
      <xdr:row>8</xdr:row>
      <xdr:rowOff>178321</xdr:rowOff>
    </xdr:to>
    <xdr:pic>
      <xdr:nvPicPr>
        <xdr:cNvPr id="2" name="Picture 1" descr="Creative commons licence logo" title="Creative commons licence logo">
          <a:extLst>
            <a:ext uri="{FF2B5EF4-FFF2-40B4-BE49-F238E27FC236}">
              <a16:creationId xmlns:a16="http://schemas.microsoft.com/office/drawing/2014/main" id="{5107C85C-3C82-40C2-B50E-24EFCC2B886F}"/>
            </a:ext>
          </a:extLst>
        </xdr:cNvPr>
        <xdr:cNvPicPr>
          <a:picLocks noChangeAspect="1"/>
        </xdr:cNvPicPr>
      </xdr:nvPicPr>
      <xdr:blipFill>
        <a:blip xmlns:r="http://schemas.openxmlformats.org/officeDocument/2006/relationships" r:embed="rId1"/>
        <a:stretch>
          <a:fillRect/>
        </a:stretch>
      </xdr:blipFill>
      <xdr:spPr>
        <a:xfrm>
          <a:off x="2225675" y="1608138"/>
          <a:ext cx="1355725" cy="4593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166688</xdr:colOff>
      <xdr:row>71</xdr:row>
      <xdr:rowOff>178594</xdr:rowOff>
    </xdr:from>
    <xdr:to>
      <xdr:col>62</xdr:col>
      <xdr:colOff>84095</xdr:colOff>
      <xdr:row>108</xdr:row>
      <xdr:rowOff>46316</xdr:rowOff>
    </xdr:to>
    <xdr:pic>
      <xdr:nvPicPr>
        <xdr:cNvPr id="3" name="Picture 2">
          <a:extLst>
            <a:ext uri="{FF2B5EF4-FFF2-40B4-BE49-F238E27FC236}">
              <a16:creationId xmlns:a16="http://schemas.microsoft.com/office/drawing/2014/main" id="{8E50EE79-F3D7-50FE-481B-E6065FA70319}"/>
            </a:ext>
          </a:extLst>
        </xdr:cNvPr>
        <xdr:cNvPicPr>
          <a:picLocks noChangeAspect="1"/>
        </xdr:cNvPicPr>
      </xdr:nvPicPr>
      <xdr:blipFill>
        <a:blip xmlns:r="http://schemas.openxmlformats.org/officeDocument/2006/relationships" r:embed="rId1"/>
        <a:stretch>
          <a:fillRect/>
        </a:stretch>
      </xdr:blipFill>
      <xdr:spPr>
        <a:xfrm>
          <a:off x="53030438" y="15073313"/>
          <a:ext cx="5382376" cy="76782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285750</xdr:colOff>
      <xdr:row>73</xdr:row>
      <xdr:rowOff>47625</xdr:rowOff>
    </xdr:from>
    <xdr:ext cx="6865820" cy="7410901"/>
    <xdr:pic>
      <xdr:nvPicPr>
        <xdr:cNvPr id="2" name="Picture 1" descr="Frascati Manual 2015, sector breakdown" title="Decision tree for allocation institutional units to the main sectors in this manual">
          <a:extLst>
            <a:ext uri="{FF2B5EF4-FFF2-40B4-BE49-F238E27FC236}">
              <a16:creationId xmlns:a16="http://schemas.microsoft.com/office/drawing/2014/main" id="{D2331975-08AD-4313-B0BD-55BB80B7B465}"/>
            </a:ext>
          </a:extLst>
        </xdr:cNvPr>
        <xdr:cNvPicPr>
          <a:picLocks noChangeAspect="1"/>
        </xdr:cNvPicPr>
      </xdr:nvPicPr>
      <xdr:blipFill>
        <a:blip xmlns:r="http://schemas.openxmlformats.org/officeDocument/2006/relationships" r:embed="rId1"/>
        <a:stretch>
          <a:fillRect/>
        </a:stretch>
      </xdr:blipFill>
      <xdr:spPr>
        <a:xfrm>
          <a:off x="495300" y="19837400"/>
          <a:ext cx="6865820" cy="741090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cury.network\dfs\sites\50033698\Team%20Business%20Function\OAR\AGOR%20Updates\AGOR%20Update%2020210930%20v4.5\AGOR%20Budget%20Locked%20Fields%20Update%202020-09-3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1.prdmgd.finance.gov.au/sites/50033698/Team%20Business%20Function/OAR/AGOR%20Updates/AGOR%20Update%2020210930%20v4.5/AGOR%20Budget%20Locked%20Fields%20Update%202020-09-3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rod.protected.ind\USER_VI1\Users\Beralj\AppData\Roaming\Microsoft\Excel\AGOR%20Health%20v2%2020141125%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eralj\AppData\Roaming\Microsoft\Excel\AGOR%20Health%20v2%2020141125%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readsheet of Bodies Raw Data"/>
      <sheetName val="AGOR Finance Data Update"/>
      <sheetName val="BP4 ASL"/>
      <sheetName val="BP4 Approp"/>
      <sheetName val="Dept Expenses"/>
      <sheetName val="PS Act Bodies"/>
      <sheetName val="Governance"/>
      <sheetName val="Taxonomy References"/>
      <sheetName val="Class.InterDependencies"/>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readsheet of Bodies Raw Data"/>
      <sheetName val="AGOR Finance Data Update"/>
      <sheetName val="BP4 ASL"/>
      <sheetName val="BP4 Approp"/>
      <sheetName val="Dept Expenses"/>
      <sheetName val="PS Act Bodies"/>
      <sheetName val="Governance"/>
      <sheetName val="Taxonomy References"/>
      <sheetName val="Class.InterDependencies"/>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ting"/>
      <sheetName val="Abolished"/>
      <sheetName val="Class.InterDependancies"/>
      <sheetName val="Class.InterDependencies"/>
      <sheetName val="Picklist Established By"/>
      <sheetName val="Picklist Abolitions"/>
    </sheetNames>
    <sheetDataSet>
      <sheetData sheetId="0"/>
      <sheetData sheetId="1"/>
      <sheetData sheetId="2"/>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ting"/>
      <sheetName val="Abolished"/>
      <sheetName val="Class.InterDependancies"/>
      <sheetName val="Class.InterDependencies"/>
      <sheetName val="Picklist Established By"/>
      <sheetName val="Picklist Abolitions"/>
    </sheetNames>
    <sheetDataSet>
      <sheetData sheetId="0"/>
      <sheetData sheetId="1"/>
      <sheetData sheetId="2"/>
      <sheetData sheetId="3" refreshError="1"/>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608E22-EE83-4E37-AF47-DC0B4AAEDA84}" name="RDprograms" displayName="RDprograms" ref="A4:BT665" totalsRowShown="0" headerRowDxfId="471" dataDxfId="470">
  <autoFilter ref="A4:BT665" xr:uid="{34608E22-EE83-4E37-AF47-DC0B4AAEDA84}"/>
  <sortState xmlns:xlrd2="http://schemas.microsoft.com/office/spreadsheetml/2017/richdata2" ref="A5:BT665">
    <sortCondition ref="A4:A665"/>
    <sortCondition ref="B4:B665"/>
  </sortState>
  <tableColumns count="72">
    <tableColumn id="2" xr3:uid="{6618E8C5-D254-440D-9AF2-1ACC75528F67}" name="Portfolio" dataDxfId="469"/>
    <tableColumn id="3" xr3:uid="{86733253-5A26-49D0-8CA9-58A225521C4C}" name="Program / Activity" dataDxfId="468"/>
    <tableColumn id="4" xr3:uid="{79ECDC71-D7B0-43DB-9A31-473C89765DEE}" name="1978-79" dataDxfId="467"/>
    <tableColumn id="5" xr3:uid="{84C33E22-4C60-4D73-AE92-A099C1291299}" name="1979-80" dataDxfId="466"/>
    <tableColumn id="6" xr3:uid="{DD1B7A27-A689-49E2-928D-08C7EA26C5FB}" name="1980-81" dataDxfId="465"/>
    <tableColumn id="7" xr3:uid="{4EE793B5-93CF-42EB-9E0E-76CDA6EBFA19}" name="1981-82" dataDxfId="464"/>
    <tableColumn id="8" xr3:uid="{F63D6B8D-2A4A-42F3-8330-91D6DF053F2B}" name="1982-83" dataDxfId="463"/>
    <tableColumn id="9" xr3:uid="{E7055ACE-F8BB-432A-9F33-727263E723B9}" name="1983-84" dataDxfId="462"/>
    <tableColumn id="10" xr3:uid="{C1CD629B-40D4-4EE9-A018-7610BDA71358}" name="1984-85" dataDxfId="461"/>
    <tableColumn id="11" xr3:uid="{EBAD64EF-0A8B-4AA5-85CC-B8143C2CCCB4}" name="1985-86" dataDxfId="460"/>
    <tableColumn id="12" xr3:uid="{51AD4774-41E0-4986-88C1-89361A434A80}" name="1986-87" dataDxfId="459"/>
    <tableColumn id="13" xr3:uid="{85836D4B-4963-46A4-A61C-A7D853858784}" name="1987-88" dataDxfId="458"/>
    <tableColumn id="14" xr3:uid="{5E6E6391-B311-4C48-8959-1EB84A14EE38}" name="1988-89" dataDxfId="457"/>
    <tableColumn id="15" xr3:uid="{904B0A33-6B25-4AB9-ADBB-2FE8B32382D1}" name="1989-90" dataDxfId="456"/>
    <tableColumn id="16" xr3:uid="{349FC768-0F67-4BCF-8863-D3382DFBC443}" name="1990-91" dataDxfId="455"/>
    <tableColumn id="17" xr3:uid="{B12847A4-DBE7-459D-9976-B9BD93C8643E}" name="1991-92" dataDxfId="454"/>
    <tableColumn id="18" xr3:uid="{4BE59D05-FAEE-49BC-BDBB-AE770417D119}" name="1992-93" dataDxfId="453"/>
    <tableColumn id="19" xr3:uid="{8C037185-9FD4-4888-87C1-208EEB238CC2}" name="1993-94" dataDxfId="452"/>
    <tableColumn id="20" xr3:uid="{EE3ABEED-7FE5-434D-81D6-FE41E6A45BAA}" name="1994-95" dataDxfId="451"/>
    <tableColumn id="21" xr3:uid="{3A5C6218-2210-496B-8DD6-F95888AAECDC}" name="1995-96" dataDxfId="450"/>
    <tableColumn id="22" xr3:uid="{69286733-8505-4E95-AABB-CDA06C57D999}" name="1996-97" dataDxfId="449"/>
    <tableColumn id="23" xr3:uid="{56EDED08-8E09-45A6-B0CE-9AFFE7C9CE35}" name="1997-98" dataDxfId="448"/>
    <tableColumn id="24" xr3:uid="{DD1EE329-31CB-450B-9186-8AE6DFCB74DF}" name="1998-99" dataDxfId="447"/>
    <tableColumn id="25" xr3:uid="{B20169D1-BF4F-48FD-8E92-BF452AED2FD4}" name="1999-00" dataDxfId="446"/>
    <tableColumn id="26" xr3:uid="{A7B0B333-2345-4173-AF09-D2F1FDF8720E}" name="2000-01" dataDxfId="445"/>
    <tableColumn id="27" xr3:uid="{E0511195-5A66-4CF0-8361-F4B437CD3235}" name="2001-02" dataDxfId="444"/>
    <tableColumn id="28" xr3:uid="{3BF6FCEC-E08B-460A-8BD7-3E48099E8548}" name="2002-03" dataDxfId="443"/>
    <tableColumn id="29" xr3:uid="{BBF3EF3A-4DFB-49E6-B113-6E0951BE9C37}" name="2003-04" dataDxfId="442"/>
    <tableColumn id="30" xr3:uid="{7AB8940A-CDD2-4AC6-81C4-ECB6E378C4B2}" name="2004-05" dataDxfId="441"/>
    <tableColumn id="31" xr3:uid="{3C16D832-D7B4-46D3-8AD4-E3707DC96B49}" name="2005-06" dataDxfId="440"/>
    <tableColumn id="32" xr3:uid="{62731C39-3C86-4C98-90EE-305EEB55EF9B}" name="2006-07" dataDxfId="439"/>
    <tableColumn id="33" xr3:uid="{A1DDE653-8EFE-4EFC-BC9D-655E4878EC73}" name="2007-08" dataDxfId="438"/>
    <tableColumn id="34" xr3:uid="{3C7DEE66-1228-41EA-851A-E261FF3EE9B2}" name="2008-09" dataDxfId="437"/>
    <tableColumn id="35" xr3:uid="{7BA186C4-75B3-4B23-88D8-B20634CFC0B0}" name="2009-10" dataDxfId="436"/>
    <tableColumn id="36" xr3:uid="{2B9E2EB4-FB22-4C3E-9A88-0CD701962FE4}" name="2010-11" dataDxfId="435"/>
    <tableColumn id="37" xr3:uid="{7656AF8D-45CA-4972-94FC-7773F5DBBE68}" name="2011-12" dataDxfId="434"/>
    <tableColumn id="38" xr3:uid="{92BABC1E-9B39-48FB-A529-3A18904B3AAE}" name="2012-13" dataDxfId="433"/>
    <tableColumn id="39" xr3:uid="{3FA56B66-63C7-4BFD-9367-DEEEB7D6CBFF}" name="2013-14" dataDxfId="432"/>
    <tableColumn id="40" xr3:uid="{D1305CA2-2A28-40F4-B482-670CBEC35CAC}" name="2014-15" dataDxfId="431"/>
    <tableColumn id="41" xr3:uid="{0BDF671F-43E4-4A3E-97ED-95A04FF77617}" name="2015-16" dataDxfId="430"/>
    <tableColumn id="42" xr3:uid="{4D7B5438-6FF2-41CA-BA04-3A037F1F0316}" name="2016-17" dataDxfId="429"/>
    <tableColumn id="43" xr3:uid="{61E7A87D-D167-446C-811D-63F24546AFC5}" name="2017-18" dataDxfId="428"/>
    <tableColumn id="44" xr3:uid="{8780D786-DA32-470A-86D1-DA18A71B916B}" name="2018-19" dataDxfId="427"/>
    <tableColumn id="45" xr3:uid="{E83129CD-7FF3-4CF3-B2EA-6B6FD457F15B}" name="2019-20" dataDxfId="426"/>
    <tableColumn id="46" xr3:uid="{3C783734-0B4D-4068-A785-283930A1ABF3}" name="2020-21" dataDxfId="425"/>
    <tableColumn id="47" xr3:uid="{01C1955A-4181-434B-A3F4-0E7791D92817}" name="2021-22" dataDxfId="424"/>
    <tableColumn id="65" xr3:uid="{5FB9E8C5-E815-4DE8-8266-20ABE9F559B6}" name="2022-23" dataDxfId="423"/>
    <tableColumn id="48" xr3:uid="{E3002E37-63AD-4A5A-A4F7-5E1F9C7E5B3B}" name="2023-24" dataDxfId="422"/>
    <tableColumn id="49" xr3:uid="{ECE16473-3231-46C4-A7E7-F9C28BD554F4}" name="2024-25" dataDxfId="421"/>
    <tableColumn id="50" xr3:uid="{CEF288B2-8E30-472D-8927-27A02E72DB91}" name="2025-26" dataDxfId="420"/>
    <tableColumn id="51" xr3:uid="{A01639A3-17C8-4529-89E0-47D4E29CBC40}" name="2026-27" dataDxfId="419"/>
    <tableColumn id="52" xr3:uid="{DF804060-E9F4-4FDF-98EF-1DE4487F5397}" name="2027-28" dataDxfId="418"/>
    <tableColumn id="1" xr3:uid="{F9425F7F-F913-4387-AB23-7B4DB69320AD}" name="2028-29" dataDxfId="417" dataCellStyle="Normal 2"/>
    <tableColumn id="70" xr3:uid="{DD651D2F-17DA-4326-BF1E-2441B28AF8A8}" name="First year" dataDxfId="416" dataCellStyle="Normal 2">
      <calculatedColumnFormula array="1">INDEX(C$4:BA$4,MATCH(TRUE,INDEX(C5:BA5&lt;&gt;0,),0))</calculatedColumnFormula>
    </tableColumn>
    <tableColumn id="71" xr3:uid="{920EEEF2-BBB6-4677-A2E4-D215E8CE222F}" name="Last year" dataDxfId="415" dataCellStyle="Normal 2">
      <calculatedColumnFormula array="1">LOOKUP(2,1/(C5:BA5&lt;&gt;0),$C$4:$BA$4)</calculatedColumnFormula>
    </tableColumn>
    <tableColumn id="72" xr3:uid="{C02C8FE1-4D22-414B-AD69-621C8C15B044}" name="Years with &gt; $0 investment" dataDxfId="414" dataCellStyle="Normal 2">
      <calculatedColumnFormula>COUNTIF(RDprograms[[#This Row],[1978-79]:[2028-29]], "&gt;0")</calculatedColumnFormula>
    </tableColumn>
    <tableColumn id="73" xr3:uid="{B2DD5153-4C03-4603-B3A0-EE89489A0729}" name="Average value" dataDxfId="413" dataCellStyle="Normal 2">
      <calculatedColumnFormula>SUM(C5:BA5)/RDprograms[[#This Row],[Years with &gt; $0 investment]]</calculatedColumnFormula>
    </tableColumn>
    <tableColumn id="53" xr3:uid="{53CF8B55-B891-4FA2-A0B4-213D339CAFF2}" name="Allocation method_x000a__x000a_" dataDxfId="412"/>
    <tableColumn id="54" xr3:uid="{B6DB2372-681E-4860-8A7E-DC0975725441}" name="Socio-Economic Objective_x000a__x000a_" dataDxfId="411"/>
    <tableColumn id="55" xr3:uid="{E725BE32-9448-4BEF-BC33-95CA92C2E394}" name="Sector_x000a__x000a_" dataDxfId="410"/>
    <tableColumn id="56" xr3:uid="{94FED8E7-F07B-4301-81A0-DEAB672C45C0}" name="Transitioning to a net zero future" dataDxfId="409"/>
    <tableColumn id="63" xr3:uid="{4D324CA8-B526-4A98-9936-52B50D79537A}" name="Supporting healthy and thriving communities" dataDxfId="408" dataCellStyle="Normal 2"/>
    <tableColumn id="62" xr3:uid="{C73215D4-95B2-441B-8126-EB3ACEF20895}" name="Elevating Aboriginal and Torres Strait Islander knowledge systems" dataDxfId="407" dataCellStyle="Normal 2"/>
    <tableColumn id="64" xr3:uid="{F87AF01E-44C2-4897-8F30-B2325DF66543}" name="Protecting and restoring Australia's environment" dataDxfId="406" dataCellStyle="Normal 2"/>
    <tableColumn id="67" xr3:uid="{5E62DB1F-CE8F-4E98-89F5-492B442EA053}" name="Building a secure and resilient nation" dataDxfId="405" dataCellStyle="Normal 2"/>
    <tableColumn id="68" xr3:uid="{FBC36980-F4C8-4317-A9F2-1D380F779DA8}" name="Other research area" dataDxfId="404" dataCellStyle="Normal 2"/>
    <tableColumn id="57" xr3:uid="{44A868FB-C1F2-4AD2-98F1-984F002B1085}" name="Appropriation" dataDxfId="403"/>
    <tableColumn id="58" xr3:uid="{046440EC-7AD3-437E-AB93-460D9F32A78D}" name="About" dataDxfId="402"/>
    <tableColumn id="59" xr3:uid="{D5B1CD34-AF0A-42AA-8CAA-B6C1C0E726F7}" name="Notes" dataDxfId="401"/>
    <tableColumn id="60" xr3:uid="{09BFB4DE-90D9-42DA-8A41-4AC391BD5367}" name="Group1" dataDxfId="400"/>
    <tableColumn id="61" xr3:uid="{B3935164-500F-48AB-BBC5-E566277AAF35}" name="Group2" dataDxfId="399"/>
    <tableColumn id="66" xr3:uid="{B9AE3F51-D509-476D-BE7D-6E7F741B915E}" name="Group3" dataDxfId="398"/>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EB8C431-5957-4BA2-A33C-13F767462076}" name="OtherSRI" displayName="OtherSRI" ref="A6:AV202" totalsRowShown="0" headerRowDxfId="397" dataDxfId="395" headerRowBorderDxfId="396" tableBorderDxfId="394">
  <autoFilter ref="A6:AV202" xr:uid="{F1F284DF-4B90-4492-BE09-B52B0DCD2082}"/>
  <sortState xmlns:xlrd2="http://schemas.microsoft.com/office/spreadsheetml/2017/richdata2" ref="A7:AV202">
    <sortCondition ref="A6:A202"/>
    <sortCondition ref="B6:B202"/>
  </sortState>
  <tableColumns count="48">
    <tableColumn id="2" xr3:uid="{E42174C6-AD63-44D1-9E73-F6F7F34AC386}" name="Portfolio" dataDxfId="393"/>
    <tableColumn id="3" xr3:uid="{3D53DCE2-69C6-4AD2-99E6-22914547F005}" name="Program / Activity" dataDxfId="392"/>
    <tableColumn id="4" xr3:uid="{1E70E611-A379-4F3B-95D2-D830B1561CED}" name="1997-98" dataDxfId="391"/>
    <tableColumn id="5" xr3:uid="{A57BCF2D-F100-4EDD-9AE5-0634EBD07656}" name="1998-99" dataDxfId="390"/>
    <tableColumn id="6" xr3:uid="{E6EF1226-BA95-4884-9620-A46D2659E48F}" name="1999-00" dataDxfId="389"/>
    <tableColumn id="7" xr3:uid="{AB62EF55-A253-472E-B59B-771F26518920}" name="2000-01" dataDxfId="388"/>
    <tableColumn id="8" xr3:uid="{16966CD6-2A01-42CB-8B22-ACE296A54FC4}" name="2001-02" dataDxfId="387"/>
    <tableColumn id="9" xr3:uid="{3D689ED5-9AA5-4672-A66F-DF5DA2D90E8E}" name="2002-03" dataDxfId="386"/>
    <tableColumn id="10" xr3:uid="{1C4C91BA-4E36-4244-9D62-B0F96518CC23}" name="2003-04" dataDxfId="385"/>
    <tableColumn id="11" xr3:uid="{A4D48E2E-C970-4D99-AD22-657C7E6EB882}" name="2004-05" dataDxfId="384"/>
    <tableColumn id="12" xr3:uid="{1FE67A8E-6107-4F44-A9EE-9FF6BEE239CA}" name="2005-06" dataDxfId="383"/>
    <tableColumn id="13" xr3:uid="{BCF11EFA-880A-4C64-A936-2E7E2E308090}" name="2006-07" dataDxfId="382"/>
    <tableColumn id="14" xr3:uid="{0972052A-2BBA-4532-8CF6-DD6551F7031A}" name="2007-08" dataDxfId="381"/>
    <tableColumn id="15" xr3:uid="{9BE1998F-5748-4085-AEB8-A3CA2C20902F}" name="2008-09" dataDxfId="380"/>
    <tableColumn id="16" xr3:uid="{C2F66175-2261-449C-87C3-4EA78DDF9E42}" name="2009-10" dataDxfId="379"/>
    <tableColumn id="17" xr3:uid="{722547B0-B215-4837-BA52-21187617BB33}" name="2010-11" dataDxfId="378"/>
    <tableColumn id="18" xr3:uid="{3419654F-F13F-4423-B8B8-60C5A7600B56}" name="2011-12" dataDxfId="377"/>
    <tableColumn id="19" xr3:uid="{C1DF8715-7B3D-4A2C-901C-6E06F189443F}" name="2012-13" dataDxfId="376"/>
    <tableColumn id="20" xr3:uid="{2829FCE3-89E1-4B9E-BC4B-42CA9C4F6CC7}" name="2013-14" dataDxfId="375"/>
    <tableColumn id="21" xr3:uid="{6B32FD4B-4739-427C-894E-C3D86A2F2564}" name="2014-15" dataDxfId="374"/>
    <tableColumn id="22" xr3:uid="{74F72FE2-F0E7-454B-B68F-E67B9E6A0160}" name="2015-16" dataDxfId="373"/>
    <tableColumn id="23" xr3:uid="{5D930B2B-CE2B-4526-B7A3-5B1697BC25A4}" name="2016-17" dataDxfId="372"/>
    <tableColumn id="24" xr3:uid="{DE52AA90-A20F-4150-8490-0F6E0DB664D2}" name="2017-18" dataDxfId="371"/>
    <tableColumn id="25" xr3:uid="{C33B2154-DFEB-4CF5-9468-7B881FD074AA}" name="2018-19" dataDxfId="370"/>
    <tableColumn id="26" xr3:uid="{2C272048-29AB-4D62-BD09-82A5F48B4595}" name="2019-20" dataDxfId="369"/>
    <tableColumn id="27" xr3:uid="{324AF6FA-8B25-4A1C-B75A-66C9050A7BBA}" name="2020-21" dataDxfId="368"/>
    <tableColumn id="28" xr3:uid="{7AC3AAE4-B04C-48A0-8036-688713943C2D}" name="2021-22" dataDxfId="367"/>
    <tableColumn id="43" xr3:uid="{E4C53883-6B48-47C3-94B9-CA6C8871B424}" name="2022-23" dataDxfId="366"/>
    <tableColumn id="29" xr3:uid="{68040941-5C7B-4CCA-9496-5C716E9DE708}" name="2023-24" dataDxfId="365"/>
    <tableColumn id="30" xr3:uid="{82758174-5C8A-478E-BEDC-36FAA2EEB8F5}" name="2024-25" dataDxfId="364"/>
    <tableColumn id="31" xr3:uid="{912896B4-4A15-4760-B182-707021AAD475}" name="2025-26" dataDxfId="363"/>
    <tableColumn id="32" xr3:uid="{AD9378FE-A557-4B84-A870-B49440E4F936}" name="2026-27" dataDxfId="362"/>
    <tableColumn id="33" xr3:uid="{AA179E45-5814-4698-B1BA-8D8A78A15059}" name="2027-28" dataDxfId="361"/>
    <tableColumn id="44" xr3:uid="{9ADDE30C-FFA7-4508-AB0A-F74DB67508DB}" name="2028-29" dataDxfId="360" dataCellStyle="Normal 2"/>
    <tableColumn id="34" xr3:uid="{3CCCF92E-EDE0-4CB1-8DB0-63D979451A0B}" name="Allocation method" dataDxfId="359"/>
    <tableColumn id="35" xr3:uid="{C9506759-5341-4815-823A-E192EF746E3D}" name="Socio-Economic Objective" dataDxfId="358"/>
    <tableColumn id="36" xr3:uid="{EAC5EC2E-5232-4B80-B80B-4B2CABE860E8}" name="Sector" dataDxfId="357"/>
    <tableColumn id="48" xr3:uid="{D9CA157F-4430-43DD-82EB-2B252610187F}" name="Transitioning to a net zero future" dataDxfId="356" dataCellStyle="Normal 2"/>
    <tableColumn id="47" xr3:uid="{6041CBFD-82EE-4686-B7ED-F558EAAD9C01}" name="Supporting healthy and thriving communities" dataDxfId="355" dataCellStyle="Normal 2"/>
    <tableColumn id="46" xr3:uid="{EA651EB4-227E-46E8-9E28-169DA7D45F61}" name="Elevating Aboriginal and Torres Strait Islander knowledge systems" dataDxfId="354" dataCellStyle="Normal 2"/>
    <tableColumn id="45" xr3:uid="{164F5CC5-147D-493F-AA3A-79F0C0B9F33D}" name="Protecting and restoring Australia's environment" dataDxfId="353" dataCellStyle="Normal 2"/>
    <tableColumn id="1" xr3:uid="{F2F497C6-5EB4-43E8-A9AC-A31C9789C25A}" name="Building a secure and resilient nation" dataDxfId="352" dataCellStyle="Normal 2"/>
    <tableColumn id="37" xr3:uid="{E3912819-ABC0-4C64-94CB-C431535C7C0E}" name="Other research area" dataDxfId="351"/>
    <tableColumn id="38" xr3:uid="{93A962A7-5D8D-40DF-96F6-D63491B5D4B6}" name="Appropriation" dataDxfId="350"/>
    <tableColumn id="39" xr3:uid="{D67B7204-357D-47D8-92EE-7C1A5B0D70B9}" name="About" dataDxfId="349"/>
    <tableColumn id="40" xr3:uid="{33471549-4404-4B80-AAF8-36BE126F2EB2}" name="Notes" dataDxfId="348"/>
    <tableColumn id="41" xr3:uid="{561FF750-CD94-406F-BB38-D6612C5E8C9D}" name="Group1" dataDxfId="347"/>
    <tableColumn id="42" xr3:uid="{B18F5C92-4967-4618-9004-1B53FC4FFCB3}" name="Group2" dataDxfId="346"/>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32CD05-24C0-45F2-9288-FCEE02ED1DD6}" name="KTandC" displayName="KTandC" ref="A4:Q143" totalsRowShown="0" headerRowDxfId="345" headerRowBorderDxfId="344" tableBorderDxfId="343">
  <autoFilter ref="A4:Q143" xr:uid="{68498FD4-18F3-435D-A7C2-67261B8F3CEB}"/>
  <sortState xmlns:xlrd2="http://schemas.microsoft.com/office/spreadsheetml/2017/richdata2" ref="A5:Q143">
    <sortCondition ref="A4:A143"/>
    <sortCondition ref="B4:B143"/>
  </sortState>
  <tableColumns count="17">
    <tableColumn id="2" xr3:uid="{2500415C-19AB-4299-8CA8-6DDCE8A1B33C}" name="Portfolio/Agency" dataDxfId="342"/>
    <tableColumn id="3" xr3:uid="{087EDE91-392A-48B2-9E1F-26289ECBBCE3}" name="Program or program element" dataDxfId="341"/>
    <tableColumn id="4" xr3:uid="{EFDC6553-2043-4335-8A85-94C7FBDD9F18}" name="Strategic coordination and direction setting" dataDxfId="340"/>
    <tableColumn id="5" xr3:uid="{5AB69453-A540-4768-9CFD-EE0452F15829}" name="Physical precinct creation, enhancement, and expansion" dataDxfId="339"/>
    <tableColumn id="6" xr3:uid="{851EC41B-13D6-415B-B9DA-39D5BAB6B9AC}" name="Supports research infrastructure" dataDxfId="338"/>
    <tableColumn id="7" xr3:uid="{9880CE19-8D62-4A29-823D-B7EF6DB7C9CC}" name="Supports research training" dataDxfId="337"/>
    <tableColumn id="8" xr3:uid="{906F0AE7-2061-48F7-9648-3C6C5B76D000}" name="Encourages PFROs to engage with businesses and other end-users" dataDxfId="336"/>
    <tableColumn id="9" xr3:uid="{2FCBB80B-386A-46E9-95AD-D0AFE5C28854}" name="Encourages businesses and other end-users to engage with PFROs" dataDxfId="335"/>
    <tableColumn id="10" xr3:uid="{3AAC9B82-85C8-46BA-A820-B241CDFED43C}" name="Supports introduction of products, processes or services to market" dataDxfId="334"/>
    <tableColumn id="11" xr3:uid="{53A847C0-907A-41A5-ACC1-AB53AB6A8454}" name="Supports incubators and accelerators" dataDxfId="333"/>
    <tableColumn id="12" xr3:uid="{F672C9E3-7EAD-4EA2-84C0-65813EA4F59B}" name="Supports start-ups" dataDxfId="332"/>
    <tableColumn id="13" xr3:uid="{8ABD20EE-F435-458B-8F8B-0094A09E1574}" name="Supports exports" dataDxfId="331"/>
    <tableColumn id="14" xr3:uid="{B680F2D2-E8C7-4157-9079-77E4610C8085}" name="Other" dataDxfId="330"/>
    <tableColumn id="15" xr3:uid="{53C678B2-912F-46FE-A9BC-55EE51D5F65D}" name="Sum per element" dataDxfId="329">
      <calculatedColumnFormula>SUM(KTandC[[#This Row],[Strategic coordination and direction setting]:[Other]])</calculatedColumnFormula>
    </tableColumn>
    <tableColumn id="16" xr3:uid="{AD7D226E-65C6-4B84-BDC6-3C695305B26F}" name="Description of how program/activity supports knowledge transfer and/or commercialisation" dataDxfId="328"/>
    <tableColumn id="17" xr3:uid="{8F369EE5-56B8-4472-BCE0-662785976F00}" name="Grouping" dataDxfId="327"/>
    <tableColumn id="18" xr3:uid="{5AAAC441-CEDF-47EF-A00A-A83ACA52689A}" name="Notes" dataDxfId="326"/>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637FBD9-9115-4A6C-AA65-0D69D992B68D}" name="AGOR" displayName="AGOR" ref="A4:E1321" totalsRowShown="0" headerRowDxfId="325" headerRowBorderDxfId="324" tableBorderDxfId="323">
  <autoFilter ref="A4:E1321" xr:uid="{5AC234A1-0F39-4B45-A7F9-C595DECB2B9C}"/>
  <sortState xmlns:xlrd2="http://schemas.microsoft.com/office/spreadsheetml/2017/richdata2" ref="A815:E905">
    <sortCondition ref="A4:A1321"/>
  </sortState>
  <tableColumns count="5">
    <tableColumn id="1" xr3:uid="{C817CC19-234D-4CB0-BACD-9D771AADBC89}" name="Portfolio" dataDxfId="322" dataCellStyle="Normal 113"/>
    <tableColumn id="2" xr3:uid="{66FCCE6C-48EE-4337-AB4B-EF790B7F5ADE}" name="Title" dataDxfId="321" dataCellStyle="Normal 113"/>
    <tableColumn id="3" xr3:uid="{D883DF2B-E876-470A-A204-B7A875751337}" name="R&amp;D active_x000a__x000a_Does this body undertake R&amp;D as an essential and ongoing element of its core business?_x000a__x000a_" dataDxfId="320" dataCellStyle="Normal 113"/>
    <tableColumn id="4" xr3:uid="{0FD20363-4C91-4551-B848-281A801D2890}" name="Research engaged_x000a__x000a_Does this body employ or engage with scientists and researchers as an essential and ongoing element of its core business?_x000a__x000a_" dataDxfId="319" dataCellStyle="Normal 113"/>
    <tableColumn id="5" xr3:uid="{68D3AC00-D5C7-48EB-971E-34B701780A64}" name="SRI-enabler_x000a__x000a_Does this body enable science, research and/or innovation as an essential and ongoing element of its core business?_x000a_" dataDxfId="318" dataCellStyle="Normal 113"/>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oecd.org/publications/frascati-manual-2015-9789264239012-en.htm" TargetMode="External"/><Relationship Id="rId13" Type="http://schemas.openxmlformats.org/officeDocument/2006/relationships/hyperlink" Target="https://www.industry.gov.au/publications/science-research-and-innovation-sri-budget-tables" TargetMode="External"/><Relationship Id="rId18" Type="http://schemas.openxmlformats.org/officeDocument/2006/relationships/printerSettings" Target="../printerSettings/printerSettings8.bin"/><Relationship Id="rId3" Type="http://schemas.openxmlformats.org/officeDocument/2006/relationships/hyperlink" Target="file:///\\prod.protected.ind\sciencecommercialisationpolicy\programmesprojectstaskforces\scienceresearchandinnovationbudgettables\budgettables\docs\2019-20_SRIBT_Data_Collection_Spreadsheet.xlsx" TargetMode="External"/><Relationship Id="rId7" Type="http://schemas.openxmlformats.org/officeDocument/2006/relationships/hyperlink" Target="https://www.finance.gov.au/government/managing-commonwealth-resources/structure-australian-government-public-sector/australian-government-organisations-register/agor-quarterly-report" TargetMode="External"/><Relationship Id="rId12" Type="http://schemas.openxmlformats.org/officeDocument/2006/relationships/hyperlink" Target="https://sciencecouncil.org/about-science/our-definition-of-science/" TargetMode="External"/><Relationship Id="rId17" Type="http://schemas.openxmlformats.org/officeDocument/2006/relationships/hyperlink" Target="https://www.industry.gov.au/sites/default/files/2024-08/australias-national-science-and-research-priorities-2024.pdf" TargetMode="External"/><Relationship Id="rId2" Type="http://schemas.openxmlformats.org/officeDocument/2006/relationships/hyperlink" Target="file:///\\prod.protected.ind\sciencecommercialisationpolicy\programmesprojectstaskforces\scienceresearchandinnovationbudgettables\budgettables\docs\2019-20_SRIBT_Data_Collection_Spreadsheet.xlsx" TargetMode="External"/><Relationship Id="rId16" Type="http://schemas.openxmlformats.org/officeDocument/2006/relationships/hyperlink" Target="https://www.industry.gov.au/publications/national-science-and-research-priorities-2024" TargetMode="External"/><Relationship Id="rId1" Type="http://schemas.openxmlformats.org/officeDocument/2006/relationships/hyperlink" Target="https://sciencecouncil.org/about-science/our-definition-of-science/" TargetMode="External"/><Relationship Id="rId6" Type="http://schemas.openxmlformats.org/officeDocument/2006/relationships/hyperlink" Target="https://www.oecd.org/publications/frascati-manual-2015-9789264239012-en.htm" TargetMode="External"/><Relationship Id="rId11" Type="http://schemas.openxmlformats.org/officeDocument/2006/relationships/hyperlink" Target="https://www.oecd.org/publications/frascati-manual-2015-9789264239012-en.htm" TargetMode="External"/><Relationship Id="rId5" Type="http://schemas.openxmlformats.org/officeDocument/2006/relationships/hyperlink" Target="https://www.finance.gov.au/publications/resource-management-guides/guide-appropriations-rmg-100" TargetMode="External"/><Relationship Id="rId15" Type="http://schemas.openxmlformats.org/officeDocument/2006/relationships/hyperlink" Target="https://www.oecd.org/en/publications/commercialising-public-research-new-trends-and-strategies_9789264193321-en.html" TargetMode="External"/><Relationship Id="rId10" Type="http://schemas.openxmlformats.org/officeDocument/2006/relationships/hyperlink" Target="https://www.industry.gov.au/data-and-publications/performance-review-of-the-australian-innovation-science-and-research-system-2016" TargetMode="External"/><Relationship Id="rId19" Type="http://schemas.openxmlformats.org/officeDocument/2006/relationships/drawing" Target="../drawings/drawing4.xml"/><Relationship Id="rId4" Type="http://schemas.openxmlformats.org/officeDocument/2006/relationships/hyperlink" Target="http://www.oecd.org/publications/frascati-manual-2015-9789264239012-en.htm" TargetMode="External"/><Relationship Id="rId9" Type="http://schemas.openxmlformats.org/officeDocument/2006/relationships/hyperlink" Target="https://www.oecd.org/science/oslo-manual-2018-9789264304604-en.htm" TargetMode="External"/><Relationship Id="rId14" Type="http://schemas.openxmlformats.org/officeDocument/2006/relationships/hyperlink" Target="https://www.oecd.org/en/publications/commercialising-public-research-new-trends-and-strategies_9789264193321-en.html"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abs.gov.au/statistics/economy/national-accounts/australian-national-accounts-national-income-expenditure-and-product/latest-release" TargetMode="External"/><Relationship Id="rId13" Type="http://schemas.openxmlformats.org/officeDocument/2006/relationships/hyperlink" Target="https://www.finance.gov.au/publications/resource-management-guides/guide-appropriations-rmg-100" TargetMode="External"/><Relationship Id="rId18" Type="http://schemas.openxmlformats.org/officeDocument/2006/relationships/hyperlink" Target="https://budget.gov.au/content/bp1/download/bp1_bs-2.docx" TargetMode="External"/><Relationship Id="rId3" Type="http://schemas.openxmlformats.org/officeDocument/2006/relationships/hyperlink" Target="https://www.abs.gov.au/statistics/industry/technology-and-innovation/research-and-experimental-development-higher-education-organisations-australia/latest-release" TargetMode="External"/><Relationship Id="rId7" Type="http://schemas.openxmlformats.org/officeDocument/2006/relationships/hyperlink" Target="https://www.abs.gov.au/statistics/industry/technology-and-innovation/research-and-experimental-development-businesses-australia/latest-release" TargetMode="External"/><Relationship Id="rId12" Type="http://schemas.openxmlformats.org/officeDocument/2006/relationships/hyperlink" Target="https://www.finance.gov.au/government/managing-commonwealth-resources/structure-australian-government-public-sector/australian-government-organisations-register/agor-quarterly-report" TargetMode="External"/><Relationship Id="rId17" Type="http://schemas.openxmlformats.org/officeDocument/2006/relationships/hyperlink" Target="https://data.gov.au/data/dataset/budget-2025-2026-and-portfolio-budget-statements-pbs-tables-and-data" TargetMode="External"/><Relationship Id="rId2" Type="http://schemas.openxmlformats.org/officeDocument/2006/relationships/hyperlink" Target="http://www.oecd.org/sti/inno/Frascati-Manual.htm" TargetMode="External"/><Relationship Id="rId16" Type="http://schemas.openxmlformats.org/officeDocument/2006/relationships/hyperlink" Target="https://www.pc.gov.au/inquiries/completed/rural-research/report/rural-research.pdf" TargetMode="External"/><Relationship Id="rId1" Type="http://schemas.openxmlformats.org/officeDocument/2006/relationships/hyperlink" Target="mailto:SRIBudgetTables@industry.gov.au" TargetMode="External"/><Relationship Id="rId6" Type="http://schemas.openxmlformats.org/officeDocument/2006/relationships/hyperlink" Target="http://www.abs.gov.au/AUSSTATS/abs@.nsf/DetailsPage/1297.02008?OpenDocument" TargetMode="External"/><Relationship Id="rId11" Type="http://schemas.openxmlformats.org/officeDocument/2006/relationships/hyperlink" Target="https://unstats.un.org/unsd/nationalaccount/docs/SNA2008.pdf" TargetMode="External"/><Relationship Id="rId5" Type="http://schemas.openxmlformats.org/officeDocument/2006/relationships/hyperlink" Target="https://www.abs.gov.au/statistics/industry/technology-and-innovation/research-and-experimental-development-businesses-australia/latest-release" TargetMode="External"/><Relationship Id="rId15" Type="http://schemas.openxmlformats.org/officeDocument/2006/relationships/hyperlink" Target="http://www.oecd.org/sti/msti.htm" TargetMode="External"/><Relationship Id="rId10" Type="http://schemas.openxmlformats.org/officeDocument/2006/relationships/hyperlink" Target="https://www.abs.gov.au/statistics/economy/national-accounts/australian-system-national-accounts/latest-release" TargetMode="External"/><Relationship Id="rId19" Type="http://schemas.openxmlformats.org/officeDocument/2006/relationships/printerSettings" Target="../printerSettings/printerSettings9.bin"/><Relationship Id="rId4" Type="http://schemas.openxmlformats.org/officeDocument/2006/relationships/hyperlink" Target="https://www.abs.gov.au/statistics/industry/technology-and-innovation/research-and-experimental-development-higher-education-organisations-australia/latest-release" TargetMode="External"/><Relationship Id="rId9" Type="http://schemas.openxmlformats.org/officeDocument/2006/relationships/hyperlink" Target="https://web-archive.oecd.org/2015-10-02/374062-Frascati-Annex-R-DDeflators-and-Currency-Converters.pdf" TargetMode="External"/><Relationship Id="rId14" Type="http://schemas.openxmlformats.org/officeDocument/2006/relationships/hyperlink" Target="https://www.abs.gov.au/statistics/detailed-methodology-information/concepts-sources-methods/australian-system-national-accounts-concepts-sources-and-methods/2020-21"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creativecommons.org/licenses/by/4.0/legalcode" TargetMode="External"/><Relationship Id="rId1" Type="http://schemas.openxmlformats.org/officeDocument/2006/relationships/hyperlink" Target="https://creativecommons.org/licenses/by/4.0/"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ndustry.gov.au/data-and-publications/science-research-and-innovation-sri-budget-tables"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6.bin"/><Relationship Id="rId1" Type="http://schemas.openxmlformats.org/officeDocument/2006/relationships/hyperlink" Target="https://www.csiro.au/en/about/challenges-missions/aquawatch"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7.bin"/><Relationship Id="rId1" Type="http://schemas.openxmlformats.org/officeDocument/2006/relationships/hyperlink" Target="https://www.finance.gov.au/government/managing-commonwealth-resources/structure-australian-government-public-sector/australian-government-organisations-register/agor-quarterly-report"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budget.gov.au/content/bp1/download/bp1_bs-2.pdf" TargetMode="External"/><Relationship Id="rId2" Type="http://schemas.openxmlformats.org/officeDocument/2006/relationships/hyperlink" Target="https://www.abs.gov.au/statistics/economy/national-accounts/australian-system-national-accounts/latest-release" TargetMode="External"/><Relationship Id="rId1" Type="http://schemas.openxmlformats.org/officeDocument/2006/relationships/hyperlink" Target="https://www.abs.gov.au/statistics/economy/national-accounts/australian-system-national-accounts/latest-release" TargetMode="External"/><Relationship Id="rId6" Type="http://schemas.openxmlformats.org/officeDocument/2006/relationships/drawing" Target="../drawings/drawing3.xml"/><Relationship Id="rId5" Type="http://schemas.openxmlformats.org/officeDocument/2006/relationships/hyperlink" Target="https://budget.gov.au/content/bp1/download/bp1_bs-2.pdf" TargetMode="External"/><Relationship Id="rId4" Type="http://schemas.openxmlformats.org/officeDocument/2006/relationships/hyperlink" Target="https://budget.gov.au/content/bp1/download/bp1_bs-1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DE638-0C9A-48AA-AFF6-7AEC0DC47DAB}">
  <sheetPr>
    <tabColor rgb="FF005677"/>
  </sheetPr>
  <dimension ref="A1:XEN27"/>
  <sheetViews>
    <sheetView showGridLines="0" tabSelected="1" zoomScale="90" zoomScaleNormal="90" workbookViewId="0"/>
  </sheetViews>
  <sheetFormatPr defaultColWidth="0" defaultRowHeight="0" customHeight="1" zeroHeight="1"/>
  <cols>
    <col min="1" max="1" width="4" style="224" customWidth="1"/>
    <col min="2" max="2" width="2.7109375" style="224" customWidth="1"/>
    <col min="3" max="4" width="3.7109375" style="224" customWidth="1"/>
    <col min="5" max="5" width="1.7109375" style="224" customWidth="1"/>
    <col min="6" max="18" width="3.7109375" style="224" customWidth="1"/>
    <col min="19" max="19" width="1.7109375" style="224" customWidth="1"/>
    <col min="20" max="21" width="3.7109375" style="224" customWidth="1"/>
    <col min="22" max="22" width="1.85546875" style="224" customWidth="1"/>
    <col min="23" max="32" width="3.7109375" style="224" customWidth="1"/>
    <col min="33" max="33" width="2.28515625" style="224" customWidth="1"/>
    <col min="34" max="34" width="1.85546875" style="224" customWidth="1"/>
    <col min="35" max="43" width="3.7109375" style="224" customWidth="1"/>
    <col min="44" max="44" width="5.5703125" style="224" customWidth="1"/>
    <col min="45" max="45" width="2" style="224" customWidth="1"/>
    <col min="46" max="46" width="3.7109375" style="224" customWidth="1"/>
    <col min="47" max="47" width="1.5703125" style="224" customWidth="1"/>
    <col min="48" max="49" width="3.7109375" style="224" customWidth="1"/>
    <col min="50" max="16368" width="0" style="224" hidden="1"/>
    <col min="16369" max="16384" width="3.140625" style="224" hidden="1"/>
  </cols>
  <sheetData>
    <row r="1" spans="1:62" ht="12" customHeight="1"/>
    <row r="2" spans="1:62" ht="97.5" customHeight="1">
      <c r="A2" s="338"/>
      <c r="B2" s="338" t="s">
        <v>0</v>
      </c>
      <c r="C2" s="261"/>
      <c r="D2" s="261"/>
      <c r="E2" s="261"/>
      <c r="F2" s="261"/>
      <c r="G2" s="261"/>
      <c r="H2" s="261"/>
      <c r="I2" s="261"/>
      <c r="J2" s="261"/>
      <c r="K2" s="261"/>
      <c r="L2" s="261"/>
      <c r="M2" s="997"/>
      <c r="N2" s="997"/>
      <c r="O2" s="997"/>
      <c r="P2" s="997"/>
      <c r="Q2" s="997"/>
      <c r="R2" s="997"/>
      <c r="S2" s="997"/>
      <c r="T2" s="997"/>
      <c r="U2" s="997"/>
      <c r="V2" s="997"/>
      <c r="W2" s="997"/>
      <c r="X2" s="997"/>
      <c r="Y2" s="997"/>
      <c r="Z2" s="997"/>
      <c r="AA2" s="997"/>
      <c r="AB2" s="997"/>
      <c r="AC2" s="997"/>
      <c r="AD2" s="997"/>
      <c r="AE2" s="997"/>
      <c r="AF2" s="997"/>
      <c r="AG2" s="997"/>
      <c r="AH2" s="997"/>
      <c r="AI2" s="997"/>
      <c r="AJ2" s="997"/>
      <c r="AK2" s="997"/>
      <c r="AL2" s="997"/>
      <c r="AM2" s="997"/>
      <c r="AN2" s="997"/>
      <c r="AO2" s="997"/>
      <c r="AP2" s="997"/>
      <c r="AQ2" s="997"/>
      <c r="AR2" s="997"/>
      <c r="AS2" s="339"/>
      <c r="AT2" s="339"/>
      <c r="AU2" s="339"/>
      <c r="AV2" s="338"/>
      <c r="AW2" s="338"/>
    </row>
    <row r="3" spans="1:62" ht="12" customHeight="1">
      <c r="C3" s="261"/>
      <c r="D3" s="261"/>
      <c r="E3" s="261"/>
      <c r="F3" s="261"/>
      <c r="G3" s="261"/>
      <c r="H3" s="261"/>
      <c r="I3" s="261"/>
      <c r="J3" s="261"/>
      <c r="K3" s="261"/>
      <c r="L3" s="261"/>
      <c r="M3" s="340"/>
      <c r="N3" s="341"/>
      <c r="O3" s="341"/>
      <c r="P3" s="341"/>
      <c r="Q3" s="341"/>
      <c r="R3" s="341"/>
      <c r="S3" s="341"/>
      <c r="T3" s="341"/>
      <c r="U3" s="341"/>
      <c r="V3" s="341"/>
      <c r="W3" s="341"/>
      <c r="X3" s="341"/>
      <c r="Y3" s="341"/>
      <c r="Z3" s="341"/>
      <c r="AA3" s="341"/>
      <c r="AB3" s="341"/>
      <c r="AC3" s="341"/>
      <c r="AD3" s="341"/>
      <c r="AE3" s="341"/>
      <c r="AF3" s="341"/>
      <c r="AG3" s="341"/>
      <c r="AH3" s="341"/>
      <c r="AI3" s="341"/>
      <c r="AJ3" s="341"/>
      <c r="AK3" s="341"/>
      <c r="AL3" s="341"/>
      <c r="AM3" s="341"/>
      <c r="AN3" s="341"/>
      <c r="AO3" s="341"/>
      <c r="AP3" s="341"/>
      <c r="AQ3" s="341"/>
      <c r="AR3" s="341"/>
      <c r="AS3" s="341"/>
      <c r="AT3" s="341"/>
      <c r="AU3" s="341"/>
    </row>
    <row r="4" spans="1:62" ht="14.25" customHeight="1">
      <c r="A4" s="998"/>
      <c r="B4" s="998"/>
      <c r="C4" s="998"/>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c r="AR4" s="998"/>
      <c r="AS4" s="998"/>
      <c r="AT4" s="998"/>
      <c r="AU4" s="998"/>
      <c r="AV4" s="998"/>
      <c r="AW4" s="998"/>
    </row>
    <row r="5" spans="1:62" s="338" customFormat="1" ht="30.75" customHeight="1">
      <c r="A5" s="342"/>
      <c r="B5" s="343"/>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row>
    <row r="6" spans="1:62" s="999" customFormat="1" ht="9" customHeight="1"/>
    <row r="7" spans="1:62" s="344" customFormat="1" ht="37.5" customHeight="1">
      <c r="B7" s="345"/>
      <c r="C7" s="1000" t="s">
        <v>1</v>
      </c>
      <c r="D7" s="1000"/>
      <c r="E7" s="1000"/>
      <c r="F7" s="1000"/>
      <c r="G7" s="1000"/>
      <c r="H7" s="1000"/>
      <c r="I7" s="1000"/>
      <c r="J7" s="1000"/>
      <c r="K7" s="1000"/>
      <c r="L7" s="1000"/>
      <c r="M7" s="1000"/>
      <c r="N7" s="1000"/>
      <c r="O7" s="1000"/>
      <c r="Q7" s="345"/>
      <c r="R7" s="1001" t="s">
        <v>2</v>
      </c>
      <c r="S7" s="1001"/>
      <c r="T7" s="1001"/>
      <c r="U7" s="1001"/>
      <c r="V7" s="1001"/>
      <c r="W7" s="1001"/>
      <c r="X7" s="1001"/>
      <c r="Y7" s="1001"/>
      <c r="Z7" s="1001"/>
      <c r="AA7" s="1001"/>
      <c r="AB7" s="1001"/>
      <c r="AC7" s="1001"/>
      <c r="AD7" s="1001"/>
      <c r="AE7" s="1001"/>
      <c r="AF7" s="346"/>
      <c r="AI7" s="1002" t="s">
        <v>3</v>
      </c>
      <c r="AJ7" s="1002"/>
      <c r="AK7" s="1002"/>
      <c r="AL7" s="1002"/>
      <c r="AM7" s="1002"/>
      <c r="AN7" s="1002"/>
      <c r="AO7" s="1002"/>
      <c r="AP7" s="1002"/>
      <c r="AQ7" s="1002"/>
      <c r="AR7" s="1002"/>
      <c r="AS7" s="1002"/>
      <c r="AT7" s="1002"/>
      <c r="AU7" s="1002"/>
    </row>
    <row r="8" spans="1:62" s="348" customFormat="1" ht="9" customHeight="1">
      <c r="A8" s="224"/>
      <c r="B8" s="224"/>
      <c r="C8" s="224"/>
      <c r="D8" s="224"/>
      <c r="E8" s="347"/>
      <c r="F8" s="347"/>
      <c r="G8" s="347"/>
      <c r="H8" s="347"/>
      <c r="I8" s="347"/>
      <c r="J8" s="347"/>
      <c r="K8" s="347"/>
      <c r="L8" s="347"/>
      <c r="M8" s="347"/>
      <c r="N8" s="347"/>
      <c r="O8" s="347"/>
      <c r="P8" s="347"/>
      <c r="Q8" s="218"/>
      <c r="R8" s="996"/>
      <c r="S8" s="996"/>
      <c r="T8" s="996"/>
      <c r="U8" s="996"/>
      <c r="V8" s="996"/>
      <c r="W8" s="996"/>
      <c r="X8" s="996"/>
      <c r="Y8" s="996"/>
      <c r="Z8" s="996"/>
      <c r="AA8" s="996"/>
      <c r="AB8" s="996"/>
      <c r="AC8" s="996"/>
      <c r="AD8" s="996"/>
      <c r="AE8" s="996"/>
      <c r="AF8" s="346"/>
      <c r="AG8" s="224"/>
      <c r="AH8" s="224"/>
      <c r="AI8" s="996"/>
      <c r="AJ8" s="996"/>
      <c r="AK8" s="996"/>
      <c r="AL8" s="996"/>
      <c r="AM8" s="996"/>
      <c r="AN8" s="996"/>
      <c r="AO8" s="996"/>
      <c r="AP8" s="996"/>
      <c r="AQ8" s="996"/>
      <c r="AR8" s="996"/>
      <c r="AS8" s="996"/>
      <c r="AT8" s="996"/>
      <c r="AU8" s="996"/>
      <c r="AV8" s="218"/>
      <c r="AW8" s="218"/>
      <c r="AX8" s="218"/>
      <c r="AY8" s="344"/>
      <c r="AZ8" s="344"/>
      <c r="BA8" s="344"/>
      <c r="BB8" s="344"/>
      <c r="BC8" s="344"/>
      <c r="BD8" s="344"/>
      <c r="BE8" s="344"/>
      <c r="BF8" s="344"/>
      <c r="BG8" s="344"/>
      <c r="BH8" s="344"/>
      <c r="BI8" s="344"/>
      <c r="BJ8" s="218"/>
    </row>
    <row r="9" spans="1:62" s="348" customFormat="1" ht="14.25" customHeight="1">
      <c r="A9" s="224"/>
      <c r="B9" s="224"/>
      <c r="C9" s="224"/>
      <c r="D9" s="224"/>
      <c r="E9" s="347"/>
      <c r="F9" s="347"/>
      <c r="G9" s="347"/>
      <c r="H9" s="347"/>
      <c r="I9" s="347"/>
      <c r="J9" s="347"/>
      <c r="K9" s="347"/>
      <c r="L9" s="347"/>
      <c r="M9" s="347"/>
      <c r="N9" s="347"/>
      <c r="O9" s="347"/>
      <c r="P9" s="347"/>
      <c r="Q9" s="218"/>
      <c r="R9" s="996"/>
      <c r="S9" s="996"/>
      <c r="T9" s="996"/>
      <c r="U9" s="996"/>
      <c r="V9" s="996"/>
      <c r="W9" s="996"/>
      <c r="X9" s="996"/>
      <c r="Y9" s="996"/>
      <c r="Z9" s="996"/>
      <c r="AA9" s="996"/>
      <c r="AB9" s="996"/>
      <c r="AC9" s="996"/>
      <c r="AD9" s="996"/>
      <c r="AE9" s="996"/>
      <c r="AF9" s="346"/>
      <c r="AG9" s="224"/>
      <c r="AH9" s="224"/>
      <c r="AI9" s="996"/>
      <c r="AJ9" s="996"/>
      <c r="AK9" s="996"/>
      <c r="AL9" s="996"/>
      <c r="AM9" s="996"/>
      <c r="AN9" s="996"/>
      <c r="AO9" s="996"/>
      <c r="AP9" s="996"/>
      <c r="AQ9" s="996"/>
      <c r="AR9" s="996"/>
      <c r="AS9" s="996"/>
      <c r="AT9" s="996"/>
      <c r="AU9" s="996"/>
      <c r="AV9" s="218"/>
      <c r="AW9" s="218"/>
      <c r="AX9" s="218"/>
      <c r="AY9" s="344"/>
      <c r="AZ9" s="344"/>
      <c r="BA9" s="344"/>
      <c r="BB9" s="344"/>
      <c r="BC9" s="344"/>
      <c r="BD9" s="344"/>
      <c r="BE9" s="344"/>
      <c r="BF9" s="344"/>
      <c r="BG9" s="344"/>
      <c r="BH9" s="344"/>
      <c r="BI9" s="344"/>
      <c r="BJ9" s="218"/>
    </row>
    <row r="10" spans="1:62" s="348" customFormat="1" ht="14.25" customHeight="1">
      <c r="A10" s="224"/>
      <c r="B10" s="224"/>
      <c r="C10" s="224"/>
      <c r="D10" s="224"/>
      <c r="E10" s="347"/>
      <c r="F10" s="347"/>
      <c r="G10" s="347"/>
      <c r="H10" s="347"/>
      <c r="I10" s="347"/>
      <c r="J10" s="347"/>
      <c r="K10" s="347"/>
      <c r="L10" s="347"/>
      <c r="M10" s="347"/>
      <c r="N10" s="347"/>
      <c r="O10" s="347"/>
      <c r="P10" s="347"/>
      <c r="Q10" s="218"/>
      <c r="R10" s="996"/>
      <c r="S10" s="996"/>
      <c r="T10" s="996"/>
      <c r="U10" s="996"/>
      <c r="V10" s="996"/>
      <c r="W10" s="996"/>
      <c r="X10" s="996"/>
      <c r="Y10" s="996"/>
      <c r="Z10" s="996"/>
      <c r="AA10" s="996"/>
      <c r="AB10" s="996"/>
      <c r="AC10" s="996"/>
      <c r="AD10" s="996"/>
      <c r="AE10" s="996"/>
      <c r="AF10" s="346"/>
      <c r="AG10" s="224"/>
      <c r="AH10" s="224"/>
      <c r="AI10" s="996"/>
      <c r="AJ10" s="996"/>
      <c r="AK10" s="996"/>
      <c r="AL10" s="996"/>
      <c r="AM10" s="996"/>
      <c r="AN10" s="996"/>
      <c r="AO10" s="996"/>
      <c r="AP10" s="996"/>
      <c r="AQ10" s="996"/>
      <c r="AR10" s="996"/>
      <c r="AS10" s="996"/>
      <c r="AT10" s="996"/>
      <c r="AU10" s="996"/>
      <c r="AV10" s="218"/>
      <c r="AW10" s="218"/>
      <c r="AX10" s="218"/>
      <c r="AY10" s="344"/>
      <c r="AZ10" s="344"/>
      <c r="BA10" s="344"/>
      <c r="BB10" s="344"/>
      <c r="BC10" s="344"/>
      <c r="BD10" s="344"/>
      <c r="BE10" s="344"/>
      <c r="BF10" s="344"/>
      <c r="BG10" s="344"/>
      <c r="BH10" s="344"/>
      <c r="BI10" s="344"/>
      <c r="BJ10" s="218"/>
    </row>
    <row r="11" spans="1:62" s="348" customFormat="1" ht="15" customHeight="1">
      <c r="A11" s="224"/>
      <c r="B11" s="218"/>
      <c r="C11" s="218"/>
      <c r="D11" s="218"/>
      <c r="E11" s="347"/>
      <c r="F11" s="347"/>
      <c r="G11" s="347"/>
      <c r="H11" s="347"/>
      <c r="I11" s="347"/>
      <c r="J11" s="347"/>
      <c r="K11" s="347"/>
      <c r="L11" s="347"/>
      <c r="M11" s="347"/>
      <c r="N11" s="347"/>
      <c r="O11" s="347"/>
      <c r="P11" s="347"/>
      <c r="Q11" s="218"/>
      <c r="R11" s="996"/>
      <c r="S11" s="996"/>
      <c r="T11" s="996"/>
      <c r="U11" s="996"/>
      <c r="V11" s="996"/>
      <c r="W11" s="996"/>
      <c r="X11" s="996"/>
      <c r="Y11" s="996"/>
      <c r="Z11" s="996"/>
      <c r="AA11" s="996"/>
      <c r="AB11" s="996"/>
      <c r="AC11" s="996"/>
      <c r="AD11" s="996"/>
      <c r="AE11" s="996"/>
      <c r="AF11" s="346"/>
      <c r="AG11" s="224"/>
      <c r="AH11" s="224"/>
      <c r="AI11" s="996"/>
      <c r="AJ11" s="996"/>
      <c r="AK11" s="996"/>
      <c r="AL11" s="996"/>
      <c r="AM11" s="996"/>
      <c r="AN11" s="996"/>
      <c r="AO11" s="996"/>
      <c r="AP11" s="996"/>
      <c r="AQ11" s="996"/>
      <c r="AR11" s="996"/>
      <c r="AS11" s="996"/>
      <c r="AT11" s="996"/>
      <c r="AU11" s="996"/>
      <c r="AV11" s="218"/>
      <c r="AW11" s="218"/>
      <c r="AX11" s="218"/>
      <c r="AY11" s="344"/>
      <c r="AZ11" s="344"/>
      <c r="BA11" s="344"/>
      <c r="BB11" s="344"/>
      <c r="BC11" s="344"/>
      <c r="BD11" s="344"/>
      <c r="BE11" s="344"/>
      <c r="BF11" s="344"/>
      <c r="BG11" s="344"/>
      <c r="BH11" s="344"/>
      <c r="BI11" s="344"/>
      <c r="BJ11" s="218"/>
    </row>
    <row r="12" spans="1:62" s="348" customFormat="1" ht="14.25" customHeight="1">
      <c r="A12" s="224"/>
      <c r="B12" s="218"/>
      <c r="C12" s="218"/>
      <c r="D12" s="218"/>
      <c r="E12" s="347"/>
      <c r="F12" s="347"/>
      <c r="G12" s="347"/>
      <c r="H12" s="347"/>
      <c r="I12" s="347"/>
      <c r="J12" s="347"/>
      <c r="K12" s="347"/>
      <c r="L12" s="347"/>
      <c r="M12" s="347"/>
      <c r="N12" s="347"/>
      <c r="O12" s="347"/>
      <c r="P12" s="347"/>
      <c r="Q12" s="218"/>
      <c r="R12" s="996"/>
      <c r="S12" s="996"/>
      <c r="T12" s="996"/>
      <c r="U12" s="996"/>
      <c r="V12" s="996"/>
      <c r="W12" s="996"/>
      <c r="X12" s="996"/>
      <c r="Y12" s="996"/>
      <c r="Z12" s="996"/>
      <c r="AA12" s="996"/>
      <c r="AB12" s="996"/>
      <c r="AC12" s="996"/>
      <c r="AD12" s="996"/>
      <c r="AE12" s="996"/>
      <c r="AF12" s="346"/>
      <c r="AG12" s="224"/>
      <c r="AH12" s="224"/>
      <c r="AI12" s="996"/>
      <c r="AJ12" s="996"/>
      <c r="AK12" s="996"/>
      <c r="AL12" s="996"/>
      <c r="AM12" s="996"/>
      <c r="AN12" s="996"/>
      <c r="AO12" s="996"/>
      <c r="AP12" s="996"/>
      <c r="AQ12" s="996"/>
      <c r="AR12" s="996"/>
      <c r="AS12" s="996"/>
      <c r="AT12" s="996"/>
      <c r="AU12" s="996"/>
      <c r="AV12" s="218"/>
      <c r="AW12" s="218"/>
      <c r="AX12" s="218"/>
      <c r="AY12" s="344"/>
      <c r="AZ12" s="344"/>
      <c r="BA12" s="344"/>
      <c r="BB12" s="344"/>
      <c r="BC12" s="344"/>
      <c r="BD12" s="344"/>
      <c r="BE12" s="344"/>
      <c r="BF12" s="344"/>
      <c r="BG12" s="344"/>
      <c r="BH12" s="344"/>
      <c r="BI12" s="344"/>
      <c r="BJ12" s="218"/>
    </row>
    <row r="13" spans="1:62" s="348" customFormat="1" ht="14.25" customHeight="1">
      <c r="A13" s="224"/>
      <c r="B13" s="218"/>
      <c r="C13" s="218"/>
      <c r="D13" s="218"/>
      <c r="E13" s="347"/>
      <c r="F13" s="347"/>
      <c r="G13" s="347"/>
      <c r="H13" s="347"/>
      <c r="I13" s="347"/>
      <c r="J13" s="347"/>
      <c r="K13" s="347"/>
      <c r="L13" s="347"/>
      <c r="M13" s="347"/>
      <c r="N13" s="347"/>
      <c r="O13" s="347"/>
      <c r="P13" s="347"/>
      <c r="Q13" s="218"/>
      <c r="R13" s="996"/>
      <c r="S13" s="996"/>
      <c r="T13" s="996"/>
      <c r="U13" s="996"/>
      <c r="V13" s="996"/>
      <c r="W13" s="996"/>
      <c r="X13" s="996"/>
      <c r="Y13" s="996"/>
      <c r="Z13" s="996"/>
      <c r="AA13" s="996"/>
      <c r="AB13" s="996"/>
      <c r="AC13" s="996"/>
      <c r="AD13" s="996"/>
      <c r="AE13" s="996"/>
      <c r="AF13" s="346"/>
      <c r="AG13" s="224"/>
      <c r="AH13" s="224"/>
      <c r="AI13" s="996"/>
      <c r="AJ13" s="996"/>
      <c r="AK13" s="996"/>
      <c r="AL13" s="996"/>
      <c r="AM13" s="996"/>
      <c r="AN13" s="996"/>
      <c r="AO13" s="996"/>
      <c r="AP13" s="996"/>
      <c r="AQ13" s="996"/>
      <c r="AR13" s="996"/>
      <c r="AS13" s="996"/>
      <c r="AT13" s="996"/>
      <c r="AU13" s="996"/>
      <c r="AV13" s="218"/>
      <c r="AW13" s="218"/>
      <c r="AX13" s="218"/>
      <c r="AY13" s="344"/>
      <c r="AZ13" s="344"/>
      <c r="BA13" s="344"/>
      <c r="BB13" s="344"/>
      <c r="BC13" s="344"/>
      <c r="BD13" s="344"/>
      <c r="BE13" s="344"/>
      <c r="BF13" s="344"/>
      <c r="BG13" s="344"/>
      <c r="BH13" s="344"/>
      <c r="BI13" s="344"/>
      <c r="BJ13" s="218"/>
    </row>
    <row r="14" spans="1:62" s="348" customFormat="1" ht="14.25" customHeight="1">
      <c r="A14" s="224"/>
      <c r="B14" s="218"/>
      <c r="C14" s="218"/>
      <c r="D14" s="218"/>
      <c r="E14" s="347"/>
      <c r="F14" s="347"/>
      <c r="G14" s="347"/>
      <c r="H14" s="347"/>
      <c r="I14" s="347"/>
      <c r="J14" s="347"/>
      <c r="K14" s="347"/>
      <c r="L14" s="347"/>
      <c r="M14" s="347"/>
      <c r="N14" s="347"/>
      <c r="O14" s="347"/>
      <c r="P14" s="347"/>
      <c r="Q14" s="218"/>
      <c r="R14" s="996"/>
      <c r="S14" s="996"/>
      <c r="T14" s="996"/>
      <c r="U14" s="996"/>
      <c r="V14" s="996"/>
      <c r="W14" s="996"/>
      <c r="X14" s="996"/>
      <c r="Y14" s="996"/>
      <c r="Z14" s="996"/>
      <c r="AA14" s="996"/>
      <c r="AB14" s="996"/>
      <c r="AC14" s="996"/>
      <c r="AD14" s="996"/>
      <c r="AE14" s="996"/>
      <c r="AF14" s="346"/>
      <c r="AG14" s="224"/>
      <c r="AH14" s="224"/>
      <c r="AI14" s="996"/>
      <c r="AJ14" s="996"/>
      <c r="AK14" s="996"/>
      <c r="AL14" s="996"/>
      <c r="AM14" s="996"/>
      <c r="AN14" s="996"/>
      <c r="AO14" s="996"/>
      <c r="AP14" s="996"/>
      <c r="AQ14" s="996"/>
      <c r="AR14" s="996"/>
      <c r="AS14" s="996"/>
      <c r="AT14" s="996"/>
      <c r="AU14" s="996"/>
      <c r="AV14" s="218"/>
      <c r="AW14" s="218"/>
      <c r="AX14" s="218"/>
      <c r="AY14" s="344"/>
      <c r="AZ14" s="344"/>
      <c r="BA14" s="344"/>
      <c r="BB14" s="344"/>
      <c r="BC14" s="344"/>
      <c r="BD14" s="344"/>
      <c r="BE14" s="344"/>
      <c r="BF14" s="344"/>
      <c r="BG14" s="344"/>
      <c r="BH14" s="344"/>
      <c r="BI14" s="344"/>
      <c r="BJ14" s="218"/>
    </row>
    <row r="15" spans="1:62" s="348" customFormat="1" ht="14.25" customHeight="1">
      <c r="A15" s="224"/>
      <c r="B15" s="218"/>
      <c r="C15" s="218"/>
      <c r="D15" s="218"/>
      <c r="E15" s="347"/>
      <c r="F15" s="347"/>
      <c r="G15" s="347"/>
      <c r="H15" s="347"/>
      <c r="I15" s="347"/>
      <c r="J15" s="347"/>
      <c r="K15" s="347"/>
      <c r="L15" s="347"/>
      <c r="M15" s="347"/>
      <c r="N15" s="347"/>
      <c r="O15" s="347"/>
      <c r="P15" s="347"/>
      <c r="Q15" s="218"/>
      <c r="R15" s="996"/>
      <c r="S15" s="996"/>
      <c r="T15" s="996"/>
      <c r="U15" s="996"/>
      <c r="V15" s="996"/>
      <c r="W15" s="996"/>
      <c r="X15" s="996"/>
      <c r="Y15" s="996"/>
      <c r="Z15" s="996"/>
      <c r="AA15" s="996"/>
      <c r="AB15" s="996"/>
      <c r="AC15" s="996"/>
      <c r="AD15" s="996"/>
      <c r="AE15" s="996"/>
      <c r="AF15" s="346"/>
      <c r="AG15" s="224"/>
      <c r="AH15" s="224"/>
      <c r="AI15" s="996"/>
      <c r="AJ15" s="996"/>
      <c r="AK15" s="996"/>
      <c r="AL15" s="996"/>
      <c r="AM15" s="996"/>
      <c r="AN15" s="996"/>
      <c r="AO15" s="996"/>
      <c r="AP15" s="996"/>
      <c r="AQ15" s="996"/>
      <c r="AR15" s="996"/>
      <c r="AS15" s="996"/>
      <c r="AT15" s="996"/>
      <c r="AU15" s="996"/>
      <c r="AV15" s="218"/>
      <c r="AW15" s="218"/>
      <c r="AX15" s="218"/>
      <c r="AY15" s="344"/>
      <c r="AZ15" s="344"/>
      <c r="BA15" s="344"/>
      <c r="BB15" s="344"/>
      <c r="BC15" s="344"/>
      <c r="BD15" s="344"/>
      <c r="BE15" s="344"/>
      <c r="BF15" s="344"/>
      <c r="BG15" s="344"/>
      <c r="BH15" s="344"/>
      <c r="BI15" s="344"/>
      <c r="BJ15" s="218"/>
    </row>
    <row r="16" spans="1:62" s="348" customFormat="1" ht="14.25" customHeight="1">
      <c r="A16" s="224"/>
      <c r="B16" s="218"/>
      <c r="C16" s="218"/>
      <c r="D16" s="218"/>
      <c r="E16" s="347"/>
      <c r="F16" s="347"/>
      <c r="G16" s="347"/>
      <c r="H16" s="347"/>
      <c r="I16" s="347"/>
      <c r="J16" s="347"/>
      <c r="K16" s="347"/>
      <c r="L16" s="347"/>
      <c r="M16" s="347"/>
      <c r="N16" s="347"/>
      <c r="O16" s="347"/>
      <c r="P16" s="347"/>
      <c r="Q16" s="218"/>
      <c r="R16" s="996"/>
      <c r="S16" s="996"/>
      <c r="T16" s="996"/>
      <c r="U16" s="996"/>
      <c r="V16" s="996"/>
      <c r="W16" s="996"/>
      <c r="X16" s="996"/>
      <c r="Y16" s="996"/>
      <c r="Z16" s="996"/>
      <c r="AA16" s="996"/>
      <c r="AB16" s="996"/>
      <c r="AC16" s="996"/>
      <c r="AD16" s="996"/>
      <c r="AE16" s="996"/>
      <c r="AF16" s="346"/>
      <c r="AG16" s="224"/>
      <c r="AH16" s="224"/>
      <c r="AI16" s="996"/>
      <c r="AJ16" s="996"/>
      <c r="AK16" s="996"/>
      <c r="AL16" s="996"/>
      <c r="AM16" s="996"/>
      <c r="AN16" s="996"/>
      <c r="AO16" s="996"/>
      <c r="AP16" s="996"/>
      <c r="AQ16" s="996"/>
      <c r="AR16" s="996"/>
      <c r="AS16" s="996"/>
      <c r="AT16" s="996"/>
      <c r="AU16" s="996"/>
      <c r="AV16" s="218"/>
      <c r="AW16" s="218"/>
      <c r="AX16" s="218"/>
      <c r="AY16" s="344"/>
      <c r="AZ16" s="344"/>
      <c r="BA16" s="344"/>
      <c r="BB16" s="344"/>
      <c r="BC16" s="344"/>
      <c r="BD16" s="344"/>
      <c r="BE16" s="344"/>
      <c r="BF16" s="344"/>
      <c r="BG16" s="344"/>
      <c r="BH16" s="344"/>
      <c r="BI16" s="344"/>
      <c r="BJ16" s="218"/>
    </row>
    <row r="17" spans="1:62" s="348" customFormat="1" ht="14.25" customHeight="1">
      <c r="A17" s="224"/>
      <c r="B17" s="218"/>
      <c r="C17" s="218"/>
      <c r="D17" s="218"/>
      <c r="E17" s="347"/>
      <c r="F17" s="347"/>
      <c r="G17" s="347"/>
      <c r="H17" s="347"/>
      <c r="I17" s="347"/>
      <c r="J17" s="347"/>
      <c r="K17" s="347"/>
      <c r="L17" s="347"/>
      <c r="M17" s="347"/>
      <c r="N17" s="347"/>
      <c r="O17" s="347"/>
      <c r="P17" s="347"/>
      <c r="Q17" s="218"/>
      <c r="R17" s="996"/>
      <c r="S17" s="996"/>
      <c r="T17" s="996"/>
      <c r="U17" s="996"/>
      <c r="V17" s="996"/>
      <c r="W17" s="996"/>
      <c r="X17" s="996"/>
      <c r="Y17" s="996"/>
      <c r="Z17" s="996"/>
      <c r="AA17" s="996"/>
      <c r="AB17" s="996"/>
      <c r="AC17" s="996"/>
      <c r="AD17" s="996"/>
      <c r="AE17" s="996"/>
      <c r="AF17" s="346"/>
      <c r="AG17" s="224"/>
      <c r="AH17" s="224"/>
      <c r="AI17" s="996"/>
      <c r="AJ17" s="996"/>
      <c r="AK17" s="996"/>
      <c r="AL17" s="996"/>
      <c r="AM17" s="996"/>
      <c r="AN17" s="996"/>
      <c r="AO17" s="996"/>
      <c r="AP17" s="996"/>
      <c r="AQ17" s="996"/>
      <c r="AR17" s="996"/>
      <c r="AS17" s="996"/>
      <c r="AT17" s="996"/>
      <c r="AU17" s="996"/>
      <c r="AV17" s="218"/>
      <c r="AW17" s="218"/>
      <c r="AX17" s="218"/>
      <c r="AY17" s="344"/>
      <c r="AZ17" s="344"/>
      <c r="BA17" s="344"/>
      <c r="BB17" s="344"/>
      <c r="BC17" s="344"/>
      <c r="BD17" s="344"/>
      <c r="BE17" s="344"/>
      <c r="BF17" s="344"/>
      <c r="BG17" s="344"/>
      <c r="BH17" s="344"/>
      <c r="BI17" s="344"/>
      <c r="BJ17" s="218"/>
    </row>
    <row r="18" spans="1:62" s="348" customFormat="1" ht="14.25" customHeight="1">
      <c r="A18" s="224"/>
      <c r="B18" s="218"/>
      <c r="C18" s="218"/>
      <c r="D18" s="218"/>
      <c r="E18" s="347"/>
      <c r="F18" s="347"/>
      <c r="G18" s="347"/>
      <c r="H18" s="347"/>
      <c r="I18" s="347"/>
      <c r="J18" s="347"/>
      <c r="K18" s="347"/>
      <c r="L18" s="347"/>
      <c r="M18" s="347"/>
      <c r="N18" s="347"/>
      <c r="O18" s="347"/>
      <c r="P18" s="347"/>
      <c r="Q18" s="218"/>
      <c r="R18" s="996"/>
      <c r="S18" s="996"/>
      <c r="T18" s="996"/>
      <c r="U18" s="996"/>
      <c r="V18" s="996"/>
      <c r="W18" s="996"/>
      <c r="X18" s="996"/>
      <c r="Y18" s="996"/>
      <c r="Z18" s="996"/>
      <c r="AA18" s="996"/>
      <c r="AB18" s="996"/>
      <c r="AC18" s="996"/>
      <c r="AD18" s="996"/>
      <c r="AE18" s="996"/>
      <c r="AF18" s="346"/>
      <c r="AG18" s="224"/>
      <c r="AH18" s="224"/>
      <c r="AI18" s="996"/>
      <c r="AJ18" s="996"/>
      <c r="AK18" s="996"/>
      <c r="AL18" s="996"/>
      <c r="AM18" s="996"/>
      <c r="AN18" s="996"/>
      <c r="AO18" s="996"/>
      <c r="AP18" s="996"/>
      <c r="AQ18" s="996"/>
      <c r="AR18" s="996"/>
      <c r="AS18" s="996"/>
      <c r="AT18" s="996"/>
      <c r="AU18" s="996"/>
      <c r="AV18" s="218"/>
      <c r="AW18" s="218"/>
      <c r="AX18" s="218"/>
      <c r="AY18" s="344"/>
      <c r="AZ18" s="344"/>
      <c r="BA18" s="344"/>
      <c r="BB18" s="344"/>
      <c r="BC18" s="344"/>
      <c r="BD18" s="344"/>
      <c r="BE18" s="344"/>
      <c r="BF18" s="344"/>
      <c r="BG18" s="344"/>
      <c r="BH18" s="344"/>
      <c r="BI18" s="344"/>
      <c r="BJ18" s="218"/>
    </row>
    <row r="19" spans="1:62" s="348" customFormat="1" ht="14.25" customHeight="1">
      <c r="A19" s="224"/>
      <c r="B19" s="218"/>
      <c r="C19" s="218"/>
      <c r="D19" s="218"/>
      <c r="E19" s="347"/>
      <c r="F19" s="347"/>
      <c r="G19" s="347"/>
      <c r="H19" s="347"/>
      <c r="I19" s="347"/>
      <c r="J19" s="347"/>
      <c r="K19" s="347"/>
      <c r="L19" s="347"/>
      <c r="M19" s="347"/>
      <c r="N19" s="347"/>
      <c r="O19" s="347"/>
      <c r="P19" s="347"/>
      <c r="Q19" s="218"/>
      <c r="R19" s="996"/>
      <c r="S19" s="996"/>
      <c r="T19" s="996"/>
      <c r="U19" s="996"/>
      <c r="V19" s="996"/>
      <c r="W19" s="996"/>
      <c r="X19" s="996"/>
      <c r="Y19" s="996"/>
      <c r="Z19" s="996"/>
      <c r="AA19" s="996"/>
      <c r="AB19" s="996"/>
      <c r="AC19" s="996"/>
      <c r="AD19" s="996"/>
      <c r="AE19" s="996"/>
      <c r="AF19" s="346"/>
      <c r="AG19" s="224"/>
      <c r="AH19" s="224"/>
      <c r="AI19" s="996"/>
      <c r="AJ19" s="996"/>
      <c r="AK19" s="996"/>
      <c r="AL19" s="996"/>
      <c r="AM19" s="996"/>
      <c r="AN19" s="996"/>
      <c r="AO19" s="996"/>
      <c r="AP19" s="996"/>
      <c r="AQ19" s="996"/>
      <c r="AR19" s="996"/>
      <c r="AS19" s="996"/>
      <c r="AT19" s="996"/>
      <c r="AU19" s="996"/>
      <c r="AV19" s="218"/>
      <c r="AW19" s="218"/>
      <c r="AX19" s="218"/>
      <c r="AY19" s="344"/>
      <c r="AZ19" s="344"/>
      <c r="BA19" s="344"/>
      <c r="BB19" s="344"/>
      <c r="BC19" s="344"/>
      <c r="BD19" s="344"/>
      <c r="BE19" s="344"/>
      <c r="BF19" s="344"/>
      <c r="BG19" s="344"/>
      <c r="BH19" s="344"/>
      <c r="BI19" s="344"/>
      <c r="BJ19" s="218"/>
    </row>
    <row r="20" spans="1:62" s="348" customFormat="1" ht="14.25" customHeight="1">
      <c r="A20" s="224"/>
      <c r="B20" s="218"/>
      <c r="C20" s="218"/>
      <c r="D20" s="218"/>
      <c r="E20" s="347"/>
      <c r="F20" s="347"/>
      <c r="G20" s="347"/>
      <c r="H20" s="347"/>
      <c r="I20" s="347"/>
      <c r="J20" s="347"/>
      <c r="K20" s="347"/>
      <c r="L20" s="347"/>
      <c r="M20" s="347"/>
      <c r="N20" s="347"/>
      <c r="O20" s="347"/>
      <c r="P20" s="347"/>
      <c r="Q20" s="218"/>
      <c r="R20" s="996"/>
      <c r="S20" s="996"/>
      <c r="T20" s="996"/>
      <c r="U20" s="996"/>
      <c r="V20" s="996"/>
      <c r="W20" s="996"/>
      <c r="X20" s="996"/>
      <c r="Y20" s="996"/>
      <c r="Z20" s="996"/>
      <c r="AA20" s="996"/>
      <c r="AB20" s="996"/>
      <c r="AC20" s="996"/>
      <c r="AD20" s="996"/>
      <c r="AE20" s="996"/>
      <c r="AF20" s="346"/>
      <c r="AG20" s="224"/>
      <c r="AH20" s="224"/>
      <c r="AI20" s="996"/>
      <c r="AJ20" s="996"/>
      <c r="AK20" s="996"/>
      <c r="AL20" s="996"/>
      <c r="AM20" s="996"/>
      <c r="AN20" s="996"/>
      <c r="AO20" s="996"/>
      <c r="AP20" s="996"/>
      <c r="AQ20" s="996"/>
      <c r="AR20" s="996"/>
      <c r="AS20" s="996"/>
      <c r="AT20" s="996"/>
      <c r="AU20" s="996"/>
      <c r="AV20" s="218"/>
      <c r="AW20" s="218"/>
      <c r="AX20" s="218"/>
      <c r="AY20" s="344"/>
      <c r="AZ20" s="344"/>
      <c r="BA20" s="344"/>
      <c r="BB20" s="344"/>
      <c r="BC20" s="344"/>
      <c r="BD20" s="344"/>
      <c r="BE20" s="344"/>
      <c r="BF20" s="344"/>
      <c r="BG20" s="344"/>
      <c r="BH20" s="344"/>
      <c r="BI20" s="344"/>
      <c r="BJ20" s="218"/>
    </row>
    <row r="21" spans="1:62" s="348" customFormat="1" ht="14.25" customHeight="1">
      <c r="A21" s="224"/>
      <c r="B21" s="218"/>
      <c r="C21" s="218"/>
      <c r="D21" s="218"/>
      <c r="E21" s="347"/>
      <c r="F21" s="347"/>
      <c r="G21" s="347"/>
      <c r="H21" s="347"/>
      <c r="I21" s="347"/>
      <c r="J21" s="347"/>
      <c r="K21" s="347"/>
      <c r="L21" s="347"/>
      <c r="M21" s="347"/>
      <c r="N21" s="347"/>
      <c r="O21" s="347"/>
      <c r="P21" s="347"/>
      <c r="Q21" s="218"/>
      <c r="R21" s="996"/>
      <c r="S21" s="996"/>
      <c r="T21" s="996"/>
      <c r="U21" s="996"/>
      <c r="V21" s="996"/>
      <c r="W21" s="996"/>
      <c r="X21" s="996"/>
      <c r="Y21" s="996"/>
      <c r="Z21" s="996"/>
      <c r="AA21" s="996"/>
      <c r="AB21" s="996"/>
      <c r="AC21" s="996"/>
      <c r="AD21" s="996"/>
      <c r="AE21" s="996"/>
      <c r="AF21" s="346"/>
      <c r="AG21" s="224"/>
      <c r="AH21" s="224"/>
      <c r="AI21" s="996"/>
      <c r="AJ21" s="996"/>
      <c r="AK21" s="996"/>
      <c r="AL21" s="996"/>
      <c r="AM21" s="996"/>
      <c r="AN21" s="996"/>
      <c r="AO21" s="996"/>
      <c r="AP21" s="996"/>
      <c r="AQ21" s="996"/>
      <c r="AR21" s="996"/>
      <c r="AS21" s="996"/>
      <c r="AT21" s="996"/>
      <c r="AU21" s="996"/>
      <c r="AV21" s="218"/>
      <c r="AW21" s="218"/>
      <c r="AX21" s="218"/>
      <c r="AY21" s="344"/>
      <c r="AZ21" s="344"/>
      <c r="BA21" s="344"/>
      <c r="BB21" s="344"/>
      <c r="BC21" s="344"/>
      <c r="BD21" s="344"/>
      <c r="BE21" s="344"/>
      <c r="BF21" s="344"/>
      <c r="BG21" s="344"/>
      <c r="BH21" s="344"/>
      <c r="BI21" s="344"/>
      <c r="BJ21" s="218"/>
    </row>
    <row r="22" spans="1:62" s="348" customFormat="1" ht="14.25" customHeight="1">
      <c r="A22" s="224"/>
      <c r="B22" s="218"/>
      <c r="C22" s="218"/>
      <c r="D22" s="218"/>
      <c r="E22" s="347"/>
      <c r="F22" s="347"/>
      <c r="G22" s="347"/>
      <c r="H22" s="347"/>
      <c r="I22" s="347"/>
      <c r="J22" s="347"/>
      <c r="K22" s="347"/>
      <c r="L22" s="347"/>
      <c r="M22" s="347"/>
      <c r="N22" s="347"/>
      <c r="O22" s="347"/>
      <c r="P22" s="347"/>
      <c r="Q22" s="218"/>
      <c r="R22" s="996"/>
      <c r="S22" s="996"/>
      <c r="T22" s="996"/>
      <c r="U22" s="996"/>
      <c r="V22" s="996"/>
      <c r="W22" s="996"/>
      <c r="X22" s="996"/>
      <c r="Y22" s="996"/>
      <c r="Z22" s="996"/>
      <c r="AA22" s="996"/>
      <c r="AB22" s="996"/>
      <c r="AC22" s="996"/>
      <c r="AD22" s="996"/>
      <c r="AE22" s="996"/>
      <c r="AF22" s="346"/>
      <c r="AG22" s="224"/>
      <c r="AH22" s="224"/>
      <c r="AI22" s="996"/>
      <c r="AJ22" s="996"/>
      <c r="AK22" s="996"/>
      <c r="AL22" s="996"/>
      <c r="AM22" s="996"/>
      <c r="AN22" s="996"/>
      <c r="AO22" s="996"/>
      <c r="AP22" s="996"/>
      <c r="AQ22" s="996"/>
      <c r="AR22" s="996"/>
      <c r="AS22" s="996"/>
      <c r="AT22" s="996"/>
      <c r="AU22" s="996"/>
      <c r="AV22" s="218"/>
      <c r="AW22" s="218"/>
      <c r="AX22" s="218"/>
      <c r="AY22" s="344"/>
      <c r="AZ22" s="344"/>
      <c r="BA22" s="344"/>
      <c r="BB22" s="344"/>
      <c r="BC22" s="344"/>
      <c r="BD22" s="344"/>
      <c r="BE22" s="344"/>
      <c r="BF22" s="344"/>
      <c r="BG22" s="344"/>
      <c r="BH22" s="344"/>
      <c r="BI22" s="344"/>
      <c r="BJ22" s="218"/>
    </row>
    <row r="23" spans="1:62" s="348" customFormat="1" ht="14.25" customHeight="1">
      <c r="A23" s="224"/>
      <c r="B23" s="218"/>
      <c r="C23" s="218"/>
      <c r="D23" s="218"/>
      <c r="E23" s="347"/>
      <c r="F23" s="347"/>
      <c r="G23" s="347"/>
      <c r="H23" s="347"/>
      <c r="I23" s="347"/>
      <c r="J23" s="347"/>
      <c r="K23" s="347"/>
      <c r="L23" s="347"/>
      <c r="M23" s="347"/>
      <c r="N23" s="347"/>
      <c r="O23" s="347"/>
      <c r="P23" s="347"/>
      <c r="Q23" s="218"/>
      <c r="R23" s="996"/>
      <c r="S23" s="996"/>
      <c r="T23" s="996"/>
      <c r="U23" s="996"/>
      <c r="V23" s="996"/>
      <c r="W23" s="996"/>
      <c r="X23" s="996"/>
      <c r="Y23" s="996"/>
      <c r="Z23" s="996"/>
      <c r="AA23" s="996"/>
      <c r="AB23" s="996"/>
      <c r="AC23" s="996"/>
      <c r="AD23" s="996"/>
      <c r="AE23" s="996"/>
      <c r="AF23" s="346"/>
      <c r="AG23" s="224"/>
      <c r="AH23" s="224"/>
      <c r="AI23" s="996"/>
      <c r="AJ23" s="996"/>
      <c r="AK23" s="996"/>
      <c r="AL23" s="996"/>
      <c r="AM23" s="996"/>
      <c r="AN23" s="996"/>
      <c r="AO23" s="996"/>
      <c r="AP23" s="996"/>
      <c r="AQ23" s="996"/>
      <c r="AR23" s="996"/>
      <c r="AS23" s="996"/>
      <c r="AT23" s="996"/>
      <c r="AU23" s="996"/>
      <c r="AV23" s="218"/>
      <c r="AW23" s="218"/>
      <c r="AX23" s="218"/>
      <c r="AY23" s="344"/>
      <c r="AZ23" s="349"/>
      <c r="BA23" s="349"/>
      <c r="BB23" s="349"/>
      <c r="BC23" s="349"/>
      <c r="BD23" s="349"/>
      <c r="BE23" s="349"/>
      <c r="BF23" s="349"/>
      <c r="BG23" s="349"/>
      <c r="BH23" s="349"/>
      <c r="BI23" s="349"/>
      <c r="BJ23" s="218"/>
    </row>
    <row r="24" spans="1:62" s="348" customFormat="1" ht="14.25" customHeight="1">
      <c r="A24" s="224"/>
      <c r="B24" s="218"/>
      <c r="C24" s="218"/>
      <c r="D24" s="218"/>
      <c r="E24" s="347"/>
      <c r="F24" s="347"/>
      <c r="G24" s="347"/>
      <c r="H24" s="347"/>
      <c r="I24" s="347"/>
      <c r="J24" s="347"/>
      <c r="K24" s="347"/>
      <c r="L24" s="347"/>
      <c r="M24" s="347"/>
      <c r="N24" s="347"/>
      <c r="O24" s="347"/>
      <c r="P24" s="347"/>
      <c r="Q24" s="218"/>
      <c r="R24" s="996"/>
      <c r="S24" s="996"/>
      <c r="T24" s="996"/>
      <c r="U24" s="996"/>
      <c r="V24" s="996"/>
      <c r="W24" s="996"/>
      <c r="X24" s="996"/>
      <c r="Y24" s="996"/>
      <c r="Z24" s="996"/>
      <c r="AA24" s="996"/>
      <c r="AB24" s="996"/>
      <c r="AC24" s="996"/>
      <c r="AD24" s="996"/>
      <c r="AE24" s="996"/>
      <c r="AF24" s="346"/>
      <c r="AG24" s="224"/>
      <c r="AH24" s="224"/>
      <c r="AI24" s="996"/>
      <c r="AJ24" s="996"/>
      <c r="AK24" s="996"/>
      <c r="AL24" s="996"/>
      <c r="AM24" s="996"/>
      <c r="AN24" s="996"/>
      <c r="AO24" s="996"/>
      <c r="AP24" s="996"/>
      <c r="AQ24" s="996"/>
      <c r="AR24" s="996"/>
      <c r="AS24" s="996"/>
      <c r="AT24" s="996"/>
      <c r="AU24" s="996"/>
      <c r="AV24" s="218"/>
      <c r="AW24" s="218"/>
      <c r="AX24" s="218"/>
      <c r="AY24" s="344"/>
      <c r="AZ24" s="349"/>
      <c r="BA24" s="349"/>
      <c r="BB24" s="349"/>
      <c r="BC24" s="349"/>
      <c r="BD24" s="349"/>
      <c r="BE24" s="349"/>
      <c r="BF24" s="349"/>
      <c r="BG24" s="349"/>
      <c r="BH24" s="349"/>
      <c r="BI24" s="349"/>
      <c r="BJ24" s="218"/>
    </row>
    <row r="25" spans="1:62" s="348" customFormat="1" ht="14.25" customHeight="1">
      <c r="A25" s="224"/>
      <c r="B25" s="218"/>
      <c r="C25" s="218"/>
      <c r="D25" s="218"/>
      <c r="E25" s="347"/>
      <c r="F25" s="347"/>
      <c r="G25" s="347"/>
      <c r="H25" s="347"/>
      <c r="I25" s="347"/>
      <c r="J25" s="347"/>
      <c r="K25" s="347"/>
      <c r="L25" s="347"/>
      <c r="M25" s="347"/>
      <c r="N25" s="347"/>
      <c r="O25" s="347"/>
      <c r="P25" s="347"/>
      <c r="Q25" s="218"/>
      <c r="R25" s="996"/>
      <c r="S25" s="996"/>
      <c r="T25" s="996"/>
      <c r="U25" s="996"/>
      <c r="V25" s="996"/>
      <c r="W25" s="996"/>
      <c r="X25" s="996"/>
      <c r="Y25" s="996"/>
      <c r="Z25" s="996"/>
      <c r="AA25" s="996"/>
      <c r="AB25" s="996"/>
      <c r="AC25" s="996"/>
      <c r="AD25" s="996"/>
      <c r="AE25" s="996"/>
      <c r="AF25" s="346"/>
      <c r="AG25" s="224"/>
      <c r="AH25" s="224"/>
      <c r="AI25" s="996"/>
      <c r="AJ25" s="996"/>
      <c r="AK25" s="996"/>
      <c r="AL25" s="996"/>
      <c r="AM25" s="996"/>
      <c r="AN25" s="996"/>
      <c r="AO25" s="996"/>
      <c r="AP25" s="996"/>
      <c r="AQ25" s="996"/>
      <c r="AR25" s="996"/>
      <c r="AS25" s="996"/>
      <c r="AT25" s="996"/>
      <c r="AU25" s="996"/>
      <c r="AV25" s="218"/>
      <c r="AW25" s="218"/>
      <c r="AX25" s="218"/>
      <c r="AY25" s="218"/>
      <c r="AZ25" s="349"/>
      <c r="BA25" s="349"/>
      <c r="BB25" s="349"/>
      <c r="BC25" s="349"/>
      <c r="BD25" s="349"/>
      <c r="BE25" s="349"/>
      <c r="BF25" s="349"/>
      <c r="BG25" s="349"/>
      <c r="BH25" s="349"/>
      <c r="BI25" s="349"/>
      <c r="BJ25" s="218"/>
    </row>
    <row r="26" spans="1:62" s="350" customFormat="1" ht="9" customHeight="1">
      <c r="B26" s="351"/>
      <c r="C26" s="351"/>
      <c r="D26" s="351"/>
      <c r="E26" s="351"/>
      <c r="F26" s="351"/>
      <c r="G26" s="351"/>
      <c r="H26" s="351"/>
      <c r="I26" s="351"/>
      <c r="J26" s="351"/>
      <c r="K26" s="351"/>
      <c r="L26" s="351"/>
      <c r="M26" s="351"/>
      <c r="N26" s="351"/>
      <c r="O26" s="351"/>
      <c r="P26" s="351"/>
      <c r="Q26" s="351"/>
      <c r="R26" s="351"/>
      <c r="S26" s="351"/>
      <c r="T26" s="351"/>
      <c r="U26" s="351"/>
      <c r="V26" s="351"/>
      <c r="W26" s="351"/>
      <c r="X26" s="351"/>
      <c r="Y26" s="351"/>
      <c r="Z26" s="351"/>
      <c r="AA26" s="351"/>
      <c r="AB26" s="351"/>
      <c r="AC26" s="351"/>
      <c r="AD26" s="351"/>
      <c r="AE26" s="351"/>
      <c r="AF26" s="351"/>
      <c r="AG26" s="351"/>
      <c r="AH26" s="351"/>
      <c r="AI26" s="351"/>
      <c r="AJ26" s="351"/>
      <c r="AK26" s="351"/>
      <c r="AL26" s="351"/>
      <c r="AM26" s="351"/>
      <c r="AN26" s="351"/>
      <c r="AO26" s="351"/>
      <c r="AP26" s="351"/>
      <c r="AQ26" s="351"/>
      <c r="AR26" s="351"/>
      <c r="AS26" s="351"/>
      <c r="AT26" s="351"/>
      <c r="AU26" s="351"/>
      <c r="AV26" s="351"/>
      <c r="AW26" s="351"/>
    </row>
    <row r="27" spans="1:62" s="358" customFormat="1" ht="22.5" customHeight="1">
      <c r="A27" s="352"/>
      <c r="B27" s="353"/>
      <c r="C27" s="354"/>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55"/>
      <c r="AU27" s="355"/>
      <c r="AV27" s="356"/>
      <c r="AW27" s="357"/>
    </row>
  </sheetData>
  <mergeCells count="8">
    <mergeCell ref="R8:AE25"/>
    <mergeCell ref="AI8:AU25"/>
    <mergeCell ref="M2:AR2"/>
    <mergeCell ref="A4:AW4"/>
    <mergeCell ref="A6:XFD6"/>
    <mergeCell ref="C7:O7"/>
    <mergeCell ref="R7:AE7"/>
    <mergeCell ref="AI7:AU7"/>
  </mergeCells>
  <pageMargins left="0.7" right="0.7" top="0.75" bottom="0.75" header="0.3" footer="0.3"/>
  <pageSetup paperSize="9" orientation="portrait" horizontalDpi="300" verticalDpi="300" r:id="rId1"/>
  <headerFooter>
    <oddHeader>&amp;C&amp;"Calibri"&amp;12&amp;KC00000 OFFICIAL&amp;1#_x000D_</oddHeader>
    <oddFooter>&amp;C_x000D_&amp;1#&amp;"Calibri"&amp;12&amp;KC00000 OFFICIAL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FDADB-E13E-4ADB-BD6E-9B877FDF28CD}">
  <sheetPr>
    <tabColor rgb="FFC973AF"/>
  </sheetPr>
  <dimension ref="A1:N80"/>
  <sheetViews>
    <sheetView zoomScale="80" zoomScaleNormal="80" workbookViewId="0">
      <selection sqref="A1:K1"/>
    </sheetView>
  </sheetViews>
  <sheetFormatPr defaultRowHeight="15"/>
  <cols>
    <col min="1" max="1" width="123.42578125" customWidth="1"/>
    <col min="2" max="12" width="10.42578125" customWidth="1"/>
    <col min="13" max="13" width="11" customWidth="1"/>
    <col min="14" max="14" width="9.85546875" customWidth="1"/>
  </cols>
  <sheetData>
    <row r="1" spans="1:14" s="637" customFormat="1" ht="30" customHeight="1">
      <c r="A1" s="1042" t="s">
        <v>3807</v>
      </c>
      <c r="B1" s="1042"/>
      <c r="C1" s="1042"/>
      <c r="D1" s="1042"/>
      <c r="E1" s="1042"/>
      <c r="F1" s="1042"/>
      <c r="G1" s="1042"/>
      <c r="H1" s="1042"/>
      <c r="I1" s="1042"/>
      <c r="J1" s="1042"/>
      <c r="K1" s="1042"/>
      <c r="L1" s="471" t="s">
        <v>1100</v>
      </c>
      <c r="M1" s="471"/>
      <c r="N1" s="471"/>
    </row>
    <row r="2" spans="1:14" ht="15" customHeight="1">
      <c r="A2" s="49" t="s">
        <v>3715</v>
      </c>
      <c r="B2" s="50" t="s">
        <v>1100</v>
      </c>
      <c r="C2" s="50" t="s">
        <v>1100</v>
      </c>
      <c r="D2" s="50" t="s">
        <v>1100</v>
      </c>
      <c r="E2" s="50" t="s">
        <v>1100</v>
      </c>
      <c r="F2" s="50" t="s">
        <v>1100</v>
      </c>
      <c r="G2" s="50" t="s">
        <v>1100</v>
      </c>
      <c r="H2" s="50" t="s">
        <v>1100</v>
      </c>
      <c r="I2" s="50" t="s">
        <v>1100</v>
      </c>
      <c r="J2" s="50" t="s">
        <v>1100</v>
      </c>
      <c r="K2" s="50" t="s">
        <v>1100</v>
      </c>
      <c r="L2" s="50" t="s">
        <v>1100</v>
      </c>
      <c r="M2" s="50"/>
      <c r="N2" s="50"/>
    </row>
    <row r="3" spans="1:14" ht="15" customHeight="1">
      <c r="A3" s="44" t="s">
        <v>3808</v>
      </c>
      <c r="B3" s="51"/>
      <c r="C3" s="51"/>
      <c r="D3" s="51"/>
      <c r="E3" s="51"/>
      <c r="F3" s="51"/>
      <c r="G3" s="51"/>
      <c r="H3" s="51"/>
      <c r="I3" s="51"/>
      <c r="J3" s="51"/>
      <c r="K3" s="52"/>
      <c r="L3" s="52"/>
    </row>
    <row r="4" spans="1:14" ht="15" customHeight="1">
      <c r="A4" s="44" t="s">
        <v>3809</v>
      </c>
      <c r="B4" s="51"/>
      <c r="C4" s="51"/>
      <c r="D4" s="51"/>
      <c r="E4" s="51"/>
      <c r="F4" s="51"/>
      <c r="G4" s="51"/>
      <c r="H4" s="51"/>
      <c r="I4" s="51"/>
      <c r="J4" s="51"/>
      <c r="K4" s="52"/>
      <c r="L4" s="52"/>
    </row>
    <row r="5" spans="1:14" ht="15" customHeight="1">
      <c r="A5" s="44" t="s">
        <v>3810</v>
      </c>
      <c r="B5" s="51"/>
      <c r="C5" s="51"/>
      <c r="D5" s="51"/>
      <c r="E5" s="51"/>
      <c r="F5" s="51"/>
      <c r="G5" s="51"/>
      <c r="H5" s="51"/>
      <c r="I5" s="51"/>
      <c r="J5" s="51"/>
      <c r="K5" s="52"/>
      <c r="L5" s="52"/>
    </row>
    <row r="6" spans="1:14" ht="15" customHeight="1">
      <c r="A6" s="44" t="s">
        <v>3811</v>
      </c>
      <c r="B6" s="51"/>
      <c r="C6" s="51"/>
      <c r="D6" s="51"/>
      <c r="E6" s="51"/>
      <c r="F6" s="51"/>
      <c r="G6" s="51"/>
      <c r="H6" s="51"/>
      <c r="I6" s="51"/>
      <c r="J6" s="51"/>
      <c r="K6" s="52"/>
      <c r="L6" s="52"/>
    </row>
    <row r="7" spans="1:14" ht="15" customHeight="1">
      <c r="A7" s="44" t="s">
        <v>3812</v>
      </c>
      <c r="B7" s="51"/>
      <c r="C7" s="51"/>
      <c r="D7" s="51"/>
      <c r="E7" s="51"/>
      <c r="F7" s="51"/>
      <c r="G7" s="51"/>
      <c r="H7" s="51"/>
      <c r="I7" s="51"/>
      <c r="J7" s="51"/>
      <c r="K7" s="52"/>
      <c r="L7" s="52"/>
    </row>
    <row r="8" spans="1:14" ht="15" customHeight="1">
      <c r="A8" s="51"/>
      <c r="B8" s="51"/>
      <c r="C8" s="51"/>
      <c r="D8" s="51"/>
      <c r="E8" s="51"/>
      <c r="F8" s="51"/>
      <c r="G8" s="51"/>
      <c r="H8" s="51"/>
      <c r="I8" s="51"/>
      <c r="J8" s="51"/>
      <c r="K8" s="52"/>
      <c r="L8" s="52"/>
    </row>
    <row r="9" spans="1:14" ht="34.5" customHeight="1">
      <c r="A9" s="707" t="s">
        <v>3813</v>
      </c>
      <c r="B9" s="58" t="s">
        <v>1100</v>
      </c>
      <c r="C9" s="58" t="s">
        <v>1100</v>
      </c>
      <c r="D9" s="58" t="s">
        <v>1100</v>
      </c>
      <c r="E9" s="58" t="s">
        <v>1100</v>
      </c>
      <c r="F9" s="58" t="s">
        <v>1100</v>
      </c>
      <c r="G9" s="58" t="s">
        <v>1100</v>
      </c>
      <c r="H9" s="58" t="s">
        <v>1100</v>
      </c>
      <c r="I9" s="58" t="s">
        <v>1100</v>
      </c>
      <c r="J9" s="58" t="s">
        <v>1100</v>
      </c>
      <c r="K9" s="105"/>
      <c r="L9" s="383"/>
      <c r="M9" s="685" t="s">
        <v>201</v>
      </c>
      <c r="N9" s="444" t="s">
        <v>202</v>
      </c>
    </row>
    <row r="10" spans="1:14" ht="12.75" customHeight="1">
      <c r="A10" s="689" t="s">
        <v>3814</v>
      </c>
      <c r="B10" s="672" t="s">
        <v>3803</v>
      </c>
      <c r="C10" s="672" t="s">
        <v>3804</v>
      </c>
      <c r="D10" s="672" t="s">
        <v>3805</v>
      </c>
      <c r="E10" s="672" t="s">
        <v>72</v>
      </c>
      <c r="F10" s="672" t="s">
        <v>69</v>
      </c>
      <c r="G10" s="672" t="s">
        <v>66</v>
      </c>
      <c r="H10" s="672" t="s">
        <v>62</v>
      </c>
      <c r="I10" s="672" t="s">
        <v>59</v>
      </c>
      <c r="J10" s="672" t="s">
        <v>55</v>
      </c>
      <c r="K10" s="672" t="s">
        <v>52</v>
      </c>
      <c r="L10" s="626" t="s">
        <v>49</v>
      </c>
      <c r="M10" s="687" t="s">
        <v>46</v>
      </c>
      <c r="N10" s="688" t="s">
        <v>42</v>
      </c>
    </row>
    <row r="11" spans="1:14" ht="12.75" customHeight="1">
      <c r="A11" s="6" t="s">
        <v>546</v>
      </c>
      <c r="B11" s="521">
        <f>SUMIF('R&amp;D'!B$5:B$665,$A11,'R&amp;D'!AL$5:AL$665)</f>
        <v>0</v>
      </c>
      <c r="C11" s="521">
        <f>SUMIF('R&amp;D'!B$5:B$665,$A11,'R&amp;D'!AM$5:AM$665)</f>
        <v>0</v>
      </c>
      <c r="D11" s="521">
        <f>SUMIF('R&amp;D'!B$5:B$665,$A11,'R&amp;D'!AN$5:AN$665)</f>
        <v>0</v>
      </c>
      <c r="E11" s="521">
        <f>SUMIF('R&amp;D'!B$5:B$665,$A11,'R&amp;D'!AO$5:AO$665)</f>
        <v>0</v>
      </c>
      <c r="F11" s="521">
        <f>SUMIF('R&amp;D'!B$5:B$665,$A11,'R&amp;D'!AP$5:AP$665)</f>
        <v>0</v>
      </c>
      <c r="G11" s="521">
        <f>SUMIF('R&amp;D'!B$5:B$665,$A11,'R&amp;D'!AQ$5:AQ$665)</f>
        <v>0</v>
      </c>
      <c r="H11" s="521">
        <f>SUMIF('R&amp;D'!B$5:B$665,$A11,'R&amp;D'!AR$5:AR$665)</f>
        <v>0</v>
      </c>
      <c r="I11" s="521">
        <f>SUMIF('R&amp;D'!B$5:B$665,$A11,'R&amp;D'!AS$5:AS$665)</f>
        <v>0</v>
      </c>
      <c r="J11" s="521">
        <f>SUMIF('R&amp;D'!B$5:B$665,$A11,'R&amp;D'!AT$5:AT$665)</f>
        <v>0</v>
      </c>
      <c r="K11" s="521">
        <f>SUMIF('R&amp;D'!B$5:B$665,$A11,'R&amp;D'!AU$5:AU$665)</f>
        <v>0</v>
      </c>
      <c r="L11" s="521">
        <f>SUMIF('R&amp;D'!B$5:B$665,$A11,'R&amp;D'!AV$5:AV$665)</f>
        <v>222.571</v>
      </c>
      <c r="M11" s="527">
        <f>SUMIF('R&amp;D'!B$5:B$665,$A11,'R&amp;D'!AW$5:AW$665)</f>
        <v>146.91499999999999</v>
      </c>
      <c r="N11" s="784">
        <f>SUMIF('R&amp;D'!B$5:B$665,$A11,'R&amp;D'!AX$5:AX$665)</f>
        <v>198.43299999999999</v>
      </c>
    </row>
    <row r="12" spans="1:14" ht="12.75" customHeight="1">
      <c r="A12" s="470" t="s">
        <v>392</v>
      </c>
      <c r="B12" s="521">
        <f>SUMIF('R&amp;D'!B$5:B$665,$A12,'R&amp;D'!AL$5:AL$665)</f>
        <v>104.46</v>
      </c>
      <c r="C12" s="521">
        <f>SUMIF('R&amp;D'!B$5:B$665,$A12,'R&amp;D'!AM$5:AM$665)</f>
        <v>94.781000000000006</v>
      </c>
      <c r="D12" s="521">
        <f>SUMIF('R&amp;D'!B$5:B$665,$A12,'R&amp;D'!AN$5:AN$665)</f>
        <v>93.863</v>
      </c>
      <c r="E12" s="521">
        <f>SUMIF('R&amp;D'!B$5:B$665,$A12,'R&amp;D'!AO$5:AO$665)</f>
        <v>108.422</v>
      </c>
      <c r="F12" s="521">
        <f>SUMIF('R&amp;D'!B$5:B$665,$A12,'R&amp;D'!AP$5:AP$665)</f>
        <v>105.61799999999999</v>
      </c>
      <c r="G12" s="521">
        <f>SUMIF('R&amp;D'!B$5:B$665,$A12,'R&amp;D'!AQ$5:AQ$665)</f>
        <v>113.643</v>
      </c>
      <c r="H12" s="521">
        <f>SUMIF('R&amp;D'!B$5:B$665,$A12,'R&amp;D'!AR$5:AR$665)</f>
        <v>123.44</v>
      </c>
      <c r="I12" s="521">
        <f>SUMIF('R&amp;D'!B$5:B$665,$A12,'R&amp;D'!AS$5:AS$665)</f>
        <v>197.25700000000001</v>
      </c>
      <c r="J12" s="521">
        <f>SUMIF('R&amp;D'!B$5:B$665,$A12,'R&amp;D'!AT$5:AT$665)</f>
        <v>216.471</v>
      </c>
      <c r="K12" s="521">
        <f>SUMIF('R&amp;D'!B$5:B$665,$A12,'R&amp;D'!AU$5:AU$665)</f>
        <v>206.67099999999999</v>
      </c>
      <c r="L12" s="521">
        <f>SUMIF('R&amp;D'!B$5:B$665,$A12,'R&amp;D'!AV$5:AV$665)</f>
        <v>276.22399999999999</v>
      </c>
      <c r="M12" s="527">
        <f>SUMIF('R&amp;D'!B$5:B$665,$A12,'R&amp;D'!AW$5:AW$665)</f>
        <v>257.952</v>
      </c>
      <c r="N12" s="528">
        <f>SUMIF('R&amp;D'!B$5:B$665,$A12,'R&amp;D'!AX$5:AX$665)</f>
        <v>274.95299999999997</v>
      </c>
    </row>
    <row r="13" spans="1:14" ht="12.75" customHeight="1">
      <c r="A13" s="470" t="s">
        <v>821</v>
      </c>
      <c r="B13" s="521">
        <f>SUMIF('R&amp;D'!B$5:B$665,$A13,'R&amp;D'!AL$5:AL$665)</f>
        <v>99.19</v>
      </c>
      <c r="C13" s="521">
        <f>SUMIF('R&amp;D'!B$5:B$665,$A13,'R&amp;D'!AM$5:AM$665)</f>
        <v>101.15300000000001</v>
      </c>
      <c r="D13" s="521">
        <f>SUMIF('R&amp;D'!B$5:B$665,$A13,'R&amp;D'!AN$5:AN$665)</f>
        <v>94.132999999999996</v>
      </c>
      <c r="E13" s="521">
        <f>SUMIF('R&amp;D'!B$5:B$665,$A13,'R&amp;D'!AO$5:AO$665)</f>
        <v>103.524</v>
      </c>
      <c r="F13" s="521">
        <f>SUMIF('R&amp;D'!B$5:B$665,$A13,'R&amp;D'!AP$5:AP$665)</f>
        <v>107.727</v>
      </c>
      <c r="G13" s="521">
        <f>SUMIF('R&amp;D'!B$5:B$665,$A13,'R&amp;D'!AQ$5:AQ$665)</f>
        <v>107.268</v>
      </c>
      <c r="H13" s="521">
        <f>SUMIF('R&amp;D'!B$5:B$665,$A13,'R&amp;D'!AR$5:AR$665)</f>
        <v>107.989</v>
      </c>
      <c r="I13" s="521">
        <f>SUMIF('R&amp;D'!B$5:B$665,$A13,'R&amp;D'!AS$5:AS$665)</f>
        <v>96.697999999999993</v>
      </c>
      <c r="J13" s="521">
        <f>SUMIF('R&amp;D'!B$5:B$665,$A13,'R&amp;D'!AT$5:AT$665)</f>
        <v>100.553</v>
      </c>
      <c r="K13" s="521">
        <f>SUMIF('R&amp;D'!B$5:B$665,$A13,'R&amp;D'!AU$5:AU$665)</f>
        <v>102.102</v>
      </c>
      <c r="L13" s="521">
        <f>SUMIF('R&amp;D'!B$5:B$665,$A13,'R&amp;D'!AV$5:AV$665)</f>
        <v>112.893</v>
      </c>
      <c r="M13" s="527">
        <f>SUMIF('R&amp;D'!B$5:B$665,$A13,'R&amp;D'!AW$5:AW$665)</f>
        <v>117.063</v>
      </c>
      <c r="N13" s="528">
        <f>SUMIF('R&amp;D'!B$5:B$665,$A13,'R&amp;D'!AX$5:AX$665)</f>
        <v>120.371</v>
      </c>
    </row>
    <row r="14" spans="1:14" ht="12.75" customHeight="1">
      <c r="A14" s="470" t="s">
        <v>697</v>
      </c>
      <c r="B14" s="521">
        <f>SUMIF('R&amp;D'!B$5:B$665,$A14,'R&amp;D'!AL$5:AL$665)</f>
        <v>0</v>
      </c>
      <c r="C14" s="521">
        <f>SUMIF('R&amp;D'!B$5:B$665,$A14,'R&amp;D'!AM$5:AM$665)</f>
        <v>0</v>
      </c>
      <c r="D14" s="521">
        <f>SUMIF('R&amp;D'!B$5:B$665,$A14,'R&amp;D'!AN$5:AN$665)</f>
        <v>0</v>
      </c>
      <c r="E14" s="521">
        <f>SUMIF('R&amp;D'!B$5:B$665,$A14,'R&amp;D'!AO$5:AO$665)</f>
        <v>0</v>
      </c>
      <c r="F14" s="521">
        <f>SUMIF('R&amp;D'!B$5:B$665,$A14,'R&amp;D'!AP$5:AP$665)</f>
        <v>0</v>
      </c>
      <c r="G14" s="521">
        <f>SUMIF('R&amp;D'!B$5:B$665,$A14,'R&amp;D'!AQ$5:AQ$665)</f>
        <v>0</v>
      </c>
      <c r="H14" s="521">
        <f>SUMIF('R&amp;D'!B$5:B$665,$A14,'R&amp;D'!AR$5:AR$665)</f>
        <v>0</v>
      </c>
      <c r="I14" s="521">
        <f>SUMIF('R&amp;D'!B$5:B$665,$A14,'R&amp;D'!AS$5:AS$665)</f>
        <v>0</v>
      </c>
      <c r="J14" s="521">
        <f>SUMIF('R&amp;D'!B$5:B$665,$A14,'R&amp;D'!AT$5:AT$665)</f>
        <v>0</v>
      </c>
      <c r="K14" s="521">
        <f>SUMIF('R&amp;D'!B$5:B$665,$A14,'R&amp;D'!AU$5:AU$665)</f>
        <v>0</v>
      </c>
      <c r="L14" s="521">
        <f>SUMIF('R&amp;D'!B$5:B$665,$A14,'R&amp;D'!AV$5:AV$665)</f>
        <v>10.272</v>
      </c>
      <c r="M14" s="527">
        <f>SUMIF('R&amp;D'!B$5:B$665,$A14,'R&amp;D'!AW$5:AW$665)</f>
        <v>189.148</v>
      </c>
      <c r="N14" s="528">
        <f>SUMIF('R&amp;D'!B$5:B$665,$A14,'R&amp;D'!AX$5:AX$665)</f>
        <v>188.87</v>
      </c>
    </row>
    <row r="15" spans="1:14" ht="12.75" customHeight="1">
      <c r="A15" s="470" t="s">
        <v>1147</v>
      </c>
      <c r="B15" s="521">
        <f>SUMIF('R&amp;D'!B$5:B$665,$A15,'R&amp;D'!AL$5:AL$665)</f>
        <v>211.136</v>
      </c>
      <c r="C15" s="521">
        <f>SUMIF('R&amp;D'!B$5:B$665,$A15,'R&amp;D'!AM$5:AM$665)</f>
        <v>253.85300000000001</v>
      </c>
      <c r="D15" s="521">
        <f>SUMIF('R&amp;D'!B$5:B$665,$A15,'R&amp;D'!AN$5:AN$665)</f>
        <v>192.61600000000001</v>
      </c>
      <c r="E15" s="521">
        <f>SUMIF('R&amp;D'!B$5:B$665,$A15,'R&amp;D'!AO$5:AO$665)</f>
        <v>212.17500000000001</v>
      </c>
      <c r="F15" s="521">
        <f>SUMIF('R&amp;D'!B$5:B$665,$A15,'R&amp;D'!AP$5:AP$665)</f>
        <v>219.15565000000001</v>
      </c>
      <c r="G15" s="521">
        <f>SUMIF('R&amp;D'!B$5:B$665,$A15,'R&amp;D'!AQ$5:AQ$665)</f>
        <v>242.53299999999999</v>
      </c>
      <c r="H15" s="521">
        <f>SUMIF('R&amp;D'!B$5:B$665,$A15,'R&amp;D'!AR$5:AR$665)</f>
        <v>257.81799999999998</v>
      </c>
      <c r="I15" s="521">
        <f>SUMIF('R&amp;D'!B$5:B$665,$A15,'R&amp;D'!AS$5:AS$665)</f>
        <v>260.51076999999998</v>
      </c>
      <c r="J15" s="521">
        <f>SUMIF('R&amp;D'!B$5:B$665,$A15,'R&amp;D'!AT$5:AT$665)</f>
        <v>262.80061000000001</v>
      </c>
      <c r="K15" s="521">
        <f>SUMIF('R&amp;D'!B$5:B$665,$A15,'R&amp;D'!AU$5:AU$665)</f>
        <v>264.42899999999997</v>
      </c>
      <c r="L15" s="521">
        <f>SUMIF('R&amp;D'!B$5:B$665,$A15,'R&amp;D'!AV$5:AV$665)</f>
        <v>266.97500000000002</v>
      </c>
      <c r="M15" s="527">
        <f>SUMIF('R&amp;D'!B$5:B$665,$A15,'R&amp;D'!AW$5:AW$665)</f>
        <v>264.69</v>
      </c>
      <c r="N15" s="528">
        <f>SUMIF('R&amp;D'!B$5:B$665,$A15,'R&amp;D'!AX$5:AX$665)</f>
        <v>265.36</v>
      </c>
    </row>
    <row r="16" spans="1:14" ht="12.75" customHeight="1">
      <c r="A16" s="470" t="s">
        <v>408</v>
      </c>
      <c r="B16" s="521">
        <f>SUMIF('R&amp;D'!B$5:B$665,$A16,'R&amp;D'!AL$5:AL$665)</f>
        <v>265.14999999999998</v>
      </c>
      <c r="C16" s="521">
        <f>SUMIF('R&amp;D'!B$5:B$665,$A16,'R&amp;D'!AM$5:AM$665)</f>
        <v>267.27100000000002</v>
      </c>
      <c r="D16" s="521">
        <f>SUMIF('R&amp;D'!B$5:B$665,$A16,'R&amp;D'!AN$5:AN$665)</f>
        <v>168.613</v>
      </c>
      <c r="E16" s="521">
        <f>SUMIF('R&amp;D'!B$5:B$665,$A16,'R&amp;D'!AO$5:AO$665)</f>
        <v>198.42</v>
      </c>
      <c r="F16" s="521">
        <f>SUMIF('R&amp;D'!B$5:B$665,$A16,'R&amp;D'!AP$5:AP$665)</f>
        <v>259.99799999999999</v>
      </c>
      <c r="G16" s="521">
        <f>SUMIF('R&amp;D'!B$5:B$665,$A16,'R&amp;D'!AQ$5:AQ$665)</f>
        <v>238.99700000000001</v>
      </c>
      <c r="H16" s="521">
        <f>SUMIF('R&amp;D'!B$5:B$665,$A16,'R&amp;D'!AR$5:AR$665)</f>
        <v>231.36799999999999</v>
      </c>
      <c r="I16" s="521">
        <f>SUMIF('R&amp;D'!B$5:B$665,$A16,'R&amp;D'!AS$5:AS$665)</f>
        <v>227.535</v>
      </c>
      <c r="J16" s="521">
        <f>SUMIF('R&amp;D'!B$5:B$665,$A16,'R&amp;D'!AT$5:AT$665)</f>
        <v>422.00900000000001</v>
      </c>
      <c r="K16" s="521">
        <f>SUMIF('R&amp;D'!B$5:B$665,$A16,'R&amp;D'!AU$5:AU$665)</f>
        <v>312.63</v>
      </c>
      <c r="L16" s="521">
        <f>SUMIF('R&amp;D'!B$5:B$665,$A16,'R&amp;D'!AV$5:AV$665)</f>
        <v>320.96300000000002</v>
      </c>
      <c r="M16" s="527">
        <f>SUMIF('R&amp;D'!B$5:B$665,$A16,'R&amp;D'!AW$5:AW$665)</f>
        <v>424.68200000000002</v>
      </c>
      <c r="N16" s="528">
        <f>SUMIF('R&amp;D'!B$5:B$665,$A16,'R&amp;D'!AX$5:AX$665)</f>
        <v>708.92200000000003</v>
      </c>
    </row>
    <row r="17" spans="1:14" ht="12.75" customHeight="1">
      <c r="A17" s="470" t="s">
        <v>692</v>
      </c>
      <c r="B17" s="521">
        <f>SUMIF('R&amp;D'!B$5:B$665,$A17,'R&amp;D'!AL$5:AL$665)</f>
        <v>883.28399999999999</v>
      </c>
      <c r="C17" s="521">
        <f>SUMIF('R&amp;D'!B$5:B$665,$A17,'R&amp;D'!AM$5:AM$665)</f>
        <v>852.89800000000002</v>
      </c>
      <c r="D17" s="521">
        <f>SUMIF('R&amp;D'!B$5:B$665,$A17,'R&amp;D'!AN$5:AN$665)</f>
        <v>815.30399999999997</v>
      </c>
      <c r="E17" s="521">
        <f>SUMIF('R&amp;D'!B$5:B$665,$A17,'R&amp;D'!AO$5:AO$665)</f>
        <v>743.66200000000003</v>
      </c>
      <c r="F17" s="521">
        <f>SUMIF('R&amp;D'!B$5:B$665,$A17,'R&amp;D'!AP$5:AP$665)</f>
        <v>758.03</v>
      </c>
      <c r="G17" s="521">
        <f>SUMIF('R&amp;D'!B$5:B$665,$A17,'R&amp;D'!AQ$5:AQ$665)</f>
        <v>753.351</v>
      </c>
      <c r="H17" s="521">
        <f>SUMIF('R&amp;D'!B$5:B$665,$A17,'R&amp;D'!AR$5:AR$665)</f>
        <v>762.54100000000005</v>
      </c>
      <c r="I17" s="521">
        <f>SUMIF('R&amp;D'!B$5:B$665,$A17,'R&amp;D'!AS$5:AS$665)</f>
        <v>716.49199999999996</v>
      </c>
      <c r="J17" s="521">
        <f>SUMIF('R&amp;D'!B$5:B$665,$A17,'R&amp;D'!AT$5:AT$665)</f>
        <v>803.69500000000005</v>
      </c>
      <c r="K17" s="521">
        <f>SUMIF('R&amp;D'!B$5:B$665,$A17,'R&amp;D'!AU$5:AU$665)</f>
        <v>831.59400000000005</v>
      </c>
      <c r="L17" s="521">
        <f>SUMIF('R&amp;D'!B$5:B$665,$A17,'R&amp;D'!AV$5:AV$665)</f>
        <v>850.34400000000005</v>
      </c>
      <c r="M17" s="527">
        <f>SUMIF('R&amp;D'!B$5:B$665,$A17,'R&amp;D'!AW$5:AW$665)</f>
        <v>1027.3</v>
      </c>
      <c r="N17" s="528">
        <f>SUMIF('R&amp;D'!B$5:B$665,$A17,'R&amp;D'!AX$5:AX$665)</f>
        <v>1036.2139999999999</v>
      </c>
    </row>
    <row r="18" spans="1:14" ht="12.75" customHeight="1">
      <c r="A18" s="470" t="s">
        <v>1194</v>
      </c>
      <c r="B18" s="521">
        <f>SUMIF('R&amp;D'!B$5:B$665,$A18,'R&amp;D'!AL$5:AL$665)</f>
        <v>778.17700000000002</v>
      </c>
      <c r="C18" s="521">
        <f>SUMIF('R&amp;D'!B$5:B$665,$A18,'R&amp;D'!AM$5:AM$665)</f>
        <v>745.26800000000003</v>
      </c>
      <c r="D18" s="521">
        <f>SUMIF('R&amp;D'!B$5:B$665,$A18,'R&amp;D'!AN$5:AN$665)</f>
        <v>750.28099999999995</v>
      </c>
      <c r="E18" s="521">
        <f>SUMIF('R&amp;D'!B$5:B$665,$A18,'R&amp;D'!AO$5:AO$665)</f>
        <v>787.26700000000005</v>
      </c>
      <c r="F18" s="521">
        <f>SUMIF('R&amp;D'!B$5:B$665,$A18,'R&amp;D'!AP$5:AP$665)</f>
        <v>793.54899999999998</v>
      </c>
      <c r="G18" s="521">
        <f>SUMIF('R&amp;D'!B$5:B$665,$A18,'R&amp;D'!AQ$5:AQ$665)</f>
        <v>834.56100000000004</v>
      </c>
      <c r="H18" s="521">
        <f>SUMIF('R&amp;D'!B$5:B$665,$A18,'R&amp;D'!AR$5:AR$665)</f>
        <v>837.87300000000005</v>
      </c>
      <c r="I18" s="521">
        <f>SUMIF('R&amp;D'!B$5:B$665,$A18,'R&amp;D'!AS$5:AS$665)</f>
        <v>960.53700000000003</v>
      </c>
      <c r="J18" s="521">
        <f>SUMIF('R&amp;D'!B$5:B$665,$A18,'R&amp;D'!AT$5:AT$665)</f>
        <v>949.03700000000003</v>
      </c>
      <c r="K18" s="521">
        <f>SUMIF('R&amp;D'!B$5:B$665,$A18,'R&amp;D'!AU$5:AU$665)</f>
        <v>991.13400000000001</v>
      </c>
      <c r="L18" s="521">
        <f>SUMIF('R&amp;D'!B$5:B$665,$A18,'R&amp;D'!AV$5:AV$665)</f>
        <v>1009.239</v>
      </c>
      <c r="M18" s="527">
        <f>SUMIF('R&amp;D'!B$5:B$665,$A18,'R&amp;D'!AW$5:AW$665)</f>
        <v>916.45899999999995</v>
      </c>
      <c r="N18" s="528">
        <f>SUMIF('R&amp;D'!B$5:B$665,$A18,'R&amp;D'!AX$5:AX$665)</f>
        <v>983.12400000000002</v>
      </c>
    </row>
    <row r="19" spans="1:14" ht="12.75" customHeight="1">
      <c r="A19" s="470" t="s">
        <v>1198</v>
      </c>
      <c r="B19" s="521">
        <f>SUMIF('R&amp;D'!B$5:B$665,$A19,'R&amp;D'!AL$5:AL$665)</f>
        <v>147.09100000000001</v>
      </c>
      <c r="C19" s="521">
        <f>SUMIF('R&amp;D'!B$5:B$665,$A19,'R&amp;D'!AM$5:AM$665)</f>
        <v>149.86000000000001</v>
      </c>
      <c r="D19" s="521">
        <f>SUMIF('R&amp;D'!B$5:B$665,$A19,'R&amp;D'!AN$5:AN$665)</f>
        <v>140.95400000000001</v>
      </c>
      <c r="E19" s="521">
        <f>SUMIF('R&amp;D'!B$5:B$665,$A19,'R&amp;D'!AO$5:AO$665)</f>
        <v>149.51400000000001</v>
      </c>
      <c r="F19" s="521">
        <f>SUMIF('R&amp;D'!B$5:B$665,$A19,'R&amp;D'!AP$5:AP$665)</f>
        <v>160.768</v>
      </c>
      <c r="G19" s="521">
        <f>SUMIF('R&amp;D'!B$5:B$665,$A19,'R&amp;D'!AQ$5:AQ$665)</f>
        <v>167.34100000000001</v>
      </c>
      <c r="H19" s="521">
        <f>SUMIF('R&amp;D'!B$5:B$665,$A19,'R&amp;D'!AR$5:AR$665)</f>
        <v>130.81200000000001</v>
      </c>
      <c r="I19" s="521">
        <f>SUMIF('R&amp;D'!B$5:B$665,$A19,'R&amp;D'!AS$5:AS$665)</f>
        <v>234.16800000000001</v>
      </c>
      <c r="J19" s="521">
        <f>SUMIF('R&amp;D'!B$5:B$665,$A19,'R&amp;D'!AT$5:AT$665)</f>
        <v>187.34299999999999</v>
      </c>
      <c r="K19" s="521">
        <f>SUMIF('R&amp;D'!B$5:B$665,$A19,'R&amp;D'!AU$5:AU$665)</f>
        <v>199.374</v>
      </c>
      <c r="L19" s="521">
        <f>SUMIF('R&amp;D'!B$5:B$665,$A19,'R&amp;D'!AV$5:AV$665)</f>
        <v>200.53200000000001</v>
      </c>
      <c r="M19" s="527">
        <f>SUMIF('R&amp;D'!B$5:B$665,$A19,'R&amp;D'!AW$5:AW$665)</f>
        <v>210.04400000000001</v>
      </c>
      <c r="N19" s="528">
        <f>SUMIF('R&amp;D'!B$5:B$665,$A19,'R&amp;D'!AX$5:AX$665)</f>
        <v>206.309</v>
      </c>
    </row>
    <row r="20" spans="1:14" ht="12.75" customHeight="1">
      <c r="A20" s="470" t="s">
        <v>568</v>
      </c>
      <c r="B20" s="521">
        <f>SUMIF('R&amp;D'!B$5:B$665,$A20,'R&amp;D'!AL$5:AL$665)</f>
        <v>425.66399999999999</v>
      </c>
      <c r="C20" s="521">
        <f>SUMIF('R&amp;D'!B$5:B$665,$A20,'R&amp;D'!AM$5:AM$665)</f>
        <v>439.76600000000002</v>
      </c>
      <c r="D20" s="521">
        <f>SUMIF('R&amp;D'!B$5:B$665,$A20,'R&amp;D'!AN$5:AN$665)</f>
        <v>503.483</v>
      </c>
      <c r="E20" s="521">
        <f>SUMIF('R&amp;D'!B$5:B$665,$A20,'R&amp;D'!AO$5:AO$665)</f>
        <v>447.46800000000002</v>
      </c>
      <c r="F20" s="521">
        <f>SUMIF('R&amp;D'!B$5:B$665,$A20,'R&amp;D'!AP$5:AP$665)</f>
        <v>471.86599999999999</v>
      </c>
      <c r="G20" s="521">
        <f>SUMIF('R&amp;D'!B$5:B$665,$A20,'R&amp;D'!AQ$5:AQ$665)</f>
        <v>468.75400000000002</v>
      </c>
      <c r="H20" s="521">
        <f>SUMIF('R&amp;D'!B$5:B$665,$A20,'R&amp;D'!AR$5:AR$665)</f>
        <v>377.71199999999999</v>
      </c>
      <c r="I20" s="521">
        <f>SUMIF('R&amp;D'!B$5:B$665,$A20,'R&amp;D'!AS$5:AS$665)</f>
        <v>441.72700000000003</v>
      </c>
      <c r="J20" s="521">
        <f>SUMIF('R&amp;D'!B$5:B$665,$A20,'R&amp;D'!AT$5:AT$665)</f>
        <v>493.209</v>
      </c>
      <c r="K20" s="521">
        <f>SUMIF('R&amp;D'!B$5:B$665,$A20,'R&amp;D'!AU$5:AU$665)</f>
        <v>512.95899999999995</v>
      </c>
      <c r="L20" s="521">
        <f>SUMIF('R&amp;D'!B$5:B$665,$A20,'R&amp;D'!AV$5:AV$665)</f>
        <v>488.39400000000001</v>
      </c>
      <c r="M20" s="527">
        <f>SUMIF('R&amp;D'!B$5:B$665,$A20,'R&amp;D'!AW$5:AW$665)</f>
        <v>538.27599999999995</v>
      </c>
      <c r="N20" s="528">
        <f>SUMIF('R&amp;D'!B$5:B$665,$A20,'R&amp;D'!AX$5:AX$665)</f>
        <v>543.06100000000004</v>
      </c>
    </row>
    <row r="21" spans="1:14" ht="12.75" customHeight="1">
      <c r="A21" s="470" t="s">
        <v>303</v>
      </c>
      <c r="B21" s="521">
        <f>SUMIF('R&amp;D'!B$5:B$665,$A21,'R&amp;D'!AL$5:AL$665)</f>
        <v>68.742000000000004</v>
      </c>
      <c r="C21" s="521">
        <f>SUMIF('R&amp;D'!B$5:B$665,$A21,'R&amp;D'!AM$5:AM$665)</f>
        <v>67.848254620000006</v>
      </c>
      <c r="D21" s="521">
        <f>SUMIF('R&amp;D'!B$5:B$665,$A21,'R&amp;D'!AN$5:AN$665)</f>
        <v>70.224999999999994</v>
      </c>
      <c r="E21" s="521">
        <f>SUMIF('R&amp;D'!B$5:B$665,$A21,'R&amp;D'!AO$5:AO$665)</f>
        <v>71.891000000000005</v>
      </c>
      <c r="F21" s="521">
        <f>SUMIF('R&amp;D'!B$5:B$665,$A21,'R&amp;D'!AP$5:AP$665)</f>
        <v>84.658000000000001</v>
      </c>
      <c r="G21" s="521">
        <f>SUMIF('R&amp;D'!B$5:B$665,$A21,'R&amp;D'!AQ$5:AQ$665)</f>
        <v>60.667000000000002</v>
      </c>
      <c r="H21" s="521">
        <f>SUMIF('R&amp;D'!B$5:B$665,$A21,'R&amp;D'!AR$5:AR$665)</f>
        <v>72.537000000000006</v>
      </c>
      <c r="I21" s="521">
        <f>SUMIF('R&amp;D'!B$5:B$665,$A21,'R&amp;D'!AS$5:AS$665)</f>
        <v>64.778000000000006</v>
      </c>
      <c r="J21" s="521">
        <f>SUMIF('R&amp;D'!B$5:B$665,$A21,'R&amp;D'!AT$5:AT$665)</f>
        <v>90.391000000000005</v>
      </c>
      <c r="K21" s="521">
        <f>SUMIF('R&amp;D'!B$5:B$665,$A21,'R&amp;D'!AU$5:AU$665)</f>
        <v>83.802999999999997</v>
      </c>
      <c r="L21" s="521">
        <f>SUMIF('R&amp;D'!B$5:B$665,$A21,'R&amp;D'!AV$5:AV$665)</f>
        <v>159.73400000000001</v>
      </c>
      <c r="M21" s="527">
        <f>SUMIF('R&amp;D'!B$5:B$665,$A21,'R&amp;D'!AW$5:AW$665)</f>
        <v>126.78</v>
      </c>
      <c r="N21" s="528">
        <f>SUMIF('R&amp;D'!B$5:B$665,$A21,'R&amp;D'!AX$5:AX$665)</f>
        <v>109.15300000000001</v>
      </c>
    </row>
    <row r="22" spans="1:14" ht="12.75" customHeight="1">
      <c r="A22" s="6" t="s">
        <v>310</v>
      </c>
      <c r="B22" s="521">
        <f>SUMIF('R&amp;D'!B$5:B$665,$A22,'R&amp;D'!AL$5:AL$665)</f>
        <v>0</v>
      </c>
      <c r="C22" s="521">
        <f>SUMIF('R&amp;D'!B$5:B$665,$A22,'R&amp;D'!AM$5:AM$665)</f>
        <v>0</v>
      </c>
      <c r="D22" s="521">
        <f>SUMIF('R&amp;D'!B$5:B$665,$A22,'R&amp;D'!AN$5:AN$665)</f>
        <v>0</v>
      </c>
      <c r="E22" s="521">
        <f>SUMIF('R&amp;D'!B$5:B$665,$A22,'R&amp;D'!AO$5:AO$665)</f>
        <v>49.302999999999997</v>
      </c>
      <c r="F22" s="521">
        <f>SUMIF('R&amp;D'!B$5:B$665,$A22,'R&amp;D'!AP$5:AP$665)</f>
        <v>70.972999999999999</v>
      </c>
      <c r="G22" s="521">
        <f>SUMIF('R&amp;D'!B$5:B$665,$A22,'R&amp;D'!AQ$5:AQ$665)</f>
        <v>79.125</v>
      </c>
      <c r="H22" s="521">
        <f>SUMIF('R&amp;D'!B$5:B$665,$A22,'R&amp;D'!AR$5:AR$665)</f>
        <v>77.022999999999996</v>
      </c>
      <c r="I22" s="521">
        <f>SUMIF('R&amp;D'!B$5:B$665,$A22,'R&amp;D'!AS$5:AS$665)</f>
        <v>80.694999999999993</v>
      </c>
      <c r="J22" s="521">
        <f>SUMIF('R&amp;D'!B$5:B$665,$A22,'R&amp;D'!AT$5:AT$665)</f>
        <v>104.116</v>
      </c>
      <c r="K22" s="521">
        <f>SUMIF('R&amp;D'!B$5:B$665,$A22,'R&amp;D'!AU$5:AU$665)</f>
        <v>105.26</v>
      </c>
      <c r="L22" s="521">
        <f>SUMIF('R&amp;D'!B$5:B$665,$A22,'R&amp;D'!AV$5:AV$665)</f>
        <v>86.3</v>
      </c>
      <c r="M22" s="527">
        <f>SUMIF('R&amp;D'!B$5:B$665,$A22,'R&amp;D'!AW$5:AW$665)</f>
        <v>100.646</v>
      </c>
      <c r="N22" s="528">
        <f>SUMIF('R&amp;D'!B$5:B$665,$A22,'R&amp;D'!AX$5:AX$665)</f>
        <v>100.646</v>
      </c>
    </row>
    <row r="23" spans="1:14" ht="12.75" customHeight="1">
      <c r="A23" s="470" t="s">
        <v>976</v>
      </c>
      <c r="B23" s="521">
        <f>SUMIF('R&amp;D'!B$5:B$665,$A23,'R&amp;D'!AL$5:AL$665)</f>
        <v>0</v>
      </c>
      <c r="C23" s="521">
        <f>SUMIF('R&amp;D'!B$5:B$665,$A23,'R&amp;D'!AM$5:AM$665)</f>
        <v>0</v>
      </c>
      <c r="D23" s="521">
        <f>SUMIF('R&amp;D'!B$5:B$665,$A23,'R&amp;D'!AN$5:AN$665)</f>
        <v>0</v>
      </c>
      <c r="E23" s="521">
        <f>SUMIF('R&amp;D'!B$5:B$665,$A23,'R&amp;D'!AO$5:AO$665)</f>
        <v>17.96</v>
      </c>
      <c r="F23" s="521">
        <f>SUMIF('R&amp;D'!B$5:B$665,$A23,'R&amp;D'!AP$5:AP$665)</f>
        <v>30.1</v>
      </c>
      <c r="G23" s="521">
        <f>SUMIF('R&amp;D'!B$5:B$665,$A23,'R&amp;D'!AQ$5:AQ$665)</f>
        <v>206.36500000000001</v>
      </c>
      <c r="H23" s="521">
        <f>SUMIF('R&amp;D'!B$5:B$665,$A23,'R&amp;D'!AR$5:AR$665)</f>
        <v>375.524</v>
      </c>
      <c r="I23" s="521">
        <f>SUMIF('R&amp;D'!B$5:B$665,$A23,'R&amp;D'!AS$5:AS$665)</f>
        <v>597.93499999999995</v>
      </c>
      <c r="J23" s="521">
        <f>SUMIF('R&amp;D'!B$5:B$665,$A23,'R&amp;D'!AT$5:AT$665)</f>
        <v>454.89499999999998</v>
      </c>
      <c r="K23" s="521">
        <f>SUMIF('R&amp;D'!B$5:B$665,$A23,'R&amp;D'!AU$5:AU$665)</f>
        <v>598</v>
      </c>
      <c r="L23" s="521">
        <f>SUMIF('R&amp;D'!B$5:B$665,$A23,'R&amp;D'!AV$5:AV$665)</f>
        <v>650</v>
      </c>
      <c r="M23" s="527">
        <f>SUMIF('R&amp;D'!B$5:B$665,$A23,'R&amp;D'!AW$5:AW$665)</f>
        <v>650</v>
      </c>
      <c r="N23" s="528">
        <f>SUMIF('R&amp;D'!B$5:B$665,$A23,'R&amp;D'!AX$5:AX$665)</f>
        <v>650</v>
      </c>
    </row>
    <row r="24" spans="1:14" ht="12.75" customHeight="1">
      <c r="A24" s="470" t="s">
        <v>763</v>
      </c>
      <c r="B24" s="521">
        <f>SUMIF('R&amp;D'!B$5:B$665,$A24,'R&amp;D'!AL$5:AL$665)</f>
        <v>80.099999999999994</v>
      </c>
      <c r="C24" s="521">
        <f>SUMIF('R&amp;D'!B$5:B$665,$A24,'R&amp;D'!AM$5:AM$665)</f>
        <v>100.1</v>
      </c>
      <c r="D24" s="521">
        <f>SUMIF('R&amp;D'!B$5:B$665,$A24,'R&amp;D'!AN$5:AN$665)</f>
        <v>150</v>
      </c>
      <c r="E24" s="521">
        <f>SUMIF('R&amp;D'!B$5:B$665,$A24,'R&amp;D'!AO$5:AO$665)</f>
        <v>150</v>
      </c>
      <c r="F24" s="521">
        <f>SUMIF('R&amp;D'!B$5:B$665,$A24,'R&amp;D'!AP$5:AP$665)</f>
        <v>421.267</v>
      </c>
      <c r="G24" s="521">
        <f>SUMIF('R&amp;D'!B$5:B$665,$A24,'R&amp;D'!AQ$5:AQ$665)</f>
        <v>160.822</v>
      </c>
      <c r="H24" s="521">
        <f>SUMIF('R&amp;D'!B$5:B$665,$A24,'R&amp;D'!AR$5:AR$665)</f>
        <v>179.905</v>
      </c>
      <c r="I24" s="521">
        <f>SUMIF('R&amp;D'!B$5:B$665,$A24,'R&amp;D'!AS$5:AS$665)</f>
        <v>256.35000000000002</v>
      </c>
      <c r="J24" s="521">
        <f>SUMIF('R&amp;D'!B$5:B$665,$A24,'R&amp;D'!AT$5:AT$665)</f>
        <v>273.56700000000001</v>
      </c>
      <c r="K24" s="521">
        <f>SUMIF('R&amp;D'!B$5:B$665,$A24,'R&amp;D'!AU$5:AU$665)</f>
        <v>286.04300000000001</v>
      </c>
      <c r="L24" s="521">
        <f>SUMIF('R&amp;D'!B$5:B$665,$A24,'R&amp;D'!AV$5:AV$665)</f>
        <v>402.29</v>
      </c>
      <c r="M24" s="527">
        <f>SUMIF('R&amp;D'!B$5:B$665,$A24,'R&amp;D'!AW$5:AW$665)</f>
        <v>502.64800000000002</v>
      </c>
      <c r="N24" s="528">
        <f>SUMIF('R&amp;D'!B$5:B$665,$A24,'R&amp;D'!AX$5:AX$665)</f>
        <v>464.75299999999999</v>
      </c>
    </row>
    <row r="25" spans="1:14" ht="12.75" customHeight="1">
      <c r="A25" s="470" t="s">
        <v>770</v>
      </c>
      <c r="B25" s="521">
        <f>SUMIF('R&amp;D'!B$5:B$665,$A25,'R&amp;D'!AL$5:AL$665)</f>
        <v>188.8</v>
      </c>
      <c r="C25" s="521">
        <f>SUMIF('R&amp;D'!B$5:B$665,$A25,'R&amp;D'!AM$5:AM$665)</f>
        <v>191.3425</v>
      </c>
      <c r="D25" s="521">
        <f>SUMIF('R&amp;D'!B$5:B$665,$A25,'R&amp;D'!AN$5:AN$665)</f>
        <v>192.34</v>
      </c>
      <c r="E25" s="521">
        <f>SUMIF('R&amp;D'!B$5:B$665,$A25,'R&amp;D'!AO$5:AO$665)</f>
        <v>195.416</v>
      </c>
      <c r="F25" s="521">
        <f>SUMIF('R&amp;D'!B$5:B$665,$A25,'R&amp;D'!AP$5:AP$665)</f>
        <v>198.3475</v>
      </c>
      <c r="G25" s="521">
        <f>SUMIF('R&amp;D'!B$5:B$665,$A25,'R&amp;D'!AQ$5:AQ$665)</f>
        <v>201.72200000000001</v>
      </c>
      <c r="H25" s="521">
        <f>SUMIF('R&amp;D'!B$5:B$665,$A25,'R&amp;D'!AR$5:AR$665)</f>
        <v>205.453</v>
      </c>
      <c r="I25" s="521">
        <f>SUMIF('R&amp;D'!B$5:B$665,$A25,'R&amp;D'!AS$5:AS$665)</f>
        <v>209.66900000000001</v>
      </c>
      <c r="J25" s="521">
        <f>SUMIF('R&amp;D'!B$5:B$665,$A25,'R&amp;D'!AT$5:AT$665)</f>
        <v>211.96600000000001</v>
      </c>
      <c r="K25" s="521">
        <f>SUMIF('R&amp;D'!B$5:B$665,$A25,'R&amp;D'!AU$5:AU$665)</f>
        <v>216.64099999999999</v>
      </c>
      <c r="L25" s="521">
        <f>SUMIF('R&amp;D'!B$5:B$665,$A25,'R&amp;D'!AV$5:AV$665)</f>
        <v>228.96199999999999</v>
      </c>
      <c r="M25" s="527">
        <f>SUMIF('R&amp;D'!B$5:B$665,$A25,'R&amp;D'!AW$5:AW$665)</f>
        <v>242.42599999999999</v>
      </c>
      <c r="N25" s="528">
        <f>SUMIF('R&amp;D'!B$5:B$665,$A25,'R&amp;D'!AX$5:AX$665)</f>
        <v>250.26400000000001</v>
      </c>
    </row>
    <row r="26" spans="1:14" ht="12.75" customHeight="1">
      <c r="A26" s="470" t="s">
        <v>1030</v>
      </c>
      <c r="B26" s="521">
        <f>SUMIF('R&amp;D'!B$5:B$665,$A26,'R&amp;D'!AL$5:AL$665)</f>
        <v>863.41700000000003</v>
      </c>
      <c r="C26" s="521">
        <f>SUMIF('R&amp;D'!B$5:B$665,$A26,'R&amp;D'!AM$5:AM$665)</f>
        <v>904.50800000000004</v>
      </c>
      <c r="D26" s="521">
        <f>SUMIF('R&amp;D'!B$5:B$665,$A26,'R&amp;D'!AN$5:AN$665)</f>
        <v>825.49</v>
      </c>
      <c r="E26" s="521">
        <f>SUMIF('R&amp;D'!B$5:B$665,$A26,'R&amp;D'!AO$5:AO$665)</f>
        <v>840.50300000000004</v>
      </c>
      <c r="F26" s="521">
        <f>SUMIF('R&amp;D'!B$5:B$665,$A26,'R&amp;D'!AP$5:AP$665)</f>
        <v>853.09100000000001</v>
      </c>
      <c r="G26" s="521">
        <f>SUMIF('R&amp;D'!B$5:B$665,$A26,'R&amp;D'!AQ$5:AQ$665)</f>
        <v>846.19399999999996</v>
      </c>
      <c r="H26" s="521">
        <f>SUMIF('R&amp;D'!B$5:B$665,$A26,'R&amp;D'!AR$5:AR$665)</f>
        <v>901.447</v>
      </c>
      <c r="I26" s="521">
        <f>SUMIF('R&amp;D'!B$5:B$665,$A26,'R&amp;D'!AS$5:AS$665)</f>
        <v>891.25599999999997</v>
      </c>
      <c r="J26" s="521">
        <f>SUMIF('R&amp;D'!B$5:B$665,$A26,'R&amp;D'!AT$5:AT$665)</f>
        <v>833.31200000000001</v>
      </c>
      <c r="K26" s="521">
        <f>SUMIF('R&amp;D'!B$5:B$665,$A26,'R&amp;D'!AU$5:AU$665)</f>
        <v>898.33699999999999</v>
      </c>
      <c r="L26" s="521">
        <f>SUMIF('R&amp;D'!B$5:B$665,$A26,'R&amp;D'!AV$5:AV$665)</f>
        <v>945.88</v>
      </c>
      <c r="M26" s="527">
        <f>SUMIF('R&amp;D'!B$5:B$665,$A26,'R&amp;D'!AW$5:AW$665)</f>
        <v>984.15499999999997</v>
      </c>
      <c r="N26" s="528">
        <f>SUMIF('R&amp;D'!B$5:B$665,$A26,'R&amp;D'!AX$5:AX$665)</f>
        <v>999.61500000000001</v>
      </c>
    </row>
    <row r="27" spans="1:14" ht="12.75" customHeight="1">
      <c r="A27" s="470" t="s">
        <v>1290</v>
      </c>
      <c r="B27" s="521">
        <f>SUMIF('R&amp;D'!B$5:B$665,$A27,'R&amp;D'!AL$5:AL$665)</f>
        <v>970</v>
      </c>
      <c r="C27" s="521">
        <f>SUMIF('R&amp;D'!B$5:B$665,$A27,'R&amp;D'!AM$5:AM$665)</f>
        <v>810</v>
      </c>
      <c r="D27" s="521">
        <f>SUMIF('R&amp;D'!B$5:B$665,$A27,'R&amp;D'!AN$5:AN$665)</f>
        <v>730</v>
      </c>
      <c r="E27" s="521">
        <f>SUMIF('R&amp;D'!B$5:B$665,$A27,'R&amp;D'!AO$5:AO$665)</f>
        <v>580</v>
      </c>
      <c r="F27" s="521">
        <f>SUMIF('R&amp;D'!B$5:B$665,$A27,'R&amp;D'!AP$5:AP$665)</f>
        <v>520</v>
      </c>
      <c r="G27" s="521">
        <f>SUMIF('R&amp;D'!B$5:B$665,$A27,'R&amp;D'!AQ$5:AQ$665)</f>
        <v>420</v>
      </c>
      <c r="H27" s="521">
        <f>SUMIF('R&amp;D'!B$5:B$665,$A27,'R&amp;D'!AR$5:AR$665)</f>
        <v>440</v>
      </c>
      <c r="I27" s="521">
        <f>SUMIF('R&amp;D'!B$5:B$665,$A27,'R&amp;D'!AS$5:AS$665)</f>
        <v>550</v>
      </c>
      <c r="J27" s="521">
        <f>SUMIF('R&amp;D'!B$5:B$665,$A27,'R&amp;D'!AT$5:AT$665)</f>
        <v>760</v>
      </c>
      <c r="K27" s="521">
        <f>SUMIF('R&amp;D'!B$5:B$665,$A27,'R&amp;D'!AU$5:AU$665)</f>
        <v>780</v>
      </c>
      <c r="L27" s="521">
        <f>SUMIF('R&amp;D'!B$5:B$665,$A27,'R&amp;D'!AV$5:AV$665)</f>
        <v>780</v>
      </c>
      <c r="M27" s="527">
        <f>SUMIF('R&amp;D'!B$5:B$665,$A27,'R&amp;D'!AW$5:AW$665)</f>
        <v>780</v>
      </c>
      <c r="N27" s="528">
        <f>SUMIF('R&amp;D'!B$5:B$665,$A27,'R&amp;D'!AX$5:AX$665)</f>
        <v>770</v>
      </c>
    </row>
    <row r="28" spans="1:14" ht="12.75" customHeight="1">
      <c r="A28" s="470" t="s">
        <v>1293</v>
      </c>
      <c r="B28" s="521">
        <f>SUMIF('R&amp;D'!B$5:B$665,$A28,'R&amp;D'!AL$5:AL$665)</f>
        <v>1858</v>
      </c>
      <c r="C28" s="521">
        <f>SUMIF('R&amp;D'!B$5:B$665,$A28,'R&amp;D'!AM$5:AM$665)</f>
        <v>2047</v>
      </c>
      <c r="D28" s="521">
        <f>SUMIF('R&amp;D'!B$5:B$665,$A28,'R&amp;D'!AN$5:AN$665)</f>
        <v>2138</v>
      </c>
      <c r="E28" s="521">
        <f>SUMIF('R&amp;D'!B$5:B$665,$A28,'R&amp;D'!AO$5:AO$665)</f>
        <v>2043</v>
      </c>
      <c r="F28" s="521">
        <f>SUMIF('R&amp;D'!B$5:B$665,$A28,'R&amp;D'!AP$5:AP$665)</f>
        <v>2003</v>
      </c>
      <c r="G28" s="521">
        <f>SUMIF('R&amp;D'!B$5:B$665,$A28,'R&amp;D'!AQ$5:AQ$665)</f>
        <v>2153</v>
      </c>
      <c r="H28" s="521">
        <f>SUMIF('R&amp;D'!B$5:B$665,$A28,'R&amp;D'!AR$5:AR$665)</f>
        <v>2158</v>
      </c>
      <c r="I28" s="521">
        <f>SUMIF('R&amp;D'!B$5:B$665,$A28,'R&amp;D'!AS$5:AS$665)</f>
        <v>2316</v>
      </c>
      <c r="J28" s="521">
        <f>SUMIF('R&amp;D'!B$5:B$665,$A28,'R&amp;D'!AT$5:AT$665)</f>
        <v>2994</v>
      </c>
      <c r="K28" s="521">
        <f>SUMIF('R&amp;D'!B$5:B$665,$A28,'R&amp;D'!AU$5:AU$665)</f>
        <v>3344</v>
      </c>
      <c r="L28" s="521">
        <f>SUMIF('R&amp;D'!B$5:B$665,$A28,'R&amp;D'!AV$5:AV$665)</f>
        <v>3618</v>
      </c>
      <c r="M28" s="527">
        <f>SUMIF('R&amp;D'!B$5:B$665,$A28,'R&amp;D'!AW$5:AW$665)</f>
        <v>3828</v>
      </c>
      <c r="N28" s="528">
        <f>SUMIF('R&amp;D'!B$5:B$665,$A28,'R&amp;D'!AX$5:AX$665)</f>
        <v>3817</v>
      </c>
    </row>
    <row r="29" spans="1:14" ht="12.75" customHeight="1">
      <c r="A29" s="470" t="s">
        <v>784</v>
      </c>
      <c r="B29" s="521">
        <f>SUMIF('R&amp;D'!B$5:B$665,$A29,'R&amp;D'!AL$5:AL$665)</f>
        <v>0</v>
      </c>
      <c r="C29" s="521">
        <f>SUMIF('R&amp;D'!B$5:B$665,$A29,'R&amp;D'!AM$5:AM$665)</f>
        <v>0</v>
      </c>
      <c r="D29" s="521">
        <f>SUMIF('R&amp;D'!B$5:B$665,$A29,'R&amp;D'!AN$5:AN$665)</f>
        <v>0</v>
      </c>
      <c r="E29" s="521">
        <f>SUMIF('R&amp;D'!B$5:B$665,$A29,'R&amp;D'!AO$5:AO$665)</f>
        <v>402.21499999999997</v>
      </c>
      <c r="F29" s="521">
        <f>SUMIF('R&amp;D'!B$5:B$665,$A29,'R&amp;D'!AP$5:AP$665)</f>
        <v>923.70899999999995</v>
      </c>
      <c r="G29" s="521">
        <f>SUMIF('R&amp;D'!B$5:B$665,$A29,'R&amp;D'!AQ$5:AQ$665)</f>
        <v>894.01599999999996</v>
      </c>
      <c r="H29" s="521">
        <f>SUMIF('R&amp;D'!B$5:B$665,$A29,'R&amp;D'!AR$5:AR$665)</f>
        <v>902.06200000000001</v>
      </c>
      <c r="I29" s="521">
        <f>SUMIF('R&amp;D'!B$5:B$665,$A29,'R&amp;D'!AS$5:AS$665)</f>
        <v>1918.299</v>
      </c>
      <c r="J29" s="521">
        <f>SUMIF('R&amp;D'!B$5:B$665,$A29,'R&amp;D'!AT$5:AT$665)</f>
        <v>930.65899999999999</v>
      </c>
      <c r="K29" s="521">
        <f>SUMIF('R&amp;D'!B$5:B$665,$A29,'R&amp;D'!AU$5:AU$665)</f>
        <v>951.18799999999999</v>
      </c>
      <c r="L29" s="521">
        <f>SUMIF('R&amp;D'!B$5:B$665,$A29,'R&amp;D'!AV$5:AV$665)</f>
        <v>1005.2809999999999</v>
      </c>
      <c r="M29" s="527">
        <f>SUMIF('R&amp;D'!B$5:B$665,$A29,'R&amp;D'!AW$5:AW$665)</f>
        <v>1064.3979999999999</v>
      </c>
      <c r="N29" s="528">
        <f>SUMIF('R&amp;D'!B$5:B$665,$A29,'R&amp;D'!AX$5:AX$665)</f>
        <v>1098.809</v>
      </c>
    </row>
    <row r="30" spans="1:14" ht="12.75" customHeight="1">
      <c r="A30" s="470" t="s">
        <v>788</v>
      </c>
      <c r="B30" s="521">
        <f>SUMIF('R&amp;D'!B$5:B$665,$A30,'R&amp;D'!AL$5:AL$665)</f>
        <v>0</v>
      </c>
      <c r="C30" s="521">
        <f>SUMIF('R&amp;D'!B$5:B$665,$A30,'R&amp;D'!AM$5:AM$665)</f>
        <v>0</v>
      </c>
      <c r="D30" s="521">
        <f>SUMIF('R&amp;D'!B$5:B$665,$A30,'R&amp;D'!AN$5:AN$665)</f>
        <v>0</v>
      </c>
      <c r="E30" s="521">
        <f>SUMIF('R&amp;D'!B$5:B$665,$A30,'R&amp;D'!AO$5:AO$665)</f>
        <v>505.95299999999997</v>
      </c>
      <c r="F30" s="521">
        <f>SUMIF('R&amp;D'!B$5:B$665,$A30,'R&amp;D'!AP$5:AP$665)</f>
        <v>1019.495</v>
      </c>
      <c r="G30" s="521">
        <f>SUMIF('R&amp;D'!B$5:B$665,$A30,'R&amp;D'!AQ$5:AQ$665)</f>
        <v>1027.0840000000001</v>
      </c>
      <c r="H30" s="521">
        <f>SUMIF('R&amp;D'!B$5:B$665,$A30,'R&amp;D'!AR$5:AR$665)</f>
        <v>1036.328</v>
      </c>
      <c r="I30" s="521">
        <f>SUMIF('R&amp;D'!B$5:B$665,$A30,'R&amp;D'!AS$5:AS$665)</f>
        <v>1054.981</v>
      </c>
      <c r="J30" s="521">
        <f>SUMIF('R&amp;D'!B$5:B$665,$A30,'R&amp;D'!AT$5:AT$665)</f>
        <v>1069.181</v>
      </c>
      <c r="K30" s="521">
        <f>SUMIF('R&amp;D'!B$5:B$665,$A30,'R&amp;D'!AU$5:AU$665)</f>
        <v>1092.7660000000001</v>
      </c>
      <c r="L30" s="521">
        <f>SUMIF('R&amp;D'!B$5:B$665,$A30,'R&amp;D'!AV$5:AV$665)</f>
        <v>1154.9110000000001</v>
      </c>
      <c r="M30" s="527">
        <f>SUMIF('R&amp;D'!B$5:B$665,$A30,'R&amp;D'!AW$5:AW$665)</f>
        <v>1222.827</v>
      </c>
      <c r="N30" s="528">
        <f>SUMIF('R&amp;D'!B$5:B$665,$A30,'R&amp;D'!AX$5:AX$665)</f>
        <v>1262.3599999999999</v>
      </c>
    </row>
    <row r="31" spans="1:14" ht="12.75" customHeight="1">
      <c r="A31" s="72" t="s">
        <v>1622</v>
      </c>
      <c r="B31" s="139">
        <f t="shared" ref="B31:M31" si="0">SUM(B11:B30)</f>
        <v>6943.2110000000002</v>
      </c>
      <c r="C31" s="139">
        <f t="shared" si="0"/>
        <v>7025.6487546200005</v>
      </c>
      <c r="D31" s="139">
        <f t="shared" si="0"/>
        <v>6865.3020000000006</v>
      </c>
      <c r="E31" s="139">
        <f t="shared" si="0"/>
        <v>7606.6930000000011</v>
      </c>
      <c r="F31" s="139">
        <f t="shared" si="0"/>
        <v>9001.3521500000006</v>
      </c>
      <c r="G31" s="139">
        <f t="shared" si="0"/>
        <v>8975.4429999999993</v>
      </c>
      <c r="H31" s="139">
        <f t="shared" si="0"/>
        <v>9177.8320000000003</v>
      </c>
      <c r="I31" s="139">
        <f t="shared" si="0"/>
        <v>11074.887770000001</v>
      </c>
      <c r="J31" s="139">
        <f t="shared" si="0"/>
        <v>11157.204610000001</v>
      </c>
      <c r="K31" s="517">
        <f t="shared" si="0"/>
        <v>11776.930999999999</v>
      </c>
      <c r="L31" s="440">
        <f t="shared" si="0"/>
        <v>12789.764999999999</v>
      </c>
      <c r="M31" s="518">
        <f t="shared" si="0"/>
        <v>13594.408999999998</v>
      </c>
      <c r="N31" s="139">
        <f>SUM(N11:N30)</f>
        <v>14048.216999999999</v>
      </c>
    </row>
    <row r="32" spans="1:14" ht="61.5" customHeight="1">
      <c r="A32" s="55" t="s">
        <v>3815</v>
      </c>
      <c r="B32" s="56"/>
      <c r="C32" s="56"/>
      <c r="D32" s="56"/>
      <c r="E32" s="56"/>
      <c r="F32" s="56"/>
      <c r="G32" s="56"/>
      <c r="H32" s="56"/>
      <c r="I32" s="56"/>
      <c r="J32" s="56"/>
      <c r="K32" s="52"/>
      <c r="L32" s="52"/>
    </row>
    <row r="33" spans="1:14">
      <c r="A33" s="52"/>
      <c r="B33" s="52"/>
      <c r="C33" s="52"/>
      <c r="D33" s="52"/>
      <c r="E33" s="52"/>
      <c r="F33" s="52"/>
      <c r="G33" s="52"/>
      <c r="H33" s="52"/>
      <c r="I33" s="52"/>
      <c r="J33" s="56"/>
      <c r="K33" s="52"/>
      <c r="L33" s="52"/>
    </row>
    <row r="34" spans="1:14" ht="34.5" customHeight="1">
      <c r="A34" s="705" t="s">
        <v>3816</v>
      </c>
      <c r="B34" s="690" t="s">
        <v>1100</v>
      </c>
      <c r="C34" s="690" t="s">
        <v>1100</v>
      </c>
      <c r="D34" s="690" t="s">
        <v>1100</v>
      </c>
      <c r="E34" s="690" t="s">
        <v>1100</v>
      </c>
      <c r="F34" s="690" t="s">
        <v>1100</v>
      </c>
      <c r="G34" s="690" t="s">
        <v>1100</v>
      </c>
      <c r="H34" s="690" t="s">
        <v>1100</v>
      </c>
      <c r="I34" s="690" t="s">
        <v>1100</v>
      </c>
      <c r="J34" s="691" t="s">
        <v>1100</v>
      </c>
      <c r="K34" s="443"/>
      <c r="L34" s="443"/>
      <c r="M34" s="442" t="s">
        <v>201</v>
      </c>
      <c r="N34" s="577" t="s">
        <v>202</v>
      </c>
    </row>
    <row r="35" spans="1:14" ht="12.75" customHeight="1">
      <c r="A35" s="60" t="s">
        <v>3814</v>
      </c>
      <c r="B35" s="672" t="s">
        <v>3803</v>
      </c>
      <c r="C35" s="672" t="s">
        <v>3804</v>
      </c>
      <c r="D35" s="672" t="s">
        <v>3805</v>
      </c>
      <c r="E35" s="672" t="s">
        <v>72</v>
      </c>
      <c r="F35" s="672" t="s">
        <v>69</v>
      </c>
      <c r="G35" s="672" t="s">
        <v>66</v>
      </c>
      <c r="H35" s="672" t="s">
        <v>62</v>
      </c>
      <c r="I35" s="672" t="s">
        <v>59</v>
      </c>
      <c r="J35" s="692" t="s">
        <v>55</v>
      </c>
      <c r="K35" s="626" t="s">
        <v>52</v>
      </c>
      <c r="L35" s="626" t="s">
        <v>49</v>
      </c>
      <c r="M35" s="693" t="s">
        <v>46</v>
      </c>
      <c r="N35" s="694" t="s">
        <v>42</v>
      </c>
    </row>
    <row r="36" spans="1:14" ht="12.75" customHeight="1">
      <c r="A36" s="6" t="s">
        <v>546</v>
      </c>
      <c r="B36" s="521">
        <f>B11/Sector!AK$78</f>
        <v>0</v>
      </c>
      <c r="C36" s="521">
        <f>C11/Sector!AL$78</f>
        <v>0</v>
      </c>
      <c r="D36" s="521">
        <f>D11/Sector!AM$78</f>
        <v>0</v>
      </c>
      <c r="E36" s="521">
        <f>E11/Sector!AN$78</f>
        <v>0</v>
      </c>
      <c r="F36" s="521">
        <f>F11/Sector!AO$78</f>
        <v>0</v>
      </c>
      <c r="G36" s="521">
        <f>G11/Sector!AP$78</f>
        <v>0</v>
      </c>
      <c r="H36" s="521">
        <f>H11/Sector!AQ$78</f>
        <v>0</v>
      </c>
      <c r="I36" s="521">
        <f>I11/Sector!AR$78</f>
        <v>0</v>
      </c>
      <c r="J36" s="521">
        <f>J11/Sector!AS$78</f>
        <v>0</v>
      </c>
      <c r="K36" s="521">
        <f>K11/Sector!AT$78</f>
        <v>0</v>
      </c>
      <c r="L36" s="521">
        <f>L11/Sector!AU$78</f>
        <v>216.93079922027289</v>
      </c>
      <c r="M36" s="522">
        <f>M11/Sector!AV$78</f>
        <v>139.35961829418096</v>
      </c>
      <c r="N36" s="523">
        <f>N11/Sector!AW$78</f>
        <v>186.36456209756372</v>
      </c>
    </row>
    <row r="37" spans="1:14" ht="12.75" customHeight="1">
      <c r="A37" s="470" t="s">
        <v>392</v>
      </c>
      <c r="B37" s="521">
        <f>B12/Sector!AK$78</f>
        <v>135.1358344113842</v>
      </c>
      <c r="C37" s="521">
        <f>C12/Sector!AL$78</f>
        <v>123.25227568270482</v>
      </c>
      <c r="D37" s="521">
        <f>D12/Sector!AM$78</f>
        <v>123.01834862385321</v>
      </c>
      <c r="E37" s="521">
        <f>E12/Sector!AN$78</f>
        <v>137.06953223767383</v>
      </c>
      <c r="F37" s="521">
        <f>F12/Sector!AO$78</f>
        <v>131.03970223325064</v>
      </c>
      <c r="G37" s="521">
        <f>G12/Sector!AP$78</f>
        <v>136.26258992805754</v>
      </c>
      <c r="H37" s="521">
        <f>H12/Sector!AQ$78</f>
        <v>145.2235294117647</v>
      </c>
      <c r="I37" s="521">
        <f>I12/Sector!AR$78</f>
        <v>225.17922374429227</v>
      </c>
      <c r="J37" s="521">
        <f>J12/Sector!AS$78</f>
        <v>230.53354632587858</v>
      </c>
      <c r="K37" s="521">
        <f>K12/Sector!AT$78</f>
        <v>206.67099999999999</v>
      </c>
      <c r="L37" s="521">
        <f>L12/Sector!AU$78</f>
        <v>269.22417153996099</v>
      </c>
      <c r="M37" s="522">
        <f>M12/Sector!AV$78</f>
        <v>244.68633058721414</v>
      </c>
      <c r="N37" s="523">
        <f>N12/Sector!AW$78</f>
        <v>258.23071486300887</v>
      </c>
    </row>
    <row r="38" spans="1:14" ht="12.75" customHeight="1">
      <c r="A38" s="470" t="s">
        <v>821</v>
      </c>
      <c r="B38" s="521">
        <f>B13/Sector!AK$78</f>
        <v>128.31824062095731</v>
      </c>
      <c r="C38" s="521">
        <f>C13/Sector!AL$78</f>
        <v>131.53836150845254</v>
      </c>
      <c r="D38" s="521">
        <f>D13/Sector!AM$78</f>
        <v>123.37221494102228</v>
      </c>
      <c r="E38" s="521">
        <f>E13/Sector!AN$78</f>
        <v>130.87737041719345</v>
      </c>
      <c r="F38" s="521">
        <f>F13/Sector!AO$78</f>
        <v>133.65632754342434</v>
      </c>
      <c r="G38" s="521">
        <f>G13/Sector!AP$78</f>
        <v>128.6187050359712</v>
      </c>
      <c r="H38" s="521">
        <f>H13/Sector!AQ$78</f>
        <v>127.04588235294119</v>
      </c>
      <c r="I38" s="521">
        <f>I13/Sector!AR$78</f>
        <v>110.38584474885846</v>
      </c>
      <c r="J38" s="521">
        <f>J13/Sector!AS$78</f>
        <v>107.08519701810435</v>
      </c>
      <c r="K38" s="521">
        <f>K13/Sector!AT$78</f>
        <v>102.102</v>
      </c>
      <c r="L38" s="521">
        <f>L13/Sector!AU$78</f>
        <v>110.03216374269006</v>
      </c>
      <c r="M38" s="522">
        <f>M13/Sector!AV$78</f>
        <v>111.04281384727024</v>
      </c>
      <c r="N38" s="523">
        <f>N13/Sector!AW$78</f>
        <v>113.05019177377675</v>
      </c>
    </row>
    <row r="39" spans="1:14" ht="12.75" customHeight="1">
      <c r="A39" s="470" t="s">
        <v>697</v>
      </c>
      <c r="B39" s="521">
        <f>B14/Sector!AK$78</f>
        <v>0</v>
      </c>
      <c r="C39" s="521">
        <f>C14/Sector!AL$78</f>
        <v>0</v>
      </c>
      <c r="D39" s="521">
        <f>D14/Sector!AM$78</f>
        <v>0</v>
      </c>
      <c r="E39" s="521">
        <f>E14/Sector!AN$78</f>
        <v>0</v>
      </c>
      <c r="F39" s="521">
        <f>F14/Sector!AO$78</f>
        <v>0</v>
      </c>
      <c r="G39" s="521">
        <f>G14/Sector!AP$78</f>
        <v>0</v>
      </c>
      <c r="H39" s="521">
        <f>H14/Sector!AQ$78</f>
        <v>0</v>
      </c>
      <c r="I39" s="521">
        <f>I14/Sector!AR$78</f>
        <v>0</v>
      </c>
      <c r="J39" s="521">
        <f>J14/Sector!AS$78</f>
        <v>0</v>
      </c>
      <c r="K39" s="521">
        <f>K14/Sector!AT$78</f>
        <v>0</v>
      </c>
      <c r="L39" s="521">
        <f>L14/Sector!AU$78</f>
        <v>10.011695906432749</v>
      </c>
      <c r="M39" s="522">
        <f>M14/Sector!AV$78</f>
        <v>179.42070640239416</v>
      </c>
      <c r="N39" s="523">
        <f>N14/Sector!AW$78</f>
        <v>177.38317136447498</v>
      </c>
    </row>
    <row r="40" spans="1:14" ht="12.75" customHeight="1">
      <c r="A40" s="470" t="s">
        <v>1147</v>
      </c>
      <c r="B40" s="521">
        <f>B15/Sector!AK$78</f>
        <v>273.13842173350582</v>
      </c>
      <c r="C40" s="521">
        <f>C15/Sector!AL$78</f>
        <v>330.10793237971393</v>
      </c>
      <c r="D40" s="521">
        <f>D15/Sector!AM$78</f>
        <v>252.44560943643515</v>
      </c>
      <c r="E40" s="521">
        <f>E15/Sector!AN$78</f>
        <v>268.23640960809104</v>
      </c>
      <c r="F40" s="521">
        <f>F15/Sector!AO$78</f>
        <v>271.90527295285364</v>
      </c>
      <c r="G40" s="521">
        <f>G15/Sector!AP$78</f>
        <v>290.80695443645078</v>
      </c>
      <c r="H40" s="521">
        <f>H15/Sector!AQ$78</f>
        <v>303.31529411764706</v>
      </c>
      <c r="I40" s="521">
        <f>I15/Sector!AR$78</f>
        <v>297.38672374429223</v>
      </c>
      <c r="J40" s="521">
        <f>J15/Sector!AS$78</f>
        <v>279.87285410010651</v>
      </c>
      <c r="K40" s="521">
        <f>K15/Sector!AT$78</f>
        <v>264.42899999999997</v>
      </c>
      <c r="L40" s="521">
        <f>L15/Sector!AU$78</f>
        <v>260.2095516569201</v>
      </c>
      <c r="M40" s="522">
        <f>M15/Sector!AV$78</f>
        <v>251.07781619498866</v>
      </c>
      <c r="N40" s="523">
        <f>N15/Sector!AW$78</f>
        <v>249.22114869104186</v>
      </c>
    </row>
    <row r="41" spans="1:14" ht="12.75" customHeight="1">
      <c r="A41" s="470" t="s">
        <v>408</v>
      </c>
      <c r="B41" s="521">
        <f>B16/Sector!AK$78</f>
        <v>343.01423027166879</v>
      </c>
      <c r="C41" s="521">
        <f>C16/Sector!AL$78</f>
        <v>347.55656697009101</v>
      </c>
      <c r="D41" s="521">
        <f>D16/Sector!AM$78</f>
        <v>220.98689384010484</v>
      </c>
      <c r="E41" s="521">
        <f>E16/Sector!AN$78</f>
        <v>250.84702907711758</v>
      </c>
      <c r="F41" s="521">
        <f>F16/Sector!AO$78</f>
        <v>322.57816377171218</v>
      </c>
      <c r="G41" s="521">
        <f>G16/Sector!AP$78</f>
        <v>286.56714628297362</v>
      </c>
      <c r="H41" s="521">
        <f>H16/Sector!AQ$78</f>
        <v>272.19764705882352</v>
      </c>
      <c r="I41" s="521">
        <f>I16/Sector!AR$78</f>
        <v>259.74315068493155</v>
      </c>
      <c r="J41" s="521">
        <f>J16/Sector!AS$78</f>
        <v>449.4238551650692</v>
      </c>
      <c r="K41" s="521">
        <f>K16/Sector!AT$78</f>
        <v>312.63</v>
      </c>
      <c r="L41" s="521">
        <f>L16/Sector!AU$78</f>
        <v>312.82943469785579</v>
      </c>
      <c r="M41" s="522">
        <f>M16/Sector!AV$78</f>
        <v>402.84192503426715</v>
      </c>
      <c r="N41" s="523">
        <f>N16/Sector!AW$78</f>
        <v>665.8062826814546</v>
      </c>
    </row>
    <row r="42" spans="1:14" ht="12.75" customHeight="1">
      <c r="A42" s="470" t="s">
        <v>692</v>
      </c>
      <c r="B42" s="521">
        <f>B17/Sector!AK$78</f>
        <v>1142.6701164294955</v>
      </c>
      <c r="C42" s="521">
        <f>C17/Sector!AL$78</f>
        <v>1109.1001300390117</v>
      </c>
      <c r="D42" s="521">
        <f>D17/Sector!AM$78</f>
        <v>1068.5504587155963</v>
      </c>
      <c r="E42" s="521">
        <f>E17/Sector!AN$78</f>
        <v>940.15423514538577</v>
      </c>
      <c r="F42" s="521">
        <f>F17/Sector!AO$78</f>
        <v>940.48387096774195</v>
      </c>
      <c r="G42" s="521">
        <f>G17/Sector!AP$78</f>
        <v>903.29856115107907</v>
      </c>
      <c r="H42" s="521">
        <f>H17/Sector!AQ$78</f>
        <v>897.10705882352954</v>
      </c>
      <c r="I42" s="521">
        <f>I17/Sector!AR$78</f>
        <v>817.91324200913243</v>
      </c>
      <c r="J42" s="521">
        <f>J17/Sector!AS$78</f>
        <v>855.90521831735884</v>
      </c>
      <c r="K42" s="521">
        <f>K17/Sector!AT$78</f>
        <v>831.59400000000005</v>
      </c>
      <c r="L42" s="521">
        <f>L17/Sector!AU$78</f>
        <v>828.79532163742692</v>
      </c>
      <c r="M42" s="522">
        <f>M17/Sector!AV$78</f>
        <v>974.46915477393111</v>
      </c>
      <c r="N42" s="523">
        <f>N17/Sector!AW$78</f>
        <v>973.19280739274654</v>
      </c>
    </row>
    <row r="43" spans="1:14" ht="12.75" customHeight="1">
      <c r="A43" s="470" t="s">
        <v>1194</v>
      </c>
      <c r="B43" s="521">
        <f>B18/Sector!AK$78</f>
        <v>1006.6972833117724</v>
      </c>
      <c r="C43" s="521">
        <f>C18/Sector!AL$78</f>
        <v>969.13914174252272</v>
      </c>
      <c r="D43" s="521">
        <f>D18/Sector!AM$78</f>
        <v>983.33027522935777</v>
      </c>
      <c r="E43" s="521">
        <f>E18/Sector!AN$78</f>
        <v>995.28065739570184</v>
      </c>
      <c r="F43" s="521">
        <f>F18/Sector!AO$78</f>
        <v>984.55210918114153</v>
      </c>
      <c r="G43" s="521">
        <f>G18/Sector!AP$78</f>
        <v>1000.6726618705036</v>
      </c>
      <c r="H43" s="521">
        <f>H18/Sector!AQ$78</f>
        <v>985.73294117647072</v>
      </c>
      <c r="I43" s="521">
        <f>I18/Sector!AR$78</f>
        <v>1096.5034246575344</v>
      </c>
      <c r="J43" s="521">
        <f>J18/Sector!AS$78</f>
        <v>1010.689030883919</v>
      </c>
      <c r="K43" s="521">
        <f>K18/Sector!AT$78</f>
        <v>991.13400000000001</v>
      </c>
      <c r="L43" s="521">
        <f>L18/Sector!AU$78</f>
        <v>983.66374269005848</v>
      </c>
      <c r="M43" s="522">
        <f>M18/Sector!AV$78</f>
        <v>869.32836281024254</v>
      </c>
      <c r="N43" s="523">
        <f>N18/Sector!AW$78</f>
        <v>923.33167239121133</v>
      </c>
    </row>
    <row r="44" spans="1:14" ht="12.75" customHeight="1">
      <c r="A44" s="470" t="s">
        <v>1198</v>
      </c>
      <c r="B44" s="521">
        <f>B19/Sector!AK$78</f>
        <v>190.28589909443727</v>
      </c>
      <c r="C44" s="521">
        <f>C19/Sector!AL$78</f>
        <v>194.87646293888167</v>
      </c>
      <c r="D44" s="521">
        <f>D19/Sector!AM$78</f>
        <v>184.73656618610747</v>
      </c>
      <c r="E44" s="521">
        <f>E19/Sector!AN$78</f>
        <v>189.01896333754743</v>
      </c>
      <c r="F44" s="521">
        <f>F19/Sector!AO$78</f>
        <v>199.46401985111663</v>
      </c>
      <c r="G44" s="521">
        <f>G19/Sector!AP$78</f>
        <v>200.64868105515586</v>
      </c>
      <c r="H44" s="521">
        <f>H19/Sector!AQ$78</f>
        <v>153.8964705882353</v>
      </c>
      <c r="I44" s="521">
        <f>I19/Sector!AR$78</f>
        <v>267.3150684931507</v>
      </c>
      <c r="J44" s="521">
        <f>J19/Sector!AS$78</f>
        <v>199.51331203407878</v>
      </c>
      <c r="K44" s="521">
        <f>K19/Sector!AT$78</f>
        <v>199.374</v>
      </c>
      <c r="L44" s="521">
        <f>L19/Sector!AU$78</f>
        <v>195.45029239766083</v>
      </c>
      <c r="M44" s="522">
        <f>M19/Sector!AV$78</f>
        <v>199.24209008598814</v>
      </c>
      <c r="N44" s="523">
        <f>N19/Sector!AW$78</f>
        <v>193.76155398439914</v>
      </c>
    </row>
    <row r="45" spans="1:14" ht="12.75" customHeight="1">
      <c r="A45" s="470" t="s">
        <v>568</v>
      </c>
      <c r="B45" s="521">
        <f>B20/Sector!AK$78</f>
        <v>550.66494178525227</v>
      </c>
      <c r="C45" s="521">
        <f>C20/Sector!AL$78</f>
        <v>571.86736020806245</v>
      </c>
      <c r="D45" s="521">
        <f>D20/Sector!AM$78</f>
        <v>659.87287024901707</v>
      </c>
      <c r="E45" s="521">
        <f>E20/Sector!AN$78</f>
        <v>565.69911504424783</v>
      </c>
      <c r="F45" s="521">
        <f>F20/Sector!AO$78</f>
        <v>585.44168734491313</v>
      </c>
      <c r="G45" s="521">
        <f>G20/Sector!AP$78</f>
        <v>562.05515587529976</v>
      </c>
      <c r="H45" s="521">
        <f>H20/Sector!AQ$78</f>
        <v>444.36705882352942</v>
      </c>
      <c r="I45" s="521">
        <f>I20/Sector!AR$78</f>
        <v>504.25456621004577</v>
      </c>
      <c r="J45" s="521">
        <f>J20/Sector!AS$78</f>
        <v>525.24920127795519</v>
      </c>
      <c r="K45" s="521">
        <f>K20/Sector!AT$78</f>
        <v>512.95899999999995</v>
      </c>
      <c r="L45" s="521">
        <f>L20/Sector!AU$78</f>
        <v>476.01754385964909</v>
      </c>
      <c r="M45" s="522">
        <f>M20/Sector!AV$78</f>
        <v>510.59413876676001</v>
      </c>
      <c r="N45" s="523">
        <f>N20/Sector!AW$78</f>
        <v>510.03273375529807</v>
      </c>
    </row>
    <row r="46" spans="1:14" ht="12.75" customHeight="1">
      <c r="A46" s="470" t="s">
        <v>303</v>
      </c>
      <c r="B46" s="521">
        <f>B21/Sector!AK$78</f>
        <v>88.92884864165589</v>
      </c>
      <c r="C46" s="521">
        <f>C21/Sector!AL$78</f>
        <v>88.229199765929778</v>
      </c>
      <c r="D46" s="521">
        <f>D21/Sector!AM$78</f>
        <v>92.038007863695924</v>
      </c>
      <c r="E46" s="521">
        <f>E21/Sector!AN$78</f>
        <v>90.886219974715559</v>
      </c>
      <c r="F46" s="521">
        <f>F21/Sector!AO$78</f>
        <v>105.03473945409431</v>
      </c>
      <c r="G46" s="521">
        <f>G21/Sector!AP$78</f>
        <v>72.742206235011992</v>
      </c>
      <c r="H46" s="521">
        <f>H21/Sector!AQ$78</f>
        <v>85.337647058823535</v>
      </c>
      <c r="I46" s="521">
        <f>I21/Sector!AR$78</f>
        <v>73.947488584474897</v>
      </c>
      <c r="J46" s="521">
        <f>J21/Sector!AS$78</f>
        <v>96.263045793397225</v>
      </c>
      <c r="K46" s="521">
        <f>K21/Sector!AT$78</f>
        <v>83.802999999999997</v>
      </c>
      <c r="L46" s="521">
        <f>L21/Sector!AU$78</f>
        <v>155.68615984405457</v>
      </c>
      <c r="M46" s="522">
        <f>M21/Sector!AV$78</f>
        <v>120.26009874646063</v>
      </c>
      <c r="N46" s="523">
        <f>N21/Sector!AW$78</f>
        <v>102.51445599590478</v>
      </c>
    </row>
    <row r="47" spans="1:14" ht="12.75" customHeight="1">
      <c r="A47" s="6" t="s">
        <v>310</v>
      </c>
      <c r="B47" s="521">
        <f>B22/Sector!AK$78</f>
        <v>0</v>
      </c>
      <c r="C47" s="521">
        <f>C22/Sector!AL$78</f>
        <v>0</v>
      </c>
      <c r="D47" s="521">
        <f>D22/Sector!AM$78</f>
        <v>0</v>
      </c>
      <c r="E47" s="521">
        <f>E22/Sector!AN$78</f>
        <v>62.329962073324907</v>
      </c>
      <c r="F47" s="521">
        <f>F22/Sector!AO$78</f>
        <v>88.055831265508687</v>
      </c>
      <c r="G47" s="521">
        <f>G22/Sector!AP$78</f>
        <v>94.874100719424447</v>
      </c>
      <c r="H47" s="521">
        <f>H22/Sector!AQ$78</f>
        <v>90.615294117647053</v>
      </c>
      <c r="I47" s="521">
        <f>I22/Sector!AR$78</f>
        <v>92.117579908675808</v>
      </c>
      <c r="J47" s="521">
        <f>J22/Sector!AS$78</f>
        <v>110.87965921192757</v>
      </c>
      <c r="K47" s="521">
        <f>K22/Sector!AT$78</f>
        <v>105.26</v>
      </c>
      <c r="L47" s="521">
        <f>L22/Sector!AU$78</f>
        <v>84.113060428849892</v>
      </c>
      <c r="M47" s="522">
        <f>M22/Sector!AV$78</f>
        <v>95.470089118443568</v>
      </c>
      <c r="N47" s="523">
        <f>N22/Sector!AW$78</f>
        <v>94.52484071133027</v>
      </c>
    </row>
    <row r="48" spans="1:14" ht="12.75" customHeight="1">
      <c r="A48" s="470" t="s">
        <v>976</v>
      </c>
      <c r="B48" s="521">
        <f>B23/Sector!AK$78</f>
        <v>0</v>
      </c>
      <c r="C48" s="521">
        <f>C23/Sector!AL$78</f>
        <v>0</v>
      </c>
      <c r="D48" s="521">
        <f>D23/Sector!AM$78</f>
        <v>0</v>
      </c>
      <c r="E48" s="521">
        <f>E23/Sector!AN$78</f>
        <v>22.705436156763593</v>
      </c>
      <c r="F48" s="521">
        <f>F23/Sector!AO$78</f>
        <v>37.344913151364771</v>
      </c>
      <c r="G48" s="521">
        <f>G23/Sector!AP$78</f>
        <v>247.44004796163068</v>
      </c>
      <c r="H48" s="521">
        <f>H23/Sector!AQ$78</f>
        <v>441.79294117647061</v>
      </c>
      <c r="I48" s="521">
        <f>I23/Sector!AR$78</f>
        <v>682.57420091324207</v>
      </c>
      <c r="J48" s="521">
        <f>J23/Sector!AS$78</f>
        <v>484.44621938232154</v>
      </c>
      <c r="K48" s="521">
        <f>K23/Sector!AT$78</f>
        <v>598</v>
      </c>
      <c r="L48" s="521">
        <f>L23/Sector!AU$78</f>
        <v>633.52826510721241</v>
      </c>
      <c r="M48" s="522">
        <f>M23/Sector!AV$78</f>
        <v>616.57252078560816</v>
      </c>
      <c r="N48" s="523">
        <f>N23/Sector!AW$78</f>
        <v>610.46784236198823</v>
      </c>
    </row>
    <row r="49" spans="1:14" ht="12.75" customHeight="1">
      <c r="A49" s="470" t="s">
        <v>763</v>
      </c>
      <c r="B49" s="521">
        <f>B24/Sector!AK$78</f>
        <v>103.62225097024579</v>
      </c>
      <c r="C49" s="521">
        <f>C24/Sector!AL$78</f>
        <v>130.16905071521455</v>
      </c>
      <c r="D49" s="521">
        <f>D24/Sector!AM$78</f>
        <v>196.5923984272608</v>
      </c>
      <c r="E49" s="521">
        <f>E24/Sector!AN$78</f>
        <v>189.63337547408346</v>
      </c>
      <c r="F49" s="521">
        <f>F24/Sector!AO$78</f>
        <v>522.66377171215879</v>
      </c>
      <c r="G49" s="521">
        <f>G24/Sector!AP$78</f>
        <v>192.83213429256594</v>
      </c>
      <c r="H49" s="521">
        <f>H24/Sector!AQ$78</f>
        <v>211.65294117647059</v>
      </c>
      <c r="I49" s="521">
        <f>I24/Sector!AR$78</f>
        <v>292.63698630136992</v>
      </c>
      <c r="J49" s="521">
        <f>J24/Sector!AS$78</f>
        <v>291.33865814696486</v>
      </c>
      <c r="K49" s="521">
        <f>K24/Sector!AT$78</f>
        <v>286.04300000000001</v>
      </c>
      <c r="L49" s="521">
        <f>L24/Sector!AU$78</f>
        <v>392.09551656920081</v>
      </c>
      <c r="M49" s="522">
        <f>M24/Sector!AV$78</f>
        <v>476.7983760428375</v>
      </c>
      <c r="N49" s="523">
        <f>N24/Sector!AW$78</f>
        <v>436.48732483270942</v>
      </c>
    </row>
    <row r="50" spans="1:14" ht="12.75" customHeight="1">
      <c r="A50" s="470" t="s">
        <v>770</v>
      </c>
      <c r="B50" s="521">
        <f>B25/Sector!AK$78</f>
        <v>244.2432082794308</v>
      </c>
      <c r="C50" s="521">
        <f>C25/Sector!AL$78</f>
        <v>248.81989596879063</v>
      </c>
      <c r="D50" s="521">
        <f>D25/Sector!AM$78</f>
        <v>252.08387942332897</v>
      </c>
      <c r="E50" s="521">
        <f>E25/Sector!AN$78</f>
        <v>247.04930467762327</v>
      </c>
      <c r="F50" s="521">
        <f>F25/Sector!AO$78</f>
        <v>246.08870967741936</v>
      </c>
      <c r="G50" s="521">
        <f>G25/Sector!AP$78</f>
        <v>241.87290167865706</v>
      </c>
      <c r="H50" s="521">
        <f>H25/Sector!AQ$78</f>
        <v>241.70941176470589</v>
      </c>
      <c r="I50" s="521">
        <f>I25/Sector!AR$78</f>
        <v>239.34817351598178</v>
      </c>
      <c r="J50" s="521">
        <f>J25/Sector!AS$78</f>
        <v>225.73588924387647</v>
      </c>
      <c r="K50" s="521">
        <f>K25/Sector!AT$78</f>
        <v>216.64099999999999</v>
      </c>
      <c r="L50" s="521">
        <f>L25/Sector!AU$78</f>
        <v>223.15984405458087</v>
      </c>
      <c r="M50" s="522">
        <f>M25/Sector!AV$78</f>
        <v>229.95878449841823</v>
      </c>
      <c r="N50" s="523">
        <f>N25/Sector!AW$78</f>
        <v>235.04326784750867</v>
      </c>
    </row>
    <row r="51" spans="1:14" ht="12.75" customHeight="1">
      <c r="A51" s="470" t="s">
        <v>1030</v>
      </c>
      <c r="B51" s="521">
        <f>B26/Sector!AK$78</f>
        <v>1116.9689521345408</v>
      </c>
      <c r="C51" s="521">
        <f>C26/Sector!AL$78</f>
        <v>1176.2132639791937</v>
      </c>
      <c r="D51" s="521">
        <f>D26/Sector!AM$78</f>
        <v>1081.9003931847969</v>
      </c>
      <c r="E51" s="521">
        <f>E26/Sector!AN$78</f>
        <v>1062.5828065739572</v>
      </c>
      <c r="F51" s="521">
        <f>F26/Sector!AO$78</f>
        <v>1058.4255583126551</v>
      </c>
      <c r="G51" s="521">
        <f>G26/Sector!AP$78</f>
        <v>1014.6211031175059</v>
      </c>
      <c r="H51" s="521">
        <f>H26/Sector!AQ$78</f>
        <v>1060.5258823529412</v>
      </c>
      <c r="I51" s="521">
        <f>I26/Sector!AR$78</f>
        <v>1017.4155251141553</v>
      </c>
      <c r="J51" s="521">
        <f>J26/Sector!AS$78</f>
        <v>887.4462193823216</v>
      </c>
      <c r="K51" s="521">
        <f>K26/Sector!AT$78</f>
        <v>898.33699999999999</v>
      </c>
      <c r="L51" s="521">
        <f>L26/Sector!AU$78</f>
        <v>921.91033138401554</v>
      </c>
      <c r="M51" s="522">
        <f>M26/Sector!AV$78</f>
        <v>933.54296799040026</v>
      </c>
      <c r="N51" s="523">
        <f>N26/Sector!AW$78</f>
        <v>938.81971114258295</v>
      </c>
    </row>
    <row r="52" spans="1:14" ht="12.75" customHeight="1">
      <c r="A52" s="470" t="s">
        <v>1290</v>
      </c>
      <c r="B52" s="521">
        <f>B27/Sector!AK$78</f>
        <v>1254.8512289780078</v>
      </c>
      <c r="C52" s="521">
        <f>C27/Sector!AL$78</f>
        <v>1053.3159947984395</v>
      </c>
      <c r="D52" s="521">
        <f>D27/Sector!AM$78</f>
        <v>956.74967234600263</v>
      </c>
      <c r="E52" s="521">
        <f>E27/Sector!AN$78</f>
        <v>733.24905183312273</v>
      </c>
      <c r="F52" s="521">
        <f>F27/Sector!AO$78</f>
        <v>645.16129032258073</v>
      </c>
      <c r="G52" s="521">
        <f>G27/Sector!AP$78</f>
        <v>503.59712230215825</v>
      </c>
      <c r="H52" s="521">
        <f>H27/Sector!AQ$78</f>
        <v>517.64705882352939</v>
      </c>
      <c r="I52" s="521">
        <f>I27/Sector!AR$78</f>
        <v>627.85388127853889</v>
      </c>
      <c r="J52" s="521">
        <f>J27/Sector!AS$78</f>
        <v>809.3716719914803</v>
      </c>
      <c r="K52" s="521">
        <f>K27/Sector!AT$78</f>
        <v>780</v>
      </c>
      <c r="L52" s="521">
        <f>L27/Sector!AU$78</f>
        <v>760.23391812865498</v>
      </c>
      <c r="M52" s="522">
        <f>M27/Sector!AV$78</f>
        <v>739.88702494272979</v>
      </c>
      <c r="N52" s="523">
        <f>N27/Sector!AW$78</f>
        <v>723.16959787497069</v>
      </c>
    </row>
    <row r="53" spans="1:14" ht="12.75" customHeight="1">
      <c r="A53" s="470" t="s">
        <v>1293</v>
      </c>
      <c r="B53" s="521">
        <f>B28/Sector!AK$78</f>
        <v>2403.6222509702457</v>
      </c>
      <c r="C53" s="521">
        <f>C28/Sector!AL$78</f>
        <v>2661.8985695708711</v>
      </c>
      <c r="D53" s="521">
        <f>D28/Sector!AM$78</f>
        <v>2802.0969855832241</v>
      </c>
      <c r="E53" s="521">
        <f>E28/Sector!AN$78</f>
        <v>2582.8065739570166</v>
      </c>
      <c r="F53" s="521">
        <f>F28/Sector!AO$78</f>
        <v>2485.1116625310174</v>
      </c>
      <c r="G53" s="521">
        <f>G28/Sector!AP$78</f>
        <v>2581.5347721822541</v>
      </c>
      <c r="H53" s="521">
        <f>H28/Sector!AQ$78</f>
        <v>2538.8235294117649</v>
      </c>
      <c r="I53" s="521">
        <f>I28/Sector!AR$78</f>
        <v>2643.8356164383563</v>
      </c>
      <c r="J53" s="521">
        <f>J28/Sector!AS$78</f>
        <v>3188.4984025559102</v>
      </c>
      <c r="K53" s="521">
        <f>K28/Sector!AT$78</f>
        <v>3344</v>
      </c>
      <c r="L53" s="521">
        <f>L28/Sector!AU$78</f>
        <v>3526.3157894736842</v>
      </c>
      <c r="M53" s="522">
        <f>M28/Sector!AV$78</f>
        <v>3631.1378608727819</v>
      </c>
      <c r="N53" s="523">
        <f>N28/Sector!AW$78</f>
        <v>3584.8550066087837</v>
      </c>
    </row>
    <row r="54" spans="1:14" ht="12.75" customHeight="1">
      <c r="A54" s="470" t="s">
        <v>784</v>
      </c>
      <c r="B54" s="521">
        <f>B29/Sector!AK$78</f>
        <v>0</v>
      </c>
      <c r="C54" s="521">
        <f>C29/Sector!AL$78</f>
        <v>0</v>
      </c>
      <c r="D54" s="521">
        <f>D29/Sector!AM$78</f>
        <v>0</v>
      </c>
      <c r="E54" s="521">
        <f>E29/Sector!AN$78</f>
        <v>508.48925410872317</v>
      </c>
      <c r="F54" s="521">
        <f>F29/Sector!AO$78</f>
        <v>1146.0409429280396</v>
      </c>
      <c r="G54" s="521">
        <f>G29/Sector!AP$78</f>
        <v>1071.9616306954435</v>
      </c>
      <c r="H54" s="521">
        <f>H29/Sector!AQ$78</f>
        <v>1061.2494117647059</v>
      </c>
      <c r="I54" s="521">
        <f>I29/Sector!AR$78</f>
        <v>2189.8390410958905</v>
      </c>
      <c r="J54" s="521">
        <f>J29/Sector!AS$78</f>
        <v>991.11714589989344</v>
      </c>
      <c r="K54" s="521">
        <f>K29/Sector!AT$78</f>
        <v>951.18799999999999</v>
      </c>
      <c r="L54" s="521">
        <f>L29/Sector!AU$78</f>
        <v>979.80604288499023</v>
      </c>
      <c r="M54" s="522">
        <f>M29/Sector!AV$78</f>
        <v>1009.659319967938</v>
      </c>
      <c r="N54" s="523">
        <f>N29/Sector!AW$78</f>
        <v>1031.980860612206</v>
      </c>
    </row>
    <row r="55" spans="1:14" ht="12.75" customHeight="1">
      <c r="A55" s="470" t="s">
        <v>788</v>
      </c>
      <c r="B55" s="521">
        <f>B30/Sector!AK$78</f>
        <v>0</v>
      </c>
      <c r="C55" s="521">
        <f>C30/Sector!AL$78</f>
        <v>0</v>
      </c>
      <c r="D55" s="521">
        <f>D30/Sector!AM$78</f>
        <v>0</v>
      </c>
      <c r="E55" s="521">
        <f>E30/Sector!AN$78</f>
        <v>639.63716814159295</v>
      </c>
      <c r="F55" s="521">
        <f>F30/Sector!AO$78</f>
        <v>1264.8821339950373</v>
      </c>
      <c r="G55" s="521">
        <f>G30/Sector!AP$78</f>
        <v>1231.5155875299761</v>
      </c>
      <c r="H55" s="521">
        <f>H30/Sector!AQ$78</f>
        <v>1219.2094117647059</v>
      </c>
      <c r="I55" s="521">
        <f>I30/Sector!AR$78</f>
        <v>1204.3162100456623</v>
      </c>
      <c r="J55" s="521">
        <f>J30/Sector!AS$78</f>
        <v>1138.6379126730565</v>
      </c>
      <c r="K55" s="521">
        <f>K30/Sector!AT$78</f>
        <v>1092.7660000000001</v>
      </c>
      <c r="L55" s="521">
        <f>L30/Sector!AU$78</f>
        <v>1125.6442495126705</v>
      </c>
      <c r="M55" s="522">
        <f>M30/Sector!AV$78</f>
        <v>1159.9408090380045</v>
      </c>
      <c r="N55" s="523">
        <f>N30/Sector!AW$78</f>
        <v>1185.5849007447375</v>
      </c>
    </row>
    <row r="56" spans="1:14" ht="12.75" customHeight="1">
      <c r="A56" s="774" t="s">
        <v>1622</v>
      </c>
      <c r="B56" s="790">
        <f t="shared" ref="B56:M56" si="1">SUM(B36:B55)</f>
        <v>8982.1617076326002</v>
      </c>
      <c r="C56" s="790">
        <f t="shared" si="1"/>
        <v>9136.0842062678803</v>
      </c>
      <c r="D56" s="790">
        <f t="shared" si="1"/>
        <v>8997.7745740498031</v>
      </c>
      <c r="E56" s="790">
        <f t="shared" si="1"/>
        <v>9616.5524652338827</v>
      </c>
      <c r="F56" s="790">
        <f t="shared" si="1"/>
        <v>11167.93070719603</v>
      </c>
      <c r="G56" s="790">
        <f t="shared" si="1"/>
        <v>10761.922062350117</v>
      </c>
      <c r="H56" s="790">
        <f t="shared" si="1"/>
        <v>10797.449411764706</v>
      </c>
      <c r="I56" s="790">
        <f t="shared" si="1"/>
        <v>12642.565947488587</v>
      </c>
      <c r="J56" s="790">
        <f t="shared" si="1"/>
        <v>11882.007039403621</v>
      </c>
      <c r="K56" s="790">
        <f t="shared" si="1"/>
        <v>11776.930999999999</v>
      </c>
      <c r="L56" s="790">
        <f t="shared" si="1"/>
        <v>12465.657894736842</v>
      </c>
      <c r="M56" s="791">
        <f t="shared" si="1"/>
        <v>12895.290808800859</v>
      </c>
      <c r="N56" s="792">
        <f>SUM(N36:N55)</f>
        <v>13193.822647727697</v>
      </c>
    </row>
    <row r="57" spans="1:14">
      <c r="A57" s="52"/>
      <c r="B57" s="52"/>
      <c r="C57" s="52"/>
      <c r="D57" s="52"/>
      <c r="E57" s="52"/>
      <c r="F57" s="52"/>
      <c r="G57" s="52"/>
      <c r="H57" s="52"/>
      <c r="I57" s="52"/>
      <c r="J57" s="52"/>
      <c r="K57" s="52"/>
      <c r="L57" s="52"/>
    </row>
    <row r="58" spans="1:14" s="619" customFormat="1" ht="17.100000000000001" customHeight="1">
      <c r="A58" s="705" t="s">
        <v>3810</v>
      </c>
      <c r="B58" s="699" t="s">
        <v>1100</v>
      </c>
      <c r="C58" s="699" t="s">
        <v>1100</v>
      </c>
      <c r="D58" s="699" t="s">
        <v>1100</v>
      </c>
      <c r="E58" s="699" t="s">
        <v>1100</v>
      </c>
      <c r="F58" s="699" t="s">
        <v>1100</v>
      </c>
      <c r="G58" s="699" t="s">
        <v>1100</v>
      </c>
      <c r="H58" s="699" t="s">
        <v>1100</v>
      </c>
      <c r="I58" s="699" t="s">
        <v>1100</v>
      </c>
      <c r="J58" s="699" t="s">
        <v>1100</v>
      </c>
      <c r="K58" s="699" t="s">
        <v>1100</v>
      </c>
      <c r="L58" s="699" t="s">
        <v>1100</v>
      </c>
      <c r="M58" s="699" t="s">
        <v>1100</v>
      </c>
      <c r="N58" s="706"/>
    </row>
    <row r="59" spans="1:14" ht="12.75" customHeight="1">
      <c r="A59" s="509" t="s">
        <v>1100</v>
      </c>
      <c r="B59" s="181" t="s">
        <v>3803</v>
      </c>
      <c r="C59" s="181" t="s">
        <v>3804</v>
      </c>
      <c r="D59" s="181" t="s">
        <v>3805</v>
      </c>
      <c r="E59" s="181" t="s">
        <v>72</v>
      </c>
      <c r="F59" s="181" t="s">
        <v>69</v>
      </c>
      <c r="G59" s="181" t="s">
        <v>66</v>
      </c>
      <c r="H59" s="181" t="s">
        <v>62</v>
      </c>
      <c r="I59" s="181" t="s">
        <v>59</v>
      </c>
      <c r="J59" s="433" t="s">
        <v>55</v>
      </c>
      <c r="K59" s="433" t="s">
        <v>52</v>
      </c>
      <c r="L59" s="433" t="s">
        <v>49</v>
      </c>
      <c r="M59" s="695" t="s">
        <v>46</v>
      </c>
      <c r="N59" s="686" t="s">
        <v>42</v>
      </c>
    </row>
    <row r="60" spans="1:14" ht="12.75" customHeight="1">
      <c r="A60" s="64" t="s">
        <v>1624</v>
      </c>
      <c r="B60" s="508">
        <f>'R&amp;D'!AL674</f>
        <v>51</v>
      </c>
      <c r="C60" s="508">
        <f>'R&amp;D'!AM674</f>
        <v>53</v>
      </c>
      <c r="D60" s="508">
        <f>'R&amp;D'!AN674</f>
        <v>62</v>
      </c>
      <c r="E60" s="508">
        <f>'R&amp;D'!AO674</f>
        <v>67</v>
      </c>
      <c r="F60" s="508">
        <f>'R&amp;D'!AP674</f>
        <v>69</v>
      </c>
      <c r="G60" s="508">
        <f>'R&amp;D'!AQ674</f>
        <v>62</v>
      </c>
      <c r="H60" s="508">
        <f>'R&amp;D'!AR674</f>
        <v>60</v>
      </c>
      <c r="I60" s="508">
        <f>'R&amp;D'!AS674</f>
        <v>69</v>
      </c>
      <c r="J60" s="508">
        <f>'R&amp;D'!AT674</f>
        <v>66</v>
      </c>
      <c r="K60" s="508">
        <f>'R&amp;D'!AU674</f>
        <v>62</v>
      </c>
      <c r="L60" s="508">
        <f>'R&amp;D'!AV674</f>
        <v>60</v>
      </c>
      <c r="M60" s="519">
        <f>'R&amp;D'!AW674</f>
        <v>50</v>
      </c>
      <c r="N60" s="520">
        <f>'R&amp;D'!AX674</f>
        <v>41</v>
      </c>
    </row>
    <row r="61" spans="1:14" ht="12.75" customHeight="1">
      <c r="A61" s="64" t="s">
        <v>1625</v>
      </c>
      <c r="B61" s="508">
        <f>'R&amp;D'!AL675</f>
        <v>69</v>
      </c>
      <c r="C61" s="508">
        <f>'R&amp;D'!AM675</f>
        <v>53</v>
      </c>
      <c r="D61" s="508">
        <f>'R&amp;D'!AN675</f>
        <v>49</v>
      </c>
      <c r="E61" s="508">
        <f>'R&amp;D'!AO675</f>
        <v>69</v>
      </c>
      <c r="F61" s="508">
        <f>'R&amp;D'!AP675</f>
        <v>65</v>
      </c>
      <c r="G61" s="508">
        <f>'R&amp;D'!AQ675</f>
        <v>69</v>
      </c>
      <c r="H61" s="508">
        <f>'R&amp;D'!AR675</f>
        <v>74</v>
      </c>
      <c r="I61" s="508">
        <f>'R&amp;D'!AS675</f>
        <v>85</v>
      </c>
      <c r="J61" s="508">
        <f>'R&amp;D'!AT675</f>
        <v>87</v>
      </c>
      <c r="K61" s="508">
        <f>'R&amp;D'!AU675</f>
        <v>93</v>
      </c>
      <c r="L61" s="508">
        <f>'R&amp;D'!AV675</f>
        <v>92</v>
      </c>
      <c r="M61" s="519">
        <f>'R&amp;D'!AW675</f>
        <v>98</v>
      </c>
      <c r="N61" s="520">
        <f>'R&amp;D'!AX675</f>
        <v>70</v>
      </c>
    </row>
    <row r="62" spans="1:14" ht="12.75" customHeight="1">
      <c r="A62" s="64" t="s">
        <v>1626</v>
      </c>
      <c r="B62" s="508">
        <f>'R&amp;D'!AL676</f>
        <v>32</v>
      </c>
      <c r="C62" s="508">
        <f>'R&amp;D'!AM676</f>
        <v>25</v>
      </c>
      <c r="D62" s="508">
        <f>'R&amp;D'!AN676</f>
        <v>22</v>
      </c>
      <c r="E62" s="508">
        <f>'R&amp;D'!AO676</f>
        <v>24</v>
      </c>
      <c r="F62" s="508">
        <f>'R&amp;D'!AP676</f>
        <v>29</v>
      </c>
      <c r="G62" s="508">
        <f>'R&amp;D'!AQ676</f>
        <v>27</v>
      </c>
      <c r="H62" s="508">
        <f>'R&amp;D'!AR676</f>
        <v>26</v>
      </c>
      <c r="I62" s="508">
        <f>'R&amp;D'!AS676</f>
        <v>23</v>
      </c>
      <c r="J62" s="508">
        <f>'R&amp;D'!AT676</f>
        <v>29</v>
      </c>
      <c r="K62" s="508">
        <f>'R&amp;D'!AU676</f>
        <v>30</v>
      </c>
      <c r="L62" s="508">
        <f>'R&amp;D'!AV676</f>
        <v>30</v>
      </c>
      <c r="M62" s="519">
        <f>'R&amp;D'!AW676</f>
        <v>23</v>
      </c>
      <c r="N62" s="520">
        <f>'R&amp;D'!AX676</f>
        <v>29</v>
      </c>
    </row>
    <row r="63" spans="1:14" ht="12.75" customHeight="1">
      <c r="A63" s="64" t="s">
        <v>1627</v>
      </c>
      <c r="B63" s="508">
        <f>'R&amp;D'!AL677</f>
        <v>18</v>
      </c>
      <c r="C63" s="508">
        <f>'R&amp;D'!AM677</f>
        <v>19</v>
      </c>
      <c r="D63" s="508">
        <f>'R&amp;D'!AN677</f>
        <v>18</v>
      </c>
      <c r="E63" s="508">
        <f>'R&amp;D'!AO677</f>
        <v>22</v>
      </c>
      <c r="F63" s="508">
        <f>'R&amp;D'!AP677</f>
        <v>17</v>
      </c>
      <c r="G63" s="508">
        <f>'R&amp;D'!AQ677</f>
        <v>17</v>
      </c>
      <c r="H63" s="508">
        <f>'R&amp;D'!AR677</f>
        <v>17</v>
      </c>
      <c r="I63" s="508">
        <f>'R&amp;D'!AS677</f>
        <v>16</v>
      </c>
      <c r="J63" s="508">
        <f>'R&amp;D'!AT677</f>
        <v>19</v>
      </c>
      <c r="K63" s="508">
        <f>'R&amp;D'!AU677</f>
        <v>19</v>
      </c>
      <c r="L63" s="508">
        <f>'R&amp;D'!AV677</f>
        <v>18</v>
      </c>
      <c r="M63" s="519">
        <f>'R&amp;D'!AW677</f>
        <v>22</v>
      </c>
      <c r="N63" s="520">
        <f>'R&amp;D'!AX677</f>
        <v>20</v>
      </c>
    </row>
    <row r="64" spans="1:14" ht="12.75" customHeight="1">
      <c r="A64" s="66" t="s">
        <v>1622</v>
      </c>
      <c r="B64" s="66">
        <f>'R&amp;D'!AL678</f>
        <v>170</v>
      </c>
      <c r="C64" s="66">
        <f t="shared" ref="C64:N64" si="2">SUM(C60:C63)</f>
        <v>150</v>
      </c>
      <c r="D64" s="66">
        <f t="shared" si="2"/>
        <v>151</v>
      </c>
      <c r="E64" s="66">
        <f t="shared" si="2"/>
        <v>182</v>
      </c>
      <c r="F64" s="66">
        <f t="shared" si="2"/>
        <v>180</v>
      </c>
      <c r="G64" s="66">
        <f t="shared" si="2"/>
        <v>175</v>
      </c>
      <c r="H64" s="66">
        <f t="shared" si="2"/>
        <v>177</v>
      </c>
      <c r="I64" s="66">
        <f t="shared" si="2"/>
        <v>193</v>
      </c>
      <c r="J64" s="66">
        <f t="shared" si="2"/>
        <v>201</v>
      </c>
      <c r="K64" s="66">
        <f t="shared" si="2"/>
        <v>204</v>
      </c>
      <c r="L64" s="66">
        <f t="shared" si="2"/>
        <v>200</v>
      </c>
      <c r="M64" s="510">
        <f t="shared" si="2"/>
        <v>193</v>
      </c>
      <c r="N64" s="511">
        <f t="shared" si="2"/>
        <v>160</v>
      </c>
    </row>
    <row r="65" spans="1:14">
      <c r="A65" s="52"/>
      <c r="B65" s="52"/>
      <c r="C65" s="52"/>
      <c r="D65" s="52"/>
      <c r="E65" s="52"/>
      <c r="F65" s="52"/>
      <c r="G65" s="52"/>
      <c r="H65" s="52"/>
      <c r="I65" s="52"/>
      <c r="J65" s="52"/>
      <c r="K65" s="52"/>
      <c r="L65" s="52"/>
    </row>
    <row r="66" spans="1:14" s="619" customFormat="1" ht="17.100000000000001" customHeight="1">
      <c r="A66" s="698" t="s">
        <v>3811</v>
      </c>
      <c r="B66" s="699" t="s">
        <v>1100</v>
      </c>
      <c r="C66" s="699" t="s">
        <v>1100</v>
      </c>
      <c r="D66" s="699" t="s">
        <v>1100</v>
      </c>
      <c r="E66" s="699" t="s">
        <v>1100</v>
      </c>
      <c r="F66" s="699" t="s">
        <v>1100</v>
      </c>
      <c r="G66" s="699" t="s">
        <v>1100</v>
      </c>
      <c r="H66" s="699" t="s">
        <v>1100</v>
      </c>
      <c r="I66" s="699" t="s">
        <v>1100</v>
      </c>
      <c r="J66" s="700" t="s">
        <v>1100</v>
      </c>
      <c r="K66" s="700" t="s">
        <v>1100</v>
      </c>
      <c r="L66" s="699" t="s">
        <v>1100</v>
      </c>
      <c r="M66" s="703" t="s">
        <v>1100</v>
      </c>
      <c r="N66" s="704"/>
    </row>
    <row r="67" spans="1:14" ht="12.75" customHeight="1">
      <c r="A67" s="63" t="s">
        <v>1100</v>
      </c>
      <c r="B67" s="666" t="s">
        <v>3803</v>
      </c>
      <c r="C67" s="666" t="s">
        <v>3804</v>
      </c>
      <c r="D67" s="666" t="s">
        <v>3805</v>
      </c>
      <c r="E67" s="666" t="s">
        <v>72</v>
      </c>
      <c r="F67" s="666" t="s">
        <v>69</v>
      </c>
      <c r="G67" s="666" t="s">
        <v>66</v>
      </c>
      <c r="H67" s="666" t="s">
        <v>62</v>
      </c>
      <c r="I67" s="666" t="s">
        <v>59</v>
      </c>
      <c r="J67" s="692" t="s">
        <v>55</v>
      </c>
      <c r="K67" s="626" t="s">
        <v>52</v>
      </c>
      <c r="L67" s="626" t="s">
        <v>49</v>
      </c>
      <c r="M67" s="625" t="s">
        <v>46</v>
      </c>
      <c r="N67" s="688" t="s">
        <v>42</v>
      </c>
    </row>
    <row r="68" spans="1:14" ht="12.75" customHeight="1">
      <c r="A68" s="64" t="s">
        <v>1624</v>
      </c>
      <c r="B68" s="521">
        <f>'R&amp;D'!AL683</f>
        <v>15.970359999999996</v>
      </c>
      <c r="C68" s="521">
        <f>'R&amp;D'!AM683</f>
        <v>16.521324</v>
      </c>
      <c r="D68" s="521">
        <f>'R&amp;D'!AN683</f>
        <v>22.676757999999996</v>
      </c>
      <c r="E68" s="521">
        <f>'R&amp;D'!AO683</f>
        <v>20.813467999999997</v>
      </c>
      <c r="F68" s="521">
        <f>'R&amp;D'!AP683</f>
        <v>18.83291100000001</v>
      </c>
      <c r="G68" s="521">
        <f>'R&amp;D'!AQ683</f>
        <v>21.600534999999994</v>
      </c>
      <c r="H68" s="521">
        <f>'R&amp;D'!AR683</f>
        <v>22.765999999999998</v>
      </c>
      <c r="I68" s="521">
        <f>'R&amp;D'!AS683</f>
        <v>24.914960999999995</v>
      </c>
      <c r="J68" s="521">
        <f>'R&amp;D'!AT683</f>
        <v>25.113999999999997</v>
      </c>
      <c r="K68" s="521">
        <f>'R&amp;D'!AU683</f>
        <v>21.801026840000002</v>
      </c>
      <c r="L68" s="521">
        <f>'R&amp;D'!AV683</f>
        <v>20.015000000000001</v>
      </c>
      <c r="M68" s="522">
        <f>'R&amp;D'!AW683</f>
        <v>20.208000000000002</v>
      </c>
      <c r="N68" s="523">
        <f>'R&amp;D'!AX683</f>
        <v>18.004999999999995</v>
      </c>
    </row>
    <row r="69" spans="1:14" ht="12.75" customHeight="1">
      <c r="A69" s="64" t="s">
        <v>1625</v>
      </c>
      <c r="B69" s="521">
        <f>'R&amp;D'!AL684</f>
        <v>242.94364800000002</v>
      </c>
      <c r="C69" s="521">
        <f>'R&amp;D'!AM684</f>
        <v>206.35125700999993</v>
      </c>
      <c r="D69" s="521">
        <f>'R&amp;D'!AN684</f>
        <v>174.87019877999998</v>
      </c>
      <c r="E69" s="521">
        <f>'R&amp;D'!AO684</f>
        <v>241.81918269999994</v>
      </c>
      <c r="F69" s="521">
        <f>'R&amp;D'!AP684</f>
        <v>213.56179999999995</v>
      </c>
      <c r="G69" s="521">
        <f>'R&amp;D'!AQ684</f>
        <v>224.19471000000004</v>
      </c>
      <c r="H69" s="521">
        <f>'R&amp;D'!AR684</f>
        <v>245.08999999999992</v>
      </c>
      <c r="I69" s="521">
        <f>'R&amp;D'!AS684</f>
        <v>304.46866199999988</v>
      </c>
      <c r="J69" s="521">
        <f>'R&amp;D'!AT684</f>
        <v>309.27380000000016</v>
      </c>
      <c r="K69" s="521">
        <f>'R&amp;D'!AU684</f>
        <v>340.37798676000011</v>
      </c>
      <c r="L69" s="521">
        <f>'R&amp;D'!AV684</f>
        <v>330.220302</v>
      </c>
      <c r="M69" s="522">
        <f>'R&amp;D'!AW684</f>
        <v>393.42186499999985</v>
      </c>
      <c r="N69" s="523">
        <f>'R&amp;D'!AX684</f>
        <v>266.76700000000011</v>
      </c>
    </row>
    <row r="70" spans="1:14" ht="12.75" customHeight="1">
      <c r="A70" s="64" t="s">
        <v>1626</v>
      </c>
      <c r="B70" s="521">
        <f>'R&amp;D'!AL685</f>
        <v>981.54600000000005</v>
      </c>
      <c r="C70" s="521">
        <f>'R&amp;D'!AM685</f>
        <v>771.41531840000005</v>
      </c>
      <c r="D70" s="521">
        <f>'R&amp;D'!AN685</f>
        <v>792.32100000000003</v>
      </c>
      <c r="E70" s="521">
        <f>'R&amp;D'!AO685</f>
        <v>646.79300000000012</v>
      </c>
      <c r="F70" s="521">
        <f>'R&amp;D'!AP685</f>
        <v>891.25</v>
      </c>
      <c r="G70" s="521">
        <f>'R&amp;D'!AQ685</f>
        <v>788.68299999999999</v>
      </c>
      <c r="H70" s="521">
        <f>'R&amp;D'!AR685</f>
        <v>753.31000000000006</v>
      </c>
      <c r="I70" s="521">
        <f>'R&amp;D'!AS685</f>
        <v>736.3844949999999</v>
      </c>
      <c r="J70" s="521">
        <f>'R&amp;D'!AT685</f>
        <v>775.38623599999983</v>
      </c>
      <c r="K70" s="521">
        <f>'R&amp;D'!AU685</f>
        <v>867.44400000000007</v>
      </c>
      <c r="L70" s="521">
        <f>'R&amp;D'!AV685</f>
        <v>813.29899</v>
      </c>
      <c r="M70" s="522">
        <f>'R&amp;D'!AW685</f>
        <v>674.87637489896701</v>
      </c>
      <c r="N70" s="523">
        <f>'R&amp;D'!AX685</f>
        <v>806.73507286175459</v>
      </c>
    </row>
    <row r="71" spans="1:14" ht="12.75" customHeight="1">
      <c r="A71" s="64" t="s">
        <v>1627</v>
      </c>
      <c r="B71" s="521">
        <f>'R&amp;D'!AL686</f>
        <v>8669.8780000000006</v>
      </c>
      <c r="C71" s="521">
        <f>'R&amp;D'!AM686</f>
        <v>8889.9465</v>
      </c>
      <c r="D71" s="521">
        <f>'R&amp;D'!AN686</f>
        <v>8673.2219999999998</v>
      </c>
      <c r="E71" s="521">
        <f>'R&amp;D'!AO686</f>
        <v>8615.8329999999987</v>
      </c>
      <c r="F71" s="521">
        <f>'R&amp;D'!AP686</f>
        <v>9068.4861500000006</v>
      </c>
      <c r="G71" s="521">
        <f>'R&amp;D'!AQ686</f>
        <v>9020.0320000000011</v>
      </c>
      <c r="H71" s="521">
        <f>'R&amp;D'!AR686</f>
        <v>9219.6180000000004</v>
      </c>
      <c r="I71" s="521">
        <f>'R&amp;D'!AS686</f>
        <v>11003.95277</v>
      </c>
      <c r="J71" s="521">
        <f>'R&amp;D'!AT686</f>
        <v>11354.11361</v>
      </c>
      <c r="K71" s="521">
        <f>'R&amp;D'!AU686</f>
        <v>11935.838</v>
      </c>
      <c r="L71" s="521">
        <f>'R&amp;D'!AV686</f>
        <v>12693.192999999999</v>
      </c>
      <c r="M71" s="522">
        <f>'R&amp;D'!AW686</f>
        <v>13835.987999999998</v>
      </c>
      <c r="N71" s="523">
        <f>'R&amp;D'!AX686</f>
        <v>14048.216999999999</v>
      </c>
    </row>
    <row r="72" spans="1:14" ht="12.75" customHeight="1">
      <c r="A72" s="65" t="s">
        <v>1622</v>
      </c>
      <c r="B72" s="524">
        <f t="shared" ref="B72:N72" si="3">SUM(B68:B71)</f>
        <v>9910.3380080000006</v>
      </c>
      <c r="C72" s="524">
        <f t="shared" si="3"/>
        <v>9884.2343994099992</v>
      </c>
      <c r="D72" s="524">
        <f t="shared" si="3"/>
        <v>9663.0899567800006</v>
      </c>
      <c r="E72" s="524">
        <f t="shared" si="3"/>
        <v>9525.2586506999978</v>
      </c>
      <c r="F72" s="524">
        <f t="shared" si="3"/>
        <v>10192.130861000001</v>
      </c>
      <c r="G72" s="524">
        <f t="shared" si="3"/>
        <v>10054.510245000001</v>
      </c>
      <c r="H72" s="524">
        <f t="shared" si="3"/>
        <v>10240.784</v>
      </c>
      <c r="I72" s="524">
        <f t="shared" si="3"/>
        <v>12069.720888</v>
      </c>
      <c r="J72" s="524">
        <f t="shared" si="3"/>
        <v>12463.887646000001</v>
      </c>
      <c r="K72" s="524">
        <f t="shared" si="3"/>
        <v>13165.461013599999</v>
      </c>
      <c r="L72" s="524">
        <f t="shared" si="3"/>
        <v>13856.727292</v>
      </c>
      <c r="M72" s="525">
        <f t="shared" si="3"/>
        <v>14924.494239898964</v>
      </c>
      <c r="N72" s="526">
        <f t="shared" si="3"/>
        <v>15139.724072861754</v>
      </c>
    </row>
    <row r="73" spans="1:14">
      <c r="A73" s="52"/>
      <c r="B73" s="52"/>
      <c r="C73" s="52"/>
      <c r="D73" s="52"/>
      <c r="E73" s="52"/>
      <c r="F73" s="52"/>
      <c r="G73" s="52"/>
      <c r="H73" s="52"/>
      <c r="I73" s="52"/>
      <c r="J73" s="52"/>
      <c r="K73" s="52"/>
      <c r="L73" s="52"/>
    </row>
    <row r="74" spans="1:14" s="619" customFormat="1" ht="17.100000000000001" customHeight="1">
      <c r="A74" s="698" t="s">
        <v>3812</v>
      </c>
      <c r="B74" s="699" t="s">
        <v>1100</v>
      </c>
      <c r="C74" s="699" t="s">
        <v>1100</v>
      </c>
      <c r="D74" s="699" t="s">
        <v>1100</v>
      </c>
      <c r="E74" s="699" t="s">
        <v>1100</v>
      </c>
      <c r="F74" s="699" t="s">
        <v>1100</v>
      </c>
      <c r="G74" s="699" t="s">
        <v>1100</v>
      </c>
      <c r="H74" s="699" t="s">
        <v>1100</v>
      </c>
      <c r="I74" s="699" t="s">
        <v>1100</v>
      </c>
      <c r="J74" s="700" t="s">
        <v>1100</v>
      </c>
      <c r="K74" s="700" t="s">
        <v>1100</v>
      </c>
      <c r="L74" s="700" t="s">
        <v>1100</v>
      </c>
      <c r="M74" s="701" t="s">
        <v>1100</v>
      </c>
      <c r="N74" s="702" t="s">
        <v>1100</v>
      </c>
    </row>
    <row r="75" spans="1:14" ht="12.75" customHeight="1">
      <c r="A75" s="63" t="s">
        <v>1100</v>
      </c>
      <c r="B75" s="666" t="s">
        <v>3803</v>
      </c>
      <c r="C75" s="666" t="s">
        <v>3804</v>
      </c>
      <c r="D75" s="666" t="s">
        <v>3805</v>
      </c>
      <c r="E75" s="666" t="s">
        <v>72</v>
      </c>
      <c r="F75" s="666" t="s">
        <v>69</v>
      </c>
      <c r="G75" s="666" t="s">
        <v>66</v>
      </c>
      <c r="H75" s="666" t="s">
        <v>62</v>
      </c>
      <c r="I75" s="666" t="s">
        <v>59</v>
      </c>
      <c r="J75" s="692" t="s">
        <v>55</v>
      </c>
      <c r="K75" s="692" t="s">
        <v>52</v>
      </c>
      <c r="L75" s="663" t="s">
        <v>49</v>
      </c>
      <c r="M75" s="696" t="s">
        <v>46</v>
      </c>
      <c r="N75" s="697" t="s">
        <v>42</v>
      </c>
    </row>
    <row r="76" spans="1:14" ht="12.75" customHeight="1">
      <c r="A76" s="64" t="s">
        <v>1624</v>
      </c>
      <c r="B76" s="124">
        <f>B68/B$72</f>
        <v>1.6114848945725279E-3</v>
      </c>
      <c r="C76" s="124">
        <f t="shared" ref="C76:N76" si="4">C68/C$72</f>
        <v>1.6714824165831373E-3</v>
      </c>
      <c r="D76" s="124">
        <f t="shared" si="4"/>
        <v>2.3467398214676765E-3</v>
      </c>
      <c r="E76" s="124">
        <f t="shared" si="4"/>
        <v>2.185081661637655E-3</v>
      </c>
      <c r="F76" s="124">
        <f t="shared" si="4"/>
        <v>1.8477893638575416E-3</v>
      </c>
      <c r="G76" s="124">
        <f t="shared" si="4"/>
        <v>2.1483428305960209E-3</v>
      </c>
      <c r="H76" s="124">
        <f t="shared" si="4"/>
        <v>2.2230719835512592E-3</v>
      </c>
      <c r="I76" s="124">
        <f t="shared" si="4"/>
        <v>2.0642532856555975E-3</v>
      </c>
      <c r="J76" s="124">
        <f t="shared" si="4"/>
        <v>2.0149411414230583E-3</v>
      </c>
      <c r="K76" s="124">
        <f t="shared" si="4"/>
        <v>1.6559258211679341E-3</v>
      </c>
      <c r="L76" s="124">
        <f t="shared" si="4"/>
        <v>1.4444247604956041E-3</v>
      </c>
      <c r="M76" s="529">
        <f t="shared" si="4"/>
        <v>1.3540157324712671E-3</v>
      </c>
      <c r="N76" s="531">
        <f t="shared" si="4"/>
        <v>1.1892554919329277E-3</v>
      </c>
    </row>
    <row r="77" spans="1:14" ht="12.75" customHeight="1">
      <c r="A77" s="64" t="s">
        <v>1625</v>
      </c>
      <c r="B77" s="124">
        <f t="shared" ref="B77:N79" si="5">B69/B$72</f>
        <v>2.4514163674729025E-2</v>
      </c>
      <c r="C77" s="124">
        <f t="shared" si="5"/>
        <v>2.0876807314719008E-2</v>
      </c>
      <c r="D77" s="124">
        <f t="shared" si="5"/>
        <v>1.8096716429438209E-2</v>
      </c>
      <c r="E77" s="124">
        <f t="shared" si="5"/>
        <v>2.5387151317117145E-2</v>
      </c>
      <c r="F77" s="124">
        <f t="shared" si="5"/>
        <v>2.0953596741697087E-2</v>
      </c>
      <c r="G77" s="124">
        <f t="shared" si="5"/>
        <v>2.2297924467428898E-2</v>
      </c>
      <c r="H77" s="124">
        <f t="shared" si="5"/>
        <v>2.3932737962249758E-2</v>
      </c>
      <c r="I77" s="124">
        <f t="shared" si="5"/>
        <v>2.5225824592407086E-2</v>
      </c>
      <c r="J77" s="124">
        <f t="shared" si="5"/>
        <v>2.4813590172184721E-2</v>
      </c>
      <c r="K77" s="124">
        <f t="shared" si="5"/>
        <v>2.5853860066760111E-2</v>
      </c>
      <c r="L77" s="124">
        <f t="shared" si="5"/>
        <v>2.3831045747046517E-2</v>
      </c>
      <c r="M77" s="529">
        <f t="shared" si="5"/>
        <v>2.6360817236153338E-2</v>
      </c>
      <c r="N77" s="531">
        <f t="shared" si="5"/>
        <v>1.7620334341375814E-2</v>
      </c>
    </row>
    <row r="78" spans="1:14" ht="12.75" customHeight="1">
      <c r="A78" s="64" t="s">
        <v>1626</v>
      </c>
      <c r="B78" s="124">
        <f t="shared" si="5"/>
        <v>9.9042636003702292E-2</v>
      </c>
      <c r="C78" s="124">
        <f t="shared" si="5"/>
        <v>7.8045024756398601E-2</v>
      </c>
      <c r="D78" s="124">
        <f t="shared" si="5"/>
        <v>8.1994579740414894E-2</v>
      </c>
      <c r="E78" s="124">
        <f t="shared" si="5"/>
        <v>6.7902933003553476E-2</v>
      </c>
      <c r="F78" s="124">
        <f t="shared" si="5"/>
        <v>8.7444913350784331E-2</v>
      </c>
      <c r="G78" s="124">
        <f t="shared" si="5"/>
        <v>7.8440717725878642E-2</v>
      </c>
      <c r="H78" s="124">
        <f t="shared" si="5"/>
        <v>7.3559797765483589E-2</v>
      </c>
      <c r="I78" s="124">
        <f t="shared" si="5"/>
        <v>6.101089675836089E-2</v>
      </c>
      <c r="J78" s="124">
        <f t="shared" si="5"/>
        <v>6.2210624647987919E-2</v>
      </c>
      <c r="K78" s="124">
        <f t="shared" si="5"/>
        <v>6.5887856042710941E-2</v>
      </c>
      <c r="L78" s="124">
        <f t="shared" si="5"/>
        <v>5.8693439862206681E-2</v>
      </c>
      <c r="M78" s="529">
        <f t="shared" si="5"/>
        <v>4.5219379903324336E-2</v>
      </c>
      <c r="N78" s="531">
        <f t="shared" si="5"/>
        <v>5.3285982556831576E-2</v>
      </c>
    </row>
    <row r="79" spans="1:14" ht="12.75" customHeight="1">
      <c r="A79" s="64" t="s">
        <v>1627</v>
      </c>
      <c r="B79" s="124">
        <f t="shared" si="5"/>
        <v>0.87483171542699611</v>
      </c>
      <c r="C79" s="124">
        <f t="shared" si="5"/>
        <v>0.8994066855122993</v>
      </c>
      <c r="D79" s="124">
        <f t="shared" si="5"/>
        <v>0.89756196400867916</v>
      </c>
      <c r="E79" s="124">
        <f t="shared" si="5"/>
        <v>0.90452483401769179</v>
      </c>
      <c r="F79" s="124">
        <f t="shared" si="5"/>
        <v>0.88975370054366099</v>
      </c>
      <c r="G79" s="124">
        <f t="shared" si="5"/>
        <v>0.89711301497609641</v>
      </c>
      <c r="H79" s="124">
        <f t="shared" si="5"/>
        <v>0.90028439228871548</v>
      </c>
      <c r="I79" s="124">
        <f t="shared" si="5"/>
        <v>0.91169902536357639</v>
      </c>
      <c r="J79" s="124">
        <f t="shared" si="5"/>
        <v>0.91096084403840427</v>
      </c>
      <c r="K79" s="124">
        <f t="shared" si="5"/>
        <v>0.90660235806936107</v>
      </c>
      <c r="L79" s="124">
        <f t="shared" si="5"/>
        <v>0.91603108963025115</v>
      </c>
      <c r="M79" s="529">
        <f t="shared" si="5"/>
        <v>0.9270657871280511</v>
      </c>
      <c r="N79" s="531">
        <f t="shared" si="5"/>
        <v>0.92790442760985958</v>
      </c>
    </row>
    <row r="80" spans="1:14" ht="12.75" customHeight="1">
      <c r="A80" s="65" t="s">
        <v>1622</v>
      </c>
      <c r="B80" s="67">
        <f t="shared" ref="B80:N80" si="6">SUM(B76:B79)</f>
        <v>1</v>
      </c>
      <c r="C80" s="67">
        <f t="shared" si="6"/>
        <v>1</v>
      </c>
      <c r="D80" s="67">
        <f t="shared" si="6"/>
        <v>1</v>
      </c>
      <c r="E80" s="67">
        <f t="shared" si="6"/>
        <v>1</v>
      </c>
      <c r="F80" s="67">
        <f t="shared" si="6"/>
        <v>1</v>
      </c>
      <c r="G80" s="67">
        <f t="shared" si="6"/>
        <v>1</v>
      </c>
      <c r="H80" s="67">
        <f t="shared" si="6"/>
        <v>1</v>
      </c>
      <c r="I80" s="67">
        <f t="shared" si="6"/>
        <v>1</v>
      </c>
      <c r="J80" s="67">
        <f t="shared" si="6"/>
        <v>1</v>
      </c>
      <c r="K80" s="67">
        <f t="shared" si="6"/>
        <v>1</v>
      </c>
      <c r="L80" s="67">
        <f t="shared" si="6"/>
        <v>1</v>
      </c>
      <c r="M80" s="530">
        <f t="shared" si="6"/>
        <v>1</v>
      </c>
      <c r="N80" s="532">
        <f t="shared" si="6"/>
        <v>0.99999999999999989</v>
      </c>
    </row>
  </sheetData>
  <sortState xmlns:xlrd2="http://schemas.microsoft.com/office/spreadsheetml/2017/richdata2" ref="A12:XFC30">
    <sortCondition ref="A12:A30"/>
  </sortState>
  <mergeCells count="1">
    <mergeCell ref="A1:K1"/>
  </mergeCells>
  <phoneticPr fontId="66" type="noConversion"/>
  <conditionalFormatting sqref="A11">
    <cfRule type="cellIs" dxfId="229" priority="4" operator="equal">
      <formula>0</formula>
    </cfRule>
  </conditionalFormatting>
  <conditionalFormatting sqref="A22">
    <cfRule type="cellIs" dxfId="228" priority="3" operator="equal">
      <formula>0</formula>
    </cfRule>
  </conditionalFormatting>
  <conditionalFormatting sqref="A36">
    <cfRule type="cellIs" dxfId="227" priority="2" operator="equal">
      <formula>0</formula>
    </cfRule>
  </conditionalFormatting>
  <conditionalFormatting sqref="A47">
    <cfRule type="cellIs" dxfId="226" priority="1" operator="equal">
      <formula>0</formula>
    </cfRule>
  </conditionalFormatting>
  <hyperlinks>
    <hyperlink ref="A3" location="Programs!A11" display="Table 1. Australian Government R&amp;D programs and activities valued at over $100 million in 2024-25, 2012-13 to 2024-25 ($m current prices)" xr:uid="{E52E5062-422D-4367-BA8F-E0ACAE7F56C2}"/>
    <hyperlink ref="A4" location="Programs!A35" display="Table 2. Australian Government R&amp;D programs and activities valued at over $100 million in 2024-25, 2012-13 to 2024-25 ($m inflation adjusted, 2020-21 dollars)" xr:uid="{A773DFFE-AA0D-429E-885B-7980FE2701A6}"/>
    <hyperlink ref="A5" location="Programs!A58" display="Table 3. Count of programs/activities by size category" xr:uid="{376CDA3C-27A4-410E-9F2D-8A4EAE3C0707}"/>
    <hyperlink ref="A6" location="'Programs'!A66" display="Table 4. Aggregate value of programs/activities by size category" xr:uid="{973EC224-3CB4-454D-8A51-4F2DB50CB73E}"/>
    <hyperlink ref="A7" location="'Programs'!A74" display="Table 5. Proportion of total investment accounted for by programs/activities per size category" xr:uid="{F0E8E234-F705-4553-A165-4A41CBBD0179}"/>
  </hyperlinks>
  <pageMargins left="0.7" right="0.7" top="0.75" bottom="0.75" header="0.3" footer="0.3"/>
  <headerFooter>
    <oddHeader>&amp;C&amp;"Calibri"&amp;12&amp;KC00000 OFFICIAL&amp;1#_x000D_</oddHeader>
    <oddFooter>&amp;C_x000D_&amp;1#&amp;"Calibri"&amp;12&amp;KC00000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B1EAA-499A-472C-B025-A2AE656E5248}">
  <sheetPr>
    <tabColor rgb="FFC973AF"/>
  </sheetPr>
  <dimension ref="A1:AR205"/>
  <sheetViews>
    <sheetView zoomScale="80" zoomScaleNormal="80" workbookViewId="0">
      <selection sqref="A1:L1"/>
    </sheetView>
  </sheetViews>
  <sheetFormatPr defaultRowHeight="15" customHeight="1"/>
  <cols>
    <col min="1" max="1" width="88.85546875" customWidth="1"/>
    <col min="2" max="18" width="9.140625" customWidth="1"/>
    <col min="19" max="26" width="11" customWidth="1"/>
    <col min="27" max="31" width="11" bestFit="1" customWidth="1"/>
    <col min="32" max="33" width="12" bestFit="1" customWidth="1"/>
    <col min="34" max="36" width="11" bestFit="1" customWidth="1"/>
    <col min="37" max="37" width="11" customWidth="1"/>
    <col min="38" max="39" width="10.85546875" customWidth="1"/>
    <col min="41" max="41" width="63.5703125" customWidth="1"/>
    <col min="42" max="42" width="63" customWidth="1"/>
    <col min="43" max="43" width="54.85546875" customWidth="1"/>
  </cols>
  <sheetData>
    <row r="1" spans="1:42" ht="30" customHeight="1">
      <c r="A1" s="1042" t="s">
        <v>3817</v>
      </c>
      <c r="B1" s="1042"/>
      <c r="C1" s="1042"/>
      <c r="D1" s="1042"/>
      <c r="E1" s="1042"/>
      <c r="F1" s="1042"/>
      <c r="G1" s="1042"/>
      <c r="H1" s="1042"/>
      <c r="I1" s="1042"/>
      <c r="J1" s="1042"/>
      <c r="K1" s="1042"/>
      <c r="L1" s="1042"/>
      <c r="M1" s="654" t="s">
        <v>1100</v>
      </c>
      <c r="N1" s="654" t="s">
        <v>1100</v>
      </c>
      <c r="O1" s="654" t="s">
        <v>1100</v>
      </c>
      <c r="P1" s="654" t="s">
        <v>1100</v>
      </c>
      <c r="Q1" s="654" t="s">
        <v>1100</v>
      </c>
      <c r="R1" s="654" t="s">
        <v>1100</v>
      </c>
      <c r="S1" s="654" t="s">
        <v>1100</v>
      </c>
      <c r="T1" s="654" t="s">
        <v>1100</v>
      </c>
      <c r="U1" s="654" t="s">
        <v>1100</v>
      </c>
      <c r="V1" s="654" t="s">
        <v>1100</v>
      </c>
      <c r="W1" s="654" t="s">
        <v>1100</v>
      </c>
      <c r="X1" s="654" t="s">
        <v>1100</v>
      </c>
      <c r="Y1" s="654" t="s">
        <v>1100</v>
      </c>
      <c r="Z1" s="654" t="s">
        <v>1100</v>
      </c>
      <c r="AA1" s="654" t="s">
        <v>1100</v>
      </c>
      <c r="AB1" s="654" t="s">
        <v>1100</v>
      </c>
      <c r="AC1" s="654" t="s">
        <v>1100</v>
      </c>
      <c r="AD1" s="654" t="s">
        <v>1100</v>
      </c>
      <c r="AE1" s="654" t="s">
        <v>1100</v>
      </c>
      <c r="AF1" s="654" t="s">
        <v>1100</v>
      </c>
      <c r="AG1" s="654" t="s">
        <v>1100</v>
      </c>
      <c r="AH1" s="654" t="s">
        <v>1100</v>
      </c>
      <c r="AI1" s="654" t="s">
        <v>1100</v>
      </c>
      <c r="AJ1" s="654" t="s">
        <v>1100</v>
      </c>
      <c r="AK1" s="654" t="s">
        <v>1100</v>
      </c>
      <c r="AL1" s="654"/>
      <c r="AM1" s="654"/>
      <c r="AN1" s="654" t="s">
        <v>1100</v>
      </c>
      <c r="AO1" s="142" t="s">
        <v>1100</v>
      </c>
      <c r="AP1" s="142" t="s">
        <v>1100</v>
      </c>
    </row>
    <row r="2" spans="1:42" ht="15.75">
      <c r="A2" s="147" t="s">
        <v>3715</v>
      </c>
    </row>
    <row r="3" spans="1:42">
      <c r="A3" s="140" t="s">
        <v>3818</v>
      </c>
    </row>
    <row r="4" spans="1:42">
      <c r="A4" s="195"/>
    </row>
    <row r="5" spans="1:42">
      <c r="A5" s="369" t="s">
        <v>3819</v>
      </c>
    </row>
    <row r="6" spans="1:42">
      <c r="A6" s="140" t="s">
        <v>1385</v>
      </c>
    </row>
    <row r="7" spans="1:42">
      <c r="A7" s="140" t="s">
        <v>402</v>
      </c>
    </row>
    <row r="8" spans="1:42">
      <c r="A8" s="140" t="s">
        <v>1147</v>
      </c>
    </row>
    <row r="9" spans="1:42">
      <c r="A9" s="140" t="s">
        <v>2172</v>
      </c>
    </row>
    <row r="10" spans="1:42">
      <c r="A10" s="140" t="s">
        <v>3820</v>
      </c>
    </row>
    <row r="11" spans="1:42">
      <c r="A11" s="140" t="s">
        <v>1194</v>
      </c>
    </row>
    <row r="12" spans="1:42">
      <c r="A12" s="140" t="s">
        <v>2255</v>
      </c>
    </row>
    <row r="13" spans="1:42">
      <c r="A13" s="140" t="s">
        <v>1215</v>
      </c>
    </row>
    <row r="14" spans="1:42">
      <c r="A14" s="140" t="s">
        <v>3735</v>
      </c>
    </row>
    <row r="15" spans="1:42">
      <c r="A15" s="140" t="s">
        <v>3821</v>
      </c>
    </row>
    <row r="16" spans="1:42"/>
    <row r="17" spans="1:44" ht="30" customHeight="1">
      <c r="A17" s="57" t="s">
        <v>3822</v>
      </c>
      <c r="B17" s="89" t="s">
        <v>1100</v>
      </c>
      <c r="C17" s="88" t="s">
        <v>1100</v>
      </c>
      <c r="D17" s="88" t="s">
        <v>1100</v>
      </c>
      <c r="E17" s="88" t="s">
        <v>1100</v>
      </c>
      <c r="F17" s="88" t="s">
        <v>1100</v>
      </c>
      <c r="G17" s="88" t="s">
        <v>1100</v>
      </c>
      <c r="H17" s="88" t="s">
        <v>1100</v>
      </c>
      <c r="I17" s="88" t="s">
        <v>1100</v>
      </c>
      <c r="J17" s="88" t="s">
        <v>1100</v>
      </c>
      <c r="K17" s="88" t="s">
        <v>1100</v>
      </c>
      <c r="L17" s="88" t="s">
        <v>1100</v>
      </c>
      <c r="M17" s="88" t="s">
        <v>1100</v>
      </c>
      <c r="N17" s="88" t="s">
        <v>1100</v>
      </c>
      <c r="O17" s="88" t="s">
        <v>1100</v>
      </c>
      <c r="P17" s="88" t="s">
        <v>1100</v>
      </c>
      <c r="Q17" s="88" t="s">
        <v>1100</v>
      </c>
      <c r="R17" s="88" t="s">
        <v>1100</v>
      </c>
      <c r="S17" s="88" t="s">
        <v>1100</v>
      </c>
      <c r="T17" s="88" t="s">
        <v>1100</v>
      </c>
      <c r="U17" s="88" t="s">
        <v>1100</v>
      </c>
      <c r="V17" s="88" t="s">
        <v>1100</v>
      </c>
      <c r="W17" s="88" t="s">
        <v>1100</v>
      </c>
      <c r="X17" s="88" t="s">
        <v>1100</v>
      </c>
      <c r="Y17" s="88" t="s">
        <v>1100</v>
      </c>
      <c r="Z17" s="88" t="s">
        <v>1100</v>
      </c>
      <c r="AA17" s="88" t="s">
        <v>1100</v>
      </c>
      <c r="AB17" s="88" t="s">
        <v>1100</v>
      </c>
      <c r="AC17" s="88" t="s">
        <v>1100</v>
      </c>
      <c r="AD17" s="88" t="s">
        <v>1100</v>
      </c>
      <c r="AE17" s="88" t="s">
        <v>1100</v>
      </c>
      <c r="AF17" s="88" t="s">
        <v>1100</v>
      </c>
      <c r="AG17" s="88" t="s">
        <v>1100</v>
      </c>
      <c r="AH17" s="88" t="s">
        <v>1100</v>
      </c>
      <c r="AI17" s="88" t="s">
        <v>1100</v>
      </c>
      <c r="AJ17" s="370"/>
      <c r="AK17" s="370"/>
      <c r="AL17" s="662" t="s">
        <v>201</v>
      </c>
      <c r="AM17" s="663" t="s">
        <v>202</v>
      </c>
      <c r="AN17" s="1048"/>
    </row>
    <row r="18" spans="1:44" ht="12.75" customHeight="1">
      <c r="A18" s="665" t="s">
        <v>3823</v>
      </c>
      <c r="B18" s="666" t="s">
        <v>166</v>
      </c>
      <c r="C18" s="666" t="s">
        <v>163</v>
      </c>
      <c r="D18" s="666" t="s">
        <v>160</v>
      </c>
      <c r="E18" s="666" t="s">
        <v>157</v>
      </c>
      <c r="F18" s="666" t="s">
        <v>153</v>
      </c>
      <c r="G18" s="666" t="s">
        <v>149</v>
      </c>
      <c r="H18" s="666" t="s">
        <v>146</v>
      </c>
      <c r="I18" s="666" t="s">
        <v>142</v>
      </c>
      <c r="J18" s="666" t="s">
        <v>139</v>
      </c>
      <c r="K18" s="666" t="s">
        <v>136</v>
      </c>
      <c r="L18" s="666" t="s">
        <v>132</v>
      </c>
      <c r="M18" s="666" t="s">
        <v>208</v>
      </c>
      <c r="N18" s="666" t="s">
        <v>126</v>
      </c>
      <c r="O18" s="666" t="s">
        <v>123</v>
      </c>
      <c r="P18" s="667" t="s">
        <v>120</v>
      </c>
      <c r="Q18" s="666" t="s">
        <v>117</v>
      </c>
      <c r="R18" s="666" t="s">
        <v>114</v>
      </c>
      <c r="S18" s="666" t="s">
        <v>111</v>
      </c>
      <c r="T18" s="666" t="s">
        <v>108</v>
      </c>
      <c r="U18" s="666" t="s">
        <v>104</v>
      </c>
      <c r="V18" s="666" t="s">
        <v>101</v>
      </c>
      <c r="W18" s="666" t="s">
        <v>98</v>
      </c>
      <c r="X18" s="666" t="s">
        <v>95</v>
      </c>
      <c r="Y18" s="666" t="s">
        <v>91</v>
      </c>
      <c r="Z18" s="666" t="s">
        <v>87</v>
      </c>
      <c r="AA18" s="666" t="s">
        <v>83</v>
      </c>
      <c r="AB18" s="666" t="s">
        <v>79</v>
      </c>
      <c r="AC18" s="666" t="s">
        <v>75</v>
      </c>
      <c r="AD18" s="666" t="s">
        <v>72</v>
      </c>
      <c r="AE18" s="666" t="s">
        <v>69</v>
      </c>
      <c r="AF18" s="666" t="s">
        <v>66</v>
      </c>
      <c r="AG18" s="666" t="s">
        <v>62</v>
      </c>
      <c r="AH18" s="666" t="s">
        <v>59</v>
      </c>
      <c r="AI18" s="666" t="s">
        <v>55</v>
      </c>
      <c r="AJ18" s="626" t="s">
        <v>52</v>
      </c>
      <c r="AK18" s="626" t="s">
        <v>49</v>
      </c>
      <c r="AL18" s="587" t="s">
        <v>46</v>
      </c>
      <c r="AM18" s="664" t="s">
        <v>42</v>
      </c>
      <c r="AN18" s="1048"/>
      <c r="AO18" s="657" t="s">
        <v>227</v>
      </c>
    </row>
    <row r="19" spans="1:44" ht="12.75" customHeight="1">
      <c r="A19" s="113" t="s">
        <v>393</v>
      </c>
      <c r="B19" s="521">
        <v>92.7</v>
      </c>
      <c r="C19" s="521">
        <v>100.2</v>
      </c>
      <c r="D19" s="521">
        <v>100.1</v>
      </c>
      <c r="E19" s="521">
        <v>100.1</v>
      </c>
      <c r="F19" s="521">
        <v>117.9</v>
      </c>
      <c r="G19" s="521">
        <v>118.9</v>
      </c>
      <c r="H19" s="521">
        <v>129.9</v>
      </c>
      <c r="I19" s="521">
        <v>129.6</v>
      </c>
      <c r="J19" s="521">
        <v>189.3</v>
      </c>
      <c r="K19" s="521">
        <v>205.75</v>
      </c>
      <c r="L19" s="521">
        <v>217.26</v>
      </c>
      <c r="M19" s="521">
        <v>247.03</v>
      </c>
      <c r="N19" s="521">
        <v>270.33999999999997</v>
      </c>
      <c r="O19" s="521">
        <v>296.05</v>
      </c>
      <c r="P19" s="534">
        <v>299.62</v>
      </c>
      <c r="Q19" s="521">
        <v>317.61</v>
      </c>
      <c r="R19" s="521">
        <v>330.45</v>
      </c>
      <c r="S19" s="521">
        <f t="shared" ref="S19:AM19" si="0">S38+S55+S72+S89+S106+S123+S140+S157+S174+S191</f>
        <v>354.18368083836185</v>
      </c>
      <c r="T19" s="521">
        <f t="shared" si="0"/>
        <v>379.60384967964342</v>
      </c>
      <c r="U19" s="521">
        <f t="shared" si="0"/>
        <v>417.64394858342081</v>
      </c>
      <c r="V19" s="521">
        <f t="shared" si="0"/>
        <v>448.00374296618446</v>
      </c>
      <c r="W19" s="521">
        <f t="shared" si="0"/>
        <v>557.40396781045365</v>
      </c>
      <c r="X19" s="521">
        <f t="shared" si="0"/>
        <v>517.03892065291279</v>
      </c>
      <c r="Y19" s="521">
        <f t="shared" si="0"/>
        <v>573.95273727463018</v>
      </c>
      <c r="Z19" s="521">
        <f t="shared" si="0"/>
        <v>616.2967659925323</v>
      </c>
      <c r="AA19" s="521">
        <f t="shared" si="0"/>
        <v>506.74166601775738</v>
      </c>
      <c r="AB19" s="521">
        <f t="shared" si="0"/>
        <v>485.14648027369594</v>
      </c>
      <c r="AC19" s="521">
        <f t="shared" si="0"/>
        <v>315.86785117046361</v>
      </c>
      <c r="AD19" s="521">
        <f t="shared" si="0"/>
        <v>316.73244590948741</v>
      </c>
      <c r="AE19" s="521">
        <f t="shared" si="0"/>
        <v>357.48653651798531</v>
      </c>
      <c r="AF19" s="521">
        <f t="shared" si="0"/>
        <v>380.21347211355288</v>
      </c>
      <c r="AG19" s="521">
        <f t="shared" si="0"/>
        <v>398.51519889895064</v>
      </c>
      <c r="AH19" s="521">
        <f t="shared" si="0"/>
        <v>440.71137386783698</v>
      </c>
      <c r="AI19" s="521">
        <f t="shared" si="0"/>
        <v>448.12430500000005</v>
      </c>
      <c r="AJ19" s="521">
        <f t="shared" si="0"/>
        <v>463.14199999999994</v>
      </c>
      <c r="AK19" s="521">
        <f t="shared" si="0"/>
        <v>529.30442141577066</v>
      </c>
      <c r="AL19" s="527">
        <f t="shared" si="0"/>
        <v>604.06631510445459</v>
      </c>
      <c r="AM19" s="527">
        <f t="shared" si="0"/>
        <v>591.12586771834219</v>
      </c>
      <c r="AN19" s="124"/>
      <c r="AO19" s="1050" t="s">
        <v>3824</v>
      </c>
      <c r="AP19" s="191"/>
      <c r="AQ19" s="191"/>
      <c r="AR19" s="192"/>
    </row>
    <row r="20" spans="1:44" ht="12.75" customHeight="1">
      <c r="A20" s="113" t="s">
        <v>406</v>
      </c>
      <c r="B20" s="521">
        <v>61.6</v>
      </c>
      <c r="C20" s="521">
        <v>72.2</v>
      </c>
      <c r="D20" s="521">
        <v>88.1</v>
      </c>
      <c r="E20" s="521">
        <v>88.1</v>
      </c>
      <c r="F20" s="521">
        <v>88.1</v>
      </c>
      <c r="G20" s="521">
        <v>94.5</v>
      </c>
      <c r="H20" s="521">
        <v>105.1</v>
      </c>
      <c r="I20" s="521">
        <v>94.8</v>
      </c>
      <c r="J20" s="521">
        <v>85.5</v>
      </c>
      <c r="K20" s="521">
        <v>40.159999999999997</v>
      </c>
      <c r="L20" s="521">
        <v>87.7</v>
      </c>
      <c r="M20" s="521">
        <v>135.72999999999999</v>
      </c>
      <c r="N20" s="521">
        <v>120.68</v>
      </c>
      <c r="O20" s="521">
        <v>133.22</v>
      </c>
      <c r="P20" s="535">
        <v>141.02000000000001</v>
      </c>
      <c r="Q20" s="521">
        <v>188.11</v>
      </c>
      <c r="R20" s="521">
        <v>172.77</v>
      </c>
      <c r="S20" s="521">
        <f t="shared" ref="S20:AM20" si="1">S39+S56+S73+S90+S107+S124+S141+S158+S175+S192</f>
        <v>121.82245177674298</v>
      </c>
      <c r="T20" s="521">
        <f t="shared" si="1"/>
        <v>159.56609932281492</v>
      </c>
      <c r="U20" s="521">
        <f t="shared" si="1"/>
        <v>190.02075437215808</v>
      </c>
      <c r="V20" s="521">
        <f t="shared" si="1"/>
        <v>207.33047945327058</v>
      </c>
      <c r="W20" s="521">
        <f t="shared" si="1"/>
        <v>315.98130319112198</v>
      </c>
      <c r="X20" s="521">
        <f t="shared" si="1"/>
        <v>317.99069684141807</v>
      </c>
      <c r="Y20" s="521">
        <f t="shared" si="1"/>
        <v>337.73259587036699</v>
      </c>
      <c r="Z20" s="521">
        <f t="shared" si="1"/>
        <v>390.83980896202445</v>
      </c>
      <c r="AA20" s="521">
        <f t="shared" si="1"/>
        <v>376.21553800958532</v>
      </c>
      <c r="AB20" s="521">
        <f t="shared" si="1"/>
        <v>374.36698550843664</v>
      </c>
      <c r="AC20" s="521">
        <f t="shared" si="1"/>
        <v>390.20704509709833</v>
      </c>
      <c r="AD20" s="521">
        <f t="shared" si="1"/>
        <v>359.97334637867505</v>
      </c>
      <c r="AE20" s="521">
        <f t="shared" si="1"/>
        <v>471.08596288157662</v>
      </c>
      <c r="AF20" s="521">
        <f t="shared" si="1"/>
        <v>386.92785399679758</v>
      </c>
      <c r="AG20" s="521">
        <f t="shared" si="1"/>
        <v>402.31732443712343</v>
      </c>
      <c r="AH20" s="521">
        <f t="shared" si="1"/>
        <v>454.60697171464733</v>
      </c>
      <c r="AI20" s="521">
        <f t="shared" si="1"/>
        <v>524.28900650217133</v>
      </c>
      <c r="AJ20" s="521">
        <f t="shared" si="1"/>
        <v>574.09525090064835</v>
      </c>
      <c r="AK20" s="521">
        <f t="shared" si="1"/>
        <v>523.65450881945196</v>
      </c>
      <c r="AL20" s="527">
        <f t="shared" si="1"/>
        <v>650.34439451997082</v>
      </c>
      <c r="AM20" s="527">
        <f t="shared" si="1"/>
        <v>598.61952817565748</v>
      </c>
      <c r="AN20" s="124"/>
      <c r="AO20" s="1051"/>
      <c r="AP20" s="193"/>
      <c r="AQ20" s="193"/>
      <c r="AR20" s="192"/>
    </row>
    <row r="21" spans="1:44" ht="12.75" customHeight="1">
      <c r="A21" s="113" t="s">
        <v>734</v>
      </c>
      <c r="B21" s="521"/>
      <c r="C21" s="521"/>
      <c r="D21" s="521"/>
      <c r="E21" s="521"/>
      <c r="F21" s="521"/>
      <c r="G21" s="521"/>
      <c r="H21" s="521"/>
      <c r="I21" s="521"/>
      <c r="J21" s="521"/>
      <c r="K21" s="521"/>
      <c r="L21" s="521">
        <v>0.24</v>
      </c>
      <c r="M21" s="521">
        <v>3.93</v>
      </c>
      <c r="N21" s="521">
        <v>7.17</v>
      </c>
      <c r="O21" s="521">
        <v>7.12</v>
      </c>
      <c r="P21" s="535">
        <v>4.67</v>
      </c>
      <c r="Q21" s="521">
        <v>5.74</v>
      </c>
      <c r="R21" s="521">
        <v>5.07</v>
      </c>
      <c r="S21" s="521">
        <f t="shared" ref="S21:AM21" si="2">S40+S57+S74+S91+S108+S125+S142+S159+S176+S193</f>
        <v>4.5940000000000003</v>
      </c>
      <c r="T21" s="521">
        <f t="shared" si="2"/>
        <v>4.6989999999999998</v>
      </c>
      <c r="U21" s="521">
        <f t="shared" si="2"/>
        <v>4.7930000000000001</v>
      </c>
      <c r="V21" s="521">
        <f t="shared" si="2"/>
        <v>6.2160000000000002</v>
      </c>
      <c r="W21" s="521">
        <f t="shared" si="2"/>
        <v>73.762</v>
      </c>
      <c r="X21" s="521">
        <f t="shared" si="2"/>
        <v>69.322000000000003</v>
      </c>
      <c r="Y21" s="521">
        <f t="shared" si="2"/>
        <v>48.248999999999995</v>
      </c>
      <c r="Z21" s="521">
        <f t="shared" si="2"/>
        <v>84.865000000000009</v>
      </c>
      <c r="AA21" s="521">
        <f t="shared" si="2"/>
        <v>31.015000000000001</v>
      </c>
      <c r="AB21" s="521">
        <f t="shared" si="2"/>
        <v>50.8</v>
      </c>
      <c r="AC21" s="521">
        <f t="shared" si="2"/>
        <v>29.753</v>
      </c>
      <c r="AD21" s="521">
        <f t="shared" si="2"/>
        <v>32.370436092402215</v>
      </c>
      <c r="AE21" s="521">
        <f t="shared" si="2"/>
        <v>36.894777086434317</v>
      </c>
      <c r="AF21" s="521">
        <f t="shared" si="2"/>
        <v>46.588589573921347</v>
      </c>
      <c r="AG21" s="521">
        <f t="shared" si="2"/>
        <v>41.257336521106971</v>
      </c>
      <c r="AH21" s="521">
        <f t="shared" si="2"/>
        <v>34.703000000000003</v>
      </c>
      <c r="AI21" s="521">
        <f t="shared" si="2"/>
        <v>138.35340500000001</v>
      </c>
      <c r="AJ21" s="521">
        <f t="shared" si="2"/>
        <v>165.99299999999999</v>
      </c>
      <c r="AK21" s="521">
        <f t="shared" si="2"/>
        <v>110.00771377957322</v>
      </c>
      <c r="AL21" s="527">
        <f t="shared" si="2"/>
        <v>167.52759675358195</v>
      </c>
      <c r="AM21" s="527">
        <f t="shared" si="2"/>
        <v>36.507947914624928</v>
      </c>
      <c r="AN21" s="124"/>
      <c r="AO21" s="661"/>
      <c r="AP21" s="193"/>
      <c r="AQ21" s="193"/>
      <c r="AR21" s="192"/>
    </row>
    <row r="22" spans="1:44" ht="12.75" customHeight="1">
      <c r="A22" s="113" t="s">
        <v>510</v>
      </c>
      <c r="B22" s="521">
        <v>34.9</v>
      </c>
      <c r="C22" s="521">
        <v>39.1</v>
      </c>
      <c r="D22" s="521">
        <v>42.9</v>
      </c>
      <c r="E22" s="521">
        <v>42.9</v>
      </c>
      <c r="F22" s="521">
        <v>39.5</v>
      </c>
      <c r="G22" s="521">
        <v>35.299999999999997</v>
      </c>
      <c r="H22" s="521">
        <v>35.700000000000003</v>
      </c>
      <c r="I22" s="521">
        <v>50.9</v>
      </c>
      <c r="J22" s="521">
        <v>36.5</v>
      </c>
      <c r="K22" s="521">
        <v>43.42</v>
      </c>
      <c r="L22" s="521">
        <v>24.13</v>
      </c>
      <c r="M22" s="521">
        <v>32.31</v>
      </c>
      <c r="N22" s="521">
        <v>48.96</v>
      </c>
      <c r="O22" s="521">
        <v>53.64</v>
      </c>
      <c r="P22" s="535">
        <v>71.64</v>
      </c>
      <c r="Q22" s="521">
        <v>89.84</v>
      </c>
      <c r="R22" s="521">
        <v>101.24</v>
      </c>
      <c r="S22" s="521">
        <f t="shared" ref="S22:AM22" si="3">S41+S58+S75+S92+S109+S126+S143+S160+S177+S194</f>
        <v>138.71221442151381</v>
      </c>
      <c r="T22" s="521">
        <f t="shared" si="3"/>
        <v>133.63547134676014</v>
      </c>
      <c r="U22" s="521">
        <f t="shared" si="3"/>
        <v>134.37616072053166</v>
      </c>
      <c r="V22" s="521">
        <f t="shared" si="3"/>
        <v>153.24028670009764</v>
      </c>
      <c r="W22" s="521">
        <f t="shared" si="3"/>
        <v>192.08203901351644</v>
      </c>
      <c r="X22" s="521">
        <f t="shared" si="3"/>
        <v>323.85009721468589</v>
      </c>
      <c r="Y22" s="521">
        <f t="shared" si="3"/>
        <v>507.23251920473467</v>
      </c>
      <c r="Z22" s="521">
        <f t="shared" si="3"/>
        <v>453.57045859364564</v>
      </c>
      <c r="AA22" s="521">
        <f t="shared" si="3"/>
        <v>471.17981253432475</v>
      </c>
      <c r="AB22" s="521">
        <f t="shared" si="3"/>
        <v>470.24612538915915</v>
      </c>
      <c r="AC22" s="521">
        <f t="shared" si="3"/>
        <v>351.0013414602281</v>
      </c>
      <c r="AD22" s="521">
        <f t="shared" si="3"/>
        <v>311.38753814056071</v>
      </c>
      <c r="AE22" s="521">
        <f t="shared" si="3"/>
        <v>239.73552269661894</v>
      </c>
      <c r="AF22" s="521">
        <f t="shared" si="3"/>
        <v>273.99733762033361</v>
      </c>
      <c r="AG22" s="521">
        <f t="shared" si="3"/>
        <v>295.94739384608465</v>
      </c>
      <c r="AH22" s="521">
        <f t="shared" si="3"/>
        <v>318.35842244929478</v>
      </c>
      <c r="AI22" s="521">
        <f t="shared" si="3"/>
        <v>327.90092368662874</v>
      </c>
      <c r="AJ22" s="521">
        <f t="shared" si="3"/>
        <v>345.17780886618465</v>
      </c>
      <c r="AK22" s="521">
        <f t="shared" si="3"/>
        <v>359.94558791860629</v>
      </c>
      <c r="AL22" s="527">
        <f t="shared" si="3"/>
        <v>408.84174233431253</v>
      </c>
      <c r="AM22" s="527">
        <f t="shared" si="3"/>
        <v>393.52990309361957</v>
      </c>
      <c r="AN22" s="124"/>
      <c r="AO22" s="1051" t="s">
        <v>3825</v>
      </c>
      <c r="AP22" s="193"/>
      <c r="AQ22" s="193"/>
      <c r="AR22" s="192"/>
    </row>
    <row r="23" spans="1:44" ht="12.75" customHeight="1">
      <c r="A23" s="113" t="s">
        <v>409</v>
      </c>
      <c r="B23" s="521">
        <v>61.7</v>
      </c>
      <c r="C23" s="521">
        <v>73.3</v>
      </c>
      <c r="D23" s="521">
        <v>77.7</v>
      </c>
      <c r="E23" s="521">
        <v>11.7</v>
      </c>
      <c r="F23" s="521">
        <v>87.3</v>
      </c>
      <c r="G23" s="521">
        <v>109</v>
      </c>
      <c r="H23" s="521">
        <v>109.4</v>
      </c>
      <c r="I23" s="521">
        <v>122.5</v>
      </c>
      <c r="J23" s="521">
        <v>90.9</v>
      </c>
      <c r="K23" s="521">
        <v>101.69</v>
      </c>
      <c r="L23" s="521">
        <v>61.46</v>
      </c>
      <c r="M23" s="521">
        <v>89.19</v>
      </c>
      <c r="N23" s="521">
        <v>81.81</v>
      </c>
      <c r="O23" s="521">
        <v>84</v>
      </c>
      <c r="P23" s="535">
        <v>120.4</v>
      </c>
      <c r="Q23" s="521">
        <v>133</v>
      </c>
      <c r="R23" s="521">
        <v>149.37</v>
      </c>
      <c r="S23" s="521">
        <f t="shared" ref="S23:AM23" si="4">S42+S59+S76+S93+S110+S127+S144+S161+S178+S195</f>
        <v>205.27923031989641</v>
      </c>
      <c r="T23" s="521">
        <f t="shared" si="4"/>
        <v>230.42826679899417</v>
      </c>
      <c r="U23" s="521">
        <f t="shared" si="4"/>
        <v>284.03867130115424</v>
      </c>
      <c r="V23" s="521">
        <f t="shared" si="4"/>
        <v>381.28437589864205</v>
      </c>
      <c r="W23" s="521">
        <f t="shared" si="4"/>
        <v>598.23224554475303</v>
      </c>
      <c r="X23" s="521">
        <f t="shared" si="4"/>
        <v>572.61225594479231</v>
      </c>
      <c r="Y23" s="521">
        <f t="shared" si="4"/>
        <v>695.33225636685756</v>
      </c>
      <c r="Z23" s="521">
        <f t="shared" si="4"/>
        <v>693.28801535080481</v>
      </c>
      <c r="AA23" s="521">
        <f t="shared" si="4"/>
        <v>888.46584030287954</v>
      </c>
      <c r="AB23" s="521">
        <f t="shared" si="4"/>
        <v>868.87960393464471</v>
      </c>
      <c r="AC23" s="521">
        <f t="shared" si="4"/>
        <v>691.42278973561008</v>
      </c>
      <c r="AD23" s="521">
        <f t="shared" si="4"/>
        <v>692.17872570435065</v>
      </c>
      <c r="AE23" s="521">
        <f t="shared" si="4"/>
        <v>580.74886910293367</v>
      </c>
      <c r="AF23" s="521">
        <f t="shared" si="4"/>
        <v>493.2551538486058</v>
      </c>
      <c r="AG23" s="521">
        <f t="shared" si="4"/>
        <v>491.52945787489159</v>
      </c>
      <c r="AH23" s="521">
        <f t="shared" si="4"/>
        <v>506.99975322904851</v>
      </c>
      <c r="AI23" s="521">
        <f t="shared" si="4"/>
        <v>752.88982703751924</v>
      </c>
      <c r="AJ23" s="521">
        <f t="shared" si="4"/>
        <v>658.66498978868663</v>
      </c>
      <c r="AK23" s="521">
        <f t="shared" si="4"/>
        <v>679.488834319234</v>
      </c>
      <c r="AL23" s="527">
        <f t="shared" si="4"/>
        <v>813.25959099772717</v>
      </c>
      <c r="AM23" s="527">
        <f t="shared" si="4"/>
        <v>1103.5435974653521</v>
      </c>
      <c r="AN23" s="124"/>
      <c r="AO23" s="1051"/>
      <c r="AP23" s="193"/>
      <c r="AQ23" s="193"/>
      <c r="AR23" s="192"/>
    </row>
    <row r="24" spans="1:44" ht="12.75" customHeight="1">
      <c r="A24" s="113" t="s">
        <v>389</v>
      </c>
      <c r="B24" s="521">
        <v>480.7</v>
      </c>
      <c r="C24" s="521">
        <v>547.4</v>
      </c>
      <c r="D24" s="521">
        <v>653.9</v>
      </c>
      <c r="E24" s="521">
        <v>653.9</v>
      </c>
      <c r="F24" s="521">
        <v>756.2</v>
      </c>
      <c r="G24" s="521">
        <v>882.2</v>
      </c>
      <c r="H24" s="521">
        <v>876.8</v>
      </c>
      <c r="I24" s="521">
        <v>1002.4</v>
      </c>
      <c r="J24" s="521">
        <v>773.3</v>
      </c>
      <c r="K24" s="521">
        <v>817.79</v>
      </c>
      <c r="L24" s="521">
        <v>779.16</v>
      </c>
      <c r="M24" s="521">
        <v>825.07</v>
      </c>
      <c r="N24" s="521">
        <v>906.77</v>
      </c>
      <c r="O24" s="521">
        <v>1058.6300000000001</v>
      </c>
      <c r="P24" s="535">
        <v>1089.98</v>
      </c>
      <c r="Q24" s="521">
        <v>1260.06</v>
      </c>
      <c r="R24" s="521">
        <v>1240</v>
      </c>
      <c r="S24" s="521">
        <f t="shared" ref="S24:AM24" si="5">S43+S60+S77+S94+S111+S128+S145+S162+S179+S196</f>
        <v>1454.1058712974955</v>
      </c>
      <c r="T24" s="521">
        <f t="shared" si="5"/>
        <v>1545.2516071029033</v>
      </c>
      <c r="U24" s="521">
        <f t="shared" si="5"/>
        <v>1745.4156747988809</v>
      </c>
      <c r="V24" s="521">
        <f t="shared" si="5"/>
        <v>1953.8959757921366</v>
      </c>
      <c r="W24" s="521">
        <f t="shared" si="5"/>
        <v>2062.0836231289636</v>
      </c>
      <c r="X24" s="521">
        <f t="shared" si="5"/>
        <v>2039.3874048785376</v>
      </c>
      <c r="Y24" s="521">
        <f t="shared" si="5"/>
        <v>2377.8627244042991</v>
      </c>
      <c r="Z24" s="521">
        <f t="shared" si="5"/>
        <v>2088.1109822877079</v>
      </c>
      <c r="AA24" s="521">
        <f t="shared" si="5"/>
        <v>1883.9464505233757</v>
      </c>
      <c r="AB24" s="521">
        <f t="shared" si="5"/>
        <v>1810.7212660697928</v>
      </c>
      <c r="AC24" s="521">
        <f t="shared" si="5"/>
        <v>1999.2495639505678</v>
      </c>
      <c r="AD24" s="521">
        <f t="shared" si="5"/>
        <v>1905.5431873893394</v>
      </c>
      <c r="AE24" s="521">
        <f t="shared" si="5"/>
        <v>1923.3480845124518</v>
      </c>
      <c r="AF24" s="521">
        <f t="shared" si="5"/>
        <v>1901.0390415153868</v>
      </c>
      <c r="AG24" s="521">
        <f t="shared" si="5"/>
        <v>1904.295172505256</v>
      </c>
      <c r="AH24" s="521">
        <f t="shared" si="5"/>
        <v>2143.9607750235546</v>
      </c>
      <c r="AI24" s="521">
        <f t="shared" si="5"/>
        <v>2284.6344379046968</v>
      </c>
      <c r="AJ24" s="521">
        <f t="shared" si="5"/>
        <v>2483.8207204685586</v>
      </c>
      <c r="AK24" s="521">
        <f t="shared" si="5"/>
        <v>2627.635803080454</v>
      </c>
      <c r="AL24" s="527">
        <f t="shared" si="5"/>
        <v>2730.8092333346626</v>
      </c>
      <c r="AM24" s="527">
        <f t="shared" si="5"/>
        <v>2718.9967884711618</v>
      </c>
      <c r="AN24" s="124"/>
      <c r="AO24" s="1051"/>
      <c r="AP24" s="193"/>
      <c r="AQ24" s="193"/>
      <c r="AR24" s="192"/>
    </row>
    <row r="25" spans="1:44" ht="12.75" customHeight="1">
      <c r="A25" s="113" t="s">
        <v>703</v>
      </c>
      <c r="B25" s="521">
        <v>122</v>
      </c>
      <c r="C25" s="521">
        <v>136.6</v>
      </c>
      <c r="D25" s="521">
        <v>159.9</v>
      </c>
      <c r="E25" s="521">
        <v>159.9</v>
      </c>
      <c r="F25" s="521">
        <v>181.2</v>
      </c>
      <c r="G25" s="521">
        <v>212.6</v>
      </c>
      <c r="H25" s="521">
        <v>209.2</v>
      </c>
      <c r="I25" s="521">
        <v>225.9</v>
      </c>
      <c r="J25" s="521">
        <v>223.2</v>
      </c>
      <c r="K25" s="521">
        <v>228.05</v>
      </c>
      <c r="L25" s="521">
        <v>267.57</v>
      </c>
      <c r="M25" s="521">
        <v>240.06</v>
      </c>
      <c r="N25" s="521">
        <v>299.08</v>
      </c>
      <c r="O25" s="521">
        <v>357.92</v>
      </c>
      <c r="P25" s="535">
        <v>408.72</v>
      </c>
      <c r="Q25" s="521">
        <v>511.17</v>
      </c>
      <c r="R25" s="521">
        <v>521.75</v>
      </c>
      <c r="S25" s="521">
        <f t="shared" ref="S25:AM25" si="6">S44+S61+S78+S95+S112+S129+S146+S163+S180+S197</f>
        <v>839.77806190358115</v>
      </c>
      <c r="T25" s="521">
        <f t="shared" si="6"/>
        <v>1144.8951566608569</v>
      </c>
      <c r="U25" s="521">
        <f t="shared" si="6"/>
        <v>858.24237661769826</v>
      </c>
      <c r="V25" s="521">
        <f t="shared" si="6"/>
        <v>1054.9774516064615</v>
      </c>
      <c r="W25" s="521">
        <f t="shared" si="6"/>
        <v>1038.7835160656659</v>
      </c>
      <c r="X25" s="521">
        <f t="shared" si="6"/>
        <v>1246.3646197357125</v>
      </c>
      <c r="Y25" s="521">
        <f t="shared" si="6"/>
        <v>1367.4339696564325</v>
      </c>
      <c r="Z25" s="521">
        <f t="shared" si="6"/>
        <v>1196.5593259546336</v>
      </c>
      <c r="AA25" s="521">
        <f t="shared" si="6"/>
        <v>1292.1501628534365</v>
      </c>
      <c r="AB25" s="521">
        <f t="shared" si="6"/>
        <v>1298.2708532012612</v>
      </c>
      <c r="AC25" s="521">
        <f t="shared" si="6"/>
        <v>1149.4495265398045</v>
      </c>
      <c r="AD25" s="521">
        <f t="shared" si="6"/>
        <v>1238.4242716762656</v>
      </c>
      <c r="AE25" s="521">
        <f t="shared" si="6"/>
        <v>1378.1565411207343</v>
      </c>
      <c r="AF25" s="521">
        <f t="shared" si="6"/>
        <v>1571.9835687340731</v>
      </c>
      <c r="AG25" s="521">
        <f t="shared" si="6"/>
        <v>1809.2133881570348</v>
      </c>
      <c r="AH25" s="521">
        <f t="shared" si="6"/>
        <v>2064.3204861707213</v>
      </c>
      <c r="AI25" s="521">
        <f t="shared" si="6"/>
        <v>2316.3279132100092</v>
      </c>
      <c r="AJ25" s="521">
        <f t="shared" si="6"/>
        <v>2466.1566156180279</v>
      </c>
      <c r="AK25" s="521">
        <f t="shared" si="6"/>
        <v>2483.5049484326923</v>
      </c>
      <c r="AL25" s="527">
        <f t="shared" si="6"/>
        <v>2546.9108199213938</v>
      </c>
      <c r="AM25" s="527">
        <f t="shared" si="6"/>
        <v>2554.6044751936925</v>
      </c>
      <c r="AN25" s="124"/>
      <c r="AO25" s="655" t="s">
        <v>1100</v>
      </c>
      <c r="AP25" s="193"/>
      <c r="AQ25" s="193"/>
      <c r="AR25" s="192"/>
    </row>
    <row r="26" spans="1:44" ht="12.75" customHeight="1">
      <c r="A26" s="113" t="s">
        <v>234</v>
      </c>
      <c r="B26" s="521">
        <v>191.5</v>
      </c>
      <c r="C26" s="521">
        <v>207.9</v>
      </c>
      <c r="D26" s="521">
        <v>232.1</v>
      </c>
      <c r="E26" s="521">
        <v>232.1</v>
      </c>
      <c r="F26" s="521">
        <v>254.3</v>
      </c>
      <c r="G26" s="521">
        <v>277.7</v>
      </c>
      <c r="H26" s="521">
        <v>286.3</v>
      </c>
      <c r="I26" s="521">
        <v>280</v>
      </c>
      <c r="J26" s="521">
        <v>279.39999999999998</v>
      </c>
      <c r="K26" s="521">
        <v>275.08999999999997</v>
      </c>
      <c r="L26" s="521">
        <v>264.10000000000002</v>
      </c>
      <c r="M26" s="521">
        <v>293.94</v>
      </c>
      <c r="N26" s="521">
        <v>297.74</v>
      </c>
      <c r="O26" s="521">
        <v>355.88</v>
      </c>
      <c r="P26" s="535">
        <v>377.46</v>
      </c>
      <c r="Q26" s="521">
        <v>436.62</v>
      </c>
      <c r="R26" s="521">
        <v>441.17</v>
      </c>
      <c r="S26" s="521">
        <f t="shared" ref="S26:AM26" si="7">S45+S62+S79+S96+S113+S130+S147+S164+S181+S198</f>
        <v>416.37805026680996</v>
      </c>
      <c r="T26" s="521">
        <f t="shared" si="7"/>
        <v>428.69527959221602</v>
      </c>
      <c r="U26" s="521">
        <f t="shared" si="7"/>
        <v>447.36946292409937</v>
      </c>
      <c r="V26" s="521">
        <f t="shared" si="7"/>
        <v>475.42423659802967</v>
      </c>
      <c r="W26" s="521">
        <f t="shared" si="7"/>
        <v>494.11841787011878</v>
      </c>
      <c r="X26" s="521">
        <f t="shared" si="7"/>
        <v>497.27320158557734</v>
      </c>
      <c r="Y26" s="521">
        <f t="shared" si="7"/>
        <v>537.23664953012781</v>
      </c>
      <c r="Z26" s="521">
        <f t="shared" si="7"/>
        <v>546.81484855103588</v>
      </c>
      <c r="AA26" s="521">
        <f t="shared" si="7"/>
        <v>614.185697420324</v>
      </c>
      <c r="AB26" s="521">
        <f t="shared" si="7"/>
        <v>664.32924881831354</v>
      </c>
      <c r="AC26" s="521">
        <f t="shared" si="7"/>
        <v>685.82772131827869</v>
      </c>
      <c r="AD26" s="521">
        <f t="shared" si="7"/>
        <v>697.37883283327596</v>
      </c>
      <c r="AE26" s="521">
        <f t="shared" si="7"/>
        <v>781.8303564030997</v>
      </c>
      <c r="AF26" s="521">
        <f t="shared" si="7"/>
        <v>843.99787127834554</v>
      </c>
      <c r="AG26" s="521">
        <f t="shared" si="7"/>
        <v>862.29986484979975</v>
      </c>
      <c r="AH26" s="521">
        <f t="shared" si="7"/>
        <v>825.21012313975757</v>
      </c>
      <c r="AI26" s="521">
        <f t="shared" si="7"/>
        <v>947.27427482267592</v>
      </c>
      <c r="AJ26" s="521">
        <f t="shared" si="7"/>
        <v>1016.8486503624709</v>
      </c>
      <c r="AK26" s="521">
        <f t="shared" si="7"/>
        <v>1084.1021728199148</v>
      </c>
      <c r="AL26" s="527">
        <f t="shared" si="7"/>
        <v>1109.7789141585258</v>
      </c>
      <c r="AM26" s="527">
        <f t="shared" si="7"/>
        <v>1096.9459583307842</v>
      </c>
      <c r="AN26" s="124"/>
      <c r="AO26" s="1051" t="s">
        <v>3826</v>
      </c>
      <c r="AP26" s="193"/>
      <c r="AQ26" s="193"/>
      <c r="AR26" s="192"/>
    </row>
    <row r="27" spans="1:44" ht="12.75" customHeight="1">
      <c r="A27" s="113" t="s">
        <v>701</v>
      </c>
      <c r="B27" s="521"/>
      <c r="C27" s="521"/>
      <c r="D27" s="521"/>
      <c r="E27" s="521"/>
      <c r="F27" s="521"/>
      <c r="G27" s="521"/>
      <c r="H27" s="521"/>
      <c r="I27" s="521"/>
      <c r="J27" s="521"/>
      <c r="K27" s="521"/>
      <c r="L27" s="521"/>
      <c r="M27" s="521"/>
      <c r="N27" s="521">
        <v>9.11</v>
      </c>
      <c r="O27" s="521">
        <v>9.44</v>
      </c>
      <c r="P27" s="535">
        <v>10.57</v>
      </c>
      <c r="Q27" s="521">
        <v>13.86</v>
      </c>
      <c r="R27" s="521">
        <v>15.83</v>
      </c>
      <c r="S27" s="521">
        <f t="shared" ref="S27:AM27" si="8">S46+S63+S80+S97+S114+S131+S148+S165+S182+S199</f>
        <v>17.207765161325874</v>
      </c>
      <c r="T27" s="521">
        <f t="shared" si="8"/>
        <v>17.651314331704956</v>
      </c>
      <c r="U27" s="521">
        <f t="shared" si="8"/>
        <v>19.51630720531654</v>
      </c>
      <c r="V27" s="521">
        <f t="shared" si="8"/>
        <v>23.440600980740221</v>
      </c>
      <c r="W27" s="521">
        <f t="shared" si="8"/>
        <v>21.382082013403977</v>
      </c>
      <c r="X27" s="521">
        <f t="shared" si="8"/>
        <v>23.379887328211229</v>
      </c>
      <c r="Y27" s="521">
        <f t="shared" si="8"/>
        <v>23.86083349055496</v>
      </c>
      <c r="Z27" s="521">
        <f t="shared" si="8"/>
        <v>26.753158960172087</v>
      </c>
      <c r="AA27" s="521">
        <f t="shared" si="8"/>
        <v>26.255989358017132</v>
      </c>
      <c r="AB27" s="521">
        <f t="shared" si="8"/>
        <v>22.743909026992672</v>
      </c>
      <c r="AC27" s="521">
        <f t="shared" si="8"/>
        <v>24.58258529721703</v>
      </c>
      <c r="AD27" s="521">
        <f t="shared" si="8"/>
        <v>29.992346966975241</v>
      </c>
      <c r="AE27" s="521">
        <f t="shared" si="8"/>
        <v>48.352656160653034</v>
      </c>
      <c r="AF27" s="521">
        <f t="shared" si="8"/>
        <v>52.300456820199187</v>
      </c>
      <c r="AG27" s="521">
        <f t="shared" si="8"/>
        <v>59.1192660837688</v>
      </c>
      <c r="AH27" s="521">
        <f t="shared" si="8"/>
        <v>62.936873684085725</v>
      </c>
      <c r="AI27" s="521">
        <f t="shared" si="8"/>
        <v>65.497802257805475</v>
      </c>
      <c r="AJ27" s="521">
        <f t="shared" si="8"/>
        <v>71.550038399357959</v>
      </c>
      <c r="AK27" s="521">
        <f t="shared" si="8"/>
        <v>75.172450205686403</v>
      </c>
      <c r="AL27" s="527">
        <f t="shared" si="8"/>
        <v>80.297570661216454</v>
      </c>
      <c r="AM27" s="527">
        <f t="shared" si="8"/>
        <v>81.853946175929863</v>
      </c>
      <c r="AN27" s="124"/>
      <c r="AO27" s="1051"/>
      <c r="AP27" s="193"/>
      <c r="AQ27" s="193"/>
      <c r="AR27" s="192"/>
    </row>
    <row r="28" spans="1:44" ht="12.75" customHeight="1">
      <c r="A28" s="113" t="s">
        <v>1324</v>
      </c>
      <c r="B28" s="521"/>
      <c r="C28" s="536"/>
      <c r="D28" s="521"/>
      <c r="E28" s="521"/>
      <c r="F28" s="521"/>
      <c r="G28" s="521"/>
      <c r="H28" s="521"/>
      <c r="I28" s="521"/>
      <c r="J28" s="521"/>
      <c r="K28" s="521"/>
      <c r="L28" s="521"/>
      <c r="M28" s="521"/>
      <c r="N28" s="521">
        <v>78.02</v>
      </c>
      <c r="O28" s="521">
        <v>73.25</v>
      </c>
      <c r="P28" s="535">
        <v>77.73</v>
      </c>
      <c r="Q28" s="521">
        <v>72.7</v>
      </c>
      <c r="R28" s="521">
        <v>70.290000000000006</v>
      </c>
      <c r="S28" s="521">
        <f t="shared" ref="S28:AM28" si="9">S47+S64+S81+S98+S115+S132+S149+S166+S183+S200</f>
        <v>90.743420981089102</v>
      </c>
      <c r="T28" s="521">
        <f t="shared" si="9"/>
        <v>112.82465818110404</v>
      </c>
      <c r="U28" s="521">
        <f t="shared" si="9"/>
        <v>133.51039668590414</v>
      </c>
      <c r="V28" s="521">
        <f t="shared" si="9"/>
        <v>174.80989509186116</v>
      </c>
      <c r="W28" s="521">
        <f t="shared" si="9"/>
        <v>189.4688057267125</v>
      </c>
      <c r="X28" s="521">
        <f t="shared" si="9"/>
        <v>98.810653930711538</v>
      </c>
      <c r="Y28" s="521">
        <f t="shared" si="9"/>
        <v>126.74435941110508</v>
      </c>
      <c r="Z28" s="521">
        <f t="shared" si="9"/>
        <v>122.83960060606957</v>
      </c>
      <c r="AA28" s="521">
        <f t="shared" si="9"/>
        <v>113.43225776699565</v>
      </c>
      <c r="AB28" s="521">
        <f t="shared" si="9"/>
        <v>114.50316112978236</v>
      </c>
      <c r="AC28" s="521">
        <f t="shared" si="9"/>
        <v>34.331466740336317</v>
      </c>
      <c r="AD28" s="521">
        <f t="shared" si="9"/>
        <v>39.923282427566313</v>
      </c>
      <c r="AE28" s="521">
        <f t="shared" si="9"/>
        <v>36.017445730125587</v>
      </c>
      <c r="AF28" s="521">
        <f t="shared" si="9"/>
        <v>34.416346135608038</v>
      </c>
      <c r="AG28" s="521">
        <f t="shared" si="9"/>
        <v>45.051283221448273</v>
      </c>
      <c r="AH28" s="521">
        <f t="shared" si="9"/>
        <v>39.121706611863154</v>
      </c>
      <c r="AI28" s="521">
        <f t="shared" si="9"/>
        <v>46.758126817084225</v>
      </c>
      <c r="AJ28" s="521">
        <f t="shared" si="9"/>
        <v>54.749117473003565</v>
      </c>
      <c r="AK28" s="521">
        <f t="shared" si="9"/>
        <v>89.248755790872252</v>
      </c>
      <c r="AL28" s="527">
        <f t="shared" si="9"/>
        <v>102.23365139678066</v>
      </c>
      <c r="AM28" s="527">
        <f t="shared" si="9"/>
        <v>112.16689763010599</v>
      </c>
      <c r="AN28" s="124"/>
      <c r="AO28" s="1051"/>
      <c r="AP28" s="193"/>
      <c r="AQ28" s="193"/>
      <c r="AR28" s="192"/>
    </row>
    <row r="29" spans="1:44" ht="12.75" customHeight="1">
      <c r="A29" s="113" t="s">
        <v>362</v>
      </c>
      <c r="B29" s="521">
        <v>5.0999999999999996</v>
      </c>
      <c r="C29" s="521">
        <v>12.3</v>
      </c>
      <c r="D29" s="521">
        <v>13.3</v>
      </c>
      <c r="E29" s="521">
        <v>13.3</v>
      </c>
      <c r="F29" s="521">
        <v>13.1</v>
      </c>
      <c r="G29" s="521">
        <v>12.1</v>
      </c>
      <c r="H29" s="521">
        <v>14.2</v>
      </c>
      <c r="I29" s="521">
        <v>11.6</v>
      </c>
      <c r="J29" s="521">
        <v>11</v>
      </c>
      <c r="K29" s="521">
        <v>24.4</v>
      </c>
      <c r="L29" s="521">
        <v>12.33</v>
      </c>
      <c r="M29" s="521">
        <v>11.78</v>
      </c>
      <c r="N29" s="521">
        <v>36.08</v>
      </c>
      <c r="O29" s="521">
        <v>55.59</v>
      </c>
      <c r="P29" s="535">
        <v>88.74</v>
      </c>
      <c r="Q29" s="521">
        <v>103.91</v>
      </c>
      <c r="R29" s="521">
        <v>115.24</v>
      </c>
      <c r="S29" s="521">
        <f t="shared" ref="S29:AM29" si="10">S48+S65+S82+S99+S116+S133+S150+S167+S184+S201</f>
        <v>148.57202792641374</v>
      </c>
      <c r="T29" s="521">
        <f t="shared" si="10"/>
        <v>155.13774371248917</v>
      </c>
      <c r="U29" s="521">
        <f t="shared" si="10"/>
        <v>199.71686582581322</v>
      </c>
      <c r="V29" s="521">
        <f t="shared" si="10"/>
        <v>267.66383573675336</v>
      </c>
      <c r="W29" s="521">
        <f t="shared" si="10"/>
        <v>306.51874423902348</v>
      </c>
      <c r="X29" s="521">
        <f t="shared" si="10"/>
        <v>468.3936897242537</v>
      </c>
      <c r="Y29" s="521">
        <f t="shared" si="10"/>
        <v>601.4544747658008</v>
      </c>
      <c r="Z29" s="521">
        <f t="shared" si="10"/>
        <v>688.64530113994658</v>
      </c>
      <c r="AA29" s="521">
        <f t="shared" si="10"/>
        <v>656.09028174913203</v>
      </c>
      <c r="AB29" s="521">
        <f t="shared" si="10"/>
        <v>643.63360063197081</v>
      </c>
      <c r="AC29" s="521">
        <f t="shared" si="10"/>
        <v>784.39563927193683</v>
      </c>
      <c r="AD29" s="521">
        <f t="shared" si="10"/>
        <v>695.65367552217936</v>
      </c>
      <c r="AE29" s="521">
        <f t="shared" si="10"/>
        <v>664.20118166502721</v>
      </c>
      <c r="AF29" s="521">
        <f t="shared" si="10"/>
        <v>675.64976856944315</v>
      </c>
      <c r="AG29" s="521">
        <f t="shared" si="10"/>
        <v>576.97653188935863</v>
      </c>
      <c r="AH29" s="521">
        <f t="shared" si="10"/>
        <v>554.581103702272</v>
      </c>
      <c r="AI29" s="521">
        <f t="shared" si="10"/>
        <v>767.38838231230773</v>
      </c>
      <c r="AJ29" s="521">
        <f t="shared" si="10"/>
        <v>848.81823535172009</v>
      </c>
      <c r="AK29" s="521">
        <f t="shared" si="10"/>
        <v>882.46216411408057</v>
      </c>
      <c r="AL29" s="527">
        <f t="shared" si="10"/>
        <v>929.58580938995169</v>
      </c>
      <c r="AM29" s="527">
        <f t="shared" si="10"/>
        <v>923.89581022086634</v>
      </c>
      <c r="AN29" s="124"/>
      <c r="AO29" s="661"/>
      <c r="AP29" s="193"/>
      <c r="AQ29" s="193"/>
      <c r="AR29" s="192"/>
    </row>
    <row r="30" spans="1:44" ht="12.75" customHeight="1">
      <c r="A30" s="113" t="s">
        <v>669</v>
      </c>
      <c r="B30" s="521"/>
      <c r="C30" s="521"/>
      <c r="D30" s="521"/>
      <c r="E30" s="521"/>
      <c r="F30" s="521"/>
      <c r="G30" s="521"/>
      <c r="H30" s="521"/>
      <c r="I30" s="521"/>
      <c r="J30" s="521"/>
      <c r="K30" s="521"/>
      <c r="L30" s="521">
        <v>1743.3</v>
      </c>
      <c r="M30" s="521">
        <v>1624.9</v>
      </c>
      <c r="N30" s="521">
        <v>1289.2</v>
      </c>
      <c r="O30" s="521">
        <v>1443.57</v>
      </c>
      <c r="P30" s="535">
        <v>1520.76</v>
      </c>
      <c r="Q30" s="521">
        <v>1606.92</v>
      </c>
      <c r="R30" s="521">
        <v>1178.01</v>
      </c>
      <c r="S30" s="521">
        <f t="shared" ref="S30:AM30" si="11">S49+S66+S83+S100+S117+S134+S151+S168+S185+S202</f>
        <v>1383.25</v>
      </c>
      <c r="T30" s="521">
        <f t="shared" si="11"/>
        <v>1400.3989999999999</v>
      </c>
      <c r="U30" s="521">
        <f t="shared" si="11"/>
        <v>1391.6779999999999</v>
      </c>
      <c r="V30" s="521">
        <f t="shared" si="11"/>
        <v>1408.4279999999999</v>
      </c>
      <c r="W30" s="521">
        <f t="shared" si="11"/>
        <v>1513.962</v>
      </c>
      <c r="X30" s="521">
        <f t="shared" si="11"/>
        <v>1661.433</v>
      </c>
      <c r="Y30" s="521">
        <f t="shared" si="11"/>
        <v>1774.615</v>
      </c>
      <c r="Z30" s="521">
        <f t="shared" si="11"/>
        <v>1807.4639999999999</v>
      </c>
      <c r="AA30" s="521">
        <f t="shared" si="11"/>
        <v>1874.4600000000003</v>
      </c>
      <c r="AB30" s="521">
        <f t="shared" si="11"/>
        <v>1947.2684999999999</v>
      </c>
      <c r="AC30" s="521">
        <f t="shared" si="11"/>
        <v>2022.2830000000001</v>
      </c>
      <c r="AD30" s="521">
        <f t="shared" si="11"/>
        <v>1978.077</v>
      </c>
      <c r="AE30" s="521">
        <f t="shared" si="11"/>
        <v>2141.5515</v>
      </c>
      <c r="AF30" s="521">
        <f t="shared" si="11"/>
        <v>2122.8220000000001</v>
      </c>
      <c r="AG30" s="521">
        <f t="shared" si="11"/>
        <v>2144.8429999999998</v>
      </c>
      <c r="AH30" s="521">
        <f t="shared" si="11"/>
        <v>3190.9489999999996</v>
      </c>
      <c r="AI30" s="521">
        <f t="shared" si="11"/>
        <v>2230.5810000000001</v>
      </c>
      <c r="AJ30" s="521">
        <f t="shared" si="11"/>
        <v>2273.8390000000004</v>
      </c>
      <c r="AK30" s="521">
        <f t="shared" si="11"/>
        <v>2395.2449999999999</v>
      </c>
      <c r="AL30" s="527">
        <f t="shared" si="11"/>
        <v>2529.6509999999998</v>
      </c>
      <c r="AM30" s="527">
        <f t="shared" si="11"/>
        <v>2611.433</v>
      </c>
      <c r="AN30" s="124"/>
      <c r="AO30" s="1051" t="s">
        <v>3827</v>
      </c>
      <c r="AP30" s="193"/>
      <c r="AQ30" s="193"/>
      <c r="AR30" s="192"/>
    </row>
    <row r="31" spans="1:44" ht="12.75" customHeight="1">
      <c r="A31" s="113" t="s">
        <v>397</v>
      </c>
      <c r="B31" s="521"/>
      <c r="C31" s="521"/>
      <c r="D31" s="521"/>
      <c r="E31" s="521"/>
      <c r="F31" s="521"/>
      <c r="G31" s="521"/>
      <c r="H31" s="521"/>
      <c r="I31" s="521"/>
      <c r="J31" s="521"/>
      <c r="K31" s="521"/>
      <c r="L31" s="521">
        <v>96.19</v>
      </c>
      <c r="M31" s="521">
        <v>274.75</v>
      </c>
      <c r="N31" s="521">
        <v>481.18</v>
      </c>
      <c r="O31" s="521">
        <v>406.39</v>
      </c>
      <c r="P31" s="535">
        <v>448.16</v>
      </c>
      <c r="Q31" s="521">
        <v>611.55999999999995</v>
      </c>
      <c r="R31" s="521">
        <v>553.51</v>
      </c>
      <c r="S31" s="521">
        <f t="shared" ref="S31:AM31" si="12">S50+S67+S84+S101+S118+S135+S152+S169+S186+S203</f>
        <v>483.34842348721986</v>
      </c>
      <c r="T31" s="521">
        <f t="shared" si="12"/>
        <v>393.21538562242807</v>
      </c>
      <c r="U31" s="521">
        <f t="shared" si="12"/>
        <v>376.29133917838402</v>
      </c>
      <c r="V31" s="521">
        <f t="shared" si="12"/>
        <v>400.39157369805633</v>
      </c>
      <c r="W31" s="521">
        <f t="shared" si="12"/>
        <v>454.44317363405918</v>
      </c>
      <c r="X31" s="521">
        <f t="shared" si="12"/>
        <v>537.69256541349955</v>
      </c>
      <c r="Y31" s="521">
        <f t="shared" si="12"/>
        <v>570.13683848043547</v>
      </c>
      <c r="Z31" s="521">
        <f t="shared" si="12"/>
        <v>568.96523716597528</v>
      </c>
      <c r="AA31" s="521">
        <f t="shared" si="12"/>
        <v>607.17427648411865</v>
      </c>
      <c r="AB31" s="521">
        <f t="shared" si="12"/>
        <v>587.91330198877711</v>
      </c>
      <c r="AC31" s="521">
        <f t="shared" si="12"/>
        <v>603.81518581204341</v>
      </c>
      <c r="AD31" s="521">
        <f t="shared" si="12"/>
        <v>652.18279266953562</v>
      </c>
      <c r="AE31" s="521">
        <f t="shared" si="12"/>
        <v>911.58948324432959</v>
      </c>
      <c r="AF31" s="521">
        <f t="shared" si="12"/>
        <v>662.76391383208909</v>
      </c>
      <c r="AG31" s="521">
        <f t="shared" si="12"/>
        <v>673.75098453198564</v>
      </c>
      <c r="AH31" s="521">
        <f t="shared" si="12"/>
        <v>786.40657526221696</v>
      </c>
      <c r="AI31" s="521">
        <f t="shared" si="12"/>
        <v>865.63245639751187</v>
      </c>
      <c r="AJ31" s="521">
        <f t="shared" si="12"/>
        <v>980.45895209998378</v>
      </c>
      <c r="AK31" s="521">
        <f t="shared" si="12"/>
        <v>1159.8134332025661</v>
      </c>
      <c r="AL31" s="527">
        <f t="shared" si="12"/>
        <v>1404.5818969125548</v>
      </c>
      <c r="AM31" s="527">
        <f t="shared" si="12"/>
        <v>1401.9570894096023</v>
      </c>
      <c r="AN31" s="124"/>
      <c r="AO31" s="1051"/>
      <c r="AP31" s="193"/>
      <c r="AQ31" s="193"/>
      <c r="AR31" s="192"/>
    </row>
    <row r="32" spans="1:44" ht="12.75" customHeight="1">
      <c r="A32" s="113" t="s">
        <v>544</v>
      </c>
      <c r="B32" s="521">
        <v>246.7</v>
      </c>
      <c r="C32" s="521">
        <v>250.1</v>
      </c>
      <c r="D32" s="521">
        <v>257.2</v>
      </c>
      <c r="E32" s="521">
        <v>257.2</v>
      </c>
      <c r="F32" s="521">
        <v>267.10000000000002</v>
      </c>
      <c r="G32" s="521">
        <v>293.10000000000002</v>
      </c>
      <c r="H32" s="521">
        <v>277.5</v>
      </c>
      <c r="I32" s="521">
        <v>292.2</v>
      </c>
      <c r="J32" s="521">
        <v>281.2</v>
      </c>
      <c r="K32" s="521">
        <v>227.52</v>
      </c>
      <c r="L32" s="521">
        <v>233.08</v>
      </c>
      <c r="M32" s="521">
        <v>250.31</v>
      </c>
      <c r="N32" s="521">
        <v>279.83</v>
      </c>
      <c r="O32" s="521">
        <v>289.7</v>
      </c>
      <c r="P32" s="535">
        <v>307.68</v>
      </c>
      <c r="Q32" s="521">
        <v>320.3</v>
      </c>
      <c r="R32" s="521">
        <v>344.01</v>
      </c>
      <c r="S32" s="521">
        <f t="shared" ref="S32:AM32" si="13">S51+S68+S85+S102+S119+S136+S153+S170+S187+S204</f>
        <v>389.4311366195501</v>
      </c>
      <c r="T32" s="521">
        <f t="shared" si="13"/>
        <v>449.99449864808474</v>
      </c>
      <c r="U32" s="521">
        <f t="shared" si="13"/>
        <v>458.53953978663873</v>
      </c>
      <c r="V32" s="521">
        <f t="shared" si="13"/>
        <v>459.56805147776691</v>
      </c>
      <c r="W32" s="521">
        <f t="shared" si="13"/>
        <v>494.31528876220739</v>
      </c>
      <c r="X32" s="521">
        <f t="shared" si="13"/>
        <v>490.62868474968752</v>
      </c>
      <c r="Y32" s="521">
        <f t="shared" si="13"/>
        <v>531.82989954465484</v>
      </c>
      <c r="Z32" s="521">
        <f t="shared" si="13"/>
        <v>498.50941343545213</v>
      </c>
      <c r="AA32" s="521">
        <f t="shared" si="13"/>
        <v>484.02603498005317</v>
      </c>
      <c r="AB32" s="521">
        <f t="shared" si="13"/>
        <v>495.44436343717325</v>
      </c>
      <c r="AC32" s="521">
        <f t="shared" si="13"/>
        <v>555.92343311362606</v>
      </c>
      <c r="AD32" s="521">
        <f t="shared" si="13"/>
        <v>543.77347115313705</v>
      </c>
      <c r="AE32" s="521">
        <f t="shared" si="13"/>
        <v>621.03991528276413</v>
      </c>
      <c r="AF32" s="521">
        <f t="shared" si="13"/>
        <v>592.48555005614037</v>
      </c>
      <c r="AG32" s="521">
        <f t="shared" si="13"/>
        <v>535.66762402310235</v>
      </c>
      <c r="AH32" s="521">
        <f t="shared" si="13"/>
        <v>646.8575644220449</v>
      </c>
      <c r="AI32" s="521">
        <f t="shared" si="13"/>
        <v>748.23578813158952</v>
      </c>
      <c r="AJ32" s="521">
        <f t="shared" si="13"/>
        <v>762.14663427135713</v>
      </c>
      <c r="AK32" s="521">
        <f t="shared" si="13"/>
        <v>857.14149810109757</v>
      </c>
      <c r="AL32" s="527">
        <f t="shared" si="13"/>
        <v>846.60570395100694</v>
      </c>
      <c r="AM32" s="527">
        <f t="shared" si="13"/>
        <v>914.5432630620146</v>
      </c>
      <c r="AN32" s="124"/>
      <c r="AO32" s="1051"/>
      <c r="AP32" s="193"/>
      <c r="AQ32" s="193"/>
      <c r="AR32" s="192"/>
    </row>
    <row r="33" spans="1:44" ht="12.75" customHeight="1">
      <c r="A33" s="149" t="s">
        <v>3828</v>
      </c>
      <c r="B33" s="537">
        <v>976.6</v>
      </c>
      <c r="C33" s="537">
        <v>1048</v>
      </c>
      <c r="D33" s="537">
        <v>1175.5999999999999</v>
      </c>
      <c r="E33" s="537">
        <v>1175.5999999999999</v>
      </c>
      <c r="F33" s="537">
        <v>1318.8</v>
      </c>
      <c r="G33" s="537">
        <v>1414.6</v>
      </c>
      <c r="H33" s="537">
        <v>1498.7</v>
      </c>
      <c r="I33" s="537">
        <v>1630.7</v>
      </c>
      <c r="J33" s="537">
        <v>1742.8</v>
      </c>
      <c r="K33" s="537">
        <v>1725.53</v>
      </c>
      <c r="L33" s="537" t="s">
        <v>1100</v>
      </c>
      <c r="M33" s="537" t="s">
        <v>1100</v>
      </c>
      <c r="N33" s="537" t="s">
        <v>1100</v>
      </c>
      <c r="O33" s="537" t="s">
        <v>1100</v>
      </c>
      <c r="P33" s="538" t="s">
        <v>1100</v>
      </c>
      <c r="Q33" s="537" t="s">
        <v>1100</v>
      </c>
      <c r="R33" s="537" t="s">
        <v>1100</v>
      </c>
      <c r="S33" s="521"/>
      <c r="T33" s="521"/>
      <c r="U33" s="521"/>
      <c r="V33" s="521"/>
      <c r="W33" s="521"/>
      <c r="X33" s="521"/>
      <c r="Y33" s="521"/>
      <c r="Z33" s="521"/>
      <c r="AA33" s="521"/>
      <c r="AB33" s="521"/>
      <c r="AC33" s="521"/>
      <c r="AD33" s="521"/>
      <c r="AE33" s="521"/>
      <c r="AF33" s="521"/>
      <c r="AG33" s="521"/>
      <c r="AH33" s="521"/>
      <c r="AI33" s="521"/>
      <c r="AJ33" s="521"/>
      <c r="AK33" s="521"/>
      <c r="AL33" s="527"/>
      <c r="AM33" s="528"/>
      <c r="AN33" s="124"/>
      <c r="AO33" s="1053"/>
      <c r="AP33" s="193"/>
      <c r="AQ33" s="193"/>
      <c r="AR33" s="192"/>
    </row>
    <row r="34" spans="1:44" ht="12.75" customHeight="1">
      <c r="A34" s="117" t="s">
        <v>1622</v>
      </c>
      <c r="B34" s="54">
        <f>SUM(B19:B33)</f>
        <v>2273.5</v>
      </c>
      <c r="C34" s="54">
        <f t="shared" ref="C34:R34" si="14">SUM(C19:C33)</f>
        <v>2487.1</v>
      </c>
      <c r="D34" s="54">
        <f t="shared" si="14"/>
        <v>2800.8</v>
      </c>
      <c r="E34" s="54">
        <f t="shared" si="14"/>
        <v>2734.7999999999997</v>
      </c>
      <c r="F34" s="54">
        <f t="shared" si="14"/>
        <v>3123.5</v>
      </c>
      <c r="G34" s="54">
        <f t="shared" si="14"/>
        <v>3450</v>
      </c>
      <c r="H34" s="54">
        <f t="shared" si="14"/>
        <v>3542.8</v>
      </c>
      <c r="I34" s="54">
        <f t="shared" si="14"/>
        <v>3840.5999999999995</v>
      </c>
      <c r="J34" s="54">
        <f t="shared" si="14"/>
        <v>3713.1</v>
      </c>
      <c r="K34" s="54">
        <f t="shared" si="14"/>
        <v>3689.3999999999996</v>
      </c>
      <c r="L34" s="54">
        <f t="shared" si="14"/>
        <v>3786.52</v>
      </c>
      <c r="M34" s="54">
        <f t="shared" si="14"/>
        <v>4029</v>
      </c>
      <c r="N34" s="54">
        <f t="shared" si="14"/>
        <v>4205.97</v>
      </c>
      <c r="O34" s="54">
        <f t="shared" si="14"/>
        <v>4624.4000000000005</v>
      </c>
      <c r="P34" s="54">
        <f t="shared" si="14"/>
        <v>4967.1500000000005</v>
      </c>
      <c r="Q34" s="54">
        <f t="shared" si="14"/>
        <v>5671.4000000000005</v>
      </c>
      <c r="R34" s="54">
        <f t="shared" si="14"/>
        <v>5238.71</v>
      </c>
      <c r="S34" s="440">
        <f t="shared" ref="S34:AL34" si="15">SUM(S19:S33)</f>
        <v>6047.4063349999988</v>
      </c>
      <c r="T34" s="440">
        <f t="shared" si="15"/>
        <v>6555.9973310000005</v>
      </c>
      <c r="U34" s="440">
        <f t="shared" si="15"/>
        <v>6661.1524980000004</v>
      </c>
      <c r="V34" s="440">
        <f t="shared" si="15"/>
        <v>7414.6745060000003</v>
      </c>
      <c r="W34" s="440">
        <f t="shared" si="15"/>
        <v>8312.5372069999994</v>
      </c>
      <c r="X34" s="440">
        <f t="shared" si="15"/>
        <v>8864.177678</v>
      </c>
      <c r="Y34" s="440">
        <f t="shared" si="15"/>
        <v>10073.673858000002</v>
      </c>
      <c r="Z34" s="440">
        <f t="shared" si="15"/>
        <v>9783.5219169999982</v>
      </c>
      <c r="AA34" s="440">
        <f t="shared" si="15"/>
        <v>9825.3390080000008</v>
      </c>
      <c r="AB34" s="440">
        <f t="shared" si="15"/>
        <v>9834.2673994100005</v>
      </c>
      <c r="AC34" s="440">
        <f t="shared" si="15"/>
        <v>9638.1101495072126</v>
      </c>
      <c r="AD34" s="440">
        <f t="shared" si="15"/>
        <v>9493.5913528637502</v>
      </c>
      <c r="AE34" s="440">
        <f t="shared" si="15"/>
        <v>10192.038832404734</v>
      </c>
      <c r="AF34" s="440">
        <f t="shared" si="15"/>
        <v>10038.440924094497</v>
      </c>
      <c r="AG34" s="440">
        <f t="shared" si="15"/>
        <v>10240.783826839912</v>
      </c>
      <c r="AH34" s="440">
        <f t="shared" si="15"/>
        <v>12069.723729277344</v>
      </c>
      <c r="AI34" s="440">
        <f t="shared" si="15"/>
        <v>12463.887649079999</v>
      </c>
      <c r="AJ34" s="440">
        <f t="shared" si="15"/>
        <v>13165.461013600001</v>
      </c>
      <c r="AK34" s="440">
        <f t="shared" si="15"/>
        <v>13856.727291999996</v>
      </c>
      <c r="AL34" s="371">
        <f t="shared" si="15"/>
        <v>14924.494239436137</v>
      </c>
      <c r="AM34" s="371">
        <f>SUM(AM19:AM33)</f>
        <v>15139.724072861756</v>
      </c>
      <c r="AN34" s="177"/>
      <c r="AO34" s="193"/>
      <c r="AP34" s="193"/>
      <c r="AQ34" s="193"/>
      <c r="AR34" s="192"/>
    </row>
    <row r="35" spans="1:44">
      <c r="U35" s="466"/>
      <c r="V35" s="466"/>
      <c r="W35" s="466"/>
      <c r="X35" s="466"/>
      <c r="Y35" s="466"/>
      <c r="Z35" s="466"/>
      <c r="AA35" s="466"/>
      <c r="AB35" s="466"/>
      <c r="AC35" s="466"/>
      <c r="AD35" s="466"/>
      <c r="AE35" s="466"/>
      <c r="AF35" s="466"/>
      <c r="AG35" s="466"/>
      <c r="AH35" s="466"/>
      <c r="AI35" s="466"/>
      <c r="AJ35" s="466"/>
      <c r="AK35" s="466"/>
      <c r="AL35" s="466"/>
      <c r="AM35" s="466"/>
      <c r="AO35" s="191"/>
      <c r="AP35" s="191"/>
      <c r="AQ35" s="191"/>
      <c r="AR35" s="192"/>
    </row>
    <row r="36" spans="1:44" ht="30">
      <c r="A36" s="150" t="s">
        <v>3829</v>
      </c>
      <c r="B36" s="668" t="s">
        <v>1100</v>
      </c>
      <c r="C36" s="668" t="s">
        <v>1100</v>
      </c>
      <c r="D36" s="668" t="s">
        <v>1100</v>
      </c>
      <c r="E36" s="668" t="s">
        <v>1100</v>
      </c>
      <c r="F36" s="668" t="s">
        <v>1100</v>
      </c>
      <c r="G36" s="668" t="s">
        <v>1100</v>
      </c>
      <c r="H36" s="668" t="s">
        <v>1100</v>
      </c>
      <c r="I36" s="668" t="s">
        <v>1100</v>
      </c>
      <c r="J36" s="668" t="s">
        <v>1100</v>
      </c>
      <c r="K36" s="668" t="s">
        <v>1100</v>
      </c>
      <c r="L36" s="668" t="s">
        <v>1100</v>
      </c>
      <c r="M36" s="668" t="s">
        <v>1100</v>
      </c>
      <c r="N36" s="668" t="s">
        <v>1100</v>
      </c>
      <c r="O36" s="668" t="s">
        <v>1100</v>
      </c>
      <c r="P36" s="668" t="s">
        <v>1100</v>
      </c>
      <c r="Q36" s="668" t="s">
        <v>1100</v>
      </c>
      <c r="R36" s="668" t="s">
        <v>1100</v>
      </c>
      <c r="S36" s="668" t="s">
        <v>1100</v>
      </c>
      <c r="T36" s="668" t="s">
        <v>1100</v>
      </c>
      <c r="U36" s="668" t="s">
        <v>1100</v>
      </c>
      <c r="V36" s="668" t="s">
        <v>1100</v>
      </c>
      <c r="W36" s="668" t="s">
        <v>1100</v>
      </c>
      <c r="X36" s="668" t="s">
        <v>1100</v>
      </c>
      <c r="Y36" s="668" t="s">
        <v>1100</v>
      </c>
      <c r="Z36" s="668" t="s">
        <v>1100</v>
      </c>
      <c r="AA36" s="668" t="s">
        <v>1100</v>
      </c>
      <c r="AB36" s="668" t="s">
        <v>1100</v>
      </c>
      <c r="AC36" s="668" t="s">
        <v>1100</v>
      </c>
      <c r="AD36" s="668" t="s">
        <v>1100</v>
      </c>
      <c r="AE36" s="668" t="s">
        <v>1100</v>
      </c>
      <c r="AF36" s="668" t="s">
        <v>1100</v>
      </c>
      <c r="AG36" s="668" t="s">
        <v>1100</v>
      </c>
      <c r="AH36" s="668" t="s">
        <v>1100</v>
      </c>
      <c r="AI36" s="668" t="s">
        <v>1100</v>
      </c>
      <c r="AJ36" s="669"/>
      <c r="AK36" s="670"/>
      <c r="AL36" s="684" t="s">
        <v>201</v>
      </c>
      <c r="AM36" s="670" t="s">
        <v>202</v>
      </c>
    </row>
    <row r="37" spans="1:44" ht="12.75" customHeight="1">
      <c r="A37" s="148" t="s">
        <v>1385</v>
      </c>
      <c r="B37" s="666" t="s">
        <v>166</v>
      </c>
      <c r="C37" s="666" t="s">
        <v>163</v>
      </c>
      <c r="D37" s="666" t="s">
        <v>160</v>
      </c>
      <c r="E37" s="666" t="s">
        <v>157</v>
      </c>
      <c r="F37" s="666" t="s">
        <v>153</v>
      </c>
      <c r="G37" s="666" t="s">
        <v>149</v>
      </c>
      <c r="H37" s="666" t="s">
        <v>146</v>
      </c>
      <c r="I37" s="666" t="s">
        <v>142</v>
      </c>
      <c r="J37" s="666" t="s">
        <v>139</v>
      </c>
      <c r="K37" s="666" t="s">
        <v>136</v>
      </c>
      <c r="L37" s="666" t="s">
        <v>132</v>
      </c>
      <c r="M37" s="666" t="s">
        <v>208</v>
      </c>
      <c r="N37" s="666" t="s">
        <v>126</v>
      </c>
      <c r="O37" s="666" t="s">
        <v>123</v>
      </c>
      <c r="P37" s="666" t="s">
        <v>120</v>
      </c>
      <c r="Q37" s="671" t="s">
        <v>117</v>
      </c>
      <c r="R37" s="666" t="s">
        <v>114</v>
      </c>
      <c r="S37" s="666" t="s">
        <v>111</v>
      </c>
      <c r="T37" s="666" t="s">
        <v>108</v>
      </c>
      <c r="U37" s="666" t="s">
        <v>104</v>
      </c>
      <c r="V37" s="666" t="s">
        <v>101</v>
      </c>
      <c r="W37" s="666" t="s">
        <v>98</v>
      </c>
      <c r="X37" s="666" t="s">
        <v>95</v>
      </c>
      <c r="Y37" s="666" t="s">
        <v>91</v>
      </c>
      <c r="Z37" s="666" t="s">
        <v>87</v>
      </c>
      <c r="AA37" s="666" t="s">
        <v>83</v>
      </c>
      <c r="AB37" s="666" t="s">
        <v>79</v>
      </c>
      <c r="AC37" s="666" t="s">
        <v>75</v>
      </c>
      <c r="AD37" s="666" t="s">
        <v>72</v>
      </c>
      <c r="AE37" s="666" t="s">
        <v>69</v>
      </c>
      <c r="AF37" s="666" t="s">
        <v>66</v>
      </c>
      <c r="AG37" s="666" t="s">
        <v>62</v>
      </c>
      <c r="AH37" s="666" t="s">
        <v>59</v>
      </c>
      <c r="AI37" s="672" t="s">
        <v>55</v>
      </c>
      <c r="AJ37" s="666" t="s">
        <v>52</v>
      </c>
      <c r="AK37" s="666" t="s">
        <v>49</v>
      </c>
      <c r="AL37" s="673" t="s">
        <v>46</v>
      </c>
      <c r="AM37" s="674" t="s">
        <v>42</v>
      </c>
      <c r="AO37" s="657" t="s">
        <v>227</v>
      </c>
    </row>
    <row r="38" spans="1:44" ht="12.75" customHeight="1">
      <c r="A38" s="83" t="s">
        <v>393</v>
      </c>
      <c r="B38" s="52"/>
      <c r="C38" s="52"/>
      <c r="D38" s="52"/>
      <c r="E38" s="52"/>
      <c r="F38" s="52"/>
      <c r="G38" s="52"/>
      <c r="H38" s="52"/>
      <c r="I38" s="52"/>
      <c r="J38" s="52"/>
      <c r="K38" s="52"/>
      <c r="L38" s="52"/>
      <c r="M38" s="52"/>
      <c r="N38" s="151"/>
      <c r="O38" s="52"/>
      <c r="P38" s="52"/>
      <c r="Q38" s="52"/>
      <c r="R38" s="52"/>
      <c r="S38" s="387">
        <v>0</v>
      </c>
      <c r="T38" s="387">
        <v>0</v>
      </c>
      <c r="U38" s="387">
        <v>0</v>
      </c>
      <c r="V38" s="387">
        <v>0</v>
      </c>
      <c r="W38" s="387">
        <v>0</v>
      </c>
      <c r="X38" s="387">
        <v>0</v>
      </c>
      <c r="Y38" s="387">
        <v>0</v>
      </c>
      <c r="Z38" s="387">
        <v>0</v>
      </c>
      <c r="AA38" s="387">
        <v>0</v>
      </c>
      <c r="AB38" s="387">
        <v>0</v>
      </c>
      <c r="AC38" s="387">
        <v>0</v>
      </c>
      <c r="AD38" s="387">
        <v>0</v>
      </c>
      <c r="AE38" s="387">
        <v>0</v>
      </c>
      <c r="AF38" s="387">
        <v>0</v>
      </c>
      <c r="AG38" s="387">
        <v>0</v>
      </c>
      <c r="AH38" s="387">
        <v>0</v>
      </c>
      <c r="AI38" s="387">
        <v>0</v>
      </c>
      <c r="AJ38" s="387">
        <v>0</v>
      </c>
      <c r="AK38" s="387">
        <v>0</v>
      </c>
      <c r="AL38" s="965">
        <v>0</v>
      </c>
      <c r="AM38" s="966">
        <v>0</v>
      </c>
      <c r="AO38" s="655" t="s">
        <v>1100</v>
      </c>
    </row>
    <row r="39" spans="1:44" ht="12.75" customHeight="1">
      <c r="A39" s="83" t="s">
        <v>406</v>
      </c>
      <c r="B39" s="52"/>
      <c r="C39" s="52"/>
      <c r="D39" s="52"/>
      <c r="E39" s="52"/>
      <c r="F39" s="52"/>
      <c r="G39" s="152" t="s">
        <v>1100</v>
      </c>
      <c r="H39" s="52"/>
      <c r="I39" s="52"/>
      <c r="J39" s="52"/>
      <c r="K39" s="52"/>
      <c r="L39" s="52"/>
      <c r="M39" s="52"/>
      <c r="N39" s="153"/>
      <c r="O39" s="52"/>
      <c r="P39" s="52"/>
      <c r="Q39" s="52"/>
      <c r="R39" s="52"/>
      <c r="S39" s="387">
        <v>0.33100000000000002</v>
      </c>
      <c r="T39" s="387">
        <v>0.314</v>
      </c>
      <c r="U39" s="387">
        <v>0.308</v>
      </c>
      <c r="V39" s="387">
        <v>0.35799999999999998</v>
      </c>
      <c r="W39" s="387">
        <v>0.34899999999999998</v>
      </c>
      <c r="X39" s="387">
        <v>0.40799999999999997</v>
      </c>
      <c r="Y39" s="387">
        <v>0.374</v>
      </c>
      <c r="Z39" s="387">
        <v>0.41099999999999998</v>
      </c>
      <c r="AA39" s="387">
        <v>0.41799999999999998</v>
      </c>
      <c r="AB39" s="387">
        <v>0.42199999999999999</v>
      </c>
      <c r="AC39" s="387">
        <v>0.185</v>
      </c>
      <c r="AD39" s="387">
        <v>0.69499999999999995</v>
      </c>
      <c r="AE39" s="387">
        <v>0</v>
      </c>
      <c r="AF39" s="387">
        <v>0</v>
      </c>
      <c r="AG39" s="387">
        <v>0</v>
      </c>
      <c r="AH39" s="387">
        <v>0</v>
      </c>
      <c r="AI39" s="387">
        <v>0</v>
      </c>
      <c r="AJ39" s="387">
        <v>0</v>
      </c>
      <c r="AK39" s="387">
        <v>0</v>
      </c>
      <c r="AL39" s="967">
        <v>0</v>
      </c>
      <c r="AM39" s="966">
        <v>0</v>
      </c>
      <c r="AO39" s="655" t="s">
        <v>1100</v>
      </c>
    </row>
    <row r="40" spans="1:44" ht="12.75" customHeight="1">
      <c r="A40" s="83" t="s">
        <v>734</v>
      </c>
      <c r="B40" s="52"/>
      <c r="C40" s="52"/>
      <c r="D40" s="52"/>
      <c r="E40" s="52"/>
      <c r="F40" s="52"/>
      <c r="G40" s="52"/>
      <c r="H40" s="52"/>
      <c r="I40" s="52"/>
      <c r="J40" s="52"/>
      <c r="K40" s="52"/>
      <c r="L40" s="52"/>
      <c r="M40" s="52"/>
      <c r="N40" s="151"/>
      <c r="O40" s="52"/>
      <c r="P40" s="52"/>
      <c r="Q40" s="52"/>
      <c r="R40" s="52"/>
      <c r="S40" s="387">
        <v>0</v>
      </c>
      <c r="T40" s="387">
        <v>0</v>
      </c>
      <c r="U40" s="387">
        <v>0</v>
      </c>
      <c r="V40" s="387">
        <v>0</v>
      </c>
      <c r="W40" s="387">
        <v>0</v>
      </c>
      <c r="X40" s="387">
        <v>0</v>
      </c>
      <c r="Y40" s="387">
        <v>0</v>
      </c>
      <c r="Z40" s="387">
        <v>0</v>
      </c>
      <c r="AA40" s="387">
        <v>0</v>
      </c>
      <c r="AB40" s="387">
        <v>0</v>
      </c>
      <c r="AC40" s="387">
        <v>0</v>
      </c>
      <c r="AD40" s="387">
        <v>0</v>
      </c>
      <c r="AE40" s="387">
        <v>0</v>
      </c>
      <c r="AF40" s="387">
        <v>0</v>
      </c>
      <c r="AG40" s="387">
        <v>0</v>
      </c>
      <c r="AH40" s="387">
        <v>0</v>
      </c>
      <c r="AI40" s="387">
        <v>0</v>
      </c>
      <c r="AJ40" s="387">
        <v>0</v>
      </c>
      <c r="AK40" s="387">
        <v>0</v>
      </c>
      <c r="AL40" s="967">
        <v>0</v>
      </c>
      <c r="AM40" s="966">
        <v>0</v>
      </c>
      <c r="AO40" s="655" t="s">
        <v>1100</v>
      </c>
    </row>
    <row r="41" spans="1:44" ht="12.75" customHeight="1">
      <c r="A41" s="83" t="s">
        <v>510</v>
      </c>
      <c r="B41" s="52"/>
      <c r="C41" s="52"/>
      <c r="D41" s="52"/>
      <c r="E41" s="52"/>
      <c r="F41" s="52"/>
      <c r="G41" s="52"/>
      <c r="H41" s="52"/>
      <c r="I41" s="52"/>
      <c r="J41" s="52"/>
      <c r="K41" s="52"/>
      <c r="L41" s="52"/>
      <c r="M41" s="52"/>
      <c r="N41" s="151"/>
      <c r="O41" s="52"/>
      <c r="P41" s="52"/>
      <c r="Q41" s="52"/>
      <c r="R41" s="52"/>
      <c r="S41" s="387">
        <v>0</v>
      </c>
      <c r="T41" s="387">
        <v>0</v>
      </c>
      <c r="U41" s="387">
        <v>0</v>
      </c>
      <c r="V41" s="387">
        <v>0</v>
      </c>
      <c r="W41" s="387">
        <v>0</v>
      </c>
      <c r="X41" s="387">
        <v>0</v>
      </c>
      <c r="Y41" s="387">
        <v>0</v>
      </c>
      <c r="Z41" s="387">
        <v>0</v>
      </c>
      <c r="AA41" s="387">
        <v>0</v>
      </c>
      <c r="AB41" s="387">
        <v>0</v>
      </c>
      <c r="AC41" s="387">
        <v>0</v>
      </c>
      <c r="AD41" s="387">
        <v>0</v>
      </c>
      <c r="AE41" s="387">
        <v>0</v>
      </c>
      <c r="AF41" s="387">
        <v>0</v>
      </c>
      <c r="AG41" s="387">
        <v>0</v>
      </c>
      <c r="AH41" s="387">
        <v>0</v>
      </c>
      <c r="AI41" s="387">
        <v>0</v>
      </c>
      <c r="AJ41" s="387">
        <v>0</v>
      </c>
      <c r="AK41" s="387">
        <v>0</v>
      </c>
      <c r="AL41" s="967">
        <v>0</v>
      </c>
      <c r="AM41" s="966">
        <v>0</v>
      </c>
      <c r="AO41" s="655" t="s">
        <v>1100</v>
      </c>
    </row>
    <row r="42" spans="1:44" ht="12.75" customHeight="1">
      <c r="A42" s="83" t="s">
        <v>409</v>
      </c>
      <c r="B42" s="52"/>
      <c r="C42" s="52"/>
      <c r="D42" s="52"/>
      <c r="E42" s="52"/>
      <c r="F42" s="52"/>
      <c r="G42" s="52"/>
      <c r="H42" s="52"/>
      <c r="I42" s="52"/>
      <c r="J42" s="52"/>
      <c r="K42" s="52"/>
      <c r="L42" s="52"/>
      <c r="M42" s="52"/>
      <c r="N42" s="151"/>
      <c r="O42" s="52"/>
      <c r="P42" s="52"/>
      <c r="Q42" s="52"/>
      <c r="R42" s="52"/>
      <c r="S42" s="387">
        <v>0</v>
      </c>
      <c r="T42" s="387">
        <v>0</v>
      </c>
      <c r="U42" s="387">
        <v>0</v>
      </c>
      <c r="V42" s="387">
        <v>0</v>
      </c>
      <c r="W42" s="387">
        <v>0</v>
      </c>
      <c r="X42" s="387">
        <v>0</v>
      </c>
      <c r="Y42" s="387">
        <v>0</v>
      </c>
      <c r="Z42" s="387">
        <v>0</v>
      </c>
      <c r="AA42" s="387">
        <v>0</v>
      </c>
      <c r="AB42" s="387">
        <v>0</v>
      </c>
      <c r="AC42" s="387">
        <v>0</v>
      </c>
      <c r="AD42" s="387">
        <v>0</v>
      </c>
      <c r="AE42" s="387">
        <v>0</v>
      </c>
      <c r="AF42" s="387">
        <v>0</v>
      </c>
      <c r="AG42" s="387">
        <v>0</v>
      </c>
      <c r="AH42" s="387">
        <v>0</v>
      </c>
      <c r="AI42" s="387">
        <v>0</v>
      </c>
      <c r="AJ42" s="387">
        <v>0</v>
      </c>
      <c r="AK42" s="387">
        <v>0</v>
      </c>
      <c r="AL42" s="967">
        <v>0</v>
      </c>
      <c r="AM42" s="966">
        <v>0</v>
      </c>
      <c r="AO42" s="655" t="s">
        <v>1100</v>
      </c>
    </row>
    <row r="43" spans="1:44" ht="12.75" customHeight="1">
      <c r="A43" s="83" t="s">
        <v>389</v>
      </c>
      <c r="B43" s="52"/>
      <c r="C43" s="52"/>
      <c r="D43" s="52"/>
      <c r="E43" s="52"/>
      <c r="F43" s="52"/>
      <c r="G43" s="52"/>
      <c r="H43" s="52"/>
      <c r="I43" s="52"/>
      <c r="J43" s="52"/>
      <c r="K43" s="52"/>
      <c r="L43" s="52"/>
      <c r="M43" s="52"/>
      <c r="N43" s="151"/>
      <c r="O43" s="52"/>
      <c r="P43" s="52"/>
      <c r="Q43" s="52"/>
      <c r="R43" s="52"/>
      <c r="S43" s="387">
        <v>0</v>
      </c>
      <c r="T43" s="387">
        <v>0</v>
      </c>
      <c r="U43" s="387">
        <v>0</v>
      </c>
      <c r="V43" s="387">
        <v>0</v>
      </c>
      <c r="W43" s="387">
        <v>0</v>
      </c>
      <c r="X43" s="387">
        <v>0</v>
      </c>
      <c r="Y43" s="387">
        <v>0</v>
      </c>
      <c r="Z43" s="387">
        <v>0</v>
      </c>
      <c r="AA43" s="387">
        <v>0</v>
      </c>
      <c r="AB43" s="387">
        <v>0</v>
      </c>
      <c r="AC43" s="387">
        <v>0</v>
      </c>
      <c r="AD43" s="387">
        <v>0</v>
      </c>
      <c r="AE43" s="387">
        <v>0</v>
      </c>
      <c r="AF43" s="387">
        <v>0</v>
      </c>
      <c r="AG43" s="387">
        <v>0</v>
      </c>
      <c r="AH43" s="387">
        <v>0</v>
      </c>
      <c r="AI43" s="387">
        <v>0</v>
      </c>
      <c r="AJ43" s="387">
        <v>0</v>
      </c>
      <c r="AK43" s="387">
        <v>0</v>
      </c>
      <c r="AL43" s="967">
        <v>0</v>
      </c>
      <c r="AM43" s="966">
        <v>0</v>
      </c>
      <c r="AO43" s="655" t="s">
        <v>1100</v>
      </c>
    </row>
    <row r="44" spans="1:44" ht="12.75" customHeight="1">
      <c r="A44" s="83" t="s">
        <v>703</v>
      </c>
      <c r="B44" s="52"/>
      <c r="C44" s="52"/>
      <c r="D44" s="52"/>
      <c r="E44" s="52"/>
      <c r="F44" s="52"/>
      <c r="G44" s="52"/>
      <c r="H44" s="52"/>
      <c r="I44" s="52"/>
      <c r="J44" s="52"/>
      <c r="K44" s="52"/>
      <c r="L44" s="52"/>
      <c r="M44" s="52"/>
      <c r="N44" s="151"/>
      <c r="O44" s="52"/>
      <c r="P44" s="52"/>
      <c r="Q44" s="52"/>
      <c r="R44" s="52"/>
      <c r="S44" s="387">
        <v>0.49299999999999999</v>
      </c>
      <c r="T44" s="387">
        <v>0.46899999999999997</v>
      </c>
      <c r="U44" s="387">
        <v>0.45800000000000002</v>
      </c>
      <c r="V44" s="387">
        <v>0.53400000000000003</v>
      </c>
      <c r="W44" s="387">
        <v>0.52100000000000002</v>
      </c>
      <c r="X44" s="387">
        <v>0.61199999999999999</v>
      </c>
      <c r="Y44" s="387">
        <v>0.56200000000000006</v>
      </c>
      <c r="Z44" s="387">
        <v>0.61799999999999999</v>
      </c>
      <c r="AA44" s="387">
        <v>0.629</v>
      </c>
      <c r="AB44" s="387">
        <v>0.63500000000000001</v>
      </c>
      <c r="AC44" s="387">
        <v>0</v>
      </c>
      <c r="AD44" s="387">
        <v>0</v>
      </c>
      <c r="AE44" s="387">
        <v>0</v>
      </c>
      <c r="AF44" s="387">
        <v>0</v>
      </c>
      <c r="AG44" s="387">
        <v>0</v>
      </c>
      <c r="AH44" s="387">
        <v>0</v>
      </c>
      <c r="AI44" s="387">
        <v>0</v>
      </c>
      <c r="AJ44" s="387">
        <v>0</v>
      </c>
      <c r="AK44" s="387">
        <v>0</v>
      </c>
      <c r="AL44" s="967">
        <v>0</v>
      </c>
      <c r="AM44" s="966">
        <v>0</v>
      </c>
      <c r="AO44" s="655" t="s">
        <v>1100</v>
      </c>
    </row>
    <row r="45" spans="1:44" ht="12.75" customHeight="1">
      <c r="A45" s="83" t="s">
        <v>234</v>
      </c>
      <c r="B45" s="52"/>
      <c r="C45" s="52"/>
      <c r="D45" s="52"/>
      <c r="E45" s="52"/>
      <c r="F45" s="52"/>
      <c r="G45" s="52"/>
      <c r="H45" s="52"/>
      <c r="I45" s="52"/>
      <c r="J45" s="52"/>
      <c r="K45" s="52"/>
      <c r="L45" s="52"/>
      <c r="M45" s="52"/>
      <c r="N45" s="151"/>
      <c r="O45" s="52"/>
      <c r="P45" s="52"/>
      <c r="Q45" s="52"/>
      <c r="R45" s="52"/>
      <c r="S45" s="387">
        <v>0</v>
      </c>
      <c r="T45" s="387">
        <v>0</v>
      </c>
      <c r="U45" s="387">
        <v>0</v>
      </c>
      <c r="V45" s="387">
        <v>0</v>
      </c>
      <c r="W45" s="387">
        <v>0</v>
      </c>
      <c r="X45" s="387">
        <v>0</v>
      </c>
      <c r="Y45" s="387">
        <v>0</v>
      </c>
      <c r="Z45" s="387">
        <v>0</v>
      </c>
      <c r="AA45" s="387">
        <v>0</v>
      </c>
      <c r="AB45" s="387">
        <v>0</v>
      </c>
      <c r="AC45" s="387">
        <v>0</v>
      </c>
      <c r="AD45" s="387">
        <v>0</v>
      </c>
      <c r="AE45" s="387">
        <v>0</v>
      </c>
      <c r="AF45" s="387">
        <v>0</v>
      </c>
      <c r="AG45" s="387">
        <v>0</v>
      </c>
      <c r="AH45" s="387">
        <v>0</v>
      </c>
      <c r="AI45" s="387">
        <v>0</v>
      </c>
      <c r="AJ45" s="387">
        <v>0</v>
      </c>
      <c r="AK45" s="387">
        <v>0</v>
      </c>
      <c r="AL45" s="967">
        <v>0</v>
      </c>
      <c r="AM45" s="966">
        <v>0</v>
      </c>
      <c r="AO45" s="655" t="s">
        <v>1100</v>
      </c>
    </row>
    <row r="46" spans="1:44" ht="12.75" customHeight="1">
      <c r="A46" s="83" t="s">
        <v>701</v>
      </c>
      <c r="B46" s="52"/>
      <c r="C46" s="52"/>
      <c r="D46" s="52"/>
      <c r="E46" s="52"/>
      <c r="F46" s="52"/>
      <c r="G46" s="52"/>
      <c r="H46" s="52"/>
      <c r="I46" s="52"/>
      <c r="J46" s="52"/>
      <c r="K46" s="52"/>
      <c r="L46" s="52"/>
      <c r="M46" s="52"/>
      <c r="N46" s="151"/>
      <c r="O46" s="52"/>
      <c r="P46" s="52"/>
      <c r="Q46" s="52"/>
      <c r="R46" s="52"/>
      <c r="S46" s="387">
        <v>0.28899999999999998</v>
      </c>
      <c r="T46" s="387">
        <v>0.27500000000000002</v>
      </c>
      <c r="U46" s="387">
        <v>0.26900000000000002</v>
      </c>
      <c r="V46" s="387">
        <v>0.313</v>
      </c>
      <c r="W46" s="387">
        <v>0.30499999999999999</v>
      </c>
      <c r="X46" s="387">
        <v>0.35799999999999998</v>
      </c>
      <c r="Y46" s="387">
        <v>0.32800000000000001</v>
      </c>
      <c r="Z46" s="387">
        <v>0.46100000000000002</v>
      </c>
      <c r="AA46" s="387">
        <v>0.46899999999999997</v>
      </c>
      <c r="AB46" s="387">
        <v>0.47399999999999998</v>
      </c>
      <c r="AC46" s="387">
        <v>0.104</v>
      </c>
      <c r="AD46" s="387">
        <v>0.39</v>
      </c>
      <c r="AE46" s="387">
        <v>0</v>
      </c>
      <c r="AF46" s="387">
        <v>0</v>
      </c>
      <c r="AG46" s="387">
        <v>0</v>
      </c>
      <c r="AH46" s="387">
        <v>0</v>
      </c>
      <c r="AI46" s="387">
        <v>0</v>
      </c>
      <c r="AJ46" s="387">
        <v>1.07</v>
      </c>
      <c r="AK46" s="387">
        <v>1.1000000000000001</v>
      </c>
      <c r="AL46" s="967">
        <v>1</v>
      </c>
      <c r="AM46" s="966">
        <v>1.1200000000000001</v>
      </c>
      <c r="AO46" s="655" t="s">
        <v>1100</v>
      </c>
    </row>
    <row r="47" spans="1:44" ht="12.75" customHeight="1">
      <c r="A47" s="83" t="s">
        <v>1324</v>
      </c>
      <c r="B47" s="52"/>
      <c r="C47" s="52"/>
      <c r="D47" s="52"/>
      <c r="E47" s="52"/>
      <c r="F47" s="52"/>
      <c r="G47" s="52"/>
      <c r="H47" s="52"/>
      <c r="I47" s="52"/>
      <c r="J47" s="52"/>
      <c r="K47" s="52"/>
      <c r="L47" s="52"/>
      <c r="M47" s="52"/>
      <c r="N47" s="151"/>
      <c r="O47" s="52"/>
      <c r="P47" s="52"/>
      <c r="Q47" s="52"/>
      <c r="R47" s="52"/>
      <c r="S47" s="387">
        <v>0.33600000000000002</v>
      </c>
      <c r="T47" s="387">
        <v>0.32</v>
      </c>
      <c r="U47" s="387">
        <v>0.313</v>
      </c>
      <c r="V47" s="387">
        <v>0.36399999999999999</v>
      </c>
      <c r="W47" s="387">
        <v>0.35499999999999998</v>
      </c>
      <c r="X47" s="387">
        <v>0.58599999999999997</v>
      </c>
      <c r="Y47" s="387">
        <v>0.70499999999999996</v>
      </c>
      <c r="Z47" s="387">
        <v>0.83699999999999997</v>
      </c>
      <c r="AA47" s="387">
        <v>0.85099999999999998</v>
      </c>
      <c r="AB47" s="387">
        <v>0.85899999999999999</v>
      </c>
      <c r="AC47" s="387">
        <v>0.34300000000000003</v>
      </c>
      <c r="AD47" s="387">
        <v>1.288</v>
      </c>
      <c r="AE47" s="387">
        <v>0.46400000000000002</v>
      </c>
      <c r="AF47" s="387">
        <v>0.52300000000000002</v>
      </c>
      <c r="AG47" s="387">
        <v>0.69799999999999995</v>
      </c>
      <c r="AH47" s="387">
        <v>0.57559098405717424</v>
      </c>
      <c r="AI47" s="387">
        <v>0.57599999999999996</v>
      </c>
      <c r="AJ47" s="387">
        <v>0.51</v>
      </c>
      <c r="AK47" s="387">
        <v>0.84</v>
      </c>
      <c r="AL47" s="967">
        <v>0.94</v>
      </c>
      <c r="AM47" s="966">
        <v>1.51</v>
      </c>
      <c r="AO47" s="655" t="s">
        <v>1100</v>
      </c>
    </row>
    <row r="48" spans="1:44" ht="12.75" customHeight="1">
      <c r="A48" s="83" t="s">
        <v>362</v>
      </c>
      <c r="B48" s="52"/>
      <c r="C48" s="52"/>
      <c r="D48" s="52"/>
      <c r="E48" s="52"/>
      <c r="F48" s="52"/>
      <c r="G48" s="52"/>
      <c r="H48" s="52"/>
      <c r="I48" s="52"/>
      <c r="J48" s="52"/>
      <c r="K48" s="52"/>
      <c r="L48" s="52"/>
      <c r="M48" s="52"/>
      <c r="N48" s="151"/>
      <c r="O48" s="52"/>
      <c r="P48" s="52"/>
      <c r="Q48" s="52"/>
      <c r="R48" s="52"/>
      <c r="S48" s="387">
        <v>0.125</v>
      </c>
      <c r="T48" s="387">
        <v>0.11899999999999999</v>
      </c>
      <c r="U48" s="387">
        <v>0.11600000000000001</v>
      </c>
      <c r="V48" s="387">
        <v>0.13500000000000001</v>
      </c>
      <c r="W48" s="387">
        <v>0.13200000000000001</v>
      </c>
      <c r="X48" s="387">
        <v>0.155</v>
      </c>
      <c r="Y48" s="387">
        <v>0.14299999999999999</v>
      </c>
      <c r="Z48" s="387">
        <v>0.157</v>
      </c>
      <c r="AA48" s="387">
        <v>0.16</v>
      </c>
      <c r="AB48" s="387">
        <v>0.16200000000000001</v>
      </c>
      <c r="AC48" s="387">
        <v>0.16500000000000001</v>
      </c>
      <c r="AD48" s="387">
        <v>0.62</v>
      </c>
      <c r="AE48" s="387">
        <v>0.95399999999999996</v>
      </c>
      <c r="AF48" s="387">
        <v>0.83699999999999997</v>
      </c>
      <c r="AG48" s="387">
        <v>1.121</v>
      </c>
      <c r="AH48" s="387">
        <v>0.92440901594282576</v>
      </c>
      <c r="AI48" s="387">
        <v>0.92400000000000004</v>
      </c>
      <c r="AJ48" s="387">
        <v>0.28999999999999998</v>
      </c>
      <c r="AK48" s="387">
        <v>0.15</v>
      </c>
      <c r="AL48" s="967">
        <v>0.69</v>
      </c>
      <c r="AM48" s="966">
        <v>0.73</v>
      </c>
      <c r="AO48" s="655" t="s">
        <v>1100</v>
      </c>
    </row>
    <row r="49" spans="1:41" ht="12.75" customHeight="1">
      <c r="A49" s="83" t="s">
        <v>669</v>
      </c>
      <c r="B49" s="52"/>
      <c r="C49" s="52"/>
      <c r="D49" s="52"/>
      <c r="E49" s="52"/>
      <c r="F49" s="52"/>
      <c r="G49" s="52"/>
      <c r="H49" s="52"/>
      <c r="I49" s="52"/>
      <c r="J49" s="52"/>
      <c r="K49" s="52"/>
      <c r="L49" s="52"/>
      <c r="M49" s="52"/>
      <c r="N49" s="151"/>
      <c r="O49" s="52"/>
      <c r="P49" s="52"/>
      <c r="Q49" s="52"/>
      <c r="R49" s="52"/>
      <c r="S49" s="387">
        <v>0</v>
      </c>
      <c r="T49" s="387">
        <v>0</v>
      </c>
      <c r="U49" s="387">
        <v>0</v>
      </c>
      <c r="V49" s="387">
        <v>0</v>
      </c>
      <c r="W49" s="387">
        <v>0</v>
      </c>
      <c r="X49" s="387">
        <v>0</v>
      </c>
      <c r="Y49" s="387">
        <v>0</v>
      </c>
      <c r="Z49" s="387">
        <v>0</v>
      </c>
      <c r="AA49" s="387">
        <v>0</v>
      </c>
      <c r="AB49" s="387">
        <v>0</v>
      </c>
      <c r="AC49" s="387">
        <v>0</v>
      </c>
      <c r="AD49" s="387">
        <v>0</v>
      </c>
      <c r="AE49" s="387">
        <v>0</v>
      </c>
      <c r="AF49" s="387">
        <v>0</v>
      </c>
      <c r="AG49" s="387">
        <v>0</v>
      </c>
      <c r="AH49" s="387">
        <v>0</v>
      </c>
      <c r="AI49" s="387">
        <v>0</v>
      </c>
      <c r="AJ49" s="387">
        <v>0</v>
      </c>
      <c r="AK49" s="387">
        <v>0</v>
      </c>
      <c r="AL49" s="967">
        <v>0</v>
      </c>
      <c r="AM49" s="966">
        <v>0</v>
      </c>
      <c r="AO49" s="655" t="s">
        <v>1100</v>
      </c>
    </row>
    <row r="50" spans="1:41" ht="12.75" customHeight="1">
      <c r="A50" s="83" t="s">
        <v>397</v>
      </c>
      <c r="B50" s="52"/>
      <c r="C50" s="52"/>
      <c r="D50" s="52"/>
      <c r="E50" s="52"/>
      <c r="F50" s="52"/>
      <c r="G50" s="52"/>
      <c r="H50" s="52"/>
      <c r="I50" s="52"/>
      <c r="J50" s="52"/>
      <c r="K50" s="52"/>
      <c r="L50" s="52"/>
      <c r="M50" s="52"/>
      <c r="N50" s="151"/>
      <c r="O50" s="52"/>
      <c r="P50" s="52"/>
      <c r="Q50" s="52"/>
      <c r="R50" s="52"/>
      <c r="S50" s="387">
        <v>0.36</v>
      </c>
      <c r="T50" s="387">
        <v>0.33800000000000002</v>
      </c>
      <c r="U50" s="387">
        <v>0.33100000000000002</v>
      </c>
      <c r="V50" s="387">
        <v>0.38500000000000001</v>
      </c>
      <c r="W50" s="387">
        <v>0.376</v>
      </c>
      <c r="X50" s="387">
        <v>0.27200000000000002</v>
      </c>
      <c r="Y50" s="387">
        <v>2.5999999999999999E-2</v>
      </c>
      <c r="Z50" s="387">
        <v>0.443</v>
      </c>
      <c r="AA50" s="387">
        <v>0.45</v>
      </c>
      <c r="AB50" s="387">
        <v>0.45400000000000001</v>
      </c>
      <c r="AC50" s="387">
        <v>0</v>
      </c>
      <c r="AD50" s="387">
        <v>0</v>
      </c>
      <c r="AE50" s="387">
        <v>0</v>
      </c>
      <c r="AF50" s="387">
        <v>0</v>
      </c>
      <c r="AG50" s="387">
        <v>0</v>
      </c>
      <c r="AH50" s="387">
        <v>0</v>
      </c>
      <c r="AI50" s="387">
        <v>0</v>
      </c>
      <c r="AJ50" s="387">
        <v>0</v>
      </c>
      <c r="AK50" s="387">
        <v>0</v>
      </c>
      <c r="AL50" s="967">
        <v>0</v>
      </c>
      <c r="AM50" s="966">
        <v>0</v>
      </c>
      <c r="AO50" s="655" t="s">
        <v>1100</v>
      </c>
    </row>
    <row r="51" spans="1:41" ht="12.75" customHeight="1">
      <c r="A51" s="83" t="s">
        <v>544</v>
      </c>
      <c r="B51" s="52"/>
      <c r="C51" s="52"/>
      <c r="D51" s="52"/>
      <c r="E51" s="52"/>
      <c r="F51" s="52"/>
      <c r="G51" s="52"/>
      <c r="H51" s="52"/>
      <c r="I51" s="52"/>
      <c r="J51" s="52"/>
      <c r="K51" s="52"/>
      <c r="L51" s="52"/>
      <c r="M51" s="52"/>
      <c r="N51" s="151"/>
      <c r="O51" s="52"/>
      <c r="P51" s="52"/>
      <c r="Q51" s="52"/>
      <c r="R51" s="52"/>
      <c r="S51" s="387">
        <v>0</v>
      </c>
      <c r="T51" s="387">
        <v>0</v>
      </c>
      <c r="U51" s="387">
        <v>0</v>
      </c>
      <c r="V51" s="387">
        <v>0</v>
      </c>
      <c r="W51" s="387">
        <v>0</v>
      </c>
      <c r="X51" s="387">
        <v>0</v>
      </c>
      <c r="Y51" s="387">
        <v>0</v>
      </c>
      <c r="Z51" s="387">
        <v>0</v>
      </c>
      <c r="AA51" s="387">
        <v>0</v>
      </c>
      <c r="AB51" s="387">
        <v>0</v>
      </c>
      <c r="AC51" s="387">
        <v>0</v>
      </c>
      <c r="AD51" s="387">
        <v>0</v>
      </c>
      <c r="AE51" s="387">
        <v>0</v>
      </c>
      <c r="AF51" s="387">
        <v>0</v>
      </c>
      <c r="AG51" s="387">
        <v>0</v>
      </c>
      <c r="AH51" s="387">
        <v>0</v>
      </c>
      <c r="AI51" s="387">
        <v>0</v>
      </c>
      <c r="AJ51" s="387">
        <v>0</v>
      </c>
      <c r="AK51" s="387">
        <v>0</v>
      </c>
      <c r="AL51" s="968">
        <v>0</v>
      </c>
      <c r="AM51" s="966">
        <v>0</v>
      </c>
      <c r="AO51" s="655" t="s">
        <v>1100</v>
      </c>
    </row>
    <row r="52" spans="1:41" ht="12.75" customHeight="1">
      <c r="A52" s="154" t="s">
        <v>3830</v>
      </c>
      <c r="B52" s="155" t="s">
        <v>1100</v>
      </c>
      <c r="C52" s="155" t="s">
        <v>1100</v>
      </c>
      <c r="D52" s="155" t="s">
        <v>1100</v>
      </c>
      <c r="E52" s="155" t="s">
        <v>1100</v>
      </c>
      <c r="F52" s="155" t="s">
        <v>1100</v>
      </c>
      <c r="G52" s="155" t="s">
        <v>1100</v>
      </c>
      <c r="H52" s="155" t="s">
        <v>1100</v>
      </c>
      <c r="I52" s="155" t="s">
        <v>1100</v>
      </c>
      <c r="J52" s="155" t="s">
        <v>1100</v>
      </c>
      <c r="K52" s="155" t="s">
        <v>1100</v>
      </c>
      <c r="L52" s="155" t="s">
        <v>1100</v>
      </c>
      <c r="M52" s="155" t="s">
        <v>1100</v>
      </c>
      <c r="N52" s="155" t="s">
        <v>1100</v>
      </c>
      <c r="O52" s="155" t="s">
        <v>1100</v>
      </c>
      <c r="P52" s="155" t="s">
        <v>1100</v>
      </c>
      <c r="Q52" s="155" t="s">
        <v>1100</v>
      </c>
      <c r="R52" s="155" t="s">
        <v>1100</v>
      </c>
      <c r="S52" s="176">
        <f>SUM(S38:S51)</f>
        <v>1.9340000000000002</v>
      </c>
      <c r="T52" s="176">
        <f t="shared" ref="T52:AL52" si="16">SUM(T38:T51)</f>
        <v>1.835</v>
      </c>
      <c r="U52" s="176">
        <f t="shared" si="16"/>
        <v>1.7950000000000002</v>
      </c>
      <c r="V52" s="176">
        <f t="shared" si="16"/>
        <v>2.089</v>
      </c>
      <c r="W52" s="176">
        <f t="shared" si="16"/>
        <v>2.0379999999999998</v>
      </c>
      <c r="X52" s="176">
        <f t="shared" si="16"/>
        <v>2.391</v>
      </c>
      <c r="Y52" s="176">
        <f t="shared" si="16"/>
        <v>2.1379999999999995</v>
      </c>
      <c r="Z52" s="176">
        <f t="shared" si="16"/>
        <v>2.927</v>
      </c>
      <c r="AA52" s="176">
        <f t="shared" si="16"/>
        <v>2.9770000000000003</v>
      </c>
      <c r="AB52" s="176">
        <f t="shared" si="16"/>
        <v>3.0059999999999998</v>
      </c>
      <c r="AC52" s="176">
        <f t="shared" si="16"/>
        <v>0.79700000000000004</v>
      </c>
      <c r="AD52" s="176">
        <f t="shared" si="16"/>
        <v>2.9930000000000003</v>
      </c>
      <c r="AE52" s="176">
        <f t="shared" si="16"/>
        <v>1.4179999999999999</v>
      </c>
      <c r="AF52" s="176">
        <f t="shared" si="16"/>
        <v>1.3599999999999999</v>
      </c>
      <c r="AG52" s="176">
        <f t="shared" si="16"/>
        <v>1.819</v>
      </c>
      <c r="AH52" s="176">
        <f t="shared" si="16"/>
        <v>1.5</v>
      </c>
      <c r="AI52" s="176">
        <f t="shared" si="16"/>
        <v>1.5</v>
      </c>
      <c r="AJ52" s="176">
        <f t="shared" si="16"/>
        <v>1.87</v>
      </c>
      <c r="AK52" s="176">
        <f t="shared" si="16"/>
        <v>2.09</v>
      </c>
      <c r="AL52" s="373">
        <f t="shared" si="16"/>
        <v>2.63</v>
      </c>
      <c r="AM52" s="448">
        <f>SUM(AM38:AM51)</f>
        <v>3.36</v>
      </c>
      <c r="AO52" s="656" t="s">
        <v>1100</v>
      </c>
    </row>
    <row r="54" spans="1:41" ht="12.75" customHeight="1">
      <c r="A54" s="74" t="s">
        <v>402</v>
      </c>
      <c r="B54" s="626" t="s">
        <v>166</v>
      </c>
      <c r="C54" s="626" t="s">
        <v>163</v>
      </c>
      <c r="D54" s="626" t="s">
        <v>160</v>
      </c>
      <c r="E54" s="626" t="s">
        <v>157</v>
      </c>
      <c r="F54" s="626" t="s">
        <v>153</v>
      </c>
      <c r="G54" s="626" t="s">
        <v>149</v>
      </c>
      <c r="H54" s="626" t="s">
        <v>146</v>
      </c>
      <c r="I54" s="626" t="s">
        <v>142</v>
      </c>
      <c r="J54" s="626" t="s">
        <v>139</v>
      </c>
      <c r="K54" s="626" t="s">
        <v>136</v>
      </c>
      <c r="L54" s="626" t="s">
        <v>132</v>
      </c>
      <c r="M54" s="626" t="s">
        <v>208</v>
      </c>
      <c r="N54" s="626" t="s">
        <v>126</v>
      </c>
      <c r="O54" s="626" t="s">
        <v>123</v>
      </c>
      <c r="P54" s="626" t="s">
        <v>120</v>
      </c>
      <c r="Q54" s="626" t="s">
        <v>117</v>
      </c>
      <c r="R54" s="626" t="s">
        <v>114</v>
      </c>
      <c r="S54" s="626" t="s">
        <v>111</v>
      </c>
      <c r="T54" s="626" t="s">
        <v>108</v>
      </c>
      <c r="U54" s="626" t="s">
        <v>104</v>
      </c>
      <c r="V54" s="626" t="s">
        <v>101</v>
      </c>
      <c r="W54" s="626" t="s">
        <v>98</v>
      </c>
      <c r="X54" s="626" t="s">
        <v>95</v>
      </c>
      <c r="Y54" s="626" t="s">
        <v>91</v>
      </c>
      <c r="Z54" s="626" t="s">
        <v>87</v>
      </c>
      <c r="AA54" s="626" t="s">
        <v>83</v>
      </c>
      <c r="AB54" s="626" t="s">
        <v>79</v>
      </c>
      <c r="AC54" s="626" t="s">
        <v>75</v>
      </c>
      <c r="AD54" s="626" t="s">
        <v>72</v>
      </c>
      <c r="AE54" s="626" t="s">
        <v>69</v>
      </c>
      <c r="AF54" s="626" t="s">
        <v>66</v>
      </c>
      <c r="AG54" s="626" t="s">
        <v>62</v>
      </c>
      <c r="AH54" s="626" t="s">
        <v>59</v>
      </c>
      <c r="AI54" s="626" t="s">
        <v>55</v>
      </c>
      <c r="AJ54" s="626" t="s">
        <v>52</v>
      </c>
      <c r="AK54" s="626" t="s">
        <v>49</v>
      </c>
      <c r="AL54" s="587" t="s">
        <v>46</v>
      </c>
      <c r="AM54" s="663" t="s">
        <v>42</v>
      </c>
      <c r="AO54" s="640" t="s">
        <v>227</v>
      </c>
    </row>
    <row r="55" spans="1:41" ht="12.75" customHeight="1">
      <c r="A55" s="83" t="s">
        <v>393</v>
      </c>
      <c r="B55" s="52"/>
      <c r="C55" s="52"/>
      <c r="D55" s="52"/>
      <c r="E55" s="52"/>
      <c r="F55" s="52"/>
      <c r="G55" s="52"/>
      <c r="H55" s="52"/>
      <c r="I55" s="52"/>
      <c r="J55" s="52"/>
      <c r="K55" s="52"/>
      <c r="L55" s="52"/>
      <c r="M55" s="52"/>
      <c r="N55" s="52"/>
      <c r="O55" s="52"/>
      <c r="P55" s="52"/>
      <c r="Q55" s="52"/>
      <c r="R55" s="52"/>
      <c r="S55" s="387">
        <v>0</v>
      </c>
      <c r="T55" s="387">
        <v>0</v>
      </c>
      <c r="U55" s="387">
        <v>13.315</v>
      </c>
      <c r="V55" s="387">
        <v>7.5069999999999997</v>
      </c>
      <c r="W55" s="387">
        <v>8.2850000000000001</v>
      </c>
      <c r="X55" s="387">
        <v>16.478999999999999</v>
      </c>
      <c r="Y55" s="387">
        <v>16.994</v>
      </c>
      <c r="Z55" s="387">
        <v>17.123990910545686</v>
      </c>
      <c r="AA55" s="387">
        <v>18.100826372219558</v>
      </c>
      <c r="AB55" s="387">
        <v>20.949839999999998</v>
      </c>
      <c r="AC55" s="387">
        <v>20.242000000000001</v>
      </c>
      <c r="AD55" s="387">
        <v>20.776513203072899</v>
      </c>
      <c r="AE55" s="387">
        <v>22.424053899167554</v>
      </c>
      <c r="AF55" s="387">
        <v>23.689085146851799</v>
      </c>
      <c r="AG55" s="387">
        <v>18.785</v>
      </c>
      <c r="AH55" s="387">
        <v>18.207000000000001</v>
      </c>
      <c r="AI55" s="387">
        <v>24.792999999999999</v>
      </c>
      <c r="AJ55" s="387">
        <v>31.097000000000001</v>
      </c>
      <c r="AK55" s="457">
        <v>34.152000000000001</v>
      </c>
      <c r="AL55" s="967">
        <v>42.294688768586497</v>
      </c>
      <c r="AM55" s="966">
        <v>40.173499999999997</v>
      </c>
      <c r="AO55" s="655" t="s">
        <v>1100</v>
      </c>
    </row>
    <row r="56" spans="1:41" ht="12.75" customHeight="1">
      <c r="A56" s="83" t="s">
        <v>406</v>
      </c>
      <c r="B56" s="52"/>
      <c r="C56" s="52"/>
      <c r="D56" s="52"/>
      <c r="E56" s="52"/>
      <c r="F56" s="52"/>
      <c r="G56" s="52"/>
      <c r="H56" s="52"/>
      <c r="I56" s="52"/>
      <c r="J56" s="52"/>
      <c r="K56" s="52"/>
      <c r="L56" s="52"/>
      <c r="M56" s="52"/>
      <c r="N56" s="52"/>
      <c r="O56" s="52"/>
      <c r="P56" s="52"/>
      <c r="Q56" s="52"/>
      <c r="R56" s="52"/>
      <c r="S56" s="387">
        <v>0</v>
      </c>
      <c r="T56" s="387">
        <v>0</v>
      </c>
      <c r="U56" s="387">
        <v>6.9269999999999996</v>
      </c>
      <c r="V56" s="387">
        <v>14.313000000000001</v>
      </c>
      <c r="W56" s="387">
        <v>15.69</v>
      </c>
      <c r="X56" s="387">
        <v>7.4359999999999999</v>
      </c>
      <c r="Y56" s="387">
        <v>7.48</v>
      </c>
      <c r="Z56" s="387">
        <v>7.5372161945911351</v>
      </c>
      <c r="AA56" s="387">
        <v>7.9671755480876953</v>
      </c>
      <c r="AB56" s="387">
        <v>11.522411999999999</v>
      </c>
      <c r="AC56" s="387">
        <v>8.0969999999999995</v>
      </c>
      <c r="AD56" s="387">
        <v>8.3108105624583164</v>
      </c>
      <c r="AE56" s="387">
        <v>8.9698431193340422</v>
      </c>
      <c r="AF56" s="387">
        <v>9.4758681174814132</v>
      </c>
      <c r="AG56" s="387">
        <v>7.5140000000000002</v>
      </c>
      <c r="AH56" s="387">
        <v>7.2830000000000004</v>
      </c>
      <c r="AI56" s="387">
        <v>9.9169999999999998</v>
      </c>
      <c r="AJ56" s="387">
        <v>12.439</v>
      </c>
      <c r="AK56" s="969">
        <v>13.660800000000002</v>
      </c>
      <c r="AL56" s="967">
        <v>16.917875507434598</v>
      </c>
      <c r="AM56" s="966">
        <v>16.069399999999998</v>
      </c>
      <c r="AO56" s="655" t="s">
        <v>1100</v>
      </c>
    </row>
    <row r="57" spans="1:41" ht="12.75" customHeight="1">
      <c r="A57" s="83" t="s">
        <v>734</v>
      </c>
      <c r="B57" s="52"/>
      <c r="C57" s="52"/>
      <c r="D57" s="52"/>
      <c r="E57" s="52"/>
      <c r="F57" s="52"/>
      <c r="G57" s="52"/>
      <c r="H57" s="52"/>
      <c r="I57" s="52"/>
      <c r="J57" s="52"/>
      <c r="K57" s="52"/>
      <c r="L57" s="52"/>
      <c r="M57" s="52"/>
      <c r="N57" s="52"/>
      <c r="O57" s="52"/>
      <c r="P57" s="52"/>
      <c r="Q57" s="52"/>
      <c r="R57" s="52"/>
      <c r="S57" s="387">
        <v>0</v>
      </c>
      <c r="T57" s="387">
        <v>0</v>
      </c>
      <c r="U57" s="387">
        <v>0</v>
      </c>
      <c r="V57" s="387">
        <v>0</v>
      </c>
      <c r="W57" s="387">
        <v>0</v>
      </c>
      <c r="X57" s="387">
        <v>0</v>
      </c>
      <c r="Y57" s="387">
        <v>0</v>
      </c>
      <c r="Z57" s="387">
        <v>0</v>
      </c>
      <c r="AA57" s="387">
        <v>0</v>
      </c>
      <c r="AB57" s="387">
        <v>0</v>
      </c>
      <c r="AC57" s="387"/>
      <c r="AD57" s="387">
        <v>0</v>
      </c>
      <c r="AE57" s="387">
        <v>0</v>
      </c>
      <c r="AF57" s="387">
        <v>0</v>
      </c>
      <c r="AG57" s="387">
        <v>0</v>
      </c>
      <c r="AH57" s="387">
        <v>0</v>
      </c>
      <c r="AI57" s="387">
        <v>0</v>
      </c>
      <c r="AJ57" s="387">
        <v>0</v>
      </c>
      <c r="AK57" s="387">
        <v>0</v>
      </c>
      <c r="AL57" s="967">
        <v>0</v>
      </c>
      <c r="AM57" s="966"/>
      <c r="AO57" s="655" t="s">
        <v>1100</v>
      </c>
    </row>
    <row r="58" spans="1:41" ht="12.75" customHeight="1">
      <c r="A58" s="83" t="s">
        <v>510</v>
      </c>
      <c r="B58" s="52"/>
      <c r="C58" s="52"/>
      <c r="D58" s="52"/>
      <c r="E58" s="52"/>
      <c r="F58" s="52"/>
      <c r="G58" s="52"/>
      <c r="H58" s="52"/>
      <c r="I58" s="52"/>
      <c r="J58" s="52"/>
      <c r="K58" s="52"/>
      <c r="L58" s="52"/>
      <c r="M58" s="52"/>
      <c r="N58" s="52"/>
      <c r="O58" s="52"/>
      <c r="P58" s="52"/>
      <c r="Q58" s="52"/>
      <c r="R58" s="52"/>
      <c r="S58" s="387">
        <v>0</v>
      </c>
      <c r="T58" s="387">
        <v>0</v>
      </c>
      <c r="U58" s="387">
        <v>0</v>
      </c>
      <c r="V58" s="387">
        <v>0</v>
      </c>
      <c r="W58" s="387">
        <v>0</v>
      </c>
      <c r="X58" s="387">
        <v>0</v>
      </c>
      <c r="Y58" s="387">
        <v>0</v>
      </c>
      <c r="Z58" s="387">
        <v>0</v>
      </c>
      <c r="AA58" s="387">
        <v>0</v>
      </c>
      <c r="AB58" s="387">
        <v>0</v>
      </c>
      <c r="AC58" s="387">
        <v>0</v>
      </c>
      <c r="AD58" s="387">
        <v>0</v>
      </c>
      <c r="AE58" s="387">
        <v>0</v>
      </c>
      <c r="AF58" s="387">
        <v>0</v>
      </c>
      <c r="AG58" s="387">
        <v>0</v>
      </c>
      <c r="AH58" s="387">
        <v>0</v>
      </c>
      <c r="AI58" s="387">
        <v>0</v>
      </c>
      <c r="AJ58" s="387">
        <v>0</v>
      </c>
      <c r="AK58" s="387">
        <v>0</v>
      </c>
      <c r="AL58" s="967">
        <v>0</v>
      </c>
      <c r="AM58" s="966"/>
      <c r="AO58" s="655" t="s">
        <v>1100</v>
      </c>
    </row>
    <row r="59" spans="1:41" ht="12.75" customHeight="1">
      <c r="A59" s="83" t="s">
        <v>409</v>
      </c>
      <c r="B59" s="52"/>
      <c r="C59" s="52"/>
      <c r="D59" s="52"/>
      <c r="E59" s="52"/>
      <c r="F59" s="52"/>
      <c r="G59" s="52"/>
      <c r="H59" s="52"/>
      <c r="I59" s="52"/>
      <c r="J59" s="52"/>
      <c r="K59" s="52"/>
      <c r="L59" s="52"/>
      <c r="M59" s="52"/>
      <c r="N59" s="52"/>
      <c r="O59" s="52"/>
      <c r="P59" s="52"/>
      <c r="Q59" s="52"/>
      <c r="R59" s="52"/>
      <c r="S59" s="387">
        <v>0</v>
      </c>
      <c r="T59" s="387">
        <v>0</v>
      </c>
      <c r="U59" s="387">
        <v>0</v>
      </c>
      <c r="V59" s="387">
        <v>0</v>
      </c>
      <c r="W59" s="387">
        <v>0</v>
      </c>
      <c r="X59" s="387">
        <v>0</v>
      </c>
      <c r="Y59" s="387">
        <v>0</v>
      </c>
      <c r="Z59" s="387">
        <v>0</v>
      </c>
      <c r="AA59" s="387">
        <v>0</v>
      </c>
      <c r="AB59" s="387">
        <v>0</v>
      </c>
      <c r="AC59" s="387">
        <v>0</v>
      </c>
      <c r="AD59" s="387">
        <v>0</v>
      </c>
      <c r="AE59" s="387">
        <v>0</v>
      </c>
      <c r="AF59" s="387">
        <v>0</v>
      </c>
      <c r="AG59" s="387">
        <v>0</v>
      </c>
      <c r="AH59" s="387">
        <v>0</v>
      </c>
      <c r="AI59" s="387">
        <v>0</v>
      </c>
      <c r="AJ59" s="387">
        <v>0</v>
      </c>
      <c r="AK59" s="387">
        <v>0</v>
      </c>
      <c r="AL59" s="967">
        <v>0</v>
      </c>
      <c r="AM59" s="966"/>
      <c r="AO59" s="655" t="s">
        <v>1100</v>
      </c>
    </row>
    <row r="60" spans="1:41" ht="12.75" customHeight="1">
      <c r="A60" s="83" t="s">
        <v>389</v>
      </c>
      <c r="B60" s="52"/>
      <c r="C60" s="52"/>
      <c r="D60" s="52"/>
      <c r="E60" s="52"/>
      <c r="F60" s="52"/>
      <c r="G60" s="52"/>
      <c r="H60" s="52"/>
      <c r="I60" s="52"/>
      <c r="J60" s="52"/>
      <c r="K60" s="52"/>
      <c r="L60" s="52"/>
      <c r="M60" s="52"/>
      <c r="N60" s="52"/>
      <c r="O60" s="52"/>
      <c r="P60" s="52"/>
      <c r="Q60" s="52"/>
      <c r="R60" s="52"/>
      <c r="S60" s="387">
        <v>0</v>
      </c>
      <c r="T60" s="387">
        <v>0</v>
      </c>
      <c r="U60" s="387">
        <v>0</v>
      </c>
      <c r="V60" s="387">
        <v>0</v>
      </c>
      <c r="W60" s="387">
        <v>0</v>
      </c>
      <c r="X60" s="387">
        <v>0</v>
      </c>
      <c r="Y60" s="387">
        <v>0</v>
      </c>
      <c r="Z60" s="387">
        <v>0</v>
      </c>
      <c r="AA60" s="387">
        <v>0</v>
      </c>
      <c r="AB60" s="387">
        <v>0</v>
      </c>
      <c r="AC60" s="387">
        <v>0</v>
      </c>
      <c r="AD60" s="387">
        <v>0</v>
      </c>
      <c r="AE60" s="387">
        <v>0</v>
      </c>
      <c r="AF60" s="387">
        <v>0</v>
      </c>
      <c r="AG60" s="387">
        <v>0</v>
      </c>
      <c r="AH60" s="387">
        <v>0</v>
      </c>
      <c r="AI60" s="387">
        <v>0</v>
      </c>
      <c r="AJ60" s="387">
        <v>0</v>
      </c>
      <c r="AK60" s="387">
        <v>0</v>
      </c>
      <c r="AL60" s="967">
        <v>0</v>
      </c>
      <c r="AM60" s="966"/>
      <c r="AO60" s="655" t="s">
        <v>1100</v>
      </c>
    </row>
    <row r="61" spans="1:41" ht="12.75" customHeight="1">
      <c r="A61" s="83" t="s">
        <v>703</v>
      </c>
      <c r="B61" s="52"/>
      <c r="C61" s="52"/>
      <c r="D61" s="52"/>
      <c r="E61" s="52"/>
      <c r="F61" s="52"/>
      <c r="G61" s="52"/>
      <c r="H61" s="52"/>
      <c r="I61" s="52"/>
      <c r="J61" s="52"/>
      <c r="K61" s="52"/>
      <c r="L61" s="52"/>
      <c r="M61" s="52"/>
      <c r="N61" s="52"/>
      <c r="O61" s="52"/>
      <c r="P61" s="52"/>
      <c r="Q61" s="52"/>
      <c r="R61" s="52"/>
      <c r="S61" s="387">
        <v>0</v>
      </c>
      <c r="T61" s="387">
        <v>0</v>
      </c>
      <c r="U61" s="387">
        <v>0</v>
      </c>
      <c r="V61" s="387">
        <v>0</v>
      </c>
      <c r="W61" s="387">
        <v>0</v>
      </c>
      <c r="X61" s="387">
        <v>0</v>
      </c>
      <c r="Y61" s="387">
        <v>0</v>
      </c>
      <c r="Z61" s="387">
        <v>0</v>
      </c>
      <c r="AA61" s="387">
        <v>0</v>
      </c>
      <c r="AB61" s="387">
        <v>0</v>
      </c>
      <c r="AC61" s="387">
        <v>0</v>
      </c>
      <c r="AD61" s="387">
        <v>0</v>
      </c>
      <c r="AE61" s="387">
        <v>0</v>
      </c>
      <c r="AF61" s="387">
        <v>0</v>
      </c>
      <c r="AG61" s="387">
        <v>0</v>
      </c>
      <c r="AH61" s="387">
        <v>0</v>
      </c>
      <c r="AI61" s="387">
        <v>0</v>
      </c>
      <c r="AJ61" s="387">
        <v>0</v>
      </c>
      <c r="AK61" s="387">
        <v>0</v>
      </c>
      <c r="AL61" s="967">
        <v>0</v>
      </c>
      <c r="AM61" s="966"/>
      <c r="AO61" s="655" t="s">
        <v>1100</v>
      </c>
    </row>
    <row r="62" spans="1:41" ht="12.75" customHeight="1">
      <c r="A62" s="83" t="s">
        <v>234</v>
      </c>
      <c r="B62" s="52"/>
      <c r="C62" s="52"/>
      <c r="D62" s="52"/>
      <c r="E62" s="52"/>
      <c r="F62" s="52"/>
      <c r="G62" s="52"/>
      <c r="H62" s="52"/>
      <c r="I62" s="52"/>
      <c r="J62" s="52"/>
      <c r="K62" s="52"/>
      <c r="L62" s="52"/>
      <c r="M62" s="52"/>
      <c r="N62" s="52"/>
      <c r="O62" s="52"/>
      <c r="P62" s="52"/>
      <c r="Q62" s="52"/>
      <c r="R62" s="52"/>
      <c r="S62" s="387">
        <v>4.1630000000000003</v>
      </c>
      <c r="T62" s="387">
        <v>4.4000000000000004</v>
      </c>
      <c r="U62" s="387">
        <v>3.194</v>
      </c>
      <c r="V62" s="387">
        <v>1.9019999999999999</v>
      </c>
      <c r="W62" s="387">
        <v>2.0979999999999999</v>
      </c>
      <c r="X62" s="387">
        <v>1.9219999999999999</v>
      </c>
      <c r="Y62" s="387">
        <v>1.7709999999999999</v>
      </c>
      <c r="Z62" s="387">
        <v>1.7845467754840776</v>
      </c>
      <c r="AA62" s="387">
        <v>1.8863459753560572</v>
      </c>
      <c r="AB62" s="387">
        <v>0</v>
      </c>
      <c r="AC62" s="387">
        <v>0</v>
      </c>
      <c r="AD62" s="387">
        <v>0</v>
      </c>
      <c r="AE62" s="387">
        <v>0</v>
      </c>
      <c r="AF62" s="387">
        <v>0</v>
      </c>
      <c r="AG62" s="387">
        <v>0</v>
      </c>
      <c r="AH62" s="387">
        <v>0</v>
      </c>
      <c r="AI62" s="387">
        <v>0</v>
      </c>
      <c r="AJ62" s="387">
        <v>0</v>
      </c>
      <c r="AK62" s="387">
        <v>0</v>
      </c>
      <c r="AL62" s="967">
        <v>0</v>
      </c>
      <c r="AM62" s="966"/>
      <c r="AO62" s="655" t="s">
        <v>1100</v>
      </c>
    </row>
    <row r="63" spans="1:41" ht="12.75" customHeight="1">
      <c r="A63" s="83" t="s">
        <v>701</v>
      </c>
      <c r="B63" s="52"/>
      <c r="C63" s="52"/>
      <c r="D63" s="52"/>
      <c r="E63" s="52"/>
      <c r="F63" s="52"/>
      <c r="G63" s="52"/>
      <c r="H63" s="52"/>
      <c r="I63" s="52"/>
      <c r="J63" s="52"/>
      <c r="K63" s="52"/>
      <c r="L63" s="52"/>
      <c r="M63" s="52"/>
      <c r="N63" s="52"/>
      <c r="O63" s="52"/>
      <c r="P63" s="52"/>
      <c r="Q63" s="52"/>
      <c r="R63" s="52"/>
      <c r="S63" s="387">
        <v>0</v>
      </c>
      <c r="T63" s="387">
        <v>0</v>
      </c>
      <c r="U63" s="387">
        <v>0</v>
      </c>
      <c r="V63" s="387">
        <v>0</v>
      </c>
      <c r="W63" s="387">
        <v>0</v>
      </c>
      <c r="X63" s="387">
        <v>0</v>
      </c>
      <c r="Y63" s="387">
        <v>0</v>
      </c>
      <c r="Z63" s="387">
        <v>0</v>
      </c>
      <c r="AA63" s="387">
        <v>0</v>
      </c>
      <c r="AB63" s="387">
        <v>0</v>
      </c>
      <c r="AC63" s="387">
        <v>0</v>
      </c>
      <c r="AD63" s="387">
        <v>0</v>
      </c>
      <c r="AE63" s="387">
        <v>0</v>
      </c>
      <c r="AF63" s="387">
        <v>0</v>
      </c>
      <c r="AG63" s="387">
        <v>0</v>
      </c>
      <c r="AH63" s="387">
        <v>0</v>
      </c>
      <c r="AI63" s="387">
        <v>0</v>
      </c>
      <c r="AJ63" s="387">
        <v>0</v>
      </c>
      <c r="AK63" s="387">
        <v>0</v>
      </c>
      <c r="AL63" s="967">
        <v>0</v>
      </c>
      <c r="AM63" s="966"/>
      <c r="AO63" s="655" t="s">
        <v>1100</v>
      </c>
    </row>
    <row r="64" spans="1:41" ht="12.75" customHeight="1">
      <c r="A64" s="83" t="s">
        <v>1324</v>
      </c>
      <c r="B64" s="52"/>
      <c r="C64" s="52"/>
      <c r="D64" s="52"/>
      <c r="E64" s="52"/>
      <c r="F64" s="52"/>
      <c r="G64" s="52"/>
      <c r="H64" s="52"/>
      <c r="I64" s="52"/>
      <c r="J64" s="52"/>
      <c r="K64" s="52"/>
      <c r="L64" s="52"/>
      <c r="M64" s="52"/>
      <c r="N64" s="52"/>
      <c r="O64" s="52"/>
      <c r="P64" s="52"/>
      <c r="Q64" s="52"/>
      <c r="R64" s="52"/>
      <c r="S64" s="387">
        <v>0</v>
      </c>
      <c r="T64" s="387">
        <v>0</v>
      </c>
      <c r="U64" s="387">
        <v>0</v>
      </c>
      <c r="V64" s="387">
        <v>0</v>
      </c>
      <c r="W64" s="387">
        <v>0</v>
      </c>
      <c r="X64" s="387">
        <v>0</v>
      </c>
      <c r="Y64" s="387">
        <v>0</v>
      </c>
      <c r="Z64" s="387">
        <v>0</v>
      </c>
      <c r="AA64" s="387">
        <v>0</v>
      </c>
      <c r="AB64" s="387">
        <v>0</v>
      </c>
      <c r="AC64" s="387">
        <v>0</v>
      </c>
      <c r="AD64" s="387">
        <v>0</v>
      </c>
      <c r="AE64" s="387">
        <v>0</v>
      </c>
      <c r="AF64" s="387">
        <v>0</v>
      </c>
      <c r="AG64" s="387">
        <v>0</v>
      </c>
      <c r="AH64" s="387">
        <v>0</v>
      </c>
      <c r="AI64" s="387">
        <v>0</v>
      </c>
      <c r="AJ64" s="387">
        <v>0</v>
      </c>
      <c r="AK64" s="387">
        <v>0</v>
      </c>
      <c r="AL64" s="967">
        <v>0</v>
      </c>
      <c r="AM64" s="966"/>
      <c r="AO64" s="655" t="s">
        <v>1100</v>
      </c>
    </row>
    <row r="65" spans="1:41" ht="12.75" customHeight="1">
      <c r="A65" s="83" t="s">
        <v>362</v>
      </c>
      <c r="B65" s="52"/>
      <c r="C65" s="52"/>
      <c r="D65" s="52"/>
      <c r="E65" s="52"/>
      <c r="F65" s="52"/>
      <c r="G65" s="52"/>
      <c r="H65" s="52"/>
      <c r="I65" s="52"/>
      <c r="J65" s="52"/>
      <c r="K65" s="52"/>
      <c r="L65" s="52"/>
      <c r="M65" s="52"/>
      <c r="N65" s="52"/>
      <c r="O65" s="52"/>
      <c r="P65" s="52"/>
      <c r="Q65" s="52"/>
      <c r="R65" s="52"/>
      <c r="S65" s="387">
        <v>0</v>
      </c>
      <c r="T65" s="387">
        <v>0</v>
      </c>
      <c r="U65" s="387">
        <v>0</v>
      </c>
      <c r="V65" s="387">
        <v>0</v>
      </c>
      <c r="W65" s="387">
        <v>0</v>
      </c>
      <c r="X65" s="387">
        <v>0</v>
      </c>
      <c r="Y65" s="387">
        <v>0</v>
      </c>
      <c r="Z65" s="387">
        <v>0</v>
      </c>
      <c r="AA65" s="387">
        <v>0</v>
      </c>
      <c r="AB65" s="387">
        <v>0</v>
      </c>
      <c r="AC65" s="387">
        <v>0</v>
      </c>
      <c r="AD65" s="387">
        <v>0</v>
      </c>
      <c r="AE65" s="387">
        <v>0</v>
      </c>
      <c r="AF65" s="387">
        <v>0</v>
      </c>
      <c r="AG65" s="387">
        <v>0</v>
      </c>
      <c r="AH65" s="387">
        <v>0</v>
      </c>
      <c r="AI65" s="387">
        <v>0</v>
      </c>
      <c r="AJ65" s="387">
        <v>0</v>
      </c>
      <c r="AK65" s="387">
        <v>0</v>
      </c>
      <c r="AL65" s="967">
        <v>0</v>
      </c>
      <c r="AM65" s="966"/>
      <c r="AO65" s="655" t="s">
        <v>1100</v>
      </c>
    </row>
    <row r="66" spans="1:41" ht="12.75" customHeight="1">
      <c r="A66" s="83" t="s">
        <v>669</v>
      </c>
      <c r="B66" s="52"/>
      <c r="C66" s="52"/>
      <c r="D66" s="52"/>
      <c r="E66" s="52"/>
      <c r="F66" s="52"/>
      <c r="G66" s="52"/>
      <c r="H66" s="52"/>
      <c r="I66" s="52"/>
      <c r="J66" s="52"/>
      <c r="K66" s="52"/>
      <c r="L66" s="52"/>
      <c r="M66" s="52"/>
      <c r="N66" s="52"/>
      <c r="O66" s="52"/>
      <c r="P66" s="52"/>
      <c r="Q66" s="52"/>
      <c r="R66" s="52"/>
      <c r="S66" s="387">
        <v>0</v>
      </c>
      <c r="T66" s="387">
        <v>0</v>
      </c>
      <c r="U66" s="387">
        <v>0</v>
      </c>
      <c r="V66" s="387">
        <v>0</v>
      </c>
      <c r="W66" s="387">
        <v>0</v>
      </c>
      <c r="X66" s="387">
        <v>0</v>
      </c>
      <c r="Y66" s="387">
        <v>0</v>
      </c>
      <c r="Z66" s="387">
        <v>0</v>
      </c>
      <c r="AA66" s="387">
        <v>0</v>
      </c>
      <c r="AB66" s="387">
        <v>0</v>
      </c>
      <c r="AC66" s="387">
        <v>0</v>
      </c>
      <c r="AD66" s="387">
        <v>0</v>
      </c>
      <c r="AE66" s="387">
        <v>0</v>
      </c>
      <c r="AF66" s="387">
        <v>0</v>
      </c>
      <c r="AG66" s="387">
        <v>0</v>
      </c>
      <c r="AH66" s="387">
        <v>0</v>
      </c>
      <c r="AI66" s="387">
        <v>0</v>
      </c>
      <c r="AJ66" s="387">
        <v>0</v>
      </c>
      <c r="AK66" s="387">
        <v>0</v>
      </c>
      <c r="AL66" s="967">
        <v>0</v>
      </c>
      <c r="AM66" s="966"/>
      <c r="AO66" s="655" t="s">
        <v>1100</v>
      </c>
    </row>
    <row r="67" spans="1:41" ht="12.75" customHeight="1">
      <c r="A67" s="83" t="s">
        <v>397</v>
      </c>
      <c r="B67" s="52"/>
      <c r="C67" s="52"/>
      <c r="D67" s="52"/>
      <c r="E67" s="52"/>
      <c r="F67" s="52"/>
      <c r="G67" s="52"/>
      <c r="H67" s="52"/>
      <c r="I67" s="52"/>
      <c r="J67" s="52"/>
      <c r="K67" s="52"/>
      <c r="L67" s="52"/>
      <c r="M67" s="52"/>
      <c r="N67" s="52"/>
      <c r="O67" s="52"/>
      <c r="P67" s="52"/>
      <c r="Q67" s="52"/>
      <c r="R67" s="52"/>
      <c r="S67" s="387">
        <v>18.962</v>
      </c>
      <c r="T67" s="387">
        <v>20.07</v>
      </c>
      <c r="U67" s="387">
        <v>3.194</v>
      </c>
      <c r="V67" s="387">
        <v>3.9039999999999999</v>
      </c>
      <c r="W67" s="387">
        <v>4.34</v>
      </c>
      <c r="X67" s="387">
        <v>5.0460000000000003</v>
      </c>
      <c r="Y67" s="387">
        <v>5</v>
      </c>
      <c r="Z67" s="387">
        <v>5.0382461193791004</v>
      </c>
      <c r="AA67" s="387">
        <v>5.3256521043366947</v>
      </c>
      <c r="AB67" s="387">
        <v>6.3237480000000001</v>
      </c>
      <c r="AC67" s="387">
        <v>12.144</v>
      </c>
      <c r="AD67" s="387">
        <v>12.464676234468792</v>
      </c>
      <c r="AE67" s="387">
        <v>13.453102981498409</v>
      </c>
      <c r="AF67" s="387">
        <v>14.212046735666826</v>
      </c>
      <c r="AG67" s="387">
        <v>11.271000000000001</v>
      </c>
      <c r="AH67" s="387">
        <v>10.923999999999999</v>
      </c>
      <c r="AI67" s="387">
        <v>14.875999999999999</v>
      </c>
      <c r="AJ67" s="387">
        <v>18.658000000000001</v>
      </c>
      <c r="AK67" s="387">
        <v>20.491199999999999</v>
      </c>
      <c r="AL67" s="967">
        <v>25.376813261151899</v>
      </c>
      <c r="AM67" s="966">
        <v>24.104099999999999</v>
      </c>
      <c r="AO67" s="655" t="s">
        <v>1100</v>
      </c>
    </row>
    <row r="68" spans="1:41" ht="12.75" customHeight="1">
      <c r="A68" s="83" t="s">
        <v>544</v>
      </c>
      <c r="B68" s="52"/>
      <c r="C68" s="52"/>
      <c r="D68" s="52"/>
      <c r="E68" s="52"/>
      <c r="F68" s="52"/>
      <c r="G68" s="52"/>
      <c r="H68" s="52"/>
      <c r="I68" s="52"/>
      <c r="J68" s="52"/>
      <c r="K68" s="52"/>
      <c r="L68" s="52"/>
      <c r="M68" s="52"/>
      <c r="N68" s="52"/>
      <c r="O68" s="52"/>
      <c r="P68" s="52"/>
      <c r="Q68" s="52"/>
      <c r="R68" s="52"/>
      <c r="S68" s="387">
        <v>0</v>
      </c>
      <c r="T68" s="387">
        <v>0</v>
      </c>
      <c r="U68" s="387">
        <v>0</v>
      </c>
      <c r="V68" s="387">
        <v>0</v>
      </c>
      <c r="W68" s="387">
        <v>0</v>
      </c>
      <c r="X68" s="387">
        <v>0</v>
      </c>
      <c r="Y68" s="387">
        <v>0</v>
      </c>
      <c r="Z68" s="387">
        <v>0</v>
      </c>
      <c r="AA68" s="387">
        <v>0</v>
      </c>
      <c r="AB68" s="387">
        <v>0</v>
      </c>
      <c r="AC68" s="387">
        <v>0</v>
      </c>
      <c r="AD68" s="387">
        <v>0</v>
      </c>
      <c r="AE68" s="387">
        <v>0</v>
      </c>
      <c r="AF68" s="387">
        <v>0</v>
      </c>
      <c r="AG68" s="387">
        <v>0</v>
      </c>
      <c r="AH68" s="387">
        <v>0</v>
      </c>
      <c r="AI68" s="387">
        <v>0</v>
      </c>
      <c r="AJ68" s="387">
        <v>0</v>
      </c>
      <c r="AK68" s="387">
        <v>0</v>
      </c>
      <c r="AL68" s="967">
        <v>0</v>
      </c>
      <c r="AM68" s="966"/>
      <c r="AO68" s="655" t="s">
        <v>1100</v>
      </c>
    </row>
    <row r="69" spans="1:41" ht="12.75" customHeight="1">
      <c r="A69" s="154" t="s">
        <v>3831</v>
      </c>
      <c r="B69" s="155" t="s">
        <v>1100</v>
      </c>
      <c r="C69" s="155" t="s">
        <v>1100</v>
      </c>
      <c r="D69" s="155" t="s">
        <v>1100</v>
      </c>
      <c r="E69" s="155" t="s">
        <v>1100</v>
      </c>
      <c r="F69" s="155" t="s">
        <v>1100</v>
      </c>
      <c r="G69" s="155" t="s">
        <v>1100</v>
      </c>
      <c r="H69" s="155" t="s">
        <v>1100</v>
      </c>
      <c r="I69" s="155" t="s">
        <v>1100</v>
      </c>
      <c r="J69" s="155" t="s">
        <v>1100</v>
      </c>
      <c r="K69" s="155" t="s">
        <v>1100</v>
      </c>
      <c r="L69" s="155" t="s">
        <v>1100</v>
      </c>
      <c r="M69" s="155" t="s">
        <v>1100</v>
      </c>
      <c r="N69" s="155" t="s">
        <v>1100</v>
      </c>
      <c r="O69" s="155" t="s">
        <v>1100</v>
      </c>
      <c r="P69" s="155" t="s">
        <v>1100</v>
      </c>
      <c r="Q69" s="155" t="s">
        <v>1100</v>
      </c>
      <c r="R69" s="155" t="s">
        <v>1100</v>
      </c>
      <c r="S69" s="176">
        <f>SUM(S55:S68)</f>
        <v>23.125</v>
      </c>
      <c r="T69" s="176">
        <f t="shared" ref="T69:AL69" si="17">SUM(T55:T68)</f>
        <v>24.47</v>
      </c>
      <c r="U69" s="176">
        <f t="shared" si="17"/>
        <v>26.629999999999995</v>
      </c>
      <c r="V69" s="176">
        <f t="shared" si="17"/>
        <v>27.626000000000001</v>
      </c>
      <c r="W69" s="176">
        <f t="shared" si="17"/>
        <v>30.413</v>
      </c>
      <c r="X69" s="176">
        <f t="shared" si="17"/>
        <v>30.882999999999999</v>
      </c>
      <c r="Y69" s="176">
        <f t="shared" si="17"/>
        <v>31.245000000000001</v>
      </c>
      <c r="Z69" s="176">
        <f t="shared" si="17"/>
        <v>31.483999999999998</v>
      </c>
      <c r="AA69" s="176">
        <f t="shared" si="17"/>
        <v>33.280000000000008</v>
      </c>
      <c r="AB69" s="176">
        <f t="shared" si="17"/>
        <v>38.795999999999999</v>
      </c>
      <c r="AC69" s="176">
        <f t="shared" si="17"/>
        <v>40.482999999999997</v>
      </c>
      <c r="AD69" s="194">
        <f t="shared" si="17"/>
        <v>41.552000000000007</v>
      </c>
      <c r="AE69" s="176">
        <f t="shared" si="17"/>
        <v>44.847000000000008</v>
      </c>
      <c r="AF69" s="176">
        <f t="shared" si="17"/>
        <v>47.377000000000038</v>
      </c>
      <c r="AG69" s="176">
        <f t="shared" si="17"/>
        <v>37.57</v>
      </c>
      <c r="AH69" s="176">
        <f t="shared" si="17"/>
        <v>36.414000000000001</v>
      </c>
      <c r="AI69" s="176">
        <f t="shared" si="17"/>
        <v>49.585999999999999</v>
      </c>
      <c r="AJ69" s="176">
        <f t="shared" si="17"/>
        <v>62.194000000000003</v>
      </c>
      <c r="AK69" s="176">
        <f t="shared" si="17"/>
        <v>68.304000000000002</v>
      </c>
      <c r="AL69" s="373">
        <f t="shared" si="17"/>
        <v>84.589377537172993</v>
      </c>
      <c r="AM69" s="374">
        <f>SUM(AM55:AM68)</f>
        <v>80.346999999999994</v>
      </c>
      <c r="AO69" s="656" t="s">
        <v>1100</v>
      </c>
    </row>
    <row r="71" spans="1:41" ht="12.75" customHeight="1">
      <c r="A71" s="74" t="s">
        <v>1147</v>
      </c>
      <c r="B71" s="626" t="s">
        <v>166</v>
      </c>
      <c r="C71" s="626" t="s">
        <v>163</v>
      </c>
      <c r="D71" s="626" t="s">
        <v>160</v>
      </c>
      <c r="E71" s="626" t="s">
        <v>157</v>
      </c>
      <c r="F71" s="626" t="s">
        <v>153</v>
      </c>
      <c r="G71" s="626" t="s">
        <v>149</v>
      </c>
      <c r="H71" s="626" t="s">
        <v>146</v>
      </c>
      <c r="I71" s="626" t="s">
        <v>142</v>
      </c>
      <c r="J71" s="626" t="s">
        <v>139</v>
      </c>
      <c r="K71" s="626" t="s">
        <v>136</v>
      </c>
      <c r="L71" s="626" t="s">
        <v>132</v>
      </c>
      <c r="M71" s="626" t="s">
        <v>208</v>
      </c>
      <c r="N71" s="626" t="s">
        <v>126</v>
      </c>
      <c r="O71" s="626" t="s">
        <v>123</v>
      </c>
      <c r="P71" s="626" t="s">
        <v>120</v>
      </c>
      <c r="Q71" s="626" t="s">
        <v>117</v>
      </c>
      <c r="R71" s="626" t="s">
        <v>114</v>
      </c>
      <c r="S71" s="626" t="s">
        <v>111</v>
      </c>
      <c r="T71" s="626" t="s">
        <v>108</v>
      </c>
      <c r="U71" s="626" t="s">
        <v>104</v>
      </c>
      <c r="V71" s="626" t="s">
        <v>101</v>
      </c>
      <c r="W71" s="626" t="s">
        <v>98</v>
      </c>
      <c r="X71" s="626" t="s">
        <v>95</v>
      </c>
      <c r="Y71" s="626" t="s">
        <v>91</v>
      </c>
      <c r="Z71" s="626" t="s">
        <v>87</v>
      </c>
      <c r="AA71" s="626" t="s">
        <v>83</v>
      </c>
      <c r="AB71" s="626" t="s">
        <v>79</v>
      </c>
      <c r="AC71" s="626" t="s">
        <v>75</v>
      </c>
      <c r="AD71" s="626" t="s">
        <v>72</v>
      </c>
      <c r="AE71" s="626" t="s">
        <v>69</v>
      </c>
      <c r="AF71" s="626" t="s">
        <v>66</v>
      </c>
      <c r="AG71" s="626" t="s">
        <v>62</v>
      </c>
      <c r="AH71" s="626" t="s">
        <v>59</v>
      </c>
      <c r="AI71" s="626" t="s">
        <v>55</v>
      </c>
      <c r="AJ71" s="626" t="s">
        <v>52</v>
      </c>
      <c r="AK71" s="626" t="s">
        <v>49</v>
      </c>
      <c r="AL71" s="587" t="s">
        <v>46</v>
      </c>
      <c r="AM71" s="663" t="s">
        <v>42</v>
      </c>
      <c r="AO71" s="640" t="s">
        <v>227</v>
      </c>
    </row>
    <row r="72" spans="1:41" ht="12.75" customHeight="1">
      <c r="A72" s="83" t="s">
        <v>393</v>
      </c>
      <c r="B72" s="52"/>
      <c r="C72" s="52"/>
      <c r="D72" s="52"/>
      <c r="E72" s="52"/>
      <c r="F72" s="52"/>
      <c r="G72" s="52"/>
      <c r="H72" s="52"/>
      <c r="I72" s="52"/>
      <c r="J72" s="52"/>
      <c r="K72" s="52"/>
      <c r="L72" s="52"/>
      <c r="M72" s="52"/>
      <c r="N72" s="52"/>
      <c r="O72" s="52"/>
      <c r="P72" s="52"/>
      <c r="Q72" s="52"/>
      <c r="R72" s="52"/>
      <c r="S72" s="387">
        <v>1.702</v>
      </c>
      <c r="T72" s="387">
        <v>2.0499999999999998</v>
      </c>
      <c r="U72" s="387">
        <v>2.2200000000000002</v>
      </c>
      <c r="V72" s="387">
        <v>2.5099999999999998</v>
      </c>
      <c r="W72" s="387">
        <v>2.2480000000000002</v>
      </c>
      <c r="X72" s="387">
        <v>2.3980000000000001</v>
      </c>
      <c r="Y72" s="387">
        <v>2.2829999999999999</v>
      </c>
      <c r="Z72" s="387">
        <v>2.282</v>
      </c>
      <c r="AA72" s="387">
        <v>2.5059999999999998</v>
      </c>
      <c r="AB72" s="387">
        <v>2.387</v>
      </c>
      <c r="AC72" s="387">
        <v>2.3460000000000001</v>
      </c>
      <c r="AD72" s="387">
        <v>4.4859999999999998</v>
      </c>
      <c r="AE72" s="387">
        <v>11.512</v>
      </c>
      <c r="AF72" s="387">
        <v>11.909000000000001</v>
      </c>
      <c r="AG72" s="387">
        <v>12</v>
      </c>
      <c r="AH72" s="387">
        <v>12.18</v>
      </c>
      <c r="AI72" s="387">
        <v>12.228719999999999</v>
      </c>
      <c r="AJ72" s="387">
        <v>12.276999999999999</v>
      </c>
      <c r="AK72" s="387">
        <v>12.395206558282185</v>
      </c>
      <c r="AL72" s="805">
        <v>12.01</v>
      </c>
      <c r="AM72" s="970">
        <v>12.04</v>
      </c>
      <c r="AO72" s="655" t="s">
        <v>1100</v>
      </c>
    </row>
    <row r="73" spans="1:41" ht="12.75" customHeight="1">
      <c r="A73" s="83" t="s">
        <v>406</v>
      </c>
      <c r="B73" s="52"/>
      <c r="C73" s="52"/>
      <c r="D73" s="52"/>
      <c r="E73" s="52"/>
      <c r="F73" s="52"/>
      <c r="G73" s="52"/>
      <c r="H73" s="52"/>
      <c r="I73" s="52"/>
      <c r="J73" s="52"/>
      <c r="K73" s="52"/>
      <c r="L73" s="52"/>
      <c r="M73" s="52"/>
      <c r="N73" s="52"/>
      <c r="O73" s="52"/>
      <c r="P73" s="52"/>
      <c r="Q73" s="52"/>
      <c r="R73" s="52"/>
      <c r="S73" s="387">
        <v>13.430999999999999</v>
      </c>
      <c r="T73" s="387">
        <v>16.173999999999999</v>
      </c>
      <c r="U73" s="387">
        <v>19.914999999999999</v>
      </c>
      <c r="V73" s="387">
        <v>21.38</v>
      </c>
      <c r="W73" s="387">
        <v>17.734999999999999</v>
      </c>
      <c r="X73" s="387">
        <v>18.917000000000002</v>
      </c>
      <c r="Y73" s="387">
        <v>18.013000000000002</v>
      </c>
      <c r="Z73" s="387">
        <v>36.905000000000001</v>
      </c>
      <c r="AA73" s="387">
        <v>27.780999999999999</v>
      </c>
      <c r="AB73" s="387">
        <v>55.042999999999999</v>
      </c>
      <c r="AC73" s="387">
        <v>26.288</v>
      </c>
      <c r="AD73" s="387">
        <v>19.739999999999998</v>
      </c>
      <c r="AE73" s="387">
        <v>29.215756486959613</v>
      </c>
      <c r="AF73" s="387">
        <v>42.829000000000001</v>
      </c>
      <c r="AG73" s="387">
        <v>41.618000000000002</v>
      </c>
      <c r="AH73" s="387">
        <v>42.242269999999998</v>
      </c>
      <c r="AI73" s="387">
        <v>42.411239080000001</v>
      </c>
      <c r="AJ73" s="387">
        <v>42.58</v>
      </c>
      <c r="AK73" s="387">
        <v>42.98997273370167</v>
      </c>
      <c r="AL73" s="805">
        <v>42.99</v>
      </c>
      <c r="AM73" s="970">
        <v>43.1</v>
      </c>
      <c r="AO73" s="655" t="s">
        <v>1100</v>
      </c>
    </row>
    <row r="74" spans="1:41" ht="12.75" customHeight="1">
      <c r="A74" s="83" t="s">
        <v>734</v>
      </c>
      <c r="B74" s="52"/>
      <c r="C74" s="52"/>
      <c r="D74" s="52"/>
      <c r="E74" s="52"/>
      <c r="F74" s="52"/>
      <c r="G74" s="52"/>
      <c r="H74" s="52"/>
      <c r="I74" s="52"/>
      <c r="J74" s="52"/>
      <c r="K74" s="52"/>
      <c r="L74" s="52"/>
      <c r="M74" s="52"/>
      <c r="N74" s="52"/>
      <c r="O74" s="52"/>
      <c r="P74" s="52"/>
      <c r="Q74" s="52"/>
      <c r="R74" s="52"/>
      <c r="S74" s="387">
        <v>0</v>
      </c>
      <c r="T74" s="387">
        <v>0</v>
      </c>
      <c r="U74" s="387">
        <v>0</v>
      </c>
      <c r="V74" s="387">
        <v>0</v>
      </c>
      <c r="W74" s="387">
        <v>0</v>
      </c>
      <c r="X74" s="387">
        <v>0</v>
      </c>
      <c r="Y74" s="387">
        <v>0</v>
      </c>
      <c r="Z74" s="387">
        <v>0</v>
      </c>
      <c r="AA74" s="387">
        <v>0</v>
      </c>
      <c r="AB74" s="387">
        <v>0</v>
      </c>
      <c r="AC74" s="387">
        <v>0</v>
      </c>
      <c r="AD74" s="387">
        <v>0</v>
      </c>
      <c r="AE74" s="387">
        <v>0</v>
      </c>
      <c r="AF74" s="387">
        <v>0</v>
      </c>
      <c r="AG74" s="387">
        <v>0</v>
      </c>
      <c r="AH74" s="387">
        <v>0</v>
      </c>
      <c r="AI74" s="387">
        <v>0</v>
      </c>
      <c r="AJ74" s="387">
        <v>0</v>
      </c>
      <c r="AK74" s="387">
        <v>0</v>
      </c>
      <c r="AL74" s="805">
        <v>0</v>
      </c>
      <c r="AM74" s="970">
        <v>0</v>
      </c>
      <c r="AO74" s="655" t="s">
        <v>1100</v>
      </c>
    </row>
    <row r="75" spans="1:41" ht="12.75" customHeight="1">
      <c r="A75" s="83" t="s">
        <v>510</v>
      </c>
      <c r="B75" s="52"/>
      <c r="C75" s="52"/>
      <c r="D75" s="52"/>
      <c r="E75" s="52"/>
      <c r="F75" s="52"/>
      <c r="G75" s="52"/>
      <c r="H75" s="52"/>
      <c r="I75" s="52"/>
      <c r="J75" s="52"/>
      <c r="K75" s="52"/>
      <c r="L75" s="52"/>
      <c r="M75" s="52"/>
      <c r="N75" s="52"/>
      <c r="O75" s="52"/>
      <c r="P75" s="52"/>
      <c r="Q75" s="52"/>
      <c r="R75" s="52"/>
      <c r="S75" s="387">
        <v>3.0379999999999998</v>
      </c>
      <c r="T75" s="387">
        <v>3.6579999999999999</v>
      </c>
      <c r="U75" s="387">
        <v>3.9620000000000002</v>
      </c>
      <c r="V75" s="387">
        <v>4.47</v>
      </c>
      <c r="W75" s="387">
        <v>4.0110000000000001</v>
      </c>
      <c r="X75" s="387">
        <v>4.2789999999999999</v>
      </c>
      <c r="Y75" s="387">
        <v>4.0739999999999998</v>
      </c>
      <c r="Z75" s="387">
        <v>4.0730000000000004</v>
      </c>
      <c r="AA75" s="387">
        <v>4.4720000000000004</v>
      </c>
      <c r="AB75" s="387">
        <v>4.2619999999999996</v>
      </c>
      <c r="AC75" s="387">
        <v>4.1859999999999999</v>
      </c>
      <c r="AD75" s="387">
        <v>4.2729999999999997</v>
      </c>
      <c r="AE75" s="387">
        <v>11.678655829924494</v>
      </c>
      <c r="AF75" s="387">
        <v>12.712</v>
      </c>
      <c r="AG75" s="387">
        <v>12.5</v>
      </c>
      <c r="AH75" s="387">
        <v>12.687499999999998</v>
      </c>
      <c r="AI75" s="387">
        <v>12.738249999999999</v>
      </c>
      <c r="AJ75" s="387">
        <v>12.788</v>
      </c>
      <c r="AK75" s="387">
        <v>12.911126616218343</v>
      </c>
      <c r="AL75" s="805">
        <v>12.91</v>
      </c>
      <c r="AM75" s="970">
        <v>12.94</v>
      </c>
      <c r="AO75" s="655" t="s">
        <v>1100</v>
      </c>
    </row>
    <row r="76" spans="1:41" ht="12.75" customHeight="1">
      <c r="A76" s="83" t="s">
        <v>409</v>
      </c>
      <c r="B76" s="52"/>
      <c r="C76" s="52"/>
      <c r="D76" s="52"/>
      <c r="E76" s="52"/>
      <c r="F76" s="52"/>
      <c r="G76" s="52"/>
      <c r="H76" s="52"/>
      <c r="I76" s="52"/>
      <c r="J76" s="52"/>
      <c r="K76" s="52"/>
      <c r="L76" s="52"/>
      <c r="M76" s="52"/>
      <c r="N76" s="52"/>
      <c r="O76" s="52"/>
      <c r="P76" s="52"/>
      <c r="Q76" s="52"/>
      <c r="R76" s="52"/>
      <c r="S76" s="387">
        <v>8.2159999999999993</v>
      </c>
      <c r="T76" s="387">
        <v>9.8930000000000007</v>
      </c>
      <c r="U76" s="387">
        <v>10.714</v>
      </c>
      <c r="V76" s="387">
        <v>12.1</v>
      </c>
      <c r="W76" s="387">
        <v>10.848000000000001</v>
      </c>
      <c r="X76" s="387">
        <v>11.571999999999999</v>
      </c>
      <c r="Y76" s="387">
        <v>11.018000000000001</v>
      </c>
      <c r="Z76" s="387">
        <v>11.013</v>
      </c>
      <c r="AA76" s="387">
        <v>12.093999999999999</v>
      </c>
      <c r="AB76" s="387">
        <v>11.523</v>
      </c>
      <c r="AC76" s="387">
        <v>11.319000000000001</v>
      </c>
      <c r="AD76" s="387">
        <v>13.111000000000001</v>
      </c>
      <c r="AE76" s="387">
        <v>26.337944166520963</v>
      </c>
      <c r="AF76" s="387">
        <v>29.577999999999999</v>
      </c>
      <c r="AG76" s="387">
        <v>30</v>
      </c>
      <c r="AH76" s="387">
        <v>30.449999999999996</v>
      </c>
      <c r="AI76" s="387">
        <v>30.571799999999996</v>
      </c>
      <c r="AJ76" s="387">
        <v>30.693000000000001</v>
      </c>
      <c r="AK76" s="387">
        <v>30.988521209852173</v>
      </c>
      <c r="AL76" s="805">
        <v>30.73</v>
      </c>
      <c r="AM76" s="970">
        <v>30.81</v>
      </c>
      <c r="AO76" s="655" t="s">
        <v>1100</v>
      </c>
    </row>
    <row r="77" spans="1:41" ht="12.75" customHeight="1">
      <c r="A77" s="83" t="s">
        <v>389</v>
      </c>
      <c r="B77" s="52"/>
      <c r="C77" s="52"/>
      <c r="D77" s="52"/>
      <c r="E77" s="52"/>
      <c r="F77" s="52"/>
      <c r="G77" s="52"/>
      <c r="H77" s="52"/>
      <c r="I77" s="52"/>
      <c r="J77" s="52"/>
      <c r="K77" s="52"/>
      <c r="L77" s="52"/>
      <c r="M77" s="52"/>
      <c r="N77" s="52"/>
      <c r="O77" s="52"/>
      <c r="P77" s="52"/>
      <c r="Q77" s="52"/>
      <c r="R77" s="52"/>
      <c r="S77" s="387">
        <v>13.991</v>
      </c>
      <c r="T77" s="387">
        <v>16.847999999999999</v>
      </c>
      <c r="U77" s="387">
        <v>18.244</v>
      </c>
      <c r="V77" s="387">
        <v>20.6</v>
      </c>
      <c r="W77" s="387">
        <v>18.474</v>
      </c>
      <c r="X77" s="387">
        <v>19.704999999999998</v>
      </c>
      <c r="Y77" s="387">
        <v>18.763000000000002</v>
      </c>
      <c r="Z77" s="387">
        <v>18.754999999999999</v>
      </c>
      <c r="AA77" s="387">
        <v>20.594999999999999</v>
      </c>
      <c r="AB77" s="387">
        <v>19.623000000000001</v>
      </c>
      <c r="AC77" s="387">
        <v>19.276</v>
      </c>
      <c r="AD77" s="387">
        <v>22.353000000000002</v>
      </c>
      <c r="AE77" s="387">
        <v>10.64875193431666</v>
      </c>
      <c r="AF77" s="387">
        <v>12.153</v>
      </c>
      <c r="AG77" s="387">
        <v>12</v>
      </c>
      <c r="AH77" s="387">
        <v>12.18</v>
      </c>
      <c r="AI77" s="387">
        <v>12.228719999999999</v>
      </c>
      <c r="AJ77" s="387">
        <v>12.276999999999999</v>
      </c>
      <c r="AK77" s="387">
        <v>12.395206558282185</v>
      </c>
      <c r="AL77" s="805">
        <v>12.4</v>
      </c>
      <c r="AM77" s="970">
        <v>12.43</v>
      </c>
      <c r="AO77" s="655" t="s">
        <v>1100</v>
      </c>
    </row>
    <row r="78" spans="1:41" ht="12.75" customHeight="1">
      <c r="A78" s="83" t="s">
        <v>703</v>
      </c>
      <c r="B78" s="52"/>
      <c r="C78" s="52"/>
      <c r="D78" s="52"/>
      <c r="E78" s="52"/>
      <c r="F78" s="52"/>
      <c r="G78" s="52"/>
      <c r="H78" s="52"/>
      <c r="I78" s="52"/>
      <c r="J78" s="52"/>
      <c r="K78" s="52"/>
      <c r="L78" s="52"/>
      <c r="M78" s="52"/>
      <c r="N78" s="52"/>
      <c r="O78" s="52"/>
      <c r="P78" s="52"/>
      <c r="Q78" s="52"/>
      <c r="R78" s="52"/>
      <c r="S78" s="387">
        <v>33.579000000000001</v>
      </c>
      <c r="T78" s="387">
        <v>40.436</v>
      </c>
      <c r="U78" s="387">
        <v>73.787999999999997</v>
      </c>
      <c r="V78" s="387">
        <v>49.44</v>
      </c>
      <c r="W78" s="387">
        <v>44.338000000000001</v>
      </c>
      <c r="X78" s="387">
        <v>47.295000000000002</v>
      </c>
      <c r="Y78" s="387">
        <v>45.033999999999999</v>
      </c>
      <c r="Z78" s="387">
        <v>71.114000000000004</v>
      </c>
      <c r="AA78" s="387">
        <v>60.493000000000002</v>
      </c>
      <c r="AB78" s="387">
        <v>97.093999999999994</v>
      </c>
      <c r="AC78" s="387">
        <v>57.011000000000003</v>
      </c>
      <c r="AD78" s="387">
        <v>54.667999999999999</v>
      </c>
      <c r="AE78" s="387">
        <v>37.067634753684743</v>
      </c>
      <c r="AF78" s="387">
        <v>40.378</v>
      </c>
      <c r="AG78" s="387">
        <v>56.7</v>
      </c>
      <c r="AH78" s="387">
        <v>57.5505</v>
      </c>
      <c r="AI78" s="387">
        <v>57.780701999999998</v>
      </c>
      <c r="AJ78" s="387">
        <v>58.011000000000003</v>
      </c>
      <c r="AK78" s="387">
        <v>58.569546929421513</v>
      </c>
      <c r="AL78" s="805">
        <v>58.07</v>
      </c>
      <c r="AM78" s="970">
        <v>58.22</v>
      </c>
      <c r="AO78" s="655" t="s">
        <v>1100</v>
      </c>
    </row>
    <row r="79" spans="1:41" ht="12.75" customHeight="1">
      <c r="A79" s="83" t="s">
        <v>234</v>
      </c>
      <c r="B79" s="52"/>
      <c r="C79" s="52"/>
      <c r="D79" s="52"/>
      <c r="E79" s="52"/>
      <c r="F79" s="52"/>
      <c r="G79" s="52"/>
      <c r="H79" s="52"/>
      <c r="I79" s="52"/>
      <c r="J79" s="52"/>
      <c r="K79" s="52"/>
      <c r="L79" s="52"/>
      <c r="M79" s="52"/>
      <c r="N79" s="52"/>
      <c r="O79" s="52"/>
      <c r="P79" s="52"/>
      <c r="Q79" s="52"/>
      <c r="R79" s="52"/>
      <c r="S79" s="387">
        <v>0.92300000000000004</v>
      </c>
      <c r="T79" s="387">
        <v>1.111</v>
      </c>
      <c r="U79" s="387">
        <v>1.204</v>
      </c>
      <c r="V79" s="387">
        <v>1.36</v>
      </c>
      <c r="W79" s="387">
        <v>1.2190000000000001</v>
      </c>
      <c r="X79" s="387">
        <v>1.3</v>
      </c>
      <c r="Y79" s="387">
        <v>1.238</v>
      </c>
      <c r="Z79" s="387">
        <v>1.2370000000000001</v>
      </c>
      <c r="AA79" s="387">
        <v>1.359</v>
      </c>
      <c r="AB79" s="387">
        <v>1.2949999999999999</v>
      </c>
      <c r="AC79" s="387">
        <v>1.2709999999999999</v>
      </c>
      <c r="AD79" s="387">
        <v>3.5009999999999999</v>
      </c>
      <c r="AE79" s="387">
        <v>6.1441364426747933</v>
      </c>
      <c r="AF79" s="387">
        <v>7.7880000000000003</v>
      </c>
      <c r="AG79" s="387">
        <v>8.1999999999999993</v>
      </c>
      <c r="AH79" s="387">
        <v>8.3229999999999986</v>
      </c>
      <c r="AI79" s="387">
        <v>8.3562919999999981</v>
      </c>
      <c r="AJ79" s="387">
        <v>8.39</v>
      </c>
      <c r="AK79" s="387">
        <v>8.4707813817697755</v>
      </c>
      <c r="AL79" s="805">
        <v>8.01</v>
      </c>
      <c r="AM79" s="970">
        <v>8.0299999999999994</v>
      </c>
      <c r="AO79" s="655" t="s">
        <v>1100</v>
      </c>
    </row>
    <row r="80" spans="1:41" ht="12.75" customHeight="1">
      <c r="A80" s="83" t="s">
        <v>701</v>
      </c>
      <c r="B80" s="52"/>
      <c r="C80" s="52"/>
      <c r="D80" s="52"/>
      <c r="E80" s="52"/>
      <c r="F80" s="52"/>
      <c r="G80" s="52"/>
      <c r="H80" s="52"/>
      <c r="I80" s="52"/>
      <c r="J80" s="52"/>
      <c r="K80" s="52"/>
      <c r="L80" s="52"/>
      <c r="M80" s="52"/>
      <c r="N80" s="52"/>
      <c r="O80" s="52"/>
      <c r="P80" s="52"/>
      <c r="Q80" s="52"/>
      <c r="R80" s="52"/>
      <c r="S80" s="387">
        <v>0</v>
      </c>
      <c r="T80" s="387">
        <v>0</v>
      </c>
      <c r="U80" s="387">
        <v>0</v>
      </c>
      <c r="V80" s="387">
        <v>0</v>
      </c>
      <c r="W80" s="387">
        <v>0</v>
      </c>
      <c r="X80" s="387">
        <v>0</v>
      </c>
      <c r="Y80" s="387">
        <v>0</v>
      </c>
      <c r="Z80" s="387">
        <v>0</v>
      </c>
      <c r="AA80" s="387">
        <v>0</v>
      </c>
      <c r="AB80" s="387">
        <v>0</v>
      </c>
      <c r="AC80" s="387">
        <v>0</v>
      </c>
      <c r="AD80" s="387">
        <v>0</v>
      </c>
      <c r="AE80" s="387">
        <v>6.0145953753816581</v>
      </c>
      <c r="AF80" s="387">
        <v>6.53</v>
      </c>
      <c r="AG80" s="387">
        <v>6.5</v>
      </c>
      <c r="AH80" s="387">
        <v>6.5974999999999993</v>
      </c>
      <c r="AI80" s="387">
        <v>6.6238899999999994</v>
      </c>
      <c r="AJ80" s="387">
        <v>6.65</v>
      </c>
      <c r="AK80" s="387">
        <v>6.7140281512239586</v>
      </c>
      <c r="AL80" s="805">
        <v>6.03</v>
      </c>
      <c r="AM80" s="970">
        <v>6.05</v>
      </c>
      <c r="AO80" s="655" t="s">
        <v>1100</v>
      </c>
    </row>
    <row r="81" spans="1:41" ht="12.75" customHeight="1">
      <c r="A81" s="83" t="s">
        <v>1324</v>
      </c>
      <c r="B81" s="52"/>
      <c r="C81" s="52"/>
      <c r="D81" s="52"/>
      <c r="E81" s="52"/>
      <c r="F81" s="52"/>
      <c r="G81" s="52"/>
      <c r="H81" s="52"/>
      <c r="I81" s="52"/>
      <c r="J81" s="52"/>
      <c r="K81" s="52"/>
      <c r="L81" s="52"/>
      <c r="M81" s="52"/>
      <c r="N81" s="52"/>
      <c r="O81" s="52"/>
      <c r="P81" s="52"/>
      <c r="Q81" s="52"/>
      <c r="R81" s="52"/>
      <c r="S81" s="387">
        <v>0.92100000000000004</v>
      </c>
      <c r="T81" s="387">
        <v>1.109</v>
      </c>
      <c r="U81" s="387">
        <v>1.2</v>
      </c>
      <c r="V81" s="387">
        <v>1.36</v>
      </c>
      <c r="W81" s="387">
        <v>1.216</v>
      </c>
      <c r="X81" s="387">
        <v>1.2969999999999999</v>
      </c>
      <c r="Y81" s="387">
        <v>1.2350000000000001</v>
      </c>
      <c r="Z81" s="387">
        <v>1.234</v>
      </c>
      <c r="AA81" s="387">
        <v>1.355</v>
      </c>
      <c r="AB81" s="387">
        <v>1.292</v>
      </c>
      <c r="AC81" s="387">
        <v>1.268</v>
      </c>
      <c r="AD81" s="387">
        <v>1.347</v>
      </c>
      <c r="AE81" s="387">
        <v>0</v>
      </c>
      <c r="AF81" s="387">
        <v>0</v>
      </c>
      <c r="AG81" s="387">
        <v>0</v>
      </c>
      <c r="AH81" s="387">
        <v>0</v>
      </c>
      <c r="AI81" s="387">
        <v>0</v>
      </c>
      <c r="AJ81" s="387">
        <v>0</v>
      </c>
      <c r="AK81" s="387">
        <v>0</v>
      </c>
      <c r="AL81" s="805">
        <v>0</v>
      </c>
      <c r="AM81" s="970">
        <v>0</v>
      </c>
      <c r="AO81" s="655" t="s">
        <v>1100</v>
      </c>
    </row>
    <row r="82" spans="1:41" ht="12.75" customHeight="1">
      <c r="A82" s="83" t="s">
        <v>362</v>
      </c>
      <c r="B82" s="52"/>
      <c r="C82" s="52"/>
      <c r="D82" s="52"/>
      <c r="E82" s="52"/>
      <c r="F82" s="52"/>
      <c r="G82" s="52"/>
      <c r="H82" s="52"/>
      <c r="I82" s="52"/>
      <c r="J82" s="52"/>
      <c r="K82" s="52"/>
      <c r="L82" s="52"/>
      <c r="M82" s="52"/>
      <c r="N82" s="52"/>
      <c r="O82" s="52"/>
      <c r="P82" s="52"/>
      <c r="Q82" s="52"/>
      <c r="R82" s="52"/>
      <c r="S82" s="387">
        <v>0</v>
      </c>
      <c r="T82" s="387">
        <v>0</v>
      </c>
      <c r="U82" s="387">
        <v>0</v>
      </c>
      <c r="V82" s="387">
        <v>0</v>
      </c>
      <c r="W82" s="387">
        <v>0</v>
      </c>
      <c r="X82" s="387">
        <v>0</v>
      </c>
      <c r="Y82" s="387">
        <v>0</v>
      </c>
      <c r="Z82" s="387">
        <v>0</v>
      </c>
      <c r="AA82" s="387">
        <v>0</v>
      </c>
      <c r="AB82" s="387">
        <v>0</v>
      </c>
      <c r="AC82" s="387">
        <v>0</v>
      </c>
      <c r="AD82" s="387">
        <v>0</v>
      </c>
      <c r="AE82" s="387">
        <v>0</v>
      </c>
      <c r="AF82" s="387">
        <v>0</v>
      </c>
      <c r="AG82" s="387">
        <v>0</v>
      </c>
      <c r="AH82" s="387">
        <v>0</v>
      </c>
      <c r="AI82" s="387">
        <v>0</v>
      </c>
      <c r="AJ82" s="387">
        <v>0</v>
      </c>
      <c r="AK82" s="387">
        <v>0</v>
      </c>
      <c r="AL82" s="805">
        <v>0</v>
      </c>
      <c r="AM82" s="970">
        <v>0</v>
      </c>
      <c r="AO82" s="655" t="s">
        <v>1100</v>
      </c>
    </row>
    <row r="83" spans="1:41" ht="12.75" customHeight="1">
      <c r="A83" s="83" t="s">
        <v>669</v>
      </c>
      <c r="B83" s="52"/>
      <c r="C83" s="52"/>
      <c r="D83" s="52"/>
      <c r="E83" s="52"/>
      <c r="F83" s="52"/>
      <c r="G83" s="52"/>
      <c r="H83" s="52"/>
      <c r="I83" s="52"/>
      <c r="J83" s="52"/>
      <c r="K83" s="52"/>
      <c r="L83" s="52"/>
      <c r="M83" s="52"/>
      <c r="N83" s="52"/>
      <c r="O83" s="52"/>
      <c r="P83" s="52"/>
      <c r="Q83" s="52"/>
      <c r="R83" s="52"/>
      <c r="S83" s="387">
        <v>0</v>
      </c>
      <c r="T83" s="387">
        <v>0</v>
      </c>
      <c r="U83" s="387">
        <v>0</v>
      </c>
      <c r="V83" s="387">
        <v>0</v>
      </c>
      <c r="W83" s="387">
        <v>0</v>
      </c>
      <c r="X83" s="387">
        <v>0</v>
      </c>
      <c r="Y83" s="387">
        <v>0</v>
      </c>
      <c r="Z83" s="387">
        <v>0</v>
      </c>
      <c r="AA83" s="387">
        <v>0</v>
      </c>
      <c r="AB83" s="387">
        <v>0</v>
      </c>
      <c r="AC83" s="387">
        <v>0</v>
      </c>
      <c r="AD83" s="387">
        <v>4.7759999999999998</v>
      </c>
      <c r="AE83" s="387">
        <v>0</v>
      </c>
      <c r="AF83" s="387">
        <v>0</v>
      </c>
      <c r="AG83" s="387">
        <v>0</v>
      </c>
      <c r="AH83" s="387">
        <v>0</v>
      </c>
      <c r="AI83" s="387">
        <v>0</v>
      </c>
      <c r="AJ83" s="387">
        <v>0</v>
      </c>
      <c r="AK83" s="387">
        <v>0</v>
      </c>
      <c r="AL83" s="805">
        <v>0</v>
      </c>
      <c r="AM83" s="970">
        <v>0</v>
      </c>
      <c r="AO83" s="655" t="s">
        <v>1100</v>
      </c>
    </row>
    <row r="84" spans="1:41" ht="12.75" customHeight="1">
      <c r="A84" s="83" t="s">
        <v>397</v>
      </c>
      <c r="B84" s="52"/>
      <c r="C84" s="52"/>
      <c r="D84" s="52"/>
      <c r="E84" s="52"/>
      <c r="F84" s="52"/>
      <c r="G84" s="52"/>
      <c r="H84" s="52"/>
      <c r="I84" s="52"/>
      <c r="J84" s="52"/>
      <c r="K84" s="52"/>
      <c r="L84" s="52"/>
      <c r="M84" s="52"/>
      <c r="N84" s="52"/>
      <c r="O84" s="52"/>
      <c r="P84" s="52"/>
      <c r="Q84" s="52"/>
      <c r="R84" s="52"/>
      <c r="S84" s="387">
        <v>88.596999999999994</v>
      </c>
      <c r="T84" s="387">
        <v>47.339999999999996</v>
      </c>
      <c r="U84" s="387">
        <v>51.263000000000005</v>
      </c>
      <c r="V84" s="387">
        <v>57.877000000000002</v>
      </c>
      <c r="W84" s="387">
        <v>71.906000000000006</v>
      </c>
      <c r="X84" s="387">
        <v>69.467999999999989</v>
      </c>
      <c r="Y84" s="387">
        <v>60.122999999999998</v>
      </c>
      <c r="Z84" s="387">
        <v>79.197999999999993</v>
      </c>
      <c r="AA84" s="387">
        <v>76.86399999999999</v>
      </c>
      <c r="AB84" s="387">
        <v>57.887</v>
      </c>
      <c r="AC84" s="387">
        <v>66.266000000000005</v>
      </c>
      <c r="AD84" s="387">
        <v>80.453999999999994</v>
      </c>
      <c r="AE84" s="387">
        <v>75.027620790605994</v>
      </c>
      <c r="AF84" s="387">
        <v>72.3</v>
      </c>
      <c r="AG84" s="387">
        <v>72</v>
      </c>
      <c r="AH84" s="387">
        <v>72</v>
      </c>
      <c r="AI84" s="387">
        <v>72.275000000000006</v>
      </c>
      <c r="AJ84" s="387">
        <v>72.563000000000002</v>
      </c>
      <c r="AK84" s="387">
        <v>73.261657855227682</v>
      </c>
      <c r="AL84" s="805">
        <v>73.260000000000005</v>
      </c>
      <c r="AM84" s="970">
        <v>73.44</v>
      </c>
      <c r="AO84" s="655" t="s">
        <v>1100</v>
      </c>
    </row>
    <row r="85" spans="1:41" ht="12.75" customHeight="1">
      <c r="A85" s="83" t="s">
        <v>544</v>
      </c>
      <c r="B85" s="52"/>
      <c r="C85" s="52"/>
      <c r="D85" s="52"/>
      <c r="E85" s="52"/>
      <c r="F85" s="52"/>
      <c r="G85" s="52"/>
      <c r="H85" s="52"/>
      <c r="I85" s="52"/>
      <c r="J85" s="52"/>
      <c r="K85" s="52"/>
      <c r="L85" s="52"/>
      <c r="M85" s="52"/>
      <c r="N85" s="52"/>
      <c r="O85" s="52"/>
      <c r="P85" s="52"/>
      <c r="Q85" s="52"/>
      <c r="R85" s="52"/>
      <c r="S85" s="387">
        <v>2.4569999999999999</v>
      </c>
      <c r="T85" s="387">
        <v>2.9590000000000001</v>
      </c>
      <c r="U85" s="387">
        <v>3.2040000000000002</v>
      </c>
      <c r="V85" s="387">
        <v>3.6179999999999999</v>
      </c>
      <c r="W85" s="387">
        <v>3.2450000000000001</v>
      </c>
      <c r="X85" s="387">
        <v>3.4609999999999999</v>
      </c>
      <c r="Y85" s="387">
        <v>3.2949999999999999</v>
      </c>
      <c r="Z85" s="387">
        <v>3.294</v>
      </c>
      <c r="AA85" s="387">
        <v>3.617</v>
      </c>
      <c r="AB85" s="387">
        <v>3.4470000000000001</v>
      </c>
      <c r="AC85" s="387">
        <v>3.3849999999999998</v>
      </c>
      <c r="AD85" s="387">
        <v>3.4660000000000002</v>
      </c>
      <c r="AE85" s="387">
        <v>5.5085589285205518</v>
      </c>
      <c r="AF85" s="387">
        <v>6.3559999999999999</v>
      </c>
      <c r="AG85" s="387">
        <v>6.3</v>
      </c>
      <c r="AH85" s="387">
        <v>6.3</v>
      </c>
      <c r="AI85" s="387">
        <v>7.5860000000000003</v>
      </c>
      <c r="AJ85" s="387">
        <v>8.1999999999999993</v>
      </c>
      <c r="AK85" s="387">
        <v>8.2789520060205195</v>
      </c>
      <c r="AL85" s="971">
        <v>8.2799999999999994</v>
      </c>
      <c r="AM85" s="970">
        <v>8.3000000000000007</v>
      </c>
      <c r="AO85" s="655" t="s">
        <v>1100</v>
      </c>
    </row>
    <row r="86" spans="1:41" ht="12.75" customHeight="1">
      <c r="A86" s="154" t="s">
        <v>3832</v>
      </c>
      <c r="B86" s="155" t="s">
        <v>1100</v>
      </c>
      <c r="C86" s="155" t="s">
        <v>1100</v>
      </c>
      <c r="D86" s="155" t="s">
        <v>1100</v>
      </c>
      <c r="E86" s="155" t="s">
        <v>1100</v>
      </c>
      <c r="F86" s="155" t="s">
        <v>1100</v>
      </c>
      <c r="G86" s="155" t="s">
        <v>1100</v>
      </c>
      <c r="H86" s="155" t="s">
        <v>1100</v>
      </c>
      <c r="I86" s="155" t="s">
        <v>1100</v>
      </c>
      <c r="J86" s="155" t="s">
        <v>1100</v>
      </c>
      <c r="K86" s="155" t="s">
        <v>1100</v>
      </c>
      <c r="L86" s="155" t="s">
        <v>1100</v>
      </c>
      <c r="M86" s="155" t="s">
        <v>1100</v>
      </c>
      <c r="N86" s="155" t="s">
        <v>1100</v>
      </c>
      <c r="O86" s="155" t="s">
        <v>1100</v>
      </c>
      <c r="P86" s="155" t="s">
        <v>1100</v>
      </c>
      <c r="Q86" s="155" t="s">
        <v>1100</v>
      </c>
      <c r="R86" s="155" t="s">
        <v>1100</v>
      </c>
      <c r="S86" s="176">
        <f>SUM(S72:S85)</f>
        <v>166.85499999999999</v>
      </c>
      <c r="T86" s="176">
        <f t="shared" ref="T86:AL86" si="18">SUM(T72:T85)</f>
        <v>141.578</v>
      </c>
      <c r="U86" s="176">
        <f t="shared" si="18"/>
        <v>185.714</v>
      </c>
      <c r="V86" s="176">
        <f t="shared" si="18"/>
        <v>174.715</v>
      </c>
      <c r="W86" s="176">
        <f t="shared" si="18"/>
        <v>175.24</v>
      </c>
      <c r="X86" s="176">
        <f t="shared" si="18"/>
        <v>179.69200000000001</v>
      </c>
      <c r="Y86" s="176">
        <f t="shared" si="18"/>
        <v>165.07599999999999</v>
      </c>
      <c r="Z86" s="176">
        <f t="shared" si="18"/>
        <v>229.10499999999999</v>
      </c>
      <c r="AA86" s="176">
        <f t="shared" si="18"/>
        <v>211.136</v>
      </c>
      <c r="AB86" s="176">
        <f t="shared" si="18"/>
        <v>253.85300000000001</v>
      </c>
      <c r="AC86" s="176">
        <f t="shared" si="18"/>
        <v>192.61600000000001</v>
      </c>
      <c r="AD86" s="176">
        <f t="shared" si="18"/>
        <v>212.17500000000001</v>
      </c>
      <c r="AE86" s="176">
        <f t="shared" si="18"/>
        <v>219.15565470858948</v>
      </c>
      <c r="AF86" s="176">
        <f t="shared" si="18"/>
        <v>242.53300000000002</v>
      </c>
      <c r="AG86" s="176">
        <f t="shared" si="18"/>
        <v>257.81799999999998</v>
      </c>
      <c r="AH86" s="176">
        <f t="shared" si="18"/>
        <v>260.51076999999998</v>
      </c>
      <c r="AI86" s="176">
        <f t="shared" si="18"/>
        <v>262.80061307999995</v>
      </c>
      <c r="AJ86" s="176">
        <f t="shared" si="18"/>
        <v>264.42900000000003</v>
      </c>
      <c r="AK86" s="176">
        <f t="shared" si="18"/>
        <v>266.97500000000002</v>
      </c>
      <c r="AL86" s="373">
        <f t="shared" si="18"/>
        <v>264.69</v>
      </c>
      <c r="AM86" s="448">
        <f>SUM(AM72:AM85)</f>
        <v>265.36</v>
      </c>
      <c r="AO86" s="656" t="s">
        <v>1100</v>
      </c>
    </row>
    <row r="88" spans="1:41" ht="12.75" customHeight="1">
      <c r="A88" s="74" t="s">
        <v>2172</v>
      </c>
      <c r="B88" s="626" t="s">
        <v>166</v>
      </c>
      <c r="C88" s="626" t="s">
        <v>163</v>
      </c>
      <c r="D88" s="626" t="s">
        <v>160</v>
      </c>
      <c r="E88" s="626" t="s">
        <v>157</v>
      </c>
      <c r="F88" s="626" t="s">
        <v>153</v>
      </c>
      <c r="G88" s="626" t="s">
        <v>149</v>
      </c>
      <c r="H88" s="626" t="s">
        <v>146</v>
      </c>
      <c r="I88" s="626" t="s">
        <v>142</v>
      </c>
      <c r="J88" s="626" t="s">
        <v>139</v>
      </c>
      <c r="K88" s="626" t="s">
        <v>136</v>
      </c>
      <c r="L88" s="626" t="s">
        <v>132</v>
      </c>
      <c r="M88" s="626" t="s">
        <v>208</v>
      </c>
      <c r="N88" s="626" t="s">
        <v>126</v>
      </c>
      <c r="O88" s="626" t="s">
        <v>123</v>
      </c>
      <c r="P88" s="626" t="s">
        <v>120</v>
      </c>
      <c r="Q88" s="626" t="s">
        <v>117</v>
      </c>
      <c r="R88" s="626" t="s">
        <v>114</v>
      </c>
      <c r="S88" s="626" t="s">
        <v>111</v>
      </c>
      <c r="T88" s="626" t="s">
        <v>108</v>
      </c>
      <c r="U88" s="626" t="s">
        <v>104</v>
      </c>
      <c r="V88" s="626" t="s">
        <v>101</v>
      </c>
      <c r="W88" s="626" t="s">
        <v>98</v>
      </c>
      <c r="X88" s="626" t="s">
        <v>95</v>
      </c>
      <c r="Y88" s="626" t="s">
        <v>91</v>
      </c>
      <c r="Z88" s="626" t="s">
        <v>87</v>
      </c>
      <c r="AA88" s="626" t="s">
        <v>83</v>
      </c>
      <c r="AB88" s="626" t="s">
        <v>79</v>
      </c>
      <c r="AC88" s="626" t="s">
        <v>75</v>
      </c>
      <c r="AD88" s="626" t="s">
        <v>72</v>
      </c>
      <c r="AE88" s="626" t="s">
        <v>69</v>
      </c>
      <c r="AF88" s="626" t="s">
        <v>66</v>
      </c>
      <c r="AG88" s="626" t="s">
        <v>62</v>
      </c>
      <c r="AH88" s="626" t="s">
        <v>59</v>
      </c>
      <c r="AI88" s="626" t="s">
        <v>55</v>
      </c>
      <c r="AJ88" s="626" t="s">
        <v>52</v>
      </c>
      <c r="AK88" s="626" t="s">
        <v>49</v>
      </c>
      <c r="AL88" s="587" t="s">
        <v>46</v>
      </c>
      <c r="AM88" s="587" t="s">
        <v>42</v>
      </c>
      <c r="AO88" s="640" t="s">
        <v>227</v>
      </c>
    </row>
    <row r="89" spans="1:41" ht="12.75" customHeight="1">
      <c r="A89" s="83" t="s">
        <v>393</v>
      </c>
      <c r="B89" s="52"/>
      <c r="C89" s="52"/>
      <c r="D89" s="52"/>
      <c r="E89" s="52"/>
      <c r="F89" s="52"/>
      <c r="G89" s="52"/>
      <c r="H89" s="52"/>
      <c r="I89" s="52"/>
      <c r="J89" s="52"/>
      <c r="K89" s="52"/>
      <c r="L89" s="52"/>
      <c r="M89" s="52"/>
      <c r="N89" s="52"/>
      <c r="O89" s="52"/>
      <c r="P89" s="52"/>
      <c r="Q89" s="52"/>
      <c r="R89" s="52"/>
      <c r="S89" s="539">
        <v>45.281680838361858</v>
      </c>
      <c r="T89" s="539">
        <v>45.683849679643423</v>
      </c>
      <c r="U89" s="539">
        <v>48.588948583420766</v>
      </c>
      <c r="V89" s="539">
        <v>49.50074296618444</v>
      </c>
      <c r="W89" s="539">
        <v>57.927743094307708</v>
      </c>
      <c r="X89" s="539">
        <v>64.076885072375632</v>
      </c>
      <c r="Y89" s="539">
        <v>82.83373727463011</v>
      </c>
      <c r="Z89" s="539">
        <v>102.72277508198661</v>
      </c>
      <c r="AA89" s="539">
        <v>107.36835657510174</v>
      </c>
      <c r="AB89" s="539">
        <v>99.619872500165613</v>
      </c>
      <c r="AC89" s="539">
        <v>0</v>
      </c>
      <c r="AD89" s="539">
        <v>0</v>
      </c>
      <c r="AE89" s="539">
        <v>0</v>
      </c>
      <c r="AF89" s="539">
        <v>0</v>
      </c>
      <c r="AG89" s="539">
        <v>0</v>
      </c>
      <c r="AH89" s="539">
        <v>0</v>
      </c>
      <c r="AI89" s="539">
        <v>0</v>
      </c>
      <c r="AJ89" s="539">
        <v>0</v>
      </c>
      <c r="AK89" s="972">
        <v>0</v>
      </c>
      <c r="AL89" s="973">
        <v>0</v>
      </c>
      <c r="AM89" s="974">
        <v>0</v>
      </c>
      <c r="AO89" s="1054" t="s">
        <v>3833</v>
      </c>
    </row>
    <row r="90" spans="1:41" ht="12.75" customHeight="1">
      <c r="A90" s="83" t="s">
        <v>406</v>
      </c>
      <c r="B90" s="52"/>
      <c r="C90" s="52"/>
      <c r="D90" s="52"/>
      <c r="E90" s="52"/>
      <c r="F90" s="52"/>
      <c r="G90" s="52"/>
      <c r="H90" s="52"/>
      <c r="I90" s="52"/>
      <c r="J90" s="52"/>
      <c r="K90" s="52"/>
      <c r="L90" s="52"/>
      <c r="M90" s="52"/>
      <c r="N90" s="52"/>
      <c r="O90" s="52"/>
      <c r="P90" s="52"/>
      <c r="Q90" s="52"/>
      <c r="R90" s="52"/>
      <c r="S90" s="539">
        <v>13.55745177674299</v>
      </c>
      <c r="T90" s="539">
        <v>13.678099322814928</v>
      </c>
      <c r="U90" s="539">
        <v>15.945754372158097</v>
      </c>
      <c r="V90" s="539">
        <v>16.246479453270616</v>
      </c>
      <c r="W90" s="539">
        <v>18.986864799618886</v>
      </c>
      <c r="X90" s="539">
        <v>21.58659298212444</v>
      </c>
      <c r="Y90" s="539">
        <v>14.656595870366962</v>
      </c>
      <c r="Z90" s="539">
        <v>10.314592767433316</v>
      </c>
      <c r="AA90" s="539">
        <v>1.4131725345870998</v>
      </c>
      <c r="AB90" s="539">
        <v>0.37140556519753704</v>
      </c>
      <c r="AC90" s="539">
        <v>94.65</v>
      </c>
      <c r="AD90" s="539">
        <v>87.25</v>
      </c>
      <c r="AE90" s="539">
        <v>73.260000000000005</v>
      </c>
      <c r="AF90" s="539">
        <v>84.31</v>
      </c>
      <c r="AG90" s="539">
        <v>81.87</v>
      </c>
      <c r="AH90" s="539">
        <v>77.94</v>
      </c>
      <c r="AI90" s="539">
        <v>84.94</v>
      </c>
      <c r="AJ90" s="539">
        <v>88.71</v>
      </c>
      <c r="AK90" s="972">
        <v>86.008726463682279</v>
      </c>
      <c r="AL90" s="975">
        <v>108.39358759588376</v>
      </c>
      <c r="AM90" s="974">
        <v>108.02879320162951</v>
      </c>
      <c r="AO90" s="1052"/>
    </row>
    <row r="91" spans="1:41" ht="12.75" customHeight="1">
      <c r="A91" s="83" t="s">
        <v>734</v>
      </c>
      <c r="B91" s="52"/>
      <c r="C91" s="52"/>
      <c r="D91" s="52"/>
      <c r="E91" s="52"/>
      <c r="F91" s="52"/>
      <c r="G91" s="52"/>
      <c r="H91" s="52"/>
      <c r="I91" s="52"/>
      <c r="J91" s="52"/>
      <c r="K91" s="52"/>
      <c r="L91" s="52"/>
      <c r="M91" s="52"/>
      <c r="N91" s="52"/>
      <c r="O91" s="52"/>
      <c r="P91" s="52"/>
      <c r="Q91" s="52"/>
      <c r="R91" s="52"/>
      <c r="S91" s="539">
        <v>0</v>
      </c>
      <c r="T91" s="539">
        <v>0</v>
      </c>
      <c r="U91" s="539">
        <v>0</v>
      </c>
      <c r="V91" s="539">
        <v>0</v>
      </c>
      <c r="W91" s="539">
        <v>0</v>
      </c>
      <c r="X91" s="539">
        <v>0</v>
      </c>
      <c r="Y91" s="539">
        <v>0</v>
      </c>
      <c r="Z91" s="539">
        <v>0</v>
      </c>
      <c r="AA91" s="539">
        <v>0</v>
      </c>
      <c r="AB91" s="539">
        <v>0</v>
      </c>
      <c r="AC91" s="539">
        <v>0</v>
      </c>
      <c r="AD91" s="539">
        <v>0</v>
      </c>
      <c r="AE91" s="539">
        <v>0</v>
      </c>
      <c r="AF91" s="539">
        <v>0</v>
      </c>
      <c r="AG91" s="539">
        <v>0</v>
      </c>
      <c r="AH91" s="539">
        <v>0</v>
      </c>
      <c r="AI91" s="539">
        <v>0</v>
      </c>
      <c r="AJ91" s="539">
        <v>0</v>
      </c>
      <c r="AK91" s="972">
        <v>0</v>
      </c>
      <c r="AL91" s="975">
        <v>0</v>
      </c>
      <c r="AM91" s="974">
        <v>0</v>
      </c>
      <c r="AO91" s="1052"/>
    </row>
    <row r="92" spans="1:41" ht="12.75" customHeight="1">
      <c r="A92" s="83" t="s">
        <v>510</v>
      </c>
      <c r="B92" s="52"/>
      <c r="C92" s="52"/>
      <c r="D92" s="52"/>
      <c r="E92" s="52"/>
      <c r="F92" s="52"/>
      <c r="G92" s="52"/>
      <c r="H92" s="52"/>
      <c r="I92" s="52"/>
      <c r="J92" s="52"/>
      <c r="K92" s="52"/>
      <c r="L92" s="52"/>
      <c r="M92" s="52"/>
      <c r="N92" s="52"/>
      <c r="O92" s="52"/>
      <c r="P92" s="52"/>
      <c r="Q92" s="52"/>
      <c r="R92" s="52"/>
      <c r="S92" s="539">
        <v>41.234214421513798</v>
      </c>
      <c r="T92" s="539">
        <v>41.60547134676014</v>
      </c>
      <c r="U92" s="539">
        <v>34.858160720531657</v>
      </c>
      <c r="V92" s="539">
        <v>35.507286700097637</v>
      </c>
      <c r="W92" s="539">
        <v>36.242781421225395</v>
      </c>
      <c r="X92" s="539">
        <v>37.899617428566188</v>
      </c>
      <c r="Y92" s="539">
        <v>47.118519204734703</v>
      </c>
      <c r="Z92" s="539">
        <v>59.79364659364559</v>
      </c>
      <c r="AA92" s="539">
        <v>76.271456017551259</v>
      </c>
      <c r="AB92" s="539">
        <v>77.781994794133354</v>
      </c>
      <c r="AC92" s="539">
        <v>72.90450465970676</v>
      </c>
      <c r="AD92" s="539">
        <v>59.106530495641728</v>
      </c>
      <c r="AE92" s="539">
        <v>34.81581966290522</v>
      </c>
      <c r="AF92" s="539">
        <v>33.31659721495798</v>
      </c>
      <c r="AG92" s="539">
        <v>36.304899187169731</v>
      </c>
      <c r="AH92" s="539">
        <v>32.195999999999998</v>
      </c>
      <c r="AI92" s="539">
        <v>39.036000000000001</v>
      </c>
      <c r="AJ92" s="539">
        <v>36.188000000000002</v>
      </c>
      <c r="AK92" s="972">
        <v>38.817641019924935</v>
      </c>
      <c r="AL92" s="975">
        <v>50.463768846119933</v>
      </c>
      <c r="AM92" s="974">
        <v>54.195957597792273</v>
      </c>
      <c r="AO92" s="1052"/>
    </row>
    <row r="93" spans="1:41" ht="12.75" customHeight="1">
      <c r="A93" s="83" t="s">
        <v>409</v>
      </c>
      <c r="B93" s="52"/>
      <c r="C93" s="52"/>
      <c r="D93" s="52"/>
      <c r="E93" s="52"/>
      <c r="F93" s="52"/>
      <c r="G93" s="52"/>
      <c r="H93" s="52"/>
      <c r="I93" s="52"/>
      <c r="J93" s="52"/>
      <c r="K93" s="52"/>
      <c r="L93" s="52"/>
      <c r="M93" s="52"/>
      <c r="N93" s="52"/>
      <c r="O93" s="52"/>
      <c r="P93" s="52"/>
      <c r="Q93" s="52"/>
      <c r="R93" s="52"/>
      <c r="S93" s="539">
        <v>25.221230319896399</v>
      </c>
      <c r="T93" s="539">
        <v>25.442266798994215</v>
      </c>
      <c r="U93" s="539">
        <v>28.173171301154245</v>
      </c>
      <c r="V93" s="539">
        <v>28.703375898642058</v>
      </c>
      <c r="W93" s="539">
        <v>31.630226104458885</v>
      </c>
      <c r="X93" s="539">
        <v>36.238041345612523</v>
      </c>
      <c r="Y93" s="539">
        <v>45.0272563668576</v>
      </c>
      <c r="Z93" s="539">
        <v>47.107015350804851</v>
      </c>
      <c r="AA93" s="539">
        <v>41.05496661500645</v>
      </c>
      <c r="AB93" s="539">
        <v>29.402163491274308</v>
      </c>
      <c r="AC93" s="539">
        <v>34.419705061223475</v>
      </c>
      <c r="AD93" s="539">
        <v>31.503834501373102</v>
      </c>
      <c r="AE93" s="539">
        <v>34.533453429949709</v>
      </c>
      <c r="AF93" s="539">
        <v>30.575795528038849</v>
      </c>
      <c r="AG93" s="539">
        <v>28.240070649446444</v>
      </c>
      <c r="AH93" s="539">
        <v>27.946000000000002</v>
      </c>
      <c r="AI93" s="539">
        <v>34.460999999999999</v>
      </c>
      <c r="AJ93" s="539">
        <v>44.206000000000003</v>
      </c>
      <c r="AK93" s="972">
        <v>52.86792136195151</v>
      </c>
      <c r="AL93" s="975">
        <v>75.993260111092923</v>
      </c>
      <c r="AM93" s="974">
        <v>70.823918904317608</v>
      </c>
      <c r="AO93" s="655" t="s">
        <v>1100</v>
      </c>
    </row>
    <row r="94" spans="1:41" ht="12.75" customHeight="1">
      <c r="A94" s="83" t="s">
        <v>389</v>
      </c>
      <c r="B94" s="52"/>
      <c r="C94" s="52"/>
      <c r="D94" s="52"/>
      <c r="E94" s="52"/>
      <c r="F94" s="52"/>
      <c r="G94" s="52"/>
      <c r="H94" s="52"/>
      <c r="I94" s="52"/>
      <c r="J94" s="52"/>
      <c r="K94" s="52"/>
      <c r="L94" s="52"/>
      <c r="M94" s="52"/>
      <c r="N94" s="52"/>
      <c r="O94" s="52"/>
      <c r="P94" s="52"/>
      <c r="Q94" s="52"/>
      <c r="R94" s="52"/>
      <c r="S94" s="539">
        <v>127.6668712974954</v>
      </c>
      <c r="T94" s="539">
        <v>128.80460710290336</v>
      </c>
      <c r="U94" s="539">
        <v>121.16167479888072</v>
      </c>
      <c r="V94" s="539">
        <v>123.43597579213635</v>
      </c>
      <c r="W94" s="539">
        <v>136.53262932366874</v>
      </c>
      <c r="X94" s="539">
        <v>141.33620261650015</v>
      </c>
      <c r="Y94" s="539">
        <v>117.61972440429903</v>
      </c>
      <c r="Z94" s="539">
        <v>102.69198228770786</v>
      </c>
      <c r="AA94" s="539">
        <v>97.662777691191522</v>
      </c>
      <c r="AB94" s="539">
        <v>83.895639705706685</v>
      </c>
      <c r="AC94" s="539">
        <v>88.899921254092149</v>
      </c>
      <c r="AD94" s="539">
        <v>81.874355582626265</v>
      </c>
      <c r="AE94" s="539">
        <v>88.332254362410595</v>
      </c>
      <c r="AF94" s="539">
        <v>86.413204229337055</v>
      </c>
      <c r="AG94" s="539">
        <v>85.5908813242295</v>
      </c>
      <c r="AH94" s="539">
        <v>85.488</v>
      </c>
      <c r="AI94" s="539">
        <v>102.39700000000001</v>
      </c>
      <c r="AJ94" s="539">
        <v>100.941</v>
      </c>
      <c r="AK94" s="972">
        <v>99.672380799818825</v>
      </c>
      <c r="AL94" s="975">
        <v>111.03323088937313</v>
      </c>
      <c r="AM94" s="974">
        <v>117.89360737074189</v>
      </c>
      <c r="AO94" s="655" t="s">
        <v>3834</v>
      </c>
    </row>
    <row r="95" spans="1:41" ht="12.75" customHeight="1">
      <c r="A95" s="83" t="s">
        <v>703</v>
      </c>
      <c r="B95" s="52"/>
      <c r="C95" s="52"/>
      <c r="D95" s="52"/>
      <c r="E95" s="52"/>
      <c r="F95" s="52"/>
      <c r="G95" s="52"/>
      <c r="H95" s="52"/>
      <c r="I95" s="52"/>
      <c r="J95" s="52"/>
      <c r="K95" s="52"/>
      <c r="L95" s="52"/>
      <c r="M95" s="52"/>
      <c r="N95" s="52"/>
      <c r="O95" s="52"/>
      <c r="P95" s="52"/>
      <c r="Q95" s="52"/>
      <c r="R95" s="52"/>
      <c r="S95" s="539">
        <v>52.180061903581041</v>
      </c>
      <c r="T95" s="539">
        <v>52.64815666085687</v>
      </c>
      <c r="U95" s="539">
        <v>59.483376617698497</v>
      </c>
      <c r="V95" s="539">
        <v>60.59845160646136</v>
      </c>
      <c r="W95" s="539">
        <v>73.724505120008075</v>
      </c>
      <c r="X95" s="539">
        <v>90.785182109482705</v>
      </c>
      <c r="Y95" s="539">
        <v>102.24696965643264</v>
      </c>
      <c r="Z95" s="539">
        <v>118.09632595463353</v>
      </c>
      <c r="AA95" s="539">
        <v>109.84942659089208</v>
      </c>
      <c r="AB95" s="539">
        <v>101.29775512949293</v>
      </c>
      <c r="AC95" s="539">
        <v>76.367452408073078</v>
      </c>
      <c r="AD95" s="539">
        <v>57.01412760180564</v>
      </c>
      <c r="AE95" s="539">
        <v>52.30520411000856</v>
      </c>
      <c r="AF95" s="539">
        <v>40.606912308699769</v>
      </c>
      <c r="AG95" s="539">
        <v>35.857126834759676</v>
      </c>
      <c r="AH95" s="539">
        <v>31.611000000000001</v>
      </c>
      <c r="AI95" s="539">
        <v>30.283000000000001</v>
      </c>
      <c r="AJ95" s="539">
        <v>28.789000000000001</v>
      </c>
      <c r="AK95" s="972">
        <v>25.676025631157053</v>
      </c>
      <c r="AL95" s="975">
        <v>28.699651102742056</v>
      </c>
      <c r="AM95" s="974">
        <v>24.767946004351192</v>
      </c>
      <c r="AO95" s="655" t="s">
        <v>1100</v>
      </c>
    </row>
    <row r="96" spans="1:41" ht="12.75" customHeight="1">
      <c r="A96" s="83" t="s">
        <v>234</v>
      </c>
      <c r="B96" s="52"/>
      <c r="C96" s="52"/>
      <c r="D96" s="52"/>
      <c r="E96" s="52"/>
      <c r="F96" s="52"/>
      <c r="G96" s="52"/>
      <c r="H96" s="52"/>
      <c r="I96" s="52"/>
      <c r="J96" s="52"/>
      <c r="K96" s="52"/>
      <c r="L96" s="52"/>
      <c r="M96" s="52"/>
      <c r="N96" s="52"/>
      <c r="O96" s="52"/>
      <c r="P96" s="52"/>
      <c r="Q96" s="52"/>
      <c r="R96" s="52"/>
      <c r="S96" s="539">
        <v>21.361050266809947</v>
      </c>
      <c r="T96" s="539">
        <v>21.554279592216055</v>
      </c>
      <c r="U96" s="539">
        <v>22.951462924099332</v>
      </c>
      <c r="V96" s="539">
        <v>23.376236598029646</v>
      </c>
      <c r="W96" s="539">
        <v>26.720086573707437</v>
      </c>
      <c r="X96" s="539">
        <v>27.245281900236055</v>
      </c>
      <c r="Y96" s="539">
        <v>29.352649530127827</v>
      </c>
      <c r="Z96" s="539">
        <v>26.556301775551784</v>
      </c>
      <c r="AA96" s="539">
        <v>26.351980767330584</v>
      </c>
      <c r="AB96" s="539">
        <v>21.174175356643438</v>
      </c>
      <c r="AC96" s="539">
        <v>26.949630740027825</v>
      </c>
      <c r="AD96" s="539">
        <v>24.059048670147849</v>
      </c>
      <c r="AE96" s="539">
        <v>22.681757203063764</v>
      </c>
      <c r="AF96" s="539">
        <v>21.188168728889728</v>
      </c>
      <c r="AG96" s="539">
        <v>21.106247042438238</v>
      </c>
      <c r="AH96" s="539">
        <v>18.027999999999999</v>
      </c>
      <c r="AI96" s="539">
        <v>19.376000000000001</v>
      </c>
      <c r="AJ96" s="539">
        <v>20.667999999999999</v>
      </c>
      <c r="AK96" s="972">
        <v>21.20780445723403</v>
      </c>
      <c r="AL96" s="975">
        <v>22.087603441109419</v>
      </c>
      <c r="AM96" s="974">
        <v>22.347132711317474</v>
      </c>
      <c r="AO96" s="655" t="s">
        <v>1100</v>
      </c>
    </row>
    <row r="97" spans="1:41" ht="12.75" customHeight="1">
      <c r="A97" s="83" t="s">
        <v>701</v>
      </c>
      <c r="B97" s="52"/>
      <c r="C97" s="52"/>
      <c r="D97" s="52"/>
      <c r="E97" s="52"/>
      <c r="F97" s="52"/>
      <c r="G97" s="52"/>
      <c r="H97" s="52"/>
      <c r="I97" s="52"/>
      <c r="J97" s="52"/>
      <c r="K97" s="52"/>
      <c r="L97" s="52"/>
      <c r="M97" s="52"/>
      <c r="N97" s="52"/>
      <c r="O97" s="52"/>
      <c r="P97" s="52"/>
      <c r="Q97" s="52"/>
      <c r="R97" s="52"/>
      <c r="S97" s="539">
        <v>14.670765161325875</v>
      </c>
      <c r="T97" s="539">
        <v>14.756314331704957</v>
      </c>
      <c r="U97" s="539">
        <v>16.192307205316542</v>
      </c>
      <c r="V97" s="539">
        <v>16.49460098074022</v>
      </c>
      <c r="W97" s="539">
        <v>17.548541098691693</v>
      </c>
      <c r="X97" s="539">
        <v>19.344358590611698</v>
      </c>
      <c r="Y97" s="539">
        <v>16.385833490554958</v>
      </c>
      <c r="Z97" s="539">
        <v>17.958158960172085</v>
      </c>
      <c r="AA97" s="539">
        <v>15.736275234582811</v>
      </c>
      <c r="AB97" s="539">
        <v>14.045051343195899</v>
      </c>
      <c r="AC97" s="539">
        <v>14.584566095235184</v>
      </c>
      <c r="AD97" s="539">
        <v>12.763734704118868</v>
      </c>
      <c r="AE97" s="539">
        <v>13.910419873316263</v>
      </c>
      <c r="AF97" s="539">
        <v>15.239986903252587</v>
      </c>
      <c r="AG97" s="539">
        <v>13.220265755395401</v>
      </c>
      <c r="AH97" s="539">
        <v>10.271000000000001</v>
      </c>
      <c r="AI97" s="539">
        <v>9.6590000000000007</v>
      </c>
      <c r="AJ97" s="539">
        <v>9.1969999999999992</v>
      </c>
      <c r="AK97" s="972">
        <v>9.2007559817308433</v>
      </c>
      <c r="AL97" s="975">
        <v>12.66769992316703</v>
      </c>
      <c r="AM97" s="974">
        <v>14.192017930410151</v>
      </c>
      <c r="AO97" s="655" t="s">
        <v>1100</v>
      </c>
    </row>
    <row r="98" spans="1:41" ht="12.75" customHeight="1">
      <c r="A98" s="83" t="s">
        <v>1324</v>
      </c>
      <c r="B98" s="52"/>
      <c r="C98" s="52"/>
      <c r="D98" s="52"/>
      <c r="E98" s="52"/>
      <c r="F98" s="52"/>
      <c r="G98" s="52"/>
      <c r="H98" s="52"/>
      <c r="I98" s="52"/>
      <c r="J98" s="52"/>
      <c r="K98" s="52"/>
      <c r="L98" s="52"/>
      <c r="M98" s="52"/>
      <c r="N98" s="52"/>
      <c r="O98" s="52"/>
      <c r="P98" s="52"/>
      <c r="Q98" s="52"/>
      <c r="R98" s="52"/>
      <c r="S98" s="539">
        <v>32.1404209810891</v>
      </c>
      <c r="T98" s="539">
        <v>32.447658181104046</v>
      </c>
      <c r="U98" s="539">
        <v>34.963396685904158</v>
      </c>
      <c r="V98" s="539">
        <v>35.617895091861193</v>
      </c>
      <c r="W98" s="539">
        <v>40.260168310022046</v>
      </c>
      <c r="X98" s="539">
        <v>43.043158206263861</v>
      </c>
      <c r="Y98" s="539">
        <v>38.761359411105083</v>
      </c>
      <c r="Z98" s="539">
        <v>34.239600606069573</v>
      </c>
      <c r="AA98" s="539">
        <v>30.523542305487087</v>
      </c>
      <c r="AB98" s="539">
        <v>29.97634114249529</v>
      </c>
      <c r="AC98" s="539">
        <v>26.503426679360125</v>
      </c>
      <c r="AD98" s="539">
        <v>24.413813053096824</v>
      </c>
      <c r="AE98" s="539">
        <v>22.706272298092795</v>
      </c>
      <c r="AF98" s="539">
        <v>20.724143609657215</v>
      </c>
      <c r="AG98" s="539">
        <v>20.287946859769356</v>
      </c>
      <c r="AH98" s="539">
        <v>19.55</v>
      </c>
      <c r="AI98" s="539">
        <v>21.683</v>
      </c>
      <c r="AJ98" s="539">
        <v>23.413</v>
      </c>
      <c r="AK98" s="972">
        <v>56.408532289975994</v>
      </c>
      <c r="AL98" s="975">
        <v>70.196396407743762</v>
      </c>
      <c r="AM98" s="974">
        <v>78.479740943536726</v>
      </c>
      <c r="AO98" s="655" t="s">
        <v>1100</v>
      </c>
    </row>
    <row r="99" spans="1:41" ht="12.75" customHeight="1">
      <c r="A99" s="83" t="s">
        <v>362</v>
      </c>
      <c r="B99" s="52"/>
      <c r="C99" s="52"/>
      <c r="D99" s="52"/>
      <c r="E99" s="52"/>
      <c r="F99" s="52"/>
      <c r="G99" s="52"/>
      <c r="H99" s="52"/>
      <c r="I99" s="52"/>
      <c r="J99" s="52"/>
      <c r="K99" s="52"/>
      <c r="L99" s="52"/>
      <c r="M99" s="52"/>
      <c r="N99" s="52"/>
      <c r="O99" s="52"/>
      <c r="P99" s="52"/>
      <c r="Q99" s="52"/>
      <c r="R99" s="52"/>
      <c r="S99" s="539">
        <v>33.456627926413731</v>
      </c>
      <c r="T99" s="539">
        <v>33.774383712489168</v>
      </c>
      <c r="U99" s="539">
        <v>36.390596825813212</v>
      </c>
      <c r="V99" s="539">
        <v>37.071747736753359</v>
      </c>
      <c r="W99" s="539">
        <v>41.903825118598839</v>
      </c>
      <c r="X99" s="539">
        <v>44.800021806519517</v>
      </c>
      <c r="Y99" s="539">
        <v>40.343616765800775</v>
      </c>
      <c r="Z99" s="539">
        <v>35.637196139946568</v>
      </c>
      <c r="AA99" s="539">
        <v>31.769401175098803</v>
      </c>
      <c r="AB99" s="539">
        <v>31.199865270760405</v>
      </c>
      <c r="AC99" s="539">
        <v>27.585199196885032</v>
      </c>
      <c r="AD99" s="539">
        <v>25.410295218529349</v>
      </c>
      <c r="AE99" s="539">
        <v>50.698210540131605</v>
      </c>
      <c r="AF99" s="539">
        <v>49.228051508363983</v>
      </c>
      <c r="AG99" s="539">
        <v>49.773340416245965</v>
      </c>
      <c r="AH99" s="539">
        <v>51.067</v>
      </c>
      <c r="AI99" s="539">
        <v>58.369</v>
      </c>
      <c r="AJ99" s="539">
        <v>62.179000000000002</v>
      </c>
      <c r="AK99" s="972">
        <v>38.453538919306538</v>
      </c>
      <c r="AL99" s="975">
        <v>48.936916352827076</v>
      </c>
      <c r="AM99" s="974">
        <v>48.386005694511361</v>
      </c>
      <c r="AO99" s="655" t="s">
        <v>1100</v>
      </c>
    </row>
    <row r="100" spans="1:41" ht="12.75" customHeight="1">
      <c r="A100" s="83" t="s">
        <v>669</v>
      </c>
      <c r="B100" s="52"/>
      <c r="C100" s="52"/>
      <c r="D100" s="52"/>
      <c r="E100" s="52"/>
      <c r="F100" s="52"/>
      <c r="G100" s="52"/>
      <c r="H100" s="52"/>
      <c r="I100" s="52"/>
      <c r="J100" s="52"/>
      <c r="K100" s="52"/>
      <c r="L100" s="52"/>
      <c r="M100" s="52"/>
      <c r="N100" s="52"/>
      <c r="O100" s="52"/>
      <c r="P100" s="52"/>
      <c r="Q100" s="52"/>
      <c r="R100" s="52"/>
      <c r="S100" s="539">
        <v>0</v>
      </c>
      <c r="T100" s="539">
        <v>0</v>
      </c>
      <c r="U100" s="539">
        <v>0</v>
      </c>
      <c r="V100" s="539">
        <v>0</v>
      </c>
      <c r="W100" s="539">
        <v>0</v>
      </c>
      <c r="X100" s="539">
        <v>0</v>
      </c>
      <c r="Y100" s="539">
        <v>0</v>
      </c>
      <c r="Z100" s="539">
        <v>0</v>
      </c>
      <c r="AA100" s="539">
        <v>0</v>
      </c>
      <c r="AB100" s="539">
        <v>0</v>
      </c>
      <c r="AC100" s="539">
        <v>0</v>
      </c>
      <c r="AD100" s="539">
        <v>0</v>
      </c>
      <c r="AE100" s="539">
        <v>0</v>
      </c>
      <c r="AF100" s="539">
        <v>0</v>
      </c>
      <c r="AG100" s="539">
        <v>0</v>
      </c>
      <c r="AH100" s="539">
        <v>0</v>
      </c>
      <c r="AI100" s="539">
        <v>0</v>
      </c>
      <c r="AJ100" s="539">
        <v>0</v>
      </c>
      <c r="AK100" s="972">
        <v>0</v>
      </c>
      <c r="AL100" s="975">
        <v>0</v>
      </c>
      <c r="AM100" s="974">
        <v>0</v>
      </c>
      <c r="AO100" s="655" t="s">
        <v>1100</v>
      </c>
    </row>
    <row r="101" spans="1:41" ht="12.75" customHeight="1">
      <c r="A101" s="83" t="s">
        <v>397</v>
      </c>
      <c r="B101" s="52"/>
      <c r="C101" s="52"/>
      <c r="D101" s="52"/>
      <c r="E101" s="52"/>
      <c r="F101" s="52"/>
      <c r="G101" s="52"/>
      <c r="H101" s="52"/>
      <c r="I101" s="52"/>
      <c r="J101" s="52"/>
      <c r="K101" s="52"/>
      <c r="L101" s="52"/>
      <c r="M101" s="52"/>
      <c r="N101" s="52"/>
      <c r="O101" s="52"/>
      <c r="P101" s="52"/>
      <c r="Q101" s="52"/>
      <c r="R101" s="52"/>
      <c r="S101" s="539">
        <v>154.59448848721976</v>
      </c>
      <c r="T101" s="539">
        <v>155.97041462242814</v>
      </c>
      <c r="U101" s="539">
        <v>149.67561017838403</v>
      </c>
      <c r="V101" s="539">
        <v>152.47715569805629</v>
      </c>
      <c r="W101" s="539">
        <v>161.25790971629718</v>
      </c>
      <c r="X101" s="539">
        <v>172.20042501760184</v>
      </c>
      <c r="Y101" s="539">
        <v>258.2798384804355</v>
      </c>
      <c r="Z101" s="539">
        <v>314.31099104659614</v>
      </c>
      <c r="AA101" s="539">
        <v>340.31587754383401</v>
      </c>
      <c r="AB101" s="539">
        <v>359.73226036467474</v>
      </c>
      <c r="AC101" s="539">
        <v>348.83660524893889</v>
      </c>
      <c r="AD101" s="539">
        <v>337.44719055809799</v>
      </c>
      <c r="AE101" s="539">
        <v>362.32235424319435</v>
      </c>
      <c r="AF101" s="539">
        <v>368.85994233861737</v>
      </c>
      <c r="AG101" s="539">
        <v>386.30239810315931</v>
      </c>
      <c r="AH101" s="539">
        <v>359.19099999999997</v>
      </c>
      <c r="AI101" s="539">
        <v>400.04500000000002</v>
      </c>
      <c r="AJ101" s="539">
        <v>413.798</v>
      </c>
      <c r="AK101" s="972">
        <v>420.30618985503997</v>
      </c>
      <c r="AL101" s="975">
        <v>495.74830148753671</v>
      </c>
      <c r="AM101" s="974">
        <v>493.84591177887768</v>
      </c>
      <c r="AO101" s="655" t="s">
        <v>1100</v>
      </c>
    </row>
    <row r="102" spans="1:41" ht="12.75" customHeight="1">
      <c r="A102" s="83" t="s">
        <v>544</v>
      </c>
      <c r="B102" s="52"/>
      <c r="C102" s="52"/>
      <c r="D102" s="52"/>
      <c r="E102" s="52"/>
      <c r="F102" s="52"/>
      <c r="G102" s="52"/>
      <c r="H102" s="52"/>
      <c r="I102" s="52"/>
      <c r="J102" s="52"/>
      <c r="K102" s="52"/>
      <c r="L102" s="52"/>
      <c r="M102" s="52"/>
      <c r="N102" s="52"/>
      <c r="O102" s="52"/>
      <c r="P102" s="52"/>
      <c r="Q102" s="52"/>
      <c r="R102" s="52"/>
      <c r="S102" s="539">
        <v>5.0671366195501433</v>
      </c>
      <c r="T102" s="539">
        <v>5.1104986480846986</v>
      </c>
      <c r="U102" s="539">
        <v>4.7005397866386849</v>
      </c>
      <c r="V102" s="539">
        <v>4.7870514777669317</v>
      </c>
      <c r="W102" s="539">
        <v>4.8387193193950653</v>
      </c>
      <c r="X102" s="539">
        <v>4.9172329241054102</v>
      </c>
      <c r="Y102" s="539">
        <v>5.2468995446548563</v>
      </c>
      <c r="Z102" s="539">
        <v>3.8024134354521122</v>
      </c>
      <c r="AA102" s="539">
        <v>4.9667669493366446</v>
      </c>
      <c r="AB102" s="539">
        <v>4.4014753362597929</v>
      </c>
      <c r="AC102" s="539">
        <v>3.6031813836683066</v>
      </c>
      <c r="AD102" s="539">
        <v>2.815771778313386</v>
      </c>
      <c r="AE102" s="539">
        <v>2.4627959730724709</v>
      </c>
      <c r="AF102" s="539">
        <v>2.8860716149920358</v>
      </c>
      <c r="AG102" s="539">
        <v>3.9867936412894212</v>
      </c>
      <c r="AH102" s="539">
        <v>3.2080000000000002</v>
      </c>
      <c r="AI102" s="539">
        <v>3.4449999999999998</v>
      </c>
      <c r="AJ102" s="539">
        <v>3.5049999999999999</v>
      </c>
      <c r="AK102" s="972">
        <v>1.724483220178173</v>
      </c>
      <c r="AL102" s="976">
        <v>3.0795838424042423</v>
      </c>
      <c r="AM102" s="974">
        <v>3.252967862514053</v>
      </c>
      <c r="AO102" s="655" t="s">
        <v>1100</v>
      </c>
    </row>
    <row r="103" spans="1:41" ht="12.75" customHeight="1">
      <c r="A103" s="154" t="s">
        <v>3835</v>
      </c>
      <c r="B103" s="155" t="s">
        <v>1100</v>
      </c>
      <c r="C103" s="155" t="s">
        <v>1100</v>
      </c>
      <c r="D103" s="155" t="s">
        <v>1100</v>
      </c>
      <c r="E103" s="155" t="s">
        <v>1100</v>
      </c>
      <c r="F103" s="155" t="s">
        <v>1100</v>
      </c>
      <c r="G103" s="155" t="s">
        <v>1100</v>
      </c>
      <c r="H103" s="155" t="s">
        <v>1100</v>
      </c>
      <c r="I103" s="155" t="s">
        <v>1100</v>
      </c>
      <c r="J103" s="155" t="s">
        <v>1100</v>
      </c>
      <c r="K103" s="155" t="s">
        <v>1100</v>
      </c>
      <c r="L103" s="155" t="s">
        <v>1100</v>
      </c>
      <c r="M103" s="155" t="s">
        <v>1100</v>
      </c>
      <c r="N103" s="155" t="s">
        <v>1100</v>
      </c>
      <c r="O103" s="155" t="s">
        <v>1100</v>
      </c>
      <c r="P103" s="155" t="s">
        <v>1100</v>
      </c>
      <c r="Q103" s="155" t="s">
        <v>1100</v>
      </c>
      <c r="R103" s="155" t="s">
        <v>1100</v>
      </c>
      <c r="S103" s="440">
        <f>SUM(S89:S102)</f>
        <v>566.43200000000002</v>
      </c>
      <c r="T103" s="440">
        <f t="shared" ref="T103:AL103" si="19">SUM(T89:T102)</f>
        <v>571.476</v>
      </c>
      <c r="U103" s="440">
        <f t="shared" si="19"/>
        <v>573.08500000000004</v>
      </c>
      <c r="V103" s="440">
        <f t="shared" si="19"/>
        <v>583.81700000000012</v>
      </c>
      <c r="W103" s="440">
        <f t="shared" si="19"/>
        <v>647.57399999999996</v>
      </c>
      <c r="X103" s="440">
        <f t="shared" si="19"/>
        <v>703.47300000000007</v>
      </c>
      <c r="Y103" s="440">
        <f t="shared" si="19"/>
        <v>797.87300000000005</v>
      </c>
      <c r="Z103" s="440">
        <f t="shared" si="19"/>
        <v>873.23099999999999</v>
      </c>
      <c r="AA103" s="440">
        <f t="shared" si="19"/>
        <v>883.28399999999999</v>
      </c>
      <c r="AB103" s="440">
        <f t="shared" si="19"/>
        <v>852.89800000000002</v>
      </c>
      <c r="AC103" s="440">
        <f t="shared" si="19"/>
        <v>815.30419272721088</v>
      </c>
      <c r="AD103" s="440">
        <f t="shared" si="19"/>
        <v>743.65870216375095</v>
      </c>
      <c r="AE103" s="440">
        <f t="shared" si="19"/>
        <v>758.02854169614534</v>
      </c>
      <c r="AF103" s="440">
        <f t="shared" si="19"/>
        <v>753.34887398480657</v>
      </c>
      <c r="AG103" s="440">
        <f t="shared" si="19"/>
        <v>762.53996981390299</v>
      </c>
      <c r="AH103" s="440">
        <f t="shared" si="19"/>
        <v>716.49599999999998</v>
      </c>
      <c r="AI103" s="440">
        <f t="shared" si="19"/>
        <v>803.69400000000007</v>
      </c>
      <c r="AJ103" s="440">
        <f t="shared" si="19"/>
        <v>831.59399999999994</v>
      </c>
      <c r="AK103" s="440">
        <f t="shared" si="19"/>
        <v>850.34400000000016</v>
      </c>
      <c r="AL103" s="371">
        <f t="shared" si="19"/>
        <v>1027.3</v>
      </c>
      <c r="AM103" s="386">
        <f>SUM(AM89:AM102)</f>
        <v>1036.2139999999999</v>
      </c>
      <c r="AO103" s="656" t="s">
        <v>1100</v>
      </c>
    </row>
    <row r="105" spans="1:41" ht="12.75" customHeight="1">
      <c r="A105" s="74" t="s">
        <v>3820</v>
      </c>
      <c r="B105" s="626" t="s">
        <v>166</v>
      </c>
      <c r="C105" s="626" t="s">
        <v>163</v>
      </c>
      <c r="D105" s="626" t="s">
        <v>160</v>
      </c>
      <c r="E105" s="626" t="s">
        <v>157</v>
      </c>
      <c r="F105" s="626" t="s">
        <v>153</v>
      </c>
      <c r="G105" s="626" t="s">
        <v>149</v>
      </c>
      <c r="H105" s="626" t="s">
        <v>146</v>
      </c>
      <c r="I105" s="626" t="s">
        <v>142</v>
      </c>
      <c r="J105" s="626" t="s">
        <v>139</v>
      </c>
      <c r="K105" s="626" t="s">
        <v>136</v>
      </c>
      <c r="L105" s="626" t="s">
        <v>132</v>
      </c>
      <c r="M105" s="626" t="s">
        <v>208</v>
      </c>
      <c r="N105" s="626" t="s">
        <v>126</v>
      </c>
      <c r="O105" s="626" t="s">
        <v>123</v>
      </c>
      <c r="P105" s="626" t="s">
        <v>120</v>
      </c>
      <c r="Q105" s="626" t="s">
        <v>117</v>
      </c>
      <c r="R105" s="626" t="s">
        <v>114</v>
      </c>
      <c r="S105" s="626" t="s">
        <v>111</v>
      </c>
      <c r="T105" s="626" t="s">
        <v>108</v>
      </c>
      <c r="U105" s="626" t="s">
        <v>104</v>
      </c>
      <c r="V105" s="626" t="s">
        <v>101</v>
      </c>
      <c r="W105" s="626" t="s">
        <v>98</v>
      </c>
      <c r="X105" s="626" t="s">
        <v>95</v>
      </c>
      <c r="Y105" s="626" t="s">
        <v>91</v>
      </c>
      <c r="Z105" s="626" t="s">
        <v>87</v>
      </c>
      <c r="AA105" s="626" t="s">
        <v>83</v>
      </c>
      <c r="AB105" s="626" t="s">
        <v>79</v>
      </c>
      <c r="AC105" s="626" t="s">
        <v>75</v>
      </c>
      <c r="AD105" s="626" t="s">
        <v>72</v>
      </c>
      <c r="AE105" s="626" t="s">
        <v>69</v>
      </c>
      <c r="AF105" s="626" t="s">
        <v>66</v>
      </c>
      <c r="AG105" s="626" t="s">
        <v>62</v>
      </c>
      <c r="AH105" s="626" t="s">
        <v>59</v>
      </c>
      <c r="AI105" s="626" t="s">
        <v>55</v>
      </c>
      <c r="AJ105" s="626" t="s">
        <v>52</v>
      </c>
      <c r="AK105" s="626" t="s">
        <v>49</v>
      </c>
      <c r="AL105" s="587" t="s">
        <v>46</v>
      </c>
      <c r="AM105" s="663" t="s">
        <v>42</v>
      </c>
      <c r="AO105" s="640" t="s">
        <v>227</v>
      </c>
    </row>
    <row r="106" spans="1:41" ht="12.75" customHeight="1">
      <c r="A106" s="83" t="s">
        <v>393</v>
      </c>
      <c r="B106" s="52"/>
      <c r="C106" s="52"/>
      <c r="D106" s="52"/>
      <c r="E106" s="52"/>
      <c r="F106" s="52"/>
      <c r="G106" s="52"/>
      <c r="H106" s="52"/>
      <c r="I106" s="52"/>
      <c r="J106" s="52"/>
      <c r="K106" s="52"/>
      <c r="L106" s="52"/>
      <c r="M106" s="52"/>
      <c r="N106" s="52"/>
      <c r="O106" s="52"/>
      <c r="P106" s="52"/>
      <c r="Q106" s="52"/>
      <c r="R106" s="52"/>
      <c r="S106" s="387">
        <v>8.8000000000000007</v>
      </c>
      <c r="T106" s="387">
        <v>9.6999999999999993</v>
      </c>
      <c r="U106" s="387">
        <v>9.6999999999999993</v>
      </c>
      <c r="V106" s="387">
        <v>15.5</v>
      </c>
      <c r="W106" s="387">
        <v>19.8</v>
      </c>
      <c r="X106" s="387">
        <v>25.103000000000002</v>
      </c>
      <c r="Y106" s="387">
        <v>28.044</v>
      </c>
      <c r="Z106" s="387">
        <v>29.826000000000001</v>
      </c>
      <c r="AA106" s="387">
        <v>28.693000000000001</v>
      </c>
      <c r="AB106" s="387">
        <v>21.071999999999999</v>
      </c>
      <c r="AC106" s="387">
        <v>19.561</v>
      </c>
      <c r="AD106" s="387">
        <v>13.678000000000001</v>
      </c>
      <c r="AE106" s="387">
        <v>11.821999999999999</v>
      </c>
      <c r="AF106" s="387">
        <v>12.247999999999999</v>
      </c>
      <c r="AG106" s="387">
        <v>13.997</v>
      </c>
      <c r="AH106" s="387">
        <v>16.169635</v>
      </c>
      <c r="AI106" s="387">
        <v>16.325585</v>
      </c>
      <c r="AJ106" s="387">
        <v>18.95</v>
      </c>
      <c r="AK106" s="387">
        <v>19.517912471100065</v>
      </c>
      <c r="AL106" s="967">
        <v>23.49335881774083</v>
      </c>
      <c r="AM106" s="966">
        <v>23.77527912355372</v>
      </c>
      <c r="AO106" s="655" t="s">
        <v>1100</v>
      </c>
    </row>
    <row r="107" spans="1:41" ht="12.75" customHeight="1">
      <c r="A107" s="83" t="s">
        <v>406</v>
      </c>
      <c r="B107" s="52"/>
      <c r="C107" s="52"/>
      <c r="D107" s="52"/>
      <c r="E107" s="52"/>
      <c r="F107" s="52"/>
      <c r="G107" s="52"/>
      <c r="H107" s="52"/>
      <c r="I107" s="52"/>
      <c r="J107" s="52"/>
      <c r="K107" s="52"/>
      <c r="L107" s="52"/>
      <c r="M107" s="52"/>
      <c r="N107" s="52"/>
      <c r="O107" s="52"/>
      <c r="P107" s="52"/>
      <c r="Q107" s="52"/>
      <c r="R107" s="52"/>
      <c r="S107" s="387">
        <v>2.6</v>
      </c>
      <c r="T107" s="387">
        <v>2.7</v>
      </c>
      <c r="U107" s="387">
        <v>2.2999999999999998</v>
      </c>
      <c r="V107" s="387">
        <v>2.5</v>
      </c>
      <c r="W107" s="387">
        <v>1.2</v>
      </c>
      <c r="X107" s="387">
        <v>1.1679999999999999</v>
      </c>
      <c r="Y107" s="387">
        <v>1.3560000000000001</v>
      </c>
      <c r="Z107" s="387">
        <v>1.2789999999999999</v>
      </c>
      <c r="AA107" s="387">
        <v>1.3149999999999999</v>
      </c>
      <c r="AB107" s="387">
        <v>2.2160000000000002</v>
      </c>
      <c r="AC107" s="387">
        <v>1.8</v>
      </c>
      <c r="AD107" s="387">
        <v>1.474</v>
      </c>
      <c r="AE107" s="387">
        <v>1.516</v>
      </c>
      <c r="AF107" s="387">
        <v>1.6080000000000001</v>
      </c>
      <c r="AG107" s="387">
        <v>1.5720000000000001</v>
      </c>
      <c r="AH107" s="387">
        <v>1.080597</v>
      </c>
      <c r="AI107" s="387">
        <v>1.8932819999999999</v>
      </c>
      <c r="AJ107" s="387">
        <v>3.375</v>
      </c>
      <c r="AK107" s="387">
        <v>3.4759619328775639</v>
      </c>
      <c r="AL107" s="967">
        <v>4.1810214845131988</v>
      </c>
      <c r="AM107" s="966">
        <v>4.2311937423273571</v>
      </c>
      <c r="AO107" s="655" t="s">
        <v>1100</v>
      </c>
    </row>
    <row r="108" spans="1:41" ht="12.75" customHeight="1">
      <c r="A108" s="83" t="s">
        <v>734</v>
      </c>
      <c r="B108" s="52"/>
      <c r="C108" s="52"/>
      <c r="D108" s="52"/>
      <c r="E108" s="52"/>
      <c r="F108" s="52"/>
      <c r="G108" s="52"/>
      <c r="H108" s="52"/>
      <c r="I108" s="52"/>
      <c r="J108" s="52"/>
      <c r="K108" s="52"/>
      <c r="L108" s="52"/>
      <c r="M108" s="52"/>
      <c r="N108" s="52"/>
      <c r="O108" s="52"/>
      <c r="P108" s="52"/>
      <c r="Q108" s="52"/>
      <c r="R108" s="52"/>
      <c r="S108" s="387">
        <v>0</v>
      </c>
      <c r="T108" s="387">
        <v>0</v>
      </c>
      <c r="U108" s="387">
        <v>0</v>
      </c>
      <c r="V108" s="387">
        <v>1.3</v>
      </c>
      <c r="W108" s="387">
        <v>1.6</v>
      </c>
      <c r="X108" s="387">
        <v>1.56</v>
      </c>
      <c r="Y108" s="387">
        <v>1.61</v>
      </c>
      <c r="Z108" s="387">
        <v>1.3</v>
      </c>
      <c r="AA108" s="387">
        <v>1.5</v>
      </c>
      <c r="AB108" s="387">
        <v>0.83</v>
      </c>
      <c r="AC108" s="387">
        <v>0.80500000000000005</v>
      </c>
      <c r="AD108" s="387">
        <v>0.376</v>
      </c>
      <c r="AE108" s="387">
        <v>0</v>
      </c>
      <c r="AF108" s="387">
        <v>0</v>
      </c>
      <c r="AG108" s="387">
        <v>0</v>
      </c>
      <c r="AH108" s="387">
        <v>0</v>
      </c>
      <c r="AI108" s="387">
        <v>0.172405</v>
      </c>
      <c r="AJ108" s="387">
        <v>0.89300000000000002</v>
      </c>
      <c r="AK108" s="387">
        <v>0.91971377957323397</v>
      </c>
      <c r="AL108" s="967">
        <v>1.1125967535819437</v>
      </c>
      <c r="AM108" s="966">
        <v>1.1259479146249269</v>
      </c>
      <c r="AO108" s="655" t="s">
        <v>1100</v>
      </c>
    </row>
    <row r="109" spans="1:41" ht="12.75" customHeight="1">
      <c r="A109" s="83" t="s">
        <v>510</v>
      </c>
      <c r="B109" s="52"/>
      <c r="C109" s="52"/>
      <c r="D109" s="52"/>
      <c r="E109" s="52"/>
      <c r="F109" s="52"/>
      <c r="G109" s="52"/>
      <c r="H109" s="52"/>
      <c r="I109" s="52"/>
      <c r="J109" s="52"/>
      <c r="K109" s="52"/>
      <c r="L109" s="52"/>
      <c r="M109" s="52"/>
      <c r="N109" s="52"/>
      <c r="O109" s="52"/>
      <c r="P109" s="52"/>
      <c r="Q109" s="52"/>
      <c r="R109" s="52"/>
      <c r="S109" s="387">
        <v>0</v>
      </c>
      <c r="T109" s="387">
        <v>0</v>
      </c>
      <c r="U109" s="387">
        <v>0</v>
      </c>
      <c r="V109" s="387">
        <v>0</v>
      </c>
      <c r="W109" s="387">
        <v>0</v>
      </c>
      <c r="X109" s="387">
        <v>0</v>
      </c>
      <c r="Y109" s="387">
        <v>0</v>
      </c>
      <c r="Z109" s="387">
        <v>0</v>
      </c>
      <c r="AA109" s="387">
        <v>0</v>
      </c>
      <c r="AB109" s="387">
        <v>0</v>
      </c>
      <c r="AC109" s="387">
        <v>0</v>
      </c>
      <c r="AD109" s="387">
        <v>0</v>
      </c>
      <c r="AE109" s="387">
        <v>0</v>
      </c>
      <c r="AF109" s="387">
        <v>0</v>
      </c>
      <c r="AG109" s="387">
        <v>0</v>
      </c>
      <c r="AH109" s="387">
        <v>0</v>
      </c>
      <c r="AI109" s="387">
        <v>0</v>
      </c>
      <c r="AJ109" s="387">
        <v>0</v>
      </c>
      <c r="AK109" s="387">
        <v>0</v>
      </c>
      <c r="AL109" s="967">
        <v>0</v>
      </c>
      <c r="AM109" s="966">
        <v>0</v>
      </c>
      <c r="AO109" s="655" t="s">
        <v>1100</v>
      </c>
    </row>
    <row r="110" spans="1:41" ht="12.75" customHeight="1">
      <c r="A110" s="83" t="s">
        <v>409</v>
      </c>
      <c r="B110" s="52"/>
      <c r="C110" s="52"/>
      <c r="D110" s="52"/>
      <c r="E110" s="52"/>
      <c r="F110" s="52"/>
      <c r="G110" s="52"/>
      <c r="H110" s="52"/>
      <c r="I110" s="52"/>
      <c r="J110" s="52"/>
      <c r="K110" s="52"/>
      <c r="L110" s="52"/>
      <c r="M110" s="52"/>
      <c r="N110" s="52"/>
      <c r="O110" s="52"/>
      <c r="P110" s="52"/>
      <c r="Q110" s="52"/>
      <c r="R110" s="52"/>
      <c r="S110" s="387">
        <v>0</v>
      </c>
      <c r="T110" s="387">
        <v>0</v>
      </c>
      <c r="U110" s="387">
        <v>0</v>
      </c>
      <c r="V110" s="387">
        <v>0</v>
      </c>
      <c r="W110" s="387">
        <v>0</v>
      </c>
      <c r="X110" s="387">
        <v>0</v>
      </c>
      <c r="Y110" s="387">
        <v>0</v>
      </c>
      <c r="Z110" s="387">
        <v>0</v>
      </c>
      <c r="AA110" s="387">
        <v>0</v>
      </c>
      <c r="AB110" s="387">
        <v>0.443</v>
      </c>
      <c r="AC110" s="387">
        <v>0.36</v>
      </c>
      <c r="AD110" s="387">
        <v>0.29499999999999998</v>
      </c>
      <c r="AE110" s="387">
        <v>0.30299999999999999</v>
      </c>
      <c r="AF110" s="387">
        <v>0.86299999999999999</v>
      </c>
      <c r="AG110" s="387">
        <v>0.89</v>
      </c>
      <c r="AH110" s="387">
        <v>0.485149</v>
      </c>
      <c r="AI110" s="387">
        <v>0.24328900000000001</v>
      </c>
      <c r="AJ110" s="387">
        <v>0.27500000000000002</v>
      </c>
      <c r="AK110" s="387">
        <v>0.2832265278640978</v>
      </c>
      <c r="AL110" s="967">
        <v>0.33963479846185646</v>
      </c>
      <c r="AM110" s="966">
        <v>0.34371041604339869</v>
      </c>
      <c r="AO110" s="655" t="s">
        <v>1100</v>
      </c>
    </row>
    <row r="111" spans="1:41" ht="12.75" customHeight="1">
      <c r="A111" s="83" t="s">
        <v>389</v>
      </c>
      <c r="B111" s="52"/>
      <c r="C111" s="52"/>
      <c r="D111" s="52"/>
      <c r="E111" s="52"/>
      <c r="F111" s="52"/>
      <c r="G111" s="52"/>
      <c r="H111" s="52"/>
      <c r="I111" s="52"/>
      <c r="J111" s="52"/>
      <c r="K111" s="52"/>
      <c r="L111" s="52"/>
      <c r="M111" s="52"/>
      <c r="N111" s="52"/>
      <c r="O111" s="52"/>
      <c r="P111" s="52"/>
      <c r="Q111" s="52"/>
      <c r="R111" s="52"/>
      <c r="S111" s="387">
        <v>0</v>
      </c>
      <c r="T111" s="387">
        <v>0</v>
      </c>
      <c r="U111" s="387">
        <v>0</v>
      </c>
      <c r="V111" s="387">
        <v>0</v>
      </c>
      <c r="W111" s="387">
        <v>0</v>
      </c>
      <c r="X111" s="387">
        <v>0</v>
      </c>
      <c r="Y111" s="387">
        <v>0</v>
      </c>
      <c r="Z111" s="387">
        <v>0</v>
      </c>
      <c r="AA111" s="387">
        <v>0</v>
      </c>
      <c r="AB111" s="387">
        <v>0</v>
      </c>
      <c r="AC111" s="387">
        <v>0</v>
      </c>
      <c r="AD111" s="387">
        <v>0</v>
      </c>
      <c r="AE111" s="387">
        <v>0</v>
      </c>
      <c r="AF111" s="387">
        <v>0</v>
      </c>
      <c r="AG111" s="387">
        <v>0</v>
      </c>
      <c r="AH111" s="387">
        <v>0</v>
      </c>
      <c r="AI111" s="387">
        <v>0</v>
      </c>
      <c r="AJ111" s="387">
        <v>0</v>
      </c>
      <c r="AK111" s="387">
        <v>0</v>
      </c>
      <c r="AL111" s="967">
        <v>0</v>
      </c>
      <c r="AM111" s="966">
        <v>0</v>
      </c>
      <c r="AO111" s="655" t="s">
        <v>1100</v>
      </c>
    </row>
    <row r="112" spans="1:41" ht="12.75" customHeight="1">
      <c r="A112" s="83" t="s">
        <v>703</v>
      </c>
      <c r="B112" s="52"/>
      <c r="C112" s="52"/>
      <c r="D112" s="52"/>
      <c r="E112" s="52"/>
      <c r="F112" s="52"/>
      <c r="G112" s="52"/>
      <c r="H112" s="52"/>
      <c r="I112" s="52"/>
      <c r="J112" s="52"/>
      <c r="K112" s="52"/>
      <c r="L112" s="52"/>
      <c r="M112" s="52"/>
      <c r="N112" s="52"/>
      <c r="O112" s="52"/>
      <c r="P112" s="52"/>
      <c r="Q112" s="52"/>
      <c r="R112" s="52"/>
      <c r="S112" s="387">
        <v>0.3</v>
      </c>
      <c r="T112" s="387">
        <v>0.4</v>
      </c>
      <c r="U112" s="387">
        <v>0.6</v>
      </c>
      <c r="V112" s="387">
        <v>0.6</v>
      </c>
      <c r="W112" s="387">
        <v>0</v>
      </c>
      <c r="X112" s="387">
        <v>0</v>
      </c>
      <c r="Y112" s="387">
        <v>0</v>
      </c>
      <c r="Z112" s="387">
        <v>0</v>
      </c>
      <c r="AA112" s="387">
        <v>0</v>
      </c>
      <c r="AB112" s="387">
        <v>0</v>
      </c>
      <c r="AC112" s="387">
        <v>0</v>
      </c>
      <c r="AD112" s="387">
        <v>0</v>
      </c>
      <c r="AE112" s="387">
        <v>0</v>
      </c>
      <c r="AF112" s="387">
        <v>0</v>
      </c>
      <c r="AG112" s="387">
        <v>0</v>
      </c>
      <c r="AH112" s="387">
        <v>0</v>
      </c>
      <c r="AI112" s="387">
        <v>0</v>
      </c>
      <c r="AJ112" s="387">
        <v>0</v>
      </c>
      <c r="AK112" s="387">
        <v>0</v>
      </c>
      <c r="AL112" s="967">
        <v>0</v>
      </c>
      <c r="AM112" s="966">
        <v>0</v>
      </c>
      <c r="AO112" s="655" t="s">
        <v>1100</v>
      </c>
    </row>
    <row r="113" spans="1:41" ht="12.75" customHeight="1">
      <c r="A113" s="83" t="s">
        <v>234</v>
      </c>
      <c r="B113" s="52"/>
      <c r="C113" s="52"/>
      <c r="D113" s="52"/>
      <c r="E113" s="52"/>
      <c r="F113" s="52"/>
      <c r="G113" s="52"/>
      <c r="H113" s="52"/>
      <c r="I113" s="52"/>
      <c r="J113" s="52"/>
      <c r="K113" s="52"/>
      <c r="L113" s="52"/>
      <c r="M113" s="52"/>
      <c r="N113" s="52"/>
      <c r="O113" s="52"/>
      <c r="P113" s="52"/>
      <c r="Q113" s="52"/>
      <c r="R113" s="52"/>
      <c r="S113" s="387">
        <v>0</v>
      </c>
      <c r="T113" s="387">
        <v>0</v>
      </c>
      <c r="U113" s="387">
        <v>0</v>
      </c>
      <c r="V113" s="387">
        <v>0</v>
      </c>
      <c r="W113" s="387">
        <v>0</v>
      </c>
      <c r="X113" s="387">
        <v>0</v>
      </c>
      <c r="Y113" s="387">
        <v>0</v>
      </c>
      <c r="Z113" s="387">
        <v>0</v>
      </c>
      <c r="AA113" s="387">
        <v>0</v>
      </c>
      <c r="AB113" s="387">
        <v>2.2160000000000002</v>
      </c>
      <c r="AC113" s="387">
        <v>1.8</v>
      </c>
      <c r="AD113" s="387">
        <v>1.474</v>
      </c>
      <c r="AE113" s="387">
        <v>1.516</v>
      </c>
      <c r="AF113" s="387">
        <v>1.6080000000000001</v>
      </c>
      <c r="AG113" s="387">
        <v>1.6739999999999999</v>
      </c>
      <c r="AH113" s="387">
        <v>0.91611299999999996</v>
      </c>
      <c r="AI113" s="387">
        <v>0.56767500000000004</v>
      </c>
      <c r="AJ113" s="387">
        <v>0.64</v>
      </c>
      <c r="AK113" s="387">
        <v>0.66017528858504249</v>
      </c>
      <c r="AL113" s="967">
        <v>0.79638504466918081</v>
      </c>
      <c r="AM113" s="966">
        <v>0.80594166520521093</v>
      </c>
      <c r="AO113" s="655" t="s">
        <v>1100</v>
      </c>
    </row>
    <row r="114" spans="1:41" ht="12.75" customHeight="1">
      <c r="A114" s="83" t="s">
        <v>701</v>
      </c>
      <c r="B114" s="52"/>
      <c r="C114" s="52"/>
      <c r="D114" s="52"/>
      <c r="E114" s="52"/>
      <c r="F114" s="52"/>
      <c r="G114" s="52"/>
      <c r="H114" s="52"/>
      <c r="I114" s="52"/>
      <c r="J114" s="52"/>
      <c r="K114" s="52"/>
      <c r="L114" s="52"/>
      <c r="M114" s="52"/>
      <c r="N114" s="52"/>
      <c r="O114" s="52"/>
      <c r="P114" s="52"/>
      <c r="Q114" s="52"/>
      <c r="R114" s="52"/>
      <c r="S114" s="387">
        <v>0</v>
      </c>
      <c r="T114" s="387">
        <v>0</v>
      </c>
      <c r="U114" s="387">
        <v>0</v>
      </c>
      <c r="V114" s="387">
        <v>0</v>
      </c>
      <c r="W114" s="387">
        <v>0</v>
      </c>
      <c r="X114" s="387">
        <v>0</v>
      </c>
      <c r="Y114" s="387">
        <v>0</v>
      </c>
      <c r="Z114" s="387">
        <v>0</v>
      </c>
      <c r="AA114" s="387">
        <v>0</v>
      </c>
      <c r="AB114" s="387">
        <v>0</v>
      </c>
      <c r="AC114" s="387">
        <v>0</v>
      </c>
      <c r="AD114" s="387">
        <v>0</v>
      </c>
      <c r="AE114" s="387">
        <v>0</v>
      </c>
      <c r="AF114" s="387">
        <v>0</v>
      </c>
      <c r="AG114" s="387">
        <v>0</v>
      </c>
      <c r="AH114" s="387">
        <v>0</v>
      </c>
      <c r="AI114" s="387">
        <v>0</v>
      </c>
      <c r="AJ114" s="387">
        <v>0</v>
      </c>
      <c r="AK114" s="387">
        <v>0</v>
      </c>
      <c r="AL114" s="967">
        <v>0</v>
      </c>
      <c r="AM114" s="966">
        <v>0</v>
      </c>
      <c r="AO114" s="655" t="s">
        <v>1100</v>
      </c>
    </row>
    <row r="115" spans="1:41" ht="12.75" customHeight="1">
      <c r="A115" s="83" t="s">
        <v>1324</v>
      </c>
      <c r="B115" s="52"/>
      <c r="C115" s="52"/>
      <c r="D115" s="52"/>
      <c r="E115" s="52"/>
      <c r="F115" s="52"/>
      <c r="G115" s="52"/>
      <c r="H115" s="52"/>
      <c r="I115" s="52"/>
      <c r="J115" s="52"/>
      <c r="K115" s="52"/>
      <c r="L115" s="52"/>
      <c r="M115" s="52"/>
      <c r="N115" s="52"/>
      <c r="O115" s="52"/>
      <c r="P115" s="52"/>
      <c r="Q115" s="52"/>
      <c r="R115" s="52"/>
      <c r="S115" s="387">
        <v>0</v>
      </c>
      <c r="T115" s="387">
        <v>0</v>
      </c>
      <c r="U115" s="387">
        <v>0</v>
      </c>
      <c r="V115" s="387">
        <v>0</v>
      </c>
      <c r="W115" s="387">
        <v>0</v>
      </c>
      <c r="X115" s="387">
        <v>0</v>
      </c>
      <c r="Y115" s="387">
        <v>0</v>
      </c>
      <c r="Z115" s="387">
        <v>0</v>
      </c>
      <c r="AA115" s="387">
        <v>0</v>
      </c>
      <c r="AB115" s="387">
        <v>0</v>
      </c>
      <c r="AC115" s="387">
        <v>0</v>
      </c>
      <c r="AD115" s="387">
        <v>0</v>
      </c>
      <c r="AE115" s="387">
        <v>0</v>
      </c>
      <c r="AF115" s="387">
        <v>0</v>
      </c>
      <c r="AG115" s="387">
        <v>0</v>
      </c>
      <c r="AH115" s="387">
        <v>0</v>
      </c>
      <c r="AI115" s="387">
        <v>0</v>
      </c>
      <c r="AJ115" s="387">
        <v>0</v>
      </c>
      <c r="AK115" s="387">
        <v>0</v>
      </c>
      <c r="AL115" s="967">
        <v>0</v>
      </c>
      <c r="AM115" s="966">
        <v>0</v>
      </c>
      <c r="AO115" s="655" t="s">
        <v>1100</v>
      </c>
    </row>
    <row r="116" spans="1:41" ht="12.75" customHeight="1">
      <c r="A116" s="83" t="s">
        <v>362</v>
      </c>
      <c r="B116" s="52"/>
      <c r="C116" s="52"/>
      <c r="D116" s="52"/>
      <c r="E116" s="52"/>
      <c r="F116" s="52"/>
      <c r="G116" s="52"/>
      <c r="H116" s="52"/>
      <c r="I116" s="52"/>
      <c r="J116" s="52"/>
      <c r="K116" s="52"/>
      <c r="L116" s="52"/>
      <c r="M116" s="52"/>
      <c r="N116" s="52"/>
      <c r="O116" s="52"/>
      <c r="P116" s="52"/>
      <c r="Q116" s="52"/>
      <c r="R116" s="52"/>
      <c r="S116" s="387">
        <v>0</v>
      </c>
      <c r="T116" s="387">
        <v>0</v>
      </c>
      <c r="U116" s="387">
        <v>0</v>
      </c>
      <c r="V116" s="387">
        <v>0</v>
      </c>
      <c r="W116" s="387">
        <v>0</v>
      </c>
      <c r="X116" s="387">
        <v>0</v>
      </c>
      <c r="Y116" s="387">
        <v>0</v>
      </c>
      <c r="Z116" s="387">
        <v>0</v>
      </c>
      <c r="AA116" s="387">
        <v>0</v>
      </c>
      <c r="AB116" s="387">
        <v>0</v>
      </c>
      <c r="AC116" s="387">
        <v>0</v>
      </c>
      <c r="AD116" s="387">
        <v>0</v>
      </c>
      <c r="AE116" s="387">
        <v>0</v>
      </c>
      <c r="AF116" s="387">
        <v>0</v>
      </c>
      <c r="AG116" s="387">
        <v>0</v>
      </c>
      <c r="AH116" s="387">
        <v>0</v>
      </c>
      <c r="AI116" s="387">
        <v>0</v>
      </c>
      <c r="AJ116" s="387">
        <v>0</v>
      </c>
      <c r="AK116" s="387">
        <v>0</v>
      </c>
      <c r="AL116" s="967">
        <v>0</v>
      </c>
      <c r="AM116" s="966">
        <v>0</v>
      </c>
      <c r="AO116" s="655" t="s">
        <v>1100</v>
      </c>
    </row>
    <row r="117" spans="1:41" ht="12.75" customHeight="1">
      <c r="A117" s="83" t="s">
        <v>669</v>
      </c>
      <c r="B117" s="52"/>
      <c r="C117" s="52"/>
      <c r="D117" s="52"/>
      <c r="E117" s="52"/>
      <c r="F117" s="52"/>
      <c r="G117" s="52"/>
      <c r="H117" s="52"/>
      <c r="I117" s="52"/>
      <c r="J117" s="52"/>
      <c r="K117" s="52"/>
      <c r="L117" s="52"/>
      <c r="M117" s="52"/>
      <c r="N117" s="52"/>
      <c r="O117" s="52"/>
      <c r="P117" s="52"/>
      <c r="Q117" s="52"/>
      <c r="R117" s="52"/>
      <c r="S117" s="387">
        <v>0</v>
      </c>
      <c r="T117" s="387">
        <v>0</v>
      </c>
      <c r="U117" s="387">
        <v>0</v>
      </c>
      <c r="V117" s="387">
        <v>0</v>
      </c>
      <c r="W117" s="387">
        <v>0</v>
      </c>
      <c r="X117" s="387">
        <v>0</v>
      </c>
      <c r="Y117" s="387">
        <v>0</v>
      </c>
      <c r="Z117" s="387">
        <v>0</v>
      </c>
      <c r="AA117" s="387">
        <v>0</v>
      </c>
      <c r="AB117" s="387">
        <v>0</v>
      </c>
      <c r="AC117" s="387">
        <v>0</v>
      </c>
      <c r="AD117" s="387">
        <v>0</v>
      </c>
      <c r="AE117" s="387">
        <v>0</v>
      </c>
      <c r="AF117" s="387">
        <v>0</v>
      </c>
      <c r="AG117" s="387">
        <v>0</v>
      </c>
      <c r="AH117" s="387">
        <v>0</v>
      </c>
      <c r="AI117" s="387">
        <v>0</v>
      </c>
      <c r="AJ117" s="387">
        <v>0</v>
      </c>
      <c r="AK117" s="387">
        <v>0</v>
      </c>
      <c r="AL117" s="967">
        <v>0</v>
      </c>
      <c r="AM117" s="966">
        <v>0</v>
      </c>
      <c r="AO117" s="655" t="s">
        <v>1100</v>
      </c>
    </row>
    <row r="118" spans="1:41" ht="12.75" customHeight="1">
      <c r="A118" s="83" t="s">
        <v>397</v>
      </c>
      <c r="B118" s="52"/>
      <c r="C118" s="52"/>
      <c r="D118" s="52"/>
      <c r="E118" s="52"/>
      <c r="F118" s="52"/>
      <c r="G118" s="52"/>
      <c r="H118" s="52"/>
      <c r="I118" s="52"/>
      <c r="J118" s="52"/>
      <c r="K118" s="52"/>
      <c r="L118" s="52"/>
      <c r="M118" s="52"/>
      <c r="N118" s="52"/>
      <c r="O118" s="52"/>
      <c r="P118" s="52"/>
      <c r="Q118" s="52"/>
      <c r="R118" s="52"/>
      <c r="S118" s="387">
        <v>0</v>
      </c>
      <c r="T118" s="387">
        <v>0</v>
      </c>
      <c r="U118" s="387">
        <v>0</v>
      </c>
      <c r="V118" s="387">
        <v>0</v>
      </c>
      <c r="W118" s="387">
        <v>0</v>
      </c>
      <c r="X118" s="387">
        <v>0</v>
      </c>
      <c r="Y118" s="387">
        <v>0</v>
      </c>
      <c r="Z118" s="387">
        <v>0</v>
      </c>
      <c r="AA118" s="387">
        <v>0</v>
      </c>
      <c r="AB118" s="387">
        <v>0</v>
      </c>
      <c r="AC118" s="387">
        <v>0</v>
      </c>
      <c r="AD118" s="387">
        <v>0</v>
      </c>
      <c r="AE118" s="387">
        <v>0</v>
      </c>
      <c r="AF118" s="387">
        <v>0</v>
      </c>
      <c r="AG118" s="387">
        <v>0</v>
      </c>
      <c r="AH118" s="387">
        <v>0</v>
      </c>
      <c r="AI118" s="387">
        <v>0</v>
      </c>
      <c r="AJ118" s="387">
        <v>0</v>
      </c>
      <c r="AK118" s="387">
        <v>0</v>
      </c>
      <c r="AL118" s="967">
        <v>0</v>
      </c>
      <c r="AM118" s="966">
        <v>0</v>
      </c>
      <c r="AO118" s="655" t="s">
        <v>1100</v>
      </c>
    </row>
    <row r="119" spans="1:41" ht="12.75" customHeight="1">
      <c r="A119" s="83" t="s">
        <v>544</v>
      </c>
      <c r="B119" s="52"/>
      <c r="C119" s="52"/>
      <c r="D119" s="52"/>
      <c r="E119" s="52"/>
      <c r="F119" s="52"/>
      <c r="G119" s="52"/>
      <c r="H119" s="52"/>
      <c r="I119" s="52"/>
      <c r="J119" s="52"/>
      <c r="K119" s="52"/>
      <c r="L119" s="52"/>
      <c r="M119" s="52"/>
      <c r="N119" s="52"/>
      <c r="O119" s="52"/>
      <c r="P119" s="52"/>
      <c r="Q119" s="52"/>
      <c r="R119" s="52"/>
      <c r="S119" s="387">
        <v>0</v>
      </c>
      <c r="T119" s="387">
        <v>0</v>
      </c>
      <c r="U119" s="387">
        <v>0</v>
      </c>
      <c r="V119" s="387">
        <v>0</v>
      </c>
      <c r="W119" s="387">
        <v>0</v>
      </c>
      <c r="X119" s="387">
        <v>0</v>
      </c>
      <c r="Y119" s="387">
        <v>0</v>
      </c>
      <c r="Z119" s="387">
        <v>0</v>
      </c>
      <c r="AA119" s="387">
        <v>0</v>
      </c>
      <c r="AB119" s="387">
        <v>0</v>
      </c>
      <c r="AC119" s="387">
        <v>0</v>
      </c>
      <c r="AD119" s="387">
        <v>0</v>
      </c>
      <c r="AE119" s="387">
        <v>0</v>
      </c>
      <c r="AF119" s="387">
        <v>0</v>
      </c>
      <c r="AG119" s="387">
        <v>0</v>
      </c>
      <c r="AH119" s="387">
        <v>0</v>
      </c>
      <c r="AI119" s="387">
        <v>0</v>
      </c>
      <c r="AJ119" s="387">
        <v>0</v>
      </c>
      <c r="AK119" s="387">
        <v>0</v>
      </c>
      <c r="AL119" s="967">
        <v>0</v>
      </c>
      <c r="AM119" s="966">
        <v>0</v>
      </c>
      <c r="AO119" s="655" t="s">
        <v>1100</v>
      </c>
    </row>
    <row r="120" spans="1:41" ht="12.75" customHeight="1">
      <c r="A120" s="154" t="s">
        <v>3836</v>
      </c>
      <c r="B120" s="155" t="s">
        <v>1100</v>
      </c>
      <c r="C120" s="155" t="s">
        <v>1100</v>
      </c>
      <c r="D120" s="155" t="s">
        <v>1100</v>
      </c>
      <c r="E120" s="155" t="s">
        <v>1100</v>
      </c>
      <c r="F120" s="155" t="s">
        <v>1100</v>
      </c>
      <c r="G120" s="155" t="s">
        <v>1100</v>
      </c>
      <c r="H120" s="155" t="s">
        <v>1100</v>
      </c>
      <c r="I120" s="155" t="s">
        <v>1100</v>
      </c>
      <c r="J120" s="155" t="s">
        <v>1100</v>
      </c>
      <c r="K120" s="155" t="s">
        <v>1100</v>
      </c>
      <c r="L120" s="155" t="s">
        <v>1100</v>
      </c>
      <c r="M120" s="155" t="s">
        <v>1100</v>
      </c>
      <c r="N120" s="155" t="s">
        <v>1100</v>
      </c>
      <c r="O120" s="155" t="s">
        <v>1100</v>
      </c>
      <c r="P120" s="155" t="s">
        <v>1100</v>
      </c>
      <c r="Q120" s="155" t="s">
        <v>1100</v>
      </c>
      <c r="R120" s="155" t="s">
        <v>1100</v>
      </c>
      <c r="S120" s="176">
        <f>SUM(S106:S119)</f>
        <v>11.700000000000001</v>
      </c>
      <c r="T120" s="176">
        <f t="shared" ref="T120:AL120" si="20">SUM(T106:T119)</f>
        <v>12.799999999999999</v>
      </c>
      <c r="U120" s="176">
        <f t="shared" si="20"/>
        <v>12.6</v>
      </c>
      <c r="V120" s="176">
        <f t="shared" si="20"/>
        <v>19.900000000000002</v>
      </c>
      <c r="W120" s="176">
        <f t="shared" si="20"/>
        <v>22.6</v>
      </c>
      <c r="X120" s="176">
        <f t="shared" si="20"/>
        <v>27.831</v>
      </c>
      <c r="Y120" s="176">
        <f t="shared" si="20"/>
        <v>31.01</v>
      </c>
      <c r="Z120" s="176">
        <f t="shared" si="20"/>
        <v>32.405000000000001</v>
      </c>
      <c r="AA120" s="176">
        <f t="shared" si="20"/>
        <v>31.508000000000003</v>
      </c>
      <c r="AB120" s="176">
        <f t="shared" si="20"/>
        <v>26.777000000000001</v>
      </c>
      <c r="AC120" s="176">
        <f t="shared" si="20"/>
        <v>24.326000000000001</v>
      </c>
      <c r="AD120" s="176">
        <f t="shared" si="20"/>
        <v>17.297000000000001</v>
      </c>
      <c r="AE120" s="176">
        <f t="shared" si="20"/>
        <v>15.157</v>
      </c>
      <c r="AF120" s="176">
        <f t="shared" si="20"/>
        <v>16.326999999999998</v>
      </c>
      <c r="AG120" s="176">
        <f t="shared" si="20"/>
        <v>18.132999999999999</v>
      </c>
      <c r="AH120" s="176">
        <f t="shared" si="20"/>
        <v>18.651494</v>
      </c>
      <c r="AI120" s="176">
        <f t="shared" si="20"/>
        <v>19.202236000000003</v>
      </c>
      <c r="AJ120" s="176">
        <f t="shared" si="20"/>
        <v>24.132999999999999</v>
      </c>
      <c r="AK120" s="176">
        <f t="shared" si="20"/>
        <v>24.85699</v>
      </c>
      <c r="AL120" s="372">
        <f t="shared" si="20"/>
        <v>29.922996898967007</v>
      </c>
      <c r="AM120" s="375">
        <f>SUM(AM106:AM119)</f>
        <v>30.282072861754614</v>
      </c>
      <c r="AO120" s="656" t="s">
        <v>1100</v>
      </c>
    </row>
    <row r="122" spans="1:41" ht="12.75" customHeight="1">
      <c r="A122" s="74" t="s">
        <v>1194</v>
      </c>
      <c r="B122" s="626" t="s">
        <v>166</v>
      </c>
      <c r="C122" s="626" t="s">
        <v>163</v>
      </c>
      <c r="D122" s="626" t="s">
        <v>160</v>
      </c>
      <c r="E122" s="626" t="s">
        <v>157</v>
      </c>
      <c r="F122" s="626" t="s">
        <v>153</v>
      </c>
      <c r="G122" s="626" t="s">
        <v>149</v>
      </c>
      <c r="H122" s="626" t="s">
        <v>146</v>
      </c>
      <c r="I122" s="626" t="s">
        <v>142</v>
      </c>
      <c r="J122" s="626" t="s">
        <v>139</v>
      </c>
      <c r="K122" s="626" t="s">
        <v>136</v>
      </c>
      <c r="L122" s="626" t="s">
        <v>132</v>
      </c>
      <c r="M122" s="626" t="s">
        <v>208</v>
      </c>
      <c r="N122" s="626" t="s">
        <v>126</v>
      </c>
      <c r="O122" s="626" t="s">
        <v>123</v>
      </c>
      <c r="P122" s="626" t="s">
        <v>120</v>
      </c>
      <c r="Q122" s="626" t="s">
        <v>117</v>
      </c>
      <c r="R122" s="626" t="s">
        <v>114</v>
      </c>
      <c r="S122" s="626" t="s">
        <v>111</v>
      </c>
      <c r="T122" s="626" t="s">
        <v>108</v>
      </c>
      <c r="U122" s="626" t="s">
        <v>104</v>
      </c>
      <c r="V122" s="626" t="s">
        <v>101</v>
      </c>
      <c r="W122" s="626" t="s">
        <v>98</v>
      </c>
      <c r="X122" s="626" t="s">
        <v>95</v>
      </c>
      <c r="Y122" s="626" t="s">
        <v>91</v>
      </c>
      <c r="Z122" s="626" t="s">
        <v>87</v>
      </c>
      <c r="AA122" s="626" t="s">
        <v>83</v>
      </c>
      <c r="AB122" s="626" t="s">
        <v>79</v>
      </c>
      <c r="AC122" s="626" t="s">
        <v>75</v>
      </c>
      <c r="AD122" s="626" t="s">
        <v>72</v>
      </c>
      <c r="AE122" s="626" t="s">
        <v>69</v>
      </c>
      <c r="AF122" s="626" t="s">
        <v>66</v>
      </c>
      <c r="AG122" s="626" t="s">
        <v>62</v>
      </c>
      <c r="AH122" s="626" t="s">
        <v>59</v>
      </c>
      <c r="AI122" s="626" t="s">
        <v>55</v>
      </c>
      <c r="AJ122" s="626" t="s">
        <v>52</v>
      </c>
      <c r="AK122" s="626" t="s">
        <v>49</v>
      </c>
      <c r="AL122" s="587" t="s">
        <v>46</v>
      </c>
      <c r="AM122" s="663" t="s">
        <v>42</v>
      </c>
      <c r="AO122" s="640" t="s">
        <v>227</v>
      </c>
    </row>
    <row r="123" spans="1:41" ht="12.75" customHeight="1">
      <c r="A123" s="83" t="s">
        <v>393</v>
      </c>
      <c r="B123" s="52"/>
      <c r="C123" s="52"/>
      <c r="D123" s="52"/>
      <c r="E123" s="52"/>
      <c r="F123" s="52"/>
      <c r="G123" s="52"/>
      <c r="H123" s="52"/>
      <c r="I123" s="52"/>
      <c r="J123" s="52"/>
      <c r="K123" s="52"/>
      <c r="L123" s="52"/>
      <c r="M123" s="52"/>
      <c r="N123" s="52"/>
      <c r="O123" s="52"/>
      <c r="P123" s="52"/>
      <c r="Q123" s="52"/>
      <c r="R123" s="52"/>
      <c r="S123" s="539">
        <v>135.81</v>
      </c>
      <c r="T123" s="539">
        <v>139.5</v>
      </c>
      <c r="U123" s="539">
        <v>143.71</v>
      </c>
      <c r="V123" s="539">
        <v>146.81800000000001</v>
      </c>
      <c r="W123" s="539">
        <v>76.068224716145949</v>
      </c>
      <c r="X123" s="539">
        <v>77.741035580537172</v>
      </c>
      <c r="Y123" s="539">
        <v>77.94</v>
      </c>
      <c r="Z123" s="539">
        <v>79.188999999999993</v>
      </c>
      <c r="AA123" s="539">
        <v>94.289483070436162</v>
      </c>
      <c r="AB123" s="539">
        <v>62.122767773530349</v>
      </c>
      <c r="AC123" s="539">
        <v>67.455851170463632</v>
      </c>
      <c r="AD123" s="539">
        <v>67.38293270641455</v>
      </c>
      <c r="AE123" s="539">
        <v>67.900910197962219</v>
      </c>
      <c r="AF123" s="539">
        <v>71.410147975388469</v>
      </c>
      <c r="AG123" s="539">
        <v>75.73097089895063</v>
      </c>
      <c r="AH123" s="539">
        <v>94.062738867836984</v>
      </c>
      <c r="AI123" s="539">
        <v>92.936999999999998</v>
      </c>
      <c r="AJ123" s="539">
        <v>90.63</v>
      </c>
      <c r="AK123" s="539">
        <v>109.37630238638849</v>
      </c>
      <c r="AL123" s="975">
        <v>99.321267518127229</v>
      </c>
      <c r="AM123" s="974">
        <v>106.54608859478854</v>
      </c>
      <c r="AO123" s="982" t="s">
        <v>3837</v>
      </c>
    </row>
    <row r="124" spans="1:41" ht="12.75" customHeight="1">
      <c r="A124" s="83" t="s">
        <v>406</v>
      </c>
      <c r="B124" s="52"/>
      <c r="C124" s="52"/>
      <c r="D124" s="52"/>
      <c r="E124" s="52"/>
      <c r="F124" s="52"/>
      <c r="G124" s="52"/>
      <c r="H124" s="52"/>
      <c r="I124" s="52"/>
      <c r="J124" s="52"/>
      <c r="K124" s="52"/>
      <c r="L124" s="52"/>
      <c r="M124" s="52"/>
      <c r="N124" s="52"/>
      <c r="O124" s="52"/>
      <c r="P124" s="52"/>
      <c r="Q124" s="52"/>
      <c r="R124" s="52"/>
      <c r="S124" s="539">
        <v>28.88</v>
      </c>
      <c r="T124" s="539">
        <v>29.67</v>
      </c>
      <c r="U124" s="539">
        <v>45.73</v>
      </c>
      <c r="V124" s="539">
        <v>39.896000000000001</v>
      </c>
      <c r="W124" s="539">
        <v>148.93443839150308</v>
      </c>
      <c r="X124" s="539">
        <v>152.21010385929361</v>
      </c>
      <c r="Y124" s="539">
        <v>152.59800000000001</v>
      </c>
      <c r="Z124" s="539">
        <v>155.04499999999999</v>
      </c>
      <c r="AA124" s="539">
        <v>161.33818992691056</v>
      </c>
      <c r="AB124" s="539">
        <v>148.10516794323917</v>
      </c>
      <c r="AC124" s="539">
        <v>162.9980450970983</v>
      </c>
      <c r="AD124" s="539">
        <v>145.41653581621676</v>
      </c>
      <c r="AE124" s="539">
        <v>146.53436327528294</v>
      </c>
      <c r="AF124" s="539">
        <v>154.10751541415013</v>
      </c>
      <c r="AG124" s="539">
        <v>147.73139707467922</v>
      </c>
      <c r="AH124" s="539">
        <v>186.3285942285946</v>
      </c>
      <c r="AI124" s="539">
        <v>184.09800000000001</v>
      </c>
      <c r="AJ124" s="539">
        <v>189.77199999999999</v>
      </c>
      <c r="AK124" s="539">
        <v>160.14161910988591</v>
      </c>
      <c r="AL124" s="975">
        <v>145.41969554072614</v>
      </c>
      <c r="AM124" s="974">
        <v>155.99780542149824</v>
      </c>
      <c r="AO124" s="1052" t="s">
        <v>3838</v>
      </c>
    </row>
    <row r="125" spans="1:41" ht="12.75" customHeight="1">
      <c r="A125" s="83" t="s">
        <v>734</v>
      </c>
      <c r="B125" s="52"/>
      <c r="C125" s="52"/>
      <c r="D125" s="52"/>
      <c r="E125" s="52"/>
      <c r="F125" s="52"/>
      <c r="G125" s="52"/>
      <c r="H125" s="52"/>
      <c r="I125" s="52"/>
      <c r="J125" s="52"/>
      <c r="K125" s="52"/>
      <c r="L125" s="52"/>
      <c r="M125" s="52"/>
      <c r="N125" s="52"/>
      <c r="O125" s="52"/>
      <c r="P125" s="52"/>
      <c r="Q125" s="52"/>
      <c r="R125" s="52"/>
      <c r="S125" s="539">
        <v>0</v>
      </c>
      <c r="T125" s="539">
        <v>0</v>
      </c>
      <c r="U125" s="539">
        <v>0</v>
      </c>
      <c r="V125" s="539">
        <v>0</v>
      </c>
      <c r="W125" s="539">
        <v>0</v>
      </c>
      <c r="X125" s="539">
        <v>0</v>
      </c>
      <c r="Y125" s="539">
        <v>0</v>
      </c>
      <c r="Z125" s="539">
        <v>0</v>
      </c>
      <c r="AA125" s="539">
        <v>0</v>
      </c>
      <c r="AB125" s="539">
        <v>0</v>
      </c>
      <c r="AC125" s="539">
        <v>0</v>
      </c>
      <c r="AD125" s="539">
        <v>4.932436092402221</v>
      </c>
      <c r="AE125" s="539">
        <v>4.9703520864343202</v>
      </c>
      <c r="AF125" s="539">
        <v>5.2272285739213498</v>
      </c>
      <c r="AG125" s="539">
        <v>2.098336521106972</v>
      </c>
      <c r="AH125" s="539">
        <v>0</v>
      </c>
      <c r="AI125" s="539">
        <v>0</v>
      </c>
      <c r="AJ125" s="539">
        <v>0</v>
      </c>
      <c r="AK125" s="539">
        <v>0</v>
      </c>
      <c r="AL125" s="975">
        <v>0</v>
      </c>
      <c r="AM125" s="974">
        <v>0</v>
      </c>
      <c r="AO125" s="1052"/>
    </row>
    <row r="126" spans="1:41" ht="12.75" customHeight="1">
      <c r="A126" s="83" t="s">
        <v>510</v>
      </c>
      <c r="B126" s="52"/>
      <c r="C126" s="52"/>
      <c r="D126" s="52"/>
      <c r="E126" s="52"/>
      <c r="F126" s="52"/>
      <c r="G126" s="52"/>
      <c r="H126" s="52"/>
      <c r="I126" s="52"/>
      <c r="J126" s="52"/>
      <c r="K126" s="52"/>
      <c r="L126" s="52"/>
      <c r="M126" s="52"/>
      <c r="N126" s="52"/>
      <c r="O126" s="52"/>
      <c r="P126" s="52"/>
      <c r="Q126" s="52"/>
      <c r="R126" s="52"/>
      <c r="S126" s="539">
        <v>14.99</v>
      </c>
      <c r="T126" s="539">
        <v>15.4</v>
      </c>
      <c r="U126" s="539">
        <v>15.87</v>
      </c>
      <c r="V126" s="539">
        <v>11.500999999999999</v>
      </c>
      <c r="W126" s="539">
        <v>49.518257592291022</v>
      </c>
      <c r="X126" s="539">
        <v>50.60747978611969</v>
      </c>
      <c r="Y126" s="539">
        <v>53.436999999999998</v>
      </c>
      <c r="Z126" s="539">
        <v>51.55</v>
      </c>
      <c r="AA126" s="539">
        <v>52.554348516773508</v>
      </c>
      <c r="AB126" s="539">
        <v>27.490386675025764</v>
      </c>
      <c r="AC126" s="539">
        <v>24.965638020521336</v>
      </c>
      <c r="AD126" s="539">
        <v>28.777824944918954</v>
      </c>
      <c r="AE126" s="539">
        <v>28.99904217276082</v>
      </c>
      <c r="AF126" s="539">
        <v>30.49776338290571</v>
      </c>
      <c r="AG126" s="539">
        <v>21.829194542746038</v>
      </c>
      <c r="AH126" s="539">
        <v>30.945477278032229</v>
      </c>
      <c r="AI126" s="539">
        <v>30.574999999999999</v>
      </c>
      <c r="AJ126" s="539">
        <v>10.784000000000001</v>
      </c>
      <c r="AK126" s="539">
        <v>19.002190931958676</v>
      </c>
      <c r="AL126" s="975">
        <v>17.255307116859253</v>
      </c>
      <c r="AM126" s="974">
        <v>18.510491526576896</v>
      </c>
      <c r="AO126" s="655" t="s">
        <v>3839</v>
      </c>
    </row>
    <row r="127" spans="1:41" ht="12.75" customHeight="1">
      <c r="A127" s="83" t="s">
        <v>409</v>
      </c>
      <c r="B127" s="52"/>
      <c r="C127" s="52"/>
      <c r="D127" s="52"/>
      <c r="E127" s="52"/>
      <c r="F127" s="52"/>
      <c r="G127" s="52"/>
      <c r="H127" s="52"/>
      <c r="I127" s="52"/>
      <c r="J127" s="52"/>
      <c r="K127" s="52"/>
      <c r="L127" s="52"/>
      <c r="M127" s="52"/>
      <c r="N127" s="52"/>
      <c r="O127" s="52"/>
      <c r="P127" s="52"/>
      <c r="Q127" s="52"/>
      <c r="R127" s="52"/>
      <c r="S127" s="539">
        <v>42.09</v>
      </c>
      <c r="T127" s="539">
        <v>43.234999999999999</v>
      </c>
      <c r="U127" s="539">
        <v>44.54</v>
      </c>
      <c r="V127" s="539">
        <v>57.814</v>
      </c>
      <c r="W127" s="539">
        <v>51.101019440294117</v>
      </c>
      <c r="X127" s="539">
        <v>52.225214599179814</v>
      </c>
      <c r="Y127" s="539">
        <v>52.357999999999997</v>
      </c>
      <c r="Z127" s="539">
        <v>53.197000000000003</v>
      </c>
      <c r="AA127" s="539">
        <v>55.800873687873114</v>
      </c>
      <c r="AB127" s="539">
        <v>50.087440443370355</v>
      </c>
      <c r="AC127" s="539">
        <v>49.286084674386572</v>
      </c>
      <c r="AD127" s="539">
        <v>50.520891202977523</v>
      </c>
      <c r="AE127" s="539">
        <v>50.909248958346957</v>
      </c>
      <c r="AF127" s="539">
        <v>53.54032796957339</v>
      </c>
      <c r="AG127" s="539">
        <v>70.672949574845745</v>
      </c>
      <c r="AH127" s="539">
        <v>68.908042140280983</v>
      </c>
      <c r="AI127" s="539">
        <v>68.082999999999998</v>
      </c>
      <c r="AJ127" s="539">
        <v>74.938999999999993</v>
      </c>
      <c r="AK127" s="539">
        <v>76.556426836772019</v>
      </c>
      <c r="AL127" s="975">
        <v>69.518544549310164</v>
      </c>
      <c r="AM127" s="974">
        <v>74.575457921735733</v>
      </c>
      <c r="AO127" s="655" t="s">
        <v>1100</v>
      </c>
    </row>
    <row r="128" spans="1:41" ht="12.75" customHeight="1">
      <c r="A128" s="83" t="s">
        <v>389</v>
      </c>
      <c r="B128" s="52"/>
      <c r="C128" s="52"/>
      <c r="D128" s="52"/>
      <c r="E128" s="52"/>
      <c r="F128" s="52"/>
      <c r="G128" s="52"/>
      <c r="H128" s="52"/>
      <c r="I128" s="52"/>
      <c r="J128" s="52"/>
      <c r="K128" s="52"/>
      <c r="L128" s="52"/>
      <c r="M128" s="52"/>
      <c r="N128" s="52"/>
      <c r="O128" s="52"/>
      <c r="P128" s="52"/>
      <c r="Q128" s="52"/>
      <c r="R128" s="52"/>
      <c r="S128" s="539">
        <v>218.958</v>
      </c>
      <c r="T128" s="539">
        <v>224.93</v>
      </c>
      <c r="U128" s="539">
        <v>241.88</v>
      </c>
      <c r="V128" s="539">
        <v>207.744</v>
      </c>
      <c r="W128" s="539">
        <v>115.65699380529485</v>
      </c>
      <c r="X128" s="539">
        <v>118.1992022620376</v>
      </c>
      <c r="Y128" s="539">
        <v>118.501</v>
      </c>
      <c r="Z128" s="539">
        <v>120.4</v>
      </c>
      <c r="AA128" s="539">
        <v>111.60067283218416</v>
      </c>
      <c r="AB128" s="539">
        <v>143.52462636408623</v>
      </c>
      <c r="AC128" s="539">
        <v>146.87564269647564</v>
      </c>
      <c r="AD128" s="539">
        <v>171.6188318067133</v>
      </c>
      <c r="AE128" s="539">
        <v>172.93807821572469</v>
      </c>
      <c r="AF128" s="539">
        <v>181.87582051491896</v>
      </c>
      <c r="AG128" s="539">
        <v>187.58562147967504</v>
      </c>
      <c r="AH128" s="539">
        <v>195.00958512206407</v>
      </c>
      <c r="AI128" s="539">
        <v>192.67500000000001</v>
      </c>
      <c r="AJ128" s="539">
        <v>211.55099999999999</v>
      </c>
      <c r="AK128" s="539">
        <v>224.0096122740697</v>
      </c>
      <c r="AL128" s="975">
        <v>203.41626240670607</v>
      </c>
      <c r="AM128" s="974">
        <v>218.21315472086641</v>
      </c>
      <c r="AO128" s="655" t="s">
        <v>1100</v>
      </c>
    </row>
    <row r="129" spans="1:41" ht="12.75" customHeight="1">
      <c r="A129" s="83" t="s">
        <v>703</v>
      </c>
      <c r="B129" s="52"/>
      <c r="C129" s="52"/>
      <c r="D129" s="52"/>
      <c r="E129" s="52"/>
      <c r="F129" s="52"/>
      <c r="G129" s="52"/>
      <c r="H129" s="52"/>
      <c r="I129" s="52"/>
      <c r="J129" s="52"/>
      <c r="K129" s="52"/>
      <c r="L129" s="52"/>
      <c r="M129" s="52"/>
      <c r="N129" s="52"/>
      <c r="O129" s="52"/>
      <c r="P129" s="52"/>
      <c r="Q129" s="52"/>
      <c r="R129" s="52"/>
      <c r="S129" s="539">
        <v>23.58</v>
      </c>
      <c r="T129" s="539">
        <v>24.23</v>
      </c>
      <c r="U129" s="539">
        <v>25.76</v>
      </c>
      <c r="V129" s="539">
        <v>34.567</v>
      </c>
      <c r="W129" s="539">
        <v>37.294010945657824</v>
      </c>
      <c r="X129" s="539">
        <v>38.113437626229775</v>
      </c>
      <c r="Y129" s="539">
        <v>38.21</v>
      </c>
      <c r="Z129" s="539">
        <v>38.823999999999998</v>
      </c>
      <c r="AA129" s="539">
        <v>58.649736262544657</v>
      </c>
      <c r="AB129" s="539">
        <v>33.425495681768105</v>
      </c>
      <c r="AC129" s="539">
        <v>35.21947413173158</v>
      </c>
      <c r="AD129" s="539">
        <v>34.030794074459969</v>
      </c>
      <c r="AE129" s="539">
        <v>34.292391257041288</v>
      </c>
      <c r="AF129" s="539">
        <v>36.064682004347098</v>
      </c>
      <c r="AG129" s="539">
        <v>41.577631353605476</v>
      </c>
      <c r="AH129" s="539">
        <v>47.112472835768479</v>
      </c>
      <c r="AI129" s="539">
        <v>46.548000000000002</v>
      </c>
      <c r="AJ129" s="539">
        <v>66.010000000000005</v>
      </c>
      <c r="AK129" s="539">
        <v>67.434541854633167</v>
      </c>
      <c r="AL129" s="975">
        <v>61.235240407430993</v>
      </c>
      <c r="AM129" s="974">
        <v>65.689610217494945</v>
      </c>
      <c r="AO129" s="655" t="s">
        <v>1100</v>
      </c>
    </row>
    <row r="130" spans="1:41" ht="12.75" customHeight="1">
      <c r="A130" s="83" t="s">
        <v>234</v>
      </c>
      <c r="B130" s="52"/>
      <c r="C130" s="52"/>
      <c r="D130" s="52"/>
      <c r="E130" s="52"/>
      <c r="F130" s="52"/>
      <c r="G130" s="52"/>
      <c r="H130" s="52"/>
      <c r="I130" s="52"/>
      <c r="J130" s="52"/>
      <c r="K130" s="52"/>
      <c r="L130" s="52"/>
      <c r="M130" s="52"/>
      <c r="N130" s="52"/>
      <c r="O130" s="52"/>
      <c r="P130" s="52"/>
      <c r="Q130" s="52"/>
      <c r="R130" s="52"/>
      <c r="S130" s="539">
        <v>97.18</v>
      </c>
      <c r="T130" s="539">
        <v>99.83</v>
      </c>
      <c r="U130" s="539">
        <v>105.33</v>
      </c>
      <c r="V130" s="539">
        <v>110.17700000000001</v>
      </c>
      <c r="W130" s="539">
        <v>90.722331296411312</v>
      </c>
      <c r="X130" s="539">
        <v>92.716919685341253</v>
      </c>
      <c r="Y130" s="539">
        <v>92.953999999999994</v>
      </c>
      <c r="Z130" s="539">
        <v>94.444000000000003</v>
      </c>
      <c r="AA130" s="539">
        <v>134.09837067763729</v>
      </c>
      <c r="AB130" s="539">
        <v>166.2835203616701</v>
      </c>
      <c r="AC130" s="539">
        <v>164.09909057825078</v>
      </c>
      <c r="AD130" s="539">
        <v>156.58478416312815</v>
      </c>
      <c r="AE130" s="539">
        <v>157.78846275736117</v>
      </c>
      <c r="AF130" s="539">
        <v>165.94324643751816</v>
      </c>
      <c r="AG130" s="539">
        <v>171.97570345459502</v>
      </c>
      <c r="AH130" s="539">
        <v>138.53157273135545</v>
      </c>
      <c r="AI130" s="539">
        <v>136.87299999999999</v>
      </c>
      <c r="AJ130" s="539">
        <v>111.678</v>
      </c>
      <c r="AK130" s="539">
        <v>110.80243198957461</v>
      </c>
      <c r="AL130" s="975">
        <v>100.61629209605807</v>
      </c>
      <c r="AM130" s="974">
        <v>107.93531576496603</v>
      </c>
      <c r="AO130" s="655" t="s">
        <v>1100</v>
      </c>
    </row>
    <row r="131" spans="1:41" ht="12.75" customHeight="1">
      <c r="A131" s="83" t="s">
        <v>701</v>
      </c>
      <c r="B131" s="52"/>
      <c r="C131" s="52"/>
      <c r="D131" s="52"/>
      <c r="E131" s="52"/>
      <c r="F131" s="52"/>
      <c r="G131" s="52"/>
      <c r="H131" s="52"/>
      <c r="I131" s="52"/>
      <c r="J131" s="52"/>
      <c r="K131" s="52"/>
      <c r="L131" s="52"/>
      <c r="M131" s="52"/>
      <c r="N131" s="52"/>
      <c r="O131" s="52"/>
      <c r="P131" s="52"/>
      <c r="Q131" s="52"/>
      <c r="R131" s="52"/>
      <c r="S131" s="539">
        <v>0.80800000000000005</v>
      </c>
      <c r="T131" s="539">
        <v>0.83</v>
      </c>
      <c r="U131" s="539">
        <v>0.85499999999999998</v>
      </c>
      <c r="V131" s="539">
        <v>0.98099999999999998</v>
      </c>
      <c r="W131" s="539">
        <v>0.38854091471228475</v>
      </c>
      <c r="X131" s="539">
        <v>0.39752873759952906</v>
      </c>
      <c r="Y131" s="539">
        <v>0.39900000000000002</v>
      </c>
      <c r="Z131" s="539">
        <v>0.40500000000000003</v>
      </c>
      <c r="AA131" s="539">
        <v>2.9737141234343225</v>
      </c>
      <c r="AB131" s="539">
        <v>1.0618576837967719</v>
      </c>
      <c r="AC131" s="539">
        <v>1.0440192019818448</v>
      </c>
      <c r="AD131" s="539">
        <v>1.3046122628563708</v>
      </c>
      <c r="AE131" s="539">
        <v>1.3146409119551115</v>
      </c>
      <c r="AF131" s="539">
        <v>1.3825838531989452</v>
      </c>
      <c r="AG131" s="539">
        <v>1.6678584445531408</v>
      </c>
      <c r="AH131" s="539">
        <v>1.6388796921577593</v>
      </c>
      <c r="AI131" s="539">
        <v>1.619</v>
      </c>
      <c r="AJ131" s="539">
        <v>2.3460000000000001</v>
      </c>
      <c r="AK131" s="539">
        <v>2.3966585847645163</v>
      </c>
      <c r="AL131" s="975">
        <v>2.1763321967687572</v>
      </c>
      <c r="AM131" s="974">
        <v>2.334642809570409</v>
      </c>
      <c r="AO131" s="655" t="s">
        <v>1100</v>
      </c>
    </row>
    <row r="132" spans="1:41" ht="12.75" customHeight="1">
      <c r="A132" s="83" t="s">
        <v>1324</v>
      </c>
      <c r="B132" s="52"/>
      <c r="C132" s="52"/>
      <c r="D132" s="52"/>
      <c r="E132" s="52"/>
      <c r="F132" s="52"/>
      <c r="G132" s="52"/>
      <c r="H132" s="52"/>
      <c r="I132" s="52"/>
      <c r="J132" s="52"/>
      <c r="K132" s="52"/>
      <c r="L132" s="52"/>
      <c r="M132" s="52"/>
      <c r="N132" s="52"/>
      <c r="O132" s="52"/>
      <c r="P132" s="52"/>
      <c r="Q132" s="52"/>
      <c r="R132" s="52"/>
      <c r="S132" s="539">
        <v>0</v>
      </c>
      <c r="T132" s="539">
        <v>0</v>
      </c>
      <c r="U132" s="539">
        <v>0</v>
      </c>
      <c r="V132" s="539">
        <v>0</v>
      </c>
      <c r="W132" s="539">
        <v>8.9936374166904471</v>
      </c>
      <c r="X132" s="539">
        <v>9.1914957244476696</v>
      </c>
      <c r="Y132" s="539">
        <v>9.2149999999999999</v>
      </c>
      <c r="Z132" s="539">
        <v>9.3629999999999995</v>
      </c>
      <c r="AA132" s="539">
        <v>4.6412154615085424</v>
      </c>
      <c r="AB132" s="539">
        <v>5.4288199872870706</v>
      </c>
      <c r="AC132" s="539">
        <v>5.3555400609761916</v>
      </c>
      <c r="AD132" s="539">
        <v>11.669469374469495</v>
      </c>
      <c r="AE132" s="539">
        <v>11.759173432032796</v>
      </c>
      <c r="AF132" s="539">
        <v>12.366908078279632</v>
      </c>
      <c r="AG132" s="539">
        <v>17.817854990260059</v>
      </c>
      <c r="AH132" s="539">
        <v>11.991872513684948</v>
      </c>
      <c r="AI132" s="539">
        <v>11.848000000000001</v>
      </c>
      <c r="AJ132" s="539">
        <v>17.036000000000001</v>
      </c>
      <c r="AK132" s="539">
        <v>17.403729163779456</v>
      </c>
      <c r="AL132" s="975">
        <v>15.803792982344275</v>
      </c>
      <c r="AM132" s="974">
        <v>16.95339144683421</v>
      </c>
      <c r="AO132" s="655" t="s">
        <v>1100</v>
      </c>
    </row>
    <row r="133" spans="1:41" ht="12.75" customHeight="1">
      <c r="A133" s="83" t="s">
        <v>362</v>
      </c>
      <c r="B133" s="52"/>
      <c r="C133" s="52"/>
      <c r="D133" s="52"/>
      <c r="E133" s="52"/>
      <c r="F133" s="52"/>
      <c r="G133" s="52"/>
      <c r="H133" s="52"/>
      <c r="I133" s="52"/>
      <c r="J133" s="52"/>
      <c r="K133" s="52"/>
      <c r="L133" s="52"/>
      <c r="M133" s="52"/>
      <c r="N133" s="52"/>
      <c r="O133" s="52"/>
      <c r="P133" s="52"/>
      <c r="Q133" s="52"/>
      <c r="R133" s="52"/>
      <c r="S133" s="539">
        <v>6.5380000000000003</v>
      </c>
      <c r="T133" s="539">
        <v>6.72</v>
      </c>
      <c r="U133" s="539">
        <v>6.915</v>
      </c>
      <c r="V133" s="539">
        <v>8.2550000000000008</v>
      </c>
      <c r="W133" s="539">
        <v>28.577480120424614</v>
      </c>
      <c r="X133" s="539">
        <v>29.20603191773413</v>
      </c>
      <c r="Y133" s="539">
        <v>29.280999999999999</v>
      </c>
      <c r="Z133" s="539">
        <v>29.75</v>
      </c>
      <c r="AA133" s="539">
        <v>10.422380574033289</v>
      </c>
      <c r="AB133" s="539">
        <v>13.532735361210408</v>
      </c>
      <c r="AC133" s="539">
        <v>14.17978207505177</v>
      </c>
      <c r="AD133" s="539">
        <v>14.588262303650016</v>
      </c>
      <c r="AE133" s="539">
        <v>14.897371124895725</v>
      </c>
      <c r="AF133" s="539">
        <v>15.667293315679439</v>
      </c>
      <c r="AG133" s="539">
        <v>12.619387401413654</v>
      </c>
      <c r="AH133" s="539">
        <v>18.47091621462431</v>
      </c>
      <c r="AI133" s="539">
        <v>18.25</v>
      </c>
      <c r="AJ133" s="539">
        <v>31.509</v>
      </c>
      <c r="AK133" s="539">
        <v>33.246275858191801</v>
      </c>
      <c r="AL133" s="975">
        <v>30.1899240187137</v>
      </c>
      <c r="AM133" s="974">
        <v>32.385997476127017</v>
      </c>
      <c r="AO133" s="655" t="s">
        <v>1100</v>
      </c>
    </row>
    <row r="134" spans="1:41" ht="12.75" customHeight="1">
      <c r="A134" s="83" t="s">
        <v>669</v>
      </c>
      <c r="B134" s="52"/>
      <c r="C134" s="52"/>
      <c r="D134" s="52"/>
      <c r="E134" s="52"/>
      <c r="F134" s="52"/>
      <c r="G134" s="52"/>
      <c r="H134" s="52"/>
      <c r="I134" s="52"/>
      <c r="J134" s="52"/>
      <c r="K134" s="52"/>
      <c r="L134" s="52"/>
      <c r="M134" s="52"/>
      <c r="N134" s="52"/>
      <c r="O134" s="52"/>
      <c r="P134" s="52"/>
      <c r="Q134" s="52"/>
      <c r="R134" s="52"/>
      <c r="S134" s="539">
        <v>0</v>
      </c>
      <c r="T134" s="539">
        <v>0</v>
      </c>
      <c r="U134" s="539">
        <v>0</v>
      </c>
      <c r="V134" s="539">
        <v>0</v>
      </c>
      <c r="W134" s="539">
        <v>0</v>
      </c>
      <c r="X134" s="539">
        <v>0</v>
      </c>
      <c r="Y134" s="539">
        <v>0</v>
      </c>
      <c r="Z134" s="539">
        <v>0</v>
      </c>
      <c r="AA134" s="539">
        <v>0</v>
      </c>
      <c r="AB134" s="539">
        <v>0</v>
      </c>
      <c r="AC134" s="539">
        <v>0</v>
      </c>
      <c r="AD134" s="539">
        <v>0</v>
      </c>
      <c r="AE134" s="539">
        <v>0</v>
      </c>
      <c r="AF134" s="539">
        <v>0</v>
      </c>
      <c r="AG134" s="539">
        <v>0</v>
      </c>
      <c r="AH134" s="539">
        <v>0</v>
      </c>
      <c r="AI134" s="539">
        <v>0</v>
      </c>
      <c r="AJ134" s="539">
        <v>0</v>
      </c>
      <c r="AK134" s="539">
        <v>0</v>
      </c>
      <c r="AL134" s="975">
        <v>0</v>
      </c>
      <c r="AM134" s="974">
        <v>0</v>
      </c>
      <c r="AO134" s="655" t="s">
        <v>1100</v>
      </c>
    </row>
    <row r="135" spans="1:41" ht="12.75" customHeight="1">
      <c r="A135" s="83" t="s">
        <v>397</v>
      </c>
      <c r="B135" s="52"/>
      <c r="C135" s="52"/>
      <c r="D135" s="52"/>
      <c r="E135" s="52"/>
      <c r="F135" s="52"/>
      <c r="G135" s="52"/>
      <c r="H135" s="52"/>
      <c r="I135" s="52"/>
      <c r="J135" s="52"/>
      <c r="K135" s="52"/>
      <c r="L135" s="52"/>
      <c r="M135" s="52"/>
      <c r="N135" s="52"/>
      <c r="O135" s="52"/>
      <c r="P135" s="52"/>
      <c r="Q135" s="52"/>
      <c r="R135" s="52"/>
      <c r="S135" s="539">
        <v>22.94</v>
      </c>
      <c r="T135" s="539">
        <v>23.57</v>
      </c>
      <c r="U135" s="539">
        <v>30.26</v>
      </c>
      <c r="V135" s="539">
        <v>55.359000000000002</v>
      </c>
      <c r="W135" s="539">
        <v>89.429495917762068</v>
      </c>
      <c r="X135" s="539">
        <v>91.396098395897667</v>
      </c>
      <c r="Y135" s="539">
        <v>91.629000000000005</v>
      </c>
      <c r="Z135" s="539">
        <v>93.097999999999999</v>
      </c>
      <c r="AA135" s="539">
        <v>86.158746835948051</v>
      </c>
      <c r="AB135" s="539">
        <v>91.113293624102297</v>
      </c>
      <c r="AC135" s="539">
        <v>75.827580563104519</v>
      </c>
      <c r="AD135" s="539">
        <v>93.465925876968853</v>
      </c>
      <c r="AE135" s="539">
        <v>94.184405229030759</v>
      </c>
      <c r="AF135" s="539">
        <v>99.052019991639014</v>
      </c>
      <c r="AG135" s="539">
        <v>79.749622666184408</v>
      </c>
      <c r="AH135" s="539">
        <v>155.7757645833365</v>
      </c>
      <c r="AI135" s="539">
        <v>153.911</v>
      </c>
      <c r="AJ135" s="539">
        <v>165.96</v>
      </c>
      <c r="AK135" s="539">
        <v>169.54193657480846</v>
      </c>
      <c r="AL135" s="975">
        <v>153.9558356855139</v>
      </c>
      <c r="AM135" s="974">
        <v>165.15488090845875</v>
      </c>
      <c r="AO135" s="655" t="s">
        <v>1100</v>
      </c>
    </row>
    <row r="136" spans="1:41" ht="12.75" customHeight="1">
      <c r="A136" s="83" t="s">
        <v>544</v>
      </c>
      <c r="B136" s="52"/>
      <c r="C136" s="52"/>
      <c r="D136" s="52"/>
      <c r="E136" s="52"/>
      <c r="F136" s="52"/>
      <c r="G136" s="52"/>
      <c r="H136" s="52"/>
      <c r="I136" s="52"/>
      <c r="J136" s="52"/>
      <c r="K136" s="52"/>
      <c r="L136" s="52"/>
      <c r="M136" s="52"/>
      <c r="N136" s="52"/>
      <c r="O136" s="52"/>
      <c r="P136" s="52"/>
      <c r="Q136" s="52"/>
      <c r="R136" s="52"/>
      <c r="S136" s="539">
        <v>2.1259999999999999</v>
      </c>
      <c r="T136" s="539">
        <v>2.1850000000000001</v>
      </c>
      <c r="U136" s="539">
        <v>2.25</v>
      </c>
      <c r="V136" s="539">
        <v>2.6779999999999999</v>
      </c>
      <c r="W136" s="539">
        <v>8.2155694428122938</v>
      </c>
      <c r="X136" s="539">
        <v>8.3954518255821107</v>
      </c>
      <c r="Y136" s="539">
        <v>8.4169999999999998</v>
      </c>
      <c r="Z136" s="539">
        <v>8.5519999999999996</v>
      </c>
      <c r="AA136" s="539">
        <v>5.6492680307165282</v>
      </c>
      <c r="AB136" s="539">
        <v>3.1238881009134563</v>
      </c>
      <c r="AC136" s="539">
        <v>2.9932517299577559</v>
      </c>
      <c r="AD136" s="539">
        <v>7.0066993748236968</v>
      </c>
      <c r="AE136" s="539">
        <v>7.0605603811709976</v>
      </c>
      <c r="AF136" s="539">
        <v>7.425462488479539</v>
      </c>
      <c r="AG136" s="539">
        <v>6.8164715973846164</v>
      </c>
      <c r="AH136" s="539">
        <v>11.761083792263657</v>
      </c>
      <c r="AI136" s="539">
        <v>11.62</v>
      </c>
      <c r="AJ136" s="539">
        <v>18.919</v>
      </c>
      <c r="AK136" s="539">
        <v>19.32727443517318</v>
      </c>
      <c r="AL136" s="975">
        <v>17.550505481441341</v>
      </c>
      <c r="AM136" s="974">
        <v>18.827163191082786</v>
      </c>
      <c r="AO136" s="655" t="s">
        <v>1100</v>
      </c>
    </row>
    <row r="137" spans="1:41" ht="12.75" customHeight="1">
      <c r="A137" s="154" t="s">
        <v>3840</v>
      </c>
      <c r="B137" s="155" t="s">
        <v>1100</v>
      </c>
      <c r="C137" s="155" t="s">
        <v>1100</v>
      </c>
      <c r="D137" s="155" t="s">
        <v>1100</v>
      </c>
      <c r="E137" s="155" t="s">
        <v>1100</v>
      </c>
      <c r="F137" s="155" t="s">
        <v>1100</v>
      </c>
      <c r="G137" s="155" t="s">
        <v>1100</v>
      </c>
      <c r="H137" s="155" t="s">
        <v>1100</v>
      </c>
      <c r="I137" s="155" t="s">
        <v>1100</v>
      </c>
      <c r="J137" s="155" t="s">
        <v>1100</v>
      </c>
      <c r="K137" s="155" t="s">
        <v>1100</v>
      </c>
      <c r="L137" s="155" t="s">
        <v>1100</v>
      </c>
      <c r="M137" s="155" t="s">
        <v>1100</v>
      </c>
      <c r="N137" s="155" t="s">
        <v>1100</v>
      </c>
      <c r="O137" s="155" t="s">
        <v>1100</v>
      </c>
      <c r="P137" s="155" t="s">
        <v>1100</v>
      </c>
      <c r="Q137" s="155" t="s">
        <v>1100</v>
      </c>
      <c r="R137" s="155" t="s">
        <v>1100</v>
      </c>
      <c r="S137" s="440">
        <f>SUM(S123:S136)</f>
        <v>593.90000000000009</v>
      </c>
      <c r="T137" s="440">
        <f t="shared" ref="T137:AL137" si="21">SUM(T123:T136)</f>
        <v>610.10000000000014</v>
      </c>
      <c r="U137" s="440">
        <f t="shared" si="21"/>
        <v>663.1</v>
      </c>
      <c r="V137" s="440">
        <f t="shared" si="21"/>
        <v>675.79000000000008</v>
      </c>
      <c r="W137" s="440">
        <f t="shared" si="21"/>
        <v>704.89999999999986</v>
      </c>
      <c r="X137" s="440">
        <f t="shared" si="21"/>
        <v>720.4</v>
      </c>
      <c r="Y137" s="440">
        <f t="shared" si="21"/>
        <v>724.93900000000008</v>
      </c>
      <c r="Z137" s="440">
        <f t="shared" si="21"/>
        <v>733.81699999999989</v>
      </c>
      <c r="AA137" s="440">
        <f t="shared" si="21"/>
        <v>778.17700000000002</v>
      </c>
      <c r="AB137" s="440">
        <f t="shared" si="21"/>
        <v>745.3</v>
      </c>
      <c r="AC137" s="440">
        <f t="shared" si="21"/>
        <v>750.3</v>
      </c>
      <c r="AD137" s="440">
        <f t="shared" si="21"/>
        <v>787.3</v>
      </c>
      <c r="AE137" s="440">
        <f t="shared" si="21"/>
        <v>793.54899999999975</v>
      </c>
      <c r="AF137" s="440">
        <f t="shared" si="21"/>
        <v>834.56099999999981</v>
      </c>
      <c r="AG137" s="440">
        <f t="shared" si="21"/>
        <v>837.87300000000027</v>
      </c>
      <c r="AH137" s="440">
        <f t="shared" si="21"/>
        <v>960.53700000000003</v>
      </c>
      <c r="AI137" s="440">
        <f t="shared" si="21"/>
        <v>949.03699999999992</v>
      </c>
      <c r="AJ137" s="440">
        <f t="shared" si="21"/>
        <v>991.1339999999999</v>
      </c>
      <c r="AK137" s="440">
        <f t="shared" si="21"/>
        <v>1009.2389999999999</v>
      </c>
      <c r="AL137" s="540">
        <f t="shared" si="21"/>
        <v>916.45899999999961</v>
      </c>
      <c r="AM137" s="386">
        <f>SUM(AM123:AM136)</f>
        <v>983.12400000000002</v>
      </c>
      <c r="AO137" s="656" t="s">
        <v>1100</v>
      </c>
    </row>
    <row r="139" spans="1:41" ht="12.75" customHeight="1">
      <c r="A139" s="74" t="s">
        <v>2255</v>
      </c>
      <c r="B139" s="626" t="s">
        <v>166</v>
      </c>
      <c r="C139" s="626" t="s">
        <v>163</v>
      </c>
      <c r="D139" s="626" t="s">
        <v>160</v>
      </c>
      <c r="E139" s="626" t="s">
        <v>157</v>
      </c>
      <c r="F139" s="626" t="s">
        <v>153</v>
      </c>
      <c r="G139" s="626" t="s">
        <v>149</v>
      </c>
      <c r="H139" s="626" t="s">
        <v>146</v>
      </c>
      <c r="I139" s="626" t="s">
        <v>142</v>
      </c>
      <c r="J139" s="626" t="s">
        <v>139</v>
      </c>
      <c r="K139" s="626" t="s">
        <v>136</v>
      </c>
      <c r="L139" s="626" t="s">
        <v>132</v>
      </c>
      <c r="M139" s="626" t="s">
        <v>208</v>
      </c>
      <c r="N139" s="626" t="s">
        <v>126</v>
      </c>
      <c r="O139" s="626" t="s">
        <v>123</v>
      </c>
      <c r="P139" s="626" t="s">
        <v>120</v>
      </c>
      <c r="Q139" s="626" t="s">
        <v>117</v>
      </c>
      <c r="R139" s="626" t="s">
        <v>114</v>
      </c>
      <c r="S139" s="626" t="s">
        <v>111</v>
      </c>
      <c r="T139" s="626" t="s">
        <v>108</v>
      </c>
      <c r="U139" s="626" t="s">
        <v>104</v>
      </c>
      <c r="V139" s="626" t="s">
        <v>101</v>
      </c>
      <c r="W139" s="626" t="s">
        <v>98</v>
      </c>
      <c r="X139" s="626" t="s">
        <v>95</v>
      </c>
      <c r="Y139" s="626" t="s">
        <v>91</v>
      </c>
      <c r="Z139" s="626" t="s">
        <v>87</v>
      </c>
      <c r="AA139" s="626" t="s">
        <v>83</v>
      </c>
      <c r="AB139" s="626" t="s">
        <v>79</v>
      </c>
      <c r="AC139" s="626" t="s">
        <v>75</v>
      </c>
      <c r="AD139" s="626" t="s">
        <v>72</v>
      </c>
      <c r="AE139" s="626" t="s">
        <v>69</v>
      </c>
      <c r="AF139" s="626" t="s">
        <v>66</v>
      </c>
      <c r="AG139" s="626" t="s">
        <v>62</v>
      </c>
      <c r="AH139" s="626" t="s">
        <v>59</v>
      </c>
      <c r="AI139" s="626" t="s">
        <v>55</v>
      </c>
      <c r="AJ139" s="626" t="s">
        <v>52</v>
      </c>
      <c r="AK139" s="626" t="s">
        <v>49</v>
      </c>
      <c r="AL139" s="587" t="s">
        <v>46</v>
      </c>
      <c r="AM139" s="663" t="s">
        <v>42</v>
      </c>
      <c r="AO139" s="640" t="s">
        <v>227</v>
      </c>
    </row>
    <row r="140" spans="1:41" ht="12.75" customHeight="1">
      <c r="A140" s="83" t="s">
        <v>393</v>
      </c>
      <c r="B140" s="52"/>
      <c r="C140" s="52"/>
      <c r="D140" s="52"/>
      <c r="E140" s="52"/>
      <c r="F140" s="52"/>
      <c r="G140" s="52"/>
      <c r="H140" s="52"/>
      <c r="I140" s="52"/>
      <c r="J140" s="52"/>
      <c r="K140" s="52"/>
      <c r="L140" s="52"/>
      <c r="M140" s="52"/>
      <c r="N140" s="52"/>
      <c r="O140" s="52"/>
      <c r="P140" s="52"/>
      <c r="Q140" s="52"/>
      <c r="R140" s="52"/>
      <c r="S140" s="387">
        <v>0</v>
      </c>
      <c r="T140" s="387">
        <v>0</v>
      </c>
      <c r="U140" s="387">
        <v>0</v>
      </c>
      <c r="V140" s="387">
        <v>0</v>
      </c>
      <c r="W140" s="387">
        <v>16.75</v>
      </c>
      <c r="X140" s="387">
        <v>14.2</v>
      </c>
      <c r="Y140" s="387">
        <v>0</v>
      </c>
      <c r="Z140" s="387">
        <v>0</v>
      </c>
      <c r="AA140" s="387">
        <v>12.188000000000001</v>
      </c>
      <c r="AB140" s="387">
        <v>15.510999999999999</v>
      </c>
      <c r="AC140" s="387">
        <v>23.128</v>
      </c>
      <c r="AD140" s="387">
        <v>22.111000000000001</v>
      </c>
      <c r="AE140" s="387">
        <v>43.171999999999997</v>
      </c>
      <c r="AF140" s="387">
        <v>25.472999999999999</v>
      </c>
      <c r="AG140" s="387">
        <v>36.42</v>
      </c>
      <c r="AH140" s="387">
        <v>36.661999999999999</v>
      </c>
      <c r="AI140" s="387">
        <v>37.497999999999998</v>
      </c>
      <c r="AJ140" s="387">
        <v>46.216999999999999</v>
      </c>
      <c r="AK140" s="387">
        <v>41.375</v>
      </c>
      <c r="AL140" s="805">
        <v>111.11</v>
      </c>
      <c r="AM140" s="970">
        <v>82.641000000000005</v>
      </c>
      <c r="AO140" s="655" t="s">
        <v>1100</v>
      </c>
    </row>
    <row r="141" spans="1:41" ht="12.75" customHeight="1">
      <c r="A141" s="83" t="s">
        <v>406</v>
      </c>
      <c r="B141" s="52"/>
      <c r="C141" s="52"/>
      <c r="D141" s="52"/>
      <c r="E141" s="52"/>
      <c r="F141" s="52"/>
      <c r="G141" s="52"/>
      <c r="H141" s="52"/>
      <c r="I141" s="52"/>
      <c r="J141" s="52"/>
      <c r="K141" s="52"/>
      <c r="L141" s="52"/>
      <c r="M141" s="52"/>
      <c r="N141" s="52"/>
      <c r="O141" s="52"/>
      <c r="P141" s="52"/>
      <c r="Q141" s="52"/>
      <c r="R141" s="52"/>
      <c r="S141" s="387">
        <v>0</v>
      </c>
      <c r="T141" s="387">
        <v>0</v>
      </c>
      <c r="U141" s="387">
        <v>0</v>
      </c>
      <c r="V141" s="387">
        <v>0</v>
      </c>
      <c r="W141" s="387">
        <v>4.5999999999999996</v>
      </c>
      <c r="X141" s="387">
        <v>13.41</v>
      </c>
      <c r="Y141" s="387">
        <v>0</v>
      </c>
      <c r="Z141" s="387">
        <v>0</v>
      </c>
      <c r="AA141" s="387">
        <v>7.8929999999999998</v>
      </c>
      <c r="AB141" s="387">
        <v>10.045</v>
      </c>
      <c r="AC141" s="387">
        <v>10.528</v>
      </c>
      <c r="AD141" s="387">
        <v>12.861000000000001</v>
      </c>
      <c r="AE141" s="387">
        <v>20.718</v>
      </c>
      <c r="AF141" s="387">
        <v>13.510999999999999</v>
      </c>
      <c r="AG141" s="387">
        <v>13.85</v>
      </c>
      <c r="AH141" s="387">
        <v>19.556000000000001</v>
      </c>
      <c r="AI141" s="387">
        <v>19.588000000000001</v>
      </c>
      <c r="AJ141" s="387">
        <v>28.28</v>
      </c>
      <c r="AK141" s="387">
        <v>16.138000000000002</v>
      </c>
      <c r="AL141" s="805">
        <v>25.62</v>
      </c>
      <c r="AM141" s="970">
        <v>27.574000000000002</v>
      </c>
      <c r="AO141" s="655" t="s">
        <v>1100</v>
      </c>
    </row>
    <row r="142" spans="1:41" ht="12.75" customHeight="1">
      <c r="A142" s="83" t="s">
        <v>734</v>
      </c>
      <c r="B142" s="52"/>
      <c r="C142" s="52"/>
      <c r="D142" s="52"/>
      <c r="E142" s="52"/>
      <c r="F142" s="52"/>
      <c r="G142" s="52"/>
      <c r="H142" s="52"/>
      <c r="I142" s="52"/>
      <c r="J142" s="52"/>
      <c r="K142" s="52"/>
      <c r="L142" s="52"/>
      <c r="M142" s="52"/>
      <c r="N142" s="52"/>
      <c r="O142" s="52"/>
      <c r="P142" s="52"/>
      <c r="Q142" s="52"/>
      <c r="R142" s="52"/>
      <c r="S142" s="387">
        <v>0</v>
      </c>
      <c r="T142" s="387">
        <v>0</v>
      </c>
      <c r="U142" s="387">
        <v>0</v>
      </c>
      <c r="V142" s="387">
        <v>0</v>
      </c>
      <c r="W142" s="387">
        <v>12.76</v>
      </c>
      <c r="X142" s="387">
        <v>5.94</v>
      </c>
      <c r="Y142" s="387">
        <v>0</v>
      </c>
      <c r="Z142" s="387">
        <v>0</v>
      </c>
      <c r="AA142" s="387">
        <v>2.681</v>
      </c>
      <c r="AB142" s="387">
        <v>6.8239999999999998</v>
      </c>
      <c r="AC142" s="387">
        <v>8.6440000000000001</v>
      </c>
      <c r="AD142" s="387">
        <v>8.8170000000000002</v>
      </c>
      <c r="AE142" s="387">
        <v>9.0374250000000007</v>
      </c>
      <c r="AF142" s="387">
        <v>9.2633609999999997</v>
      </c>
      <c r="AG142" s="387">
        <v>9.7479999999999993</v>
      </c>
      <c r="AH142" s="387">
        <v>12.157999999999999</v>
      </c>
      <c r="AI142" s="387">
        <v>10.236000000000001</v>
      </c>
      <c r="AJ142" s="387">
        <v>10.488</v>
      </c>
      <c r="AK142" s="387">
        <v>10.378</v>
      </c>
      <c r="AL142" s="805">
        <v>12.97</v>
      </c>
      <c r="AM142" s="970">
        <v>13.147</v>
      </c>
      <c r="AO142" s="655" t="s">
        <v>1100</v>
      </c>
    </row>
    <row r="143" spans="1:41" ht="12.75" customHeight="1">
      <c r="A143" s="83" t="s">
        <v>510</v>
      </c>
      <c r="B143" s="52"/>
      <c r="C143" s="52"/>
      <c r="D143" s="52"/>
      <c r="E143" s="52"/>
      <c r="F143" s="52"/>
      <c r="G143" s="52"/>
      <c r="H143" s="52"/>
      <c r="I143" s="52"/>
      <c r="J143" s="52"/>
      <c r="K143" s="52"/>
      <c r="L143" s="52"/>
      <c r="M143" s="52"/>
      <c r="N143" s="52"/>
      <c r="O143" s="52"/>
      <c r="P143" s="52"/>
      <c r="Q143" s="52"/>
      <c r="R143" s="52"/>
      <c r="S143" s="387">
        <v>0</v>
      </c>
      <c r="T143" s="387">
        <v>0</v>
      </c>
      <c r="U143" s="387">
        <v>0</v>
      </c>
      <c r="V143" s="387">
        <v>0</v>
      </c>
      <c r="W143" s="387">
        <v>0</v>
      </c>
      <c r="X143" s="387">
        <v>0</v>
      </c>
      <c r="Y143" s="387">
        <v>0</v>
      </c>
      <c r="Z143" s="387">
        <v>0</v>
      </c>
      <c r="AA143" s="387">
        <v>0</v>
      </c>
      <c r="AB143" s="387"/>
      <c r="AC143" s="387">
        <v>0</v>
      </c>
      <c r="AD143" s="387">
        <v>0</v>
      </c>
      <c r="AE143" s="387">
        <v>0</v>
      </c>
      <c r="AF143" s="387">
        <v>0</v>
      </c>
      <c r="AG143" s="387">
        <v>0</v>
      </c>
      <c r="AH143" s="387">
        <v>0</v>
      </c>
      <c r="AI143" s="387">
        <v>0</v>
      </c>
      <c r="AJ143" s="387">
        <v>0</v>
      </c>
      <c r="AK143" s="387">
        <v>0</v>
      </c>
      <c r="AL143" s="805">
        <v>0</v>
      </c>
      <c r="AM143" s="970">
        <v>0</v>
      </c>
      <c r="AO143" s="655" t="s">
        <v>1100</v>
      </c>
    </row>
    <row r="144" spans="1:41" ht="12.75" customHeight="1">
      <c r="A144" s="83" t="s">
        <v>409</v>
      </c>
      <c r="B144" s="52"/>
      <c r="C144" s="52"/>
      <c r="D144" s="52"/>
      <c r="E144" s="52"/>
      <c r="F144" s="52"/>
      <c r="G144" s="52"/>
      <c r="H144" s="52"/>
      <c r="I144" s="52"/>
      <c r="J144" s="52"/>
      <c r="K144" s="52"/>
      <c r="L144" s="52"/>
      <c r="M144" s="52"/>
      <c r="N144" s="52"/>
      <c r="O144" s="52"/>
      <c r="P144" s="52"/>
      <c r="Q144" s="52"/>
      <c r="R144" s="52"/>
      <c r="S144" s="387">
        <v>0</v>
      </c>
      <c r="T144" s="387">
        <v>0</v>
      </c>
      <c r="U144" s="387">
        <v>0</v>
      </c>
      <c r="V144" s="387">
        <v>0</v>
      </c>
      <c r="W144" s="387">
        <v>0</v>
      </c>
      <c r="X144" s="387">
        <v>0</v>
      </c>
      <c r="Y144" s="387">
        <v>0</v>
      </c>
      <c r="Z144" s="387">
        <v>0</v>
      </c>
      <c r="AA144" s="387">
        <v>0.96</v>
      </c>
      <c r="AB144" s="387">
        <v>0.504</v>
      </c>
      <c r="AC144" s="387">
        <v>1.0489999999999999</v>
      </c>
      <c r="AD144" s="387">
        <v>1.071</v>
      </c>
      <c r="AE144" s="387">
        <v>0</v>
      </c>
      <c r="AF144" s="387">
        <v>0</v>
      </c>
      <c r="AG144" s="387">
        <v>0</v>
      </c>
      <c r="AH144" s="387">
        <v>0</v>
      </c>
      <c r="AI144" s="387">
        <v>0</v>
      </c>
      <c r="AJ144" s="387">
        <v>0</v>
      </c>
      <c r="AK144" s="387">
        <v>0</v>
      </c>
      <c r="AL144" s="805">
        <v>0</v>
      </c>
      <c r="AM144" s="970">
        <v>0</v>
      </c>
      <c r="AO144" s="655" t="s">
        <v>1100</v>
      </c>
    </row>
    <row r="145" spans="1:41" ht="12.75" customHeight="1">
      <c r="A145" s="83" t="s">
        <v>389</v>
      </c>
      <c r="B145" s="52"/>
      <c r="C145" s="52"/>
      <c r="D145" s="52"/>
      <c r="E145" s="52"/>
      <c r="F145" s="52"/>
      <c r="G145" s="52"/>
      <c r="H145" s="52"/>
      <c r="I145" s="52"/>
      <c r="J145" s="52"/>
      <c r="K145" s="52"/>
      <c r="L145" s="52"/>
      <c r="M145" s="52"/>
      <c r="N145" s="52"/>
      <c r="O145" s="52"/>
      <c r="P145" s="52"/>
      <c r="Q145" s="52"/>
      <c r="R145" s="52"/>
      <c r="S145" s="387">
        <v>0</v>
      </c>
      <c r="T145" s="387">
        <v>0</v>
      </c>
      <c r="U145" s="387">
        <v>0</v>
      </c>
      <c r="V145" s="387">
        <v>0</v>
      </c>
      <c r="W145" s="387">
        <v>8.1999999999999993</v>
      </c>
      <c r="X145" s="387">
        <v>8</v>
      </c>
      <c r="Y145" s="387">
        <v>0</v>
      </c>
      <c r="Z145" s="387">
        <v>0</v>
      </c>
      <c r="AA145" s="387">
        <v>6.6749999999999998</v>
      </c>
      <c r="AB145" s="387">
        <v>8.4949999999999992</v>
      </c>
      <c r="AC145" s="387">
        <v>12.192</v>
      </c>
      <c r="AD145" s="387">
        <v>12.436</v>
      </c>
      <c r="AE145" s="387">
        <v>41.185000000000002</v>
      </c>
      <c r="AF145" s="387">
        <v>13.465</v>
      </c>
      <c r="AG145" s="387">
        <v>14.278</v>
      </c>
      <c r="AH145" s="387">
        <v>16.504000000000001</v>
      </c>
      <c r="AI145" s="387">
        <v>17.803999999999998</v>
      </c>
      <c r="AJ145" s="387">
        <v>17.62</v>
      </c>
      <c r="AK145" s="387">
        <v>14.638</v>
      </c>
      <c r="AL145" s="805">
        <v>25.03</v>
      </c>
      <c r="AM145" s="970">
        <v>0</v>
      </c>
      <c r="AO145" s="655" t="s">
        <v>1100</v>
      </c>
    </row>
    <row r="146" spans="1:41" ht="12.75" customHeight="1">
      <c r="A146" s="83" t="s">
        <v>703</v>
      </c>
      <c r="B146" s="52"/>
      <c r="C146" s="52"/>
      <c r="D146" s="52"/>
      <c r="E146" s="52"/>
      <c r="F146" s="52"/>
      <c r="G146" s="52"/>
      <c r="H146" s="52"/>
      <c r="I146" s="52"/>
      <c r="J146" s="52"/>
      <c r="K146" s="52"/>
      <c r="L146" s="52"/>
      <c r="M146" s="52"/>
      <c r="N146" s="52"/>
      <c r="O146" s="52"/>
      <c r="P146" s="52"/>
      <c r="Q146" s="52"/>
      <c r="R146" s="52"/>
      <c r="S146" s="387">
        <v>0</v>
      </c>
      <c r="T146" s="387">
        <v>0</v>
      </c>
      <c r="U146" s="387">
        <v>0</v>
      </c>
      <c r="V146" s="387">
        <v>0</v>
      </c>
      <c r="W146" s="387">
        <v>9.5500000000000007</v>
      </c>
      <c r="X146" s="387">
        <v>14.79</v>
      </c>
      <c r="Y146" s="387">
        <v>0</v>
      </c>
      <c r="Z146" s="387">
        <v>0</v>
      </c>
      <c r="AA146" s="387">
        <v>5.2430000000000003</v>
      </c>
      <c r="AB146" s="387">
        <v>6.6719999999999997</v>
      </c>
      <c r="AC146" s="387">
        <v>7.9109999999999996</v>
      </c>
      <c r="AD146" s="387">
        <v>8.07</v>
      </c>
      <c r="AE146" s="387">
        <v>22.311</v>
      </c>
      <c r="AF146" s="387">
        <v>8.4789999999999992</v>
      </c>
      <c r="AG146" s="387">
        <v>13.521000000000001</v>
      </c>
      <c r="AH146" s="387">
        <v>16.672000000000001</v>
      </c>
      <c r="AI146" s="387">
        <v>17.364000000000001</v>
      </c>
      <c r="AJ146" s="387">
        <v>17.484000000000002</v>
      </c>
      <c r="AK146" s="387">
        <v>9.5</v>
      </c>
      <c r="AL146" s="805">
        <v>22.588000000000001</v>
      </c>
      <c r="AM146" s="970">
        <v>30.67</v>
      </c>
      <c r="AO146" s="655" t="s">
        <v>1100</v>
      </c>
    </row>
    <row r="147" spans="1:41" ht="12.75" customHeight="1">
      <c r="A147" s="83" t="s">
        <v>234</v>
      </c>
      <c r="B147" s="52"/>
      <c r="C147" s="52"/>
      <c r="D147" s="52"/>
      <c r="E147" s="52"/>
      <c r="F147" s="52"/>
      <c r="G147" s="52"/>
      <c r="H147" s="52"/>
      <c r="I147" s="52"/>
      <c r="J147" s="52"/>
      <c r="K147" s="52"/>
      <c r="L147" s="52"/>
      <c r="M147" s="52"/>
      <c r="N147" s="52"/>
      <c r="O147" s="52"/>
      <c r="P147" s="52"/>
      <c r="Q147" s="52"/>
      <c r="R147" s="52"/>
      <c r="S147" s="387">
        <v>0</v>
      </c>
      <c r="T147" s="387">
        <v>0</v>
      </c>
      <c r="U147" s="387">
        <v>0</v>
      </c>
      <c r="V147" s="387">
        <v>0</v>
      </c>
      <c r="W147" s="387">
        <v>11.12</v>
      </c>
      <c r="X147" s="387">
        <v>5.16</v>
      </c>
      <c r="Y147" s="387">
        <v>0</v>
      </c>
      <c r="Z147" s="387">
        <v>0</v>
      </c>
      <c r="AA147" s="387">
        <v>4.1130000000000004</v>
      </c>
      <c r="AB147" s="387">
        <v>9.3480000000000008</v>
      </c>
      <c r="AC147" s="387">
        <v>8.0449999999999999</v>
      </c>
      <c r="AD147" s="387">
        <v>9.6890000000000001</v>
      </c>
      <c r="AE147" s="387">
        <v>13.952</v>
      </c>
      <c r="AF147" s="387">
        <v>10.18</v>
      </c>
      <c r="AG147" s="387">
        <v>10.433999999999999</v>
      </c>
      <c r="AH147" s="387">
        <v>12.025</v>
      </c>
      <c r="AI147" s="387">
        <v>11.321999999999999</v>
      </c>
      <c r="AJ147" s="387">
        <v>19.190000000000001</v>
      </c>
      <c r="AK147" s="387">
        <v>11.404</v>
      </c>
      <c r="AL147" s="805">
        <v>27.37</v>
      </c>
      <c r="AM147" s="970">
        <v>26.411000000000001</v>
      </c>
      <c r="AO147" s="655" t="s">
        <v>1100</v>
      </c>
    </row>
    <row r="148" spans="1:41" ht="12.75" customHeight="1">
      <c r="A148" s="83" t="s">
        <v>701</v>
      </c>
      <c r="B148" s="52"/>
      <c r="C148" s="52"/>
      <c r="D148" s="52"/>
      <c r="E148" s="52"/>
      <c r="F148" s="52"/>
      <c r="G148" s="52"/>
      <c r="H148" s="52"/>
      <c r="I148" s="52"/>
      <c r="J148" s="52"/>
      <c r="K148" s="52"/>
      <c r="L148" s="52"/>
      <c r="M148" s="52"/>
      <c r="N148" s="52"/>
      <c r="O148" s="52"/>
      <c r="P148" s="52"/>
      <c r="Q148" s="52"/>
      <c r="R148" s="52"/>
      <c r="S148" s="387">
        <v>0</v>
      </c>
      <c r="T148" s="387">
        <v>0</v>
      </c>
      <c r="U148" s="387">
        <v>0</v>
      </c>
      <c r="V148" s="387">
        <v>0</v>
      </c>
      <c r="W148" s="387">
        <v>0</v>
      </c>
      <c r="X148" s="387">
        <v>0</v>
      </c>
      <c r="Y148" s="387">
        <v>0</v>
      </c>
      <c r="Z148" s="387">
        <v>0</v>
      </c>
      <c r="AA148" s="387">
        <v>0</v>
      </c>
      <c r="AB148" s="387">
        <v>0</v>
      </c>
      <c r="AC148" s="387">
        <v>0</v>
      </c>
      <c r="AD148" s="387">
        <v>0</v>
      </c>
      <c r="AE148" s="387">
        <v>0</v>
      </c>
      <c r="AF148" s="387">
        <v>0</v>
      </c>
      <c r="AG148" s="387">
        <v>0</v>
      </c>
      <c r="AH148" s="387">
        <v>0</v>
      </c>
      <c r="AI148" s="387">
        <v>0</v>
      </c>
      <c r="AJ148" s="387">
        <v>0</v>
      </c>
      <c r="AK148" s="387">
        <v>0</v>
      </c>
      <c r="AL148" s="805">
        <v>0</v>
      </c>
      <c r="AM148" s="970">
        <v>0</v>
      </c>
      <c r="AO148" s="655" t="s">
        <v>1100</v>
      </c>
    </row>
    <row r="149" spans="1:41" ht="12.75" customHeight="1">
      <c r="A149" s="83" t="s">
        <v>1324</v>
      </c>
      <c r="B149" s="52"/>
      <c r="C149" s="52"/>
      <c r="D149" s="52"/>
      <c r="E149" s="52"/>
      <c r="F149" s="52"/>
      <c r="G149" s="52"/>
      <c r="H149" s="52"/>
      <c r="I149" s="52"/>
      <c r="J149" s="52"/>
      <c r="K149" s="52"/>
      <c r="L149" s="52"/>
      <c r="M149" s="52"/>
      <c r="N149" s="52"/>
      <c r="O149" s="52"/>
      <c r="P149" s="52"/>
      <c r="Q149" s="52"/>
      <c r="R149" s="52"/>
      <c r="S149" s="387">
        <v>0</v>
      </c>
      <c r="T149" s="387">
        <v>0</v>
      </c>
      <c r="U149" s="387">
        <v>0</v>
      </c>
      <c r="V149" s="387">
        <v>0</v>
      </c>
      <c r="W149" s="387">
        <v>0</v>
      </c>
      <c r="X149" s="387">
        <v>0</v>
      </c>
      <c r="Y149" s="387">
        <v>0</v>
      </c>
      <c r="Z149" s="387">
        <v>0</v>
      </c>
      <c r="AA149" s="387">
        <v>0</v>
      </c>
      <c r="AB149" s="387">
        <v>0</v>
      </c>
      <c r="AC149" s="387">
        <v>0</v>
      </c>
      <c r="AD149" s="387">
        <v>0</v>
      </c>
      <c r="AE149" s="387">
        <v>0</v>
      </c>
      <c r="AF149" s="387">
        <v>0</v>
      </c>
      <c r="AG149" s="387">
        <v>0</v>
      </c>
      <c r="AH149" s="387">
        <v>0</v>
      </c>
      <c r="AI149" s="387">
        <v>0</v>
      </c>
      <c r="AJ149" s="387">
        <v>0</v>
      </c>
      <c r="AK149" s="387">
        <v>0</v>
      </c>
      <c r="AL149" s="805">
        <v>0</v>
      </c>
      <c r="AM149" s="970">
        <v>0</v>
      </c>
      <c r="AO149" s="655" t="s">
        <v>1100</v>
      </c>
    </row>
    <row r="150" spans="1:41" ht="12.75" customHeight="1">
      <c r="A150" s="83" t="s">
        <v>362</v>
      </c>
      <c r="B150" s="52"/>
      <c r="C150" s="52"/>
      <c r="D150" s="52"/>
      <c r="E150" s="52"/>
      <c r="F150" s="52"/>
      <c r="G150" s="52"/>
      <c r="H150" s="52"/>
      <c r="I150" s="52"/>
      <c r="J150" s="52"/>
      <c r="K150" s="52"/>
      <c r="L150" s="52"/>
      <c r="M150" s="52"/>
      <c r="N150" s="52"/>
      <c r="O150" s="52"/>
      <c r="P150" s="52"/>
      <c r="Q150" s="52"/>
      <c r="R150" s="52"/>
      <c r="S150" s="387">
        <v>0</v>
      </c>
      <c r="T150" s="387">
        <v>0</v>
      </c>
      <c r="U150" s="387">
        <v>0</v>
      </c>
      <c r="V150" s="387">
        <v>0</v>
      </c>
      <c r="W150" s="387">
        <v>0</v>
      </c>
      <c r="X150" s="387">
        <v>0</v>
      </c>
      <c r="Y150" s="387">
        <v>0</v>
      </c>
      <c r="Z150" s="387">
        <v>0</v>
      </c>
      <c r="AA150" s="387">
        <v>0</v>
      </c>
      <c r="AB150" s="387">
        <v>0</v>
      </c>
      <c r="AC150" s="387">
        <v>0</v>
      </c>
      <c r="AD150" s="387">
        <v>0</v>
      </c>
      <c r="AE150" s="387">
        <v>0</v>
      </c>
      <c r="AF150" s="387">
        <v>0</v>
      </c>
      <c r="AG150" s="387">
        <v>0</v>
      </c>
      <c r="AH150" s="387">
        <v>0</v>
      </c>
      <c r="AI150" s="387">
        <v>0</v>
      </c>
      <c r="AJ150" s="387">
        <v>0</v>
      </c>
      <c r="AK150" s="387">
        <v>0</v>
      </c>
      <c r="AL150" s="805">
        <v>0</v>
      </c>
      <c r="AM150" s="970">
        <v>0</v>
      </c>
      <c r="AO150" s="655" t="s">
        <v>1100</v>
      </c>
    </row>
    <row r="151" spans="1:41" ht="12.75" customHeight="1">
      <c r="A151" s="83" t="s">
        <v>669</v>
      </c>
      <c r="B151" s="52"/>
      <c r="C151" s="52"/>
      <c r="D151" s="52"/>
      <c r="E151" s="52"/>
      <c r="F151" s="52"/>
      <c r="G151" s="52"/>
      <c r="H151" s="52"/>
      <c r="I151" s="52"/>
      <c r="J151" s="52"/>
      <c r="K151" s="52"/>
      <c r="L151" s="52"/>
      <c r="M151" s="52"/>
      <c r="N151" s="52"/>
      <c r="O151" s="52"/>
      <c r="P151" s="52"/>
      <c r="Q151" s="52"/>
      <c r="R151" s="52"/>
      <c r="S151" s="387">
        <v>0</v>
      </c>
      <c r="T151" s="387">
        <v>0</v>
      </c>
      <c r="U151" s="387">
        <v>0</v>
      </c>
      <c r="V151" s="387">
        <v>0</v>
      </c>
      <c r="W151" s="387">
        <v>0</v>
      </c>
      <c r="X151" s="387">
        <v>0</v>
      </c>
      <c r="Y151" s="387">
        <v>0</v>
      </c>
      <c r="Z151" s="387">
        <v>0</v>
      </c>
      <c r="AA151" s="387">
        <v>0</v>
      </c>
      <c r="AB151" s="387">
        <v>0</v>
      </c>
      <c r="AC151" s="387">
        <v>0</v>
      </c>
      <c r="AD151" s="387">
        <v>0</v>
      </c>
      <c r="AE151" s="387">
        <v>0</v>
      </c>
      <c r="AF151" s="387">
        <v>0</v>
      </c>
      <c r="AG151" s="387">
        <v>0</v>
      </c>
      <c r="AH151" s="387">
        <v>0</v>
      </c>
      <c r="AI151" s="387">
        <v>0</v>
      </c>
      <c r="AJ151" s="387">
        <v>0</v>
      </c>
      <c r="AK151" s="387">
        <v>0</v>
      </c>
      <c r="AL151" s="805">
        <v>0</v>
      </c>
      <c r="AM151" s="970">
        <v>0</v>
      </c>
      <c r="AO151" s="655" t="s">
        <v>1100</v>
      </c>
    </row>
    <row r="152" spans="1:41" ht="12.75" customHeight="1">
      <c r="A152" s="83" t="s">
        <v>397</v>
      </c>
      <c r="B152" s="52"/>
      <c r="C152" s="52"/>
      <c r="D152" s="52"/>
      <c r="E152" s="52"/>
      <c r="F152" s="52"/>
      <c r="G152" s="52"/>
      <c r="H152" s="52"/>
      <c r="I152" s="52"/>
      <c r="J152" s="52"/>
      <c r="K152" s="52"/>
      <c r="L152" s="52"/>
      <c r="M152" s="52"/>
      <c r="N152" s="52"/>
      <c r="O152" s="52"/>
      <c r="P152" s="52"/>
      <c r="Q152" s="52"/>
      <c r="R152" s="52"/>
      <c r="S152" s="387">
        <v>13.146000000000001</v>
      </c>
      <c r="T152" s="387">
        <v>78.195999999999998</v>
      </c>
      <c r="U152" s="387">
        <v>120.59699999999999</v>
      </c>
      <c r="V152" s="387">
        <v>102.8</v>
      </c>
      <c r="W152" s="387">
        <v>41.13</v>
      </c>
      <c r="X152" s="387">
        <v>45.59</v>
      </c>
      <c r="Y152" s="387">
        <v>0</v>
      </c>
      <c r="Z152" s="387">
        <v>0</v>
      </c>
      <c r="AA152" s="387">
        <v>40.347000000000001</v>
      </c>
      <c r="AB152" s="387">
        <v>42.701000000000001</v>
      </c>
      <c r="AC152" s="387">
        <v>78.503</v>
      </c>
      <c r="AD152" s="387">
        <v>74.944999999999993</v>
      </c>
      <c r="AE152" s="387">
        <v>270.89100000000002</v>
      </c>
      <c r="AF152" s="387">
        <v>80.450148999999996</v>
      </c>
      <c r="AG152" s="387">
        <v>81.653999999999996</v>
      </c>
      <c r="AH152" s="387">
        <v>142.773</v>
      </c>
      <c r="AI152" s="387">
        <v>159.755</v>
      </c>
      <c r="AJ152" s="387">
        <v>146.76400000000001</v>
      </c>
      <c r="AK152" s="387">
        <v>298.85699999999997</v>
      </c>
      <c r="AL152" s="805">
        <v>277.95999999999998</v>
      </c>
      <c r="AM152" s="970">
        <v>284.31</v>
      </c>
      <c r="AO152" s="655" t="s">
        <v>1100</v>
      </c>
    </row>
    <row r="153" spans="1:41" ht="12.75" customHeight="1">
      <c r="A153" s="83" t="s">
        <v>544</v>
      </c>
      <c r="B153" s="52"/>
      <c r="C153" s="52"/>
      <c r="D153" s="52"/>
      <c r="E153" s="52"/>
      <c r="F153" s="52"/>
      <c r="G153" s="52"/>
      <c r="H153" s="52"/>
      <c r="I153" s="52"/>
      <c r="J153" s="52"/>
      <c r="K153" s="52"/>
      <c r="L153" s="52"/>
      <c r="M153" s="52"/>
      <c r="N153" s="52"/>
      <c r="O153" s="52"/>
      <c r="P153" s="52"/>
      <c r="Q153" s="52"/>
      <c r="R153" s="52"/>
      <c r="S153" s="387">
        <v>0</v>
      </c>
      <c r="T153" s="387">
        <v>0</v>
      </c>
      <c r="U153" s="387">
        <v>0</v>
      </c>
      <c r="V153" s="387">
        <v>0</v>
      </c>
      <c r="W153" s="387">
        <v>0</v>
      </c>
      <c r="X153" s="387">
        <v>0</v>
      </c>
      <c r="Y153" s="387">
        <v>0</v>
      </c>
      <c r="Z153" s="387">
        <v>0</v>
      </c>
      <c r="AA153" s="387">
        <v>0</v>
      </c>
      <c r="AB153" s="387">
        <v>0</v>
      </c>
      <c r="AC153" s="387">
        <v>0</v>
      </c>
      <c r="AD153" s="387">
        <v>0</v>
      </c>
      <c r="AE153" s="387">
        <v>0</v>
      </c>
      <c r="AF153" s="387">
        <v>0</v>
      </c>
      <c r="AG153" s="387">
        <v>0</v>
      </c>
      <c r="AH153" s="387">
        <v>0</v>
      </c>
      <c r="AI153" s="387">
        <v>0</v>
      </c>
      <c r="AJ153" s="387">
        <v>0</v>
      </c>
      <c r="AK153" s="387">
        <v>0</v>
      </c>
      <c r="AL153" s="805">
        <v>0</v>
      </c>
      <c r="AM153" s="970">
        <v>0</v>
      </c>
      <c r="AO153" s="655" t="s">
        <v>1100</v>
      </c>
    </row>
    <row r="154" spans="1:41" ht="12.75" customHeight="1">
      <c r="A154" s="154" t="s">
        <v>3841</v>
      </c>
      <c r="B154" s="155" t="s">
        <v>1100</v>
      </c>
      <c r="C154" s="155" t="s">
        <v>1100</v>
      </c>
      <c r="D154" s="155" t="s">
        <v>1100</v>
      </c>
      <c r="E154" s="155" t="s">
        <v>1100</v>
      </c>
      <c r="F154" s="155" t="s">
        <v>1100</v>
      </c>
      <c r="G154" s="155" t="s">
        <v>1100</v>
      </c>
      <c r="H154" s="155" t="s">
        <v>1100</v>
      </c>
      <c r="I154" s="155" t="s">
        <v>1100</v>
      </c>
      <c r="J154" s="155" t="s">
        <v>1100</v>
      </c>
      <c r="K154" s="155" t="s">
        <v>1100</v>
      </c>
      <c r="L154" s="155" t="s">
        <v>1100</v>
      </c>
      <c r="M154" s="155" t="s">
        <v>1100</v>
      </c>
      <c r="N154" s="155" t="s">
        <v>1100</v>
      </c>
      <c r="O154" s="155" t="s">
        <v>1100</v>
      </c>
      <c r="P154" s="155" t="s">
        <v>1100</v>
      </c>
      <c r="Q154" s="155" t="s">
        <v>1100</v>
      </c>
      <c r="R154" s="155" t="s">
        <v>1100</v>
      </c>
      <c r="S154" s="176">
        <f>SUM(S140:S153)</f>
        <v>13.146000000000001</v>
      </c>
      <c r="T154" s="176">
        <f t="shared" ref="T154:AL154" si="22">SUM(T140:T153)</f>
        <v>78.195999999999998</v>
      </c>
      <c r="U154" s="176">
        <f t="shared" si="22"/>
        <v>120.59699999999999</v>
      </c>
      <c r="V154" s="176">
        <f t="shared" si="22"/>
        <v>102.8</v>
      </c>
      <c r="W154" s="176">
        <f t="shared" si="22"/>
        <v>104.11</v>
      </c>
      <c r="X154" s="176">
        <f t="shared" si="22"/>
        <v>107.09</v>
      </c>
      <c r="Y154" s="176">
        <f t="shared" si="22"/>
        <v>0</v>
      </c>
      <c r="Z154" s="176">
        <f t="shared" si="22"/>
        <v>0</v>
      </c>
      <c r="AA154" s="176">
        <f t="shared" si="22"/>
        <v>80.099999999999994</v>
      </c>
      <c r="AB154" s="176">
        <f t="shared" si="22"/>
        <v>100.1</v>
      </c>
      <c r="AC154" s="176">
        <f t="shared" si="22"/>
        <v>150</v>
      </c>
      <c r="AD154" s="176">
        <f t="shared" si="22"/>
        <v>150</v>
      </c>
      <c r="AE154" s="176">
        <f t="shared" si="22"/>
        <v>421.26642500000003</v>
      </c>
      <c r="AF154" s="176">
        <f t="shared" si="22"/>
        <v>160.82150999999999</v>
      </c>
      <c r="AG154" s="176">
        <f t="shared" si="22"/>
        <v>179.905</v>
      </c>
      <c r="AH154" s="176">
        <f t="shared" si="22"/>
        <v>256.35000000000002</v>
      </c>
      <c r="AI154" s="176">
        <f t="shared" si="22"/>
        <v>273.56700000000001</v>
      </c>
      <c r="AJ154" s="176">
        <f t="shared" si="22"/>
        <v>286.04300000000001</v>
      </c>
      <c r="AK154" s="176">
        <f t="shared" si="22"/>
        <v>402.28999999999996</v>
      </c>
      <c r="AL154" s="373">
        <f t="shared" si="22"/>
        <v>502.64799999999997</v>
      </c>
      <c r="AM154" s="374">
        <f>SUM(AM140:AM153)</f>
        <v>464.75300000000004</v>
      </c>
      <c r="AO154" s="656" t="s">
        <v>1100</v>
      </c>
    </row>
    <row r="155" spans="1:41" ht="15" customHeight="1">
      <c r="AK155" s="361"/>
      <c r="AL155" s="457"/>
      <c r="AM155" s="457"/>
    </row>
    <row r="156" spans="1:41" ht="12.75" customHeight="1">
      <c r="A156" s="74" t="s">
        <v>1215</v>
      </c>
      <c r="B156" s="626" t="s">
        <v>166</v>
      </c>
      <c r="C156" s="626" t="s">
        <v>163</v>
      </c>
      <c r="D156" s="626" t="s">
        <v>160</v>
      </c>
      <c r="E156" s="626" t="s">
        <v>157</v>
      </c>
      <c r="F156" s="626" t="s">
        <v>153</v>
      </c>
      <c r="G156" s="626" t="s">
        <v>149</v>
      </c>
      <c r="H156" s="626" t="s">
        <v>146</v>
      </c>
      <c r="I156" s="626" t="s">
        <v>142</v>
      </c>
      <c r="J156" s="626" t="s">
        <v>139</v>
      </c>
      <c r="K156" s="626" t="s">
        <v>136</v>
      </c>
      <c r="L156" s="626" t="s">
        <v>132</v>
      </c>
      <c r="M156" s="626" t="s">
        <v>208</v>
      </c>
      <c r="N156" s="626" t="s">
        <v>126</v>
      </c>
      <c r="O156" s="626" t="s">
        <v>123</v>
      </c>
      <c r="P156" s="626" t="s">
        <v>120</v>
      </c>
      <c r="Q156" s="626" t="s">
        <v>117</v>
      </c>
      <c r="R156" s="626" t="s">
        <v>114</v>
      </c>
      <c r="S156" s="626" t="s">
        <v>111</v>
      </c>
      <c r="T156" s="626" t="s">
        <v>108</v>
      </c>
      <c r="U156" s="626" t="s">
        <v>104</v>
      </c>
      <c r="V156" s="626" t="s">
        <v>101</v>
      </c>
      <c r="W156" s="626" t="s">
        <v>98</v>
      </c>
      <c r="X156" s="626" t="s">
        <v>95</v>
      </c>
      <c r="Y156" s="626" t="s">
        <v>91</v>
      </c>
      <c r="Z156" s="626" t="s">
        <v>87</v>
      </c>
      <c r="AA156" s="626" t="s">
        <v>83</v>
      </c>
      <c r="AB156" s="626" t="s">
        <v>79</v>
      </c>
      <c r="AC156" s="626" t="s">
        <v>75</v>
      </c>
      <c r="AD156" s="626" t="s">
        <v>72</v>
      </c>
      <c r="AE156" s="626" t="s">
        <v>69</v>
      </c>
      <c r="AF156" s="626" t="s">
        <v>66</v>
      </c>
      <c r="AG156" s="626" t="s">
        <v>62</v>
      </c>
      <c r="AH156" s="626" t="s">
        <v>59</v>
      </c>
      <c r="AI156" s="626" t="s">
        <v>55</v>
      </c>
      <c r="AJ156" s="626" t="s">
        <v>52</v>
      </c>
      <c r="AK156" s="626" t="s">
        <v>49</v>
      </c>
      <c r="AL156" s="587" t="s">
        <v>46</v>
      </c>
      <c r="AM156" s="587" t="s">
        <v>42</v>
      </c>
      <c r="AO156" s="640" t="s">
        <v>227</v>
      </c>
    </row>
    <row r="157" spans="1:41" ht="12.75" customHeight="1">
      <c r="A157" s="83" t="s">
        <v>393</v>
      </c>
      <c r="B157" s="52"/>
      <c r="C157" s="52"/>
      <c r="D157" s="52"/>
      <c r="E157" s="52"/>
      <c r="F157" s="52"/>
      <c r="G157" s="52"/>
      <c r="H157" s="52"/>
      <c r="I157" s="52"/>
      <c r="J157" s="52"/>
      <c r="K157" s="52"/>
      <c r="L157" s="52"/>
      <c r="M157" s="52"/>
      <c r="N157" s="52"/>
      <c r="O157" s="52"/>
      <c r="P157" s="52"/>
      <c r="Q157" s="52"/>
      <c r="R157" s="52"/>
      <c r="S157" s="387">
        <v>33.299999999999997</v>
      </c>
      <c r="T157" s="387">
        <v>38.880000000000003</v>
      </c>
      <c r="U157" s="387">
        <v>44.95</v>
      </c>
      <c r="V157" s="387">
        <v>43.1</v>
      </c>
      <c r="W157" s="387">
        <v>40.473999999999997</v>
      </c>
      <c r="X157" s="387">
        <v>36.021999999999998</v>
      </c>
      <c r="Y157" s="387">
        <v>34.533000000000001</v>
      </c>
      <c r="Z157" s="387">
        <v>35.079000000000001</v>
      </c>
      <c r="AA157" s="387">
        <v>40.659999999999997</v>
      </c>
      <c r="AB157" s="387">
        <v>96.347999999999999</v>
      </c>
      <c r="AC157" s="387">
        <v>65.373000000000005</v>
      </c>
      <c r="AD157" s="387">
        <v>76.888999999999996</v>
      </c>
      <c r="AE157" s="387">
        <v>81.380572420855557</v>
      </c>
      <c r="AF157" s="387">
        <v>116.25623899131263</v>
      </c>
      <c r="AG157" s="387">
        <v>103.64922799999999</v>
      </c>
      <c r="AH157" s="387">
        <v>51.988999999999997</v>
      </c>
      <c r="AI157" s="387">
        <v>41.722000000000001</v>
      </c>
      <c r="AJ157" s="387">
        <v>52.278999999999996</v>
      </c>
      <c r="AK157" s="387">
        <v>31.227</v>
      </c>
      <c r="AL157" s="967">
        <v>52.734999999999999</v>
      </c>
      <c r="AM157" s="967">
        <v>45.847000000000001</v>
      </c>
      <c r="AO157" s="1041" t="s">
        <v>1217</v>
      </c>
    </row>
    <row r="158" spans="1:41" ht="12.75" customHeight="1">
      <c r="A158" s="83" t="s">
        <v>406</v>
      </c>
      <c r="B158" s="52"/>
      <c r="C158" s="52"/>
      <c r="D158" s="52"/>
      <c r="E158" s="52"/>
      <c r="F158" s="52"/>
      <c r="G158" s="52"/>
      <c r="H158" s="52"/>
      <c r="I158" s="52"/>
      <c r="J158" s="52"/>
      <c r="K158" s="52"/>
      <c r="L158" s="52"/>
      <c r="M158" s="52"/>
      <c r="N158" s="52"/>
      <c r="O158" s="52"/>
      <c r="P158" s="52"/>
      <c r="Q158" s="52"/>
      <c r="R158" s="52"/>
      <c r="S158" s="387">
        <v>6.44</v>
      </c>
      <c r="T158" s="387">
        <v>7.52</v>
      </c>
      <c r="U158" s="387">
        <v>8.6999999999999993</v>
      </c>
      <c r="V158" s="387">
        <v>8.3420000000000005</v>
      </c>
      <c r="W158" s="387">
        <v>7.8339999999999996</v>
      </c>
      <c r="X158" s="387">
        <v>6.9720000000000004</v>
      </c>
      <c r="Y158" s="387">
        <v>6.6840000000000002</v>
      </c>
      <c r="Z158" s="387">
        <v>6.79</v>
      </c>
      <c r="AA158" s="387">
        <v>7.87</v>
      </c>
      <c r="AB158" s="388">
        <v>0</v>
      </c>
      <c r="AC158" s="388">
        <v>0</v>
      </c>
      <c r="AD158" s="388">
        <v>0</v>
      </c>
      <c r="AE158" s="388">
        <v>0</v>
      </c>
      <c r="AF158" s="387">
        <v>1.4008299865308309</v>
      </c>
      <c r="AG158" s="387">
        <v>1.1435329999999999</v>
      </c>
      <c r="AH158" s="387">
        <v>6.5670000000000002</v>
      </c>
      <c r="AI158" s="388">
        <v>0</v>
      </c>
      <c r="AJ158" s="388">
        <v>0</v>
      </c>
      <c r="AK158" s="388">
        <v>0</v>
      </c>
      <c r="AL158" s="981">
        <v>0</v>
      </c>
      <c r="AM158" s="981"/>
      <c r="AO158" s="1041"/>
    </row>
    <row r="159" spans="1:41" ht="12.75" customHeight="1">
      <c r="A159" s="83" t="s">
        <v>734</v>
      </c>
      <c r="B159" s="52"/>
      <c r="C159" s="52"/>
      <c r="D159" s="52"/>
      <c r="E159" s="52"/>
      <c r="F159" s="52"/>
      <c r="G159" s="52"/>
      <c r="H159" s="52"/>
      <c r="I159" s="52"/>
      <c r="J159" s="52"/>
      <c r="K159" s="52"/>
      <c r="L159" s="52"/>
      <c r="M159" s="52"/>
      <c r="N159" s="52"/>
      <c r="O159" s="52"/>
      <c r="P159" s="52"/>
      <c r="Q159" s="52"/>
      <c r="R159" s="52"/>
      <c r="S159" s="388">
        <v>0</v>
      </c>
      <c r="T159" s="388">
        <v>0</v>
      </c>
      <c r="U159" s="388">
        <v>0</v>
      </c>
      <c r="V159" s="388">
        <v>0</v>
      </c>
      <c r="W159" s="388">
        <v>0</v>
      </c>
      <c r="X159" s="388">
        <v>0</v>
      </c>
      <c r="Y159" s="388">
        <v>0</v>
      </c>
      <c r="Z159" s="388">
        <v>0</v>
      </c>
      <c r="AA159" s="388">
        <v>0</v>
      </c>
      <c r="AB159" s="388">
        <v>0</v>
      </c>
      <c r="AC159" s="388">
        <v>0</v>
      </c>
      <c r="AD159" s="388">
        <v>0</v>
      </c>
      <c r="AE159" s="388">
        <v>0</v>
      </c>
      <c r="AF159" s="388">
        <v>0</v>
      </c>
      <c r="AG159" s="388">
        <v>0</v>
      </c>
      <c r="AH159" s="388">
        <v>0</v>
      </c>
      <c r="AI159" s="388">
        <v>0</v>
      </c>
      <c r="AJ159" s="388">
        <v>0</v>
      </c>
      <c r="AK159" s="388">
        <v>0</v>
      </c>
      <c r="AL159" s="981">
        <v>0</v>
      </c>
      <c r="AM159" s="981"/>
      <c r="AO159" s="1041"/>
    </row>
    <row r="160" spans="1:41" ht="12.75" customHeight="1">
      <c r="A160" s="83" t="s">
        <v>510</v>
      </c>
      <c r="B160" s="52"/>
      <c r="C160" s="52"/>
      <c r="D160" s="52"/>
      <c r="E160" s="52"/>
      <c r="F160" s="52"/>
      <c r="G160" s="52"/>
      <c r="H160" s="52"/>
      <c r="I160" s="52"/>
      <c r="J160" s="52"/>
      <c r="K160" s="52"/>
      <c r="L160" s="52"/>
      <c r="M160" s="52"/>
      <c r="N160" s="52"/>
      <c r="O160" s="52"/>
      <c r="P160" s="52"/>
      <c r="Q160" s="52"/>
      <c r="R160" s="52"/>
      <c r="S160" s="388">
        <v>0</v>
      </c>
      <c r="T160" s="388">
        <v>0</v>
      </c>
      <c r="U160" s="388">
        <v>0</v>
      </c>
      <c r="V160" s="388">
        <v>0</v>
      </c>
      <c r="W160" s="388">
        <v>0</v>
      </c>
      <c r="X160" s="388">
        <v>0</v>
      </c>
      <c r="Y160" s="388">
        <v>0</v>
      </c>
      <c r="Z160" s="388">
        <v>0</v>
      </c>
      <c r="AA160" s="388">
        <v>0</v>
      </c>
      <c r="AB160" s="387">
        <v>17.783999999999999</v>
      </c>
      <c r="AC160" s="387">
        <v>26.646000000000001</v>
      </c>
      <c r="AD160" s="387">
        <v>31.34</v>
      </c>
      <c r="AE160" s="387">
        <v>31.216205031028426</v>
      </c>
      <c r="AF160" s="387">
        <v>60.448382206377062</v>
      </c>
      <c r="AG160" s="387">
        <v>79.857533000000004</v>
      </c>
      <c r="AH160" s="387">
        <v>73.412999999999997</v>
      </c>
      <c r="AI160" s="388">
        <v>0</v>
      </c>
      <c r="AJ160" s="388">
        <v>0</v>
      </c>
      <c r="AK160" s="388">
        <v>0</v>
      </c>
      <c r="AL160" s="981">
        <v>0</v>
      </c>
      <c r="AM160" s="981"/>
      <c r="AO160" s="1041"/>
    </row>
    <row r="161" spans="1:41" ht="12.75" customHeight="1">
      <c r="A161" s="83" t="s">
        <v>409</v>
      </c>
      <c r="B161" s="52"/>
      <c r="C161" s="52"/>
      <c r="D161" s="52"/>
      <c r="E161" s="52"/>
      <c r="F161" s="52"/>
      <c r="G161" s="52"/>
      <c r="H161" s="52"/>
      <c r="I161" s="52"/>
      <c r="J161" s="52"/>
      <c r="K161" s="52"/>
      <c r="L161" s="52"/>
      <c r="M161" s="52"/>
      <c r="N161" s="52"/>
      <c r="O161" s="52"/>
      <c r="P161" s="52"/>
      <c r="Q161" s="52"/>
      <c r="R161" s="52"/>
      <c r="S161" s="387">
        <v>8.59</v>
      </c>
      <c r="T161" s="387">
        <v>10.029999999999999</v>
      </c>
      <c r="U161" s="387">
        <v>11.6</v>
      </c>
      <c r="V161" s="387">
        <v>11.122999999999999</v>
      </c>
      <c r="W161" s="387">
        <v>10.445</v>
      </c>
      <c r="X161" s="387">
        <v>9.2959999999999994</v>
      </c>
      <c r="Y161" s="387">
        <v>8.9120000000000008</v>
      </c>
      <c r="Z161" s="387">
        <v>9.0530000000000008</v>
      </c>
      <c r="AA161" s="387">
        <v>10.493</v>
      </c>
      <c r="AB161" s="387">
        <v>12.673</v>
      </c>
      <c r="AC161" s="387">
        <v>29.239000000000001</v>
      </c>
      <c r="AD161" s="387">
        <v>34.39</v>
      </c>
      <c r="AE161" s="387">
        <v>38.511222548116031</v>
      </c>
      <c r="AF161" s="388">
        <v>0</v>
      </c>
      <c r="AG161" s="388">
        <v>0</v>
      </c>
      <c r="AH161" s="388">
        <v>0</v>
      </c>
      <c r="AI161" s="388">
        <v>0</v>
      </c>
      <c r="AJ161" s="388">
        <v>0</v>
      </c>
      <c r="AK161" s="388">
        <v>0</v>
      </c>
      <c r="AL161" s="981">
        <v>0</v>
      </c>
      <c r="AM161" s="981"/>
      <c r="AO161" s="1041"/>
    </row>
    <row r="162" spans="1:41" ht="12.75" customHeight="1">
      <c r="A162" s="83" t="s">
        <v>389</v>
      </c>
      <c r="B162" s="52"/>
      <c r="C162" s="52"/>
      <c r="D162" s="52"/>
      <c r="E162" s="52"/>
      <c r="F162" s="52"/>
      <c r="G162" s="52"/>
      <c r="H162" s="52"/>
      <c r="I162" s="52"/>
      <c r="J162" s="52"/>
      <c r="K162" s="52"/>
      <c r="L162" s="52"/>
      <c r="M162" s="52"/>
      <c r="N162" s="52"/>
      <c r="O162" s="52"/>
      <c r="P162" s="52"/>
      <c r="Q162" s="52"/>
      <c r="R162" s="52"/>
      <c r="S162" s="387">
        <v>55.85</v>
      </c>
      <c r="T162" s="387">
        <v>65.209999999999994</v>
      </c>
      <c r="U162" s="387">
        <v>75.400000000000006</v>
      </c>
      <c r="V162" s="387">
        <v>72.296000000000006</v>
      </c>
      <c r="W162" s="387">
        <v>67.891999999999996</v>
      </c>
      <c r="X162" s="387">
        <v>60.424999999999997</v>
      </c>
      <c r="Y162" s="387">
        <v>57.924999999999997</v>
      </c>
      <c r="Z162" s="387">
        <v>58.841000000000001</v>
      </c>
      <c r="AA162" s="387">
        <v>68.200999999999993</v>
      </c>
      <c r="AB162" s="388">
        <v>0</v>
      </c>
      <c r="AC162" s="388">
        <v>0</v>
      </c>
      <c r="AD162" s="388">
        <v>0</v>
      </c>
      <c r="AE162" s="388">
        <v>0</v>
      </c>
      <c r="AF162" s="388">
        <v>0</v>
      </c>
      <c r="AG162" s="388">
        <v>0</v>
      </c>
      <c r="AH162" s="388">
        <v>0</v>
      </c>
      <c r="AI162" s="388">
        <v>0</v>
      </c>
      <c r="AJ162" s="388">
        <v>0</v>
      </c>
      <c r="AK162" s="388">
        <v>0</v>
      </c>
      <c r="AL162" s="981">
        <v>0</v>
      </c>
      <c r="AM162" s="981"/>
      <c r="AO162" s="1041"/>
    </row>
    <row r="163" spans="1:41" ht="12.75" customHeight="1">
      <c r="A163" s="83" t="s">
        <v>703</v>
      </c>
      <c r="B163" s="52"/>
      <c r="C163" s="52"/>
      <c r="D163" s="52"/>
      <c r="E163" s="52"/>
      <c r="F163" s="52"/>
      <c r="G163" s="52"/>
      <c r="H163" s="52"/>
      <c r="I163" s="52"/>
      <c r="J163" s="52"/>
      <c r="K163" s="52"/>
      <c r="L163" s="52"/>
      <c r="M163" s="52"/>
      <c r="N163" s="52"/>
      <c r="O163" s="52"/>
      <c r="P163" s="52"/>
      <c r="Q163" s="52"/>
      <c r="R163" s="52"/>
      <c r="S163" s="388">
        <v>0</v>
      </c>
      <c r="T163" s="388">
        <v>0</v>
      </c>
      <c r="U163" s="388">
        <v>0</v>
      </c>
      <c r="V163" s="388">
        <v>0</v>
      </c>
      <c r="W163" s="388">
        <v>0</v>
      </c>
      <c r="X163" s="388">
        <v>0</v>
      </c>
      <c r="Y163" s="388">
        <v>0</v>
      </c>
      <c r="Z163" s="388">
        <v>0</v>
      </c>
      <c r="AA163" s="388">
        <v>0</v>
      </c>
      <c r="AB163" s="388">
        <v>0</v>
      </c>
      <c r="AC163" s="388">
        <v>0</v>
      </c>
      <c r="AD163" s="388">
        <v>0</v>
      </c>
      <c r="AE163" s="388">
        <v>0</v>
      </c>
      <c r="AF163" s="388">
        <v>0</v>
      </c>
      <c r="AG163" s="388">
        <v>0</v>
      </c>
      <c r="AH163" s="388">
        <v>0</v>
      </c>
      <c r="AI163" s="388">
        <v>0</v>
      </c>
      <c r="AJ163" s="388">
        <v>0</v>
      </c>
      <c r="AK163" s="388">
        <v>0</v>
      </c>
      <c r="AL163" s="981">
        <v>0</v>
      </c>
      <c r="AM163" s="981"/>
      <c r="AO163" s="1041"/>
    </row>
    <row r="164" spans="1:41" ht="12.75" customHeight="1">
      <c r="A164" s="83" t="s">
        <v>234</v>
      </c>
      <c r="B164" s="52"/>
      <c r="C164" s="52"/>
      <c r="D164" s="52"/>
      <c r="E164" s="52"/>
      <c r="F164" s="52"/>
      <c r="G164" s="52"/>
      <c r="H164" s="52"/>
      <c r="I164" s="52"/>
      <c r="J164" s="52"/>
      <c r="K164" s="52"/>
      <c r="L164" s="52"/>
      <c r="M164" s="52"/>
      <c r="N164" s="52"/>
      <c r="O164" s="52"/>
      <c r="P164" s="52"/>
      <c r="Q164" s="52"/>
      <c r="R164" s="52"/>
      <c r="S164" s="388">
        <v>0</v>
      </c>
      <c r="T164" s="388">
        <v>0</v>
      </c>
      <c r="U164" s="388">
        <v>0</v>
      </c>
      <c r="V164" s="388">
        <v>0</v>
      </c>
      <c r="W164" s="388">
        <v>0</v>
      </c>
      <c r="X164" s="388">
        <v>0</v>
      </c>
      <c r="Y164" s="388">
        <v>0</v>
      </c>
      <c r="Z164" s="388">
        <v>0</v>
      </c>
      <c r="AA164" s="388">
        <v>0</v>
      </c>
      <c r="AB164" s="388">
        <v>0</v>
      </c>
      <c r="AC164" s="388">
        <v>0</v>
      </c>
      <c r="AD164" s="388">
        <v>0</v>
      </c>
      <c r="AE164" s="388">
        <v>0</v>
      </c>
      <c r="AF164" s="387">
        <v>4.7781126652767307</v>
      </c>
      <c r="AG164" s="387">
        <v>5.3741779999999997</v>
      </c>
      <c r="AH164" s="387">
        <v>35.002000000000002</v>
      </c>
      <c r="AI164" s="388">
        <v>0</v>
      </c>
      <c r="AJ164" s="388">
        <v>0</v>
      </c>
      <c r="AK164" s="388">
        <v>0</v>
      </c>
      <c r="AL164" s="981">
        <v>0</v>
      </c>
      <c r="AM164" s="981"/>
      <c r="AO164" s="1041"/>
    </row>
    <row r="165" spans="1:41" ht="12.75" customHeight="1">
      <c r="A165" s="83" t="s">
        <v>701</v>
      </c>
      <c r="B165" s="52"/>
      <c r="C165" s="52"/>
      <c r="D165" s="52"/>
      <c r="E165" s="52"/>
      <c r="F165" s="52"/>
      <c r="G165" s="52"/>
      <c r="H165" s="52"/>
      <c r="I165" s="52"/>
      <c r="J165" s="52"/>
      <c r="K165" s="52"/>
      <c r="L165" s="52"/>
      <c r="M165" s="52"/>
      <c r="N165" s="52"/>
      <c r="O165" s="52"/>
      <c r="P165" s="52"/>
      <c r="Q165" s="52"/>
      <c r="R165" s="52"/>
      <c r="S165" s="388">
        <v>0</v>
      </c>
      <c r="T165" s="388">
        <v>0</v>
      </c>
      <c r="U165" s="388">
        <v>0</v>
      </c>
      <c r="V165" s="388">
        <v>0</v>
      </c>
      <c r="W165" s="388">
        <v>0</v>
      </c>
      <c r="X165" s="388">
        <v>0</v>
      </c>
      <c r="Y165" s="388">
        <v>0</v>
      </c>
      <c r="Z165" s="388">
        <v>0</v>
      </c>
      <c r="AA165" s="388">
        <v>0</v>
      </c>
      <c r="AB165" s="388">
        <v>0</v>
      </c>
      <c r="AC165" s="388">
        <v>0</v>
      </c>
      <c r="AD165" s="388">
        <v>0</v>
      </c>
      <c r="AE165" s="388">
        <v>0</v>
      </c>
      <c r="AF165" s="387">
        <v>1.4974361505027891</v>
      </c>
      <c r="AG165" s="387">
        <v>1.321528</v>
      </c>
      <c r="AH165" s="387">
        <v>4.2640000000000002</v>
      </c>
      <c r="AI165" s="388">
        <v>0</v>
      </c>
      <c r="AJ165" s="388">
        <v>0</v>
      </c>
      <c r="AK165" s="388">
        <v>0</v>
      </c>
      <c r="AL165" s="981">
        <v>0</v>
      </c>
      <c r="AM165" s="981"/>
      <c r="AO165" s="1041"/>
    </row>
    <row r="166" spans="1:41" ht="12.75" customHeight="1">
      <c r="A166" s="83" t="s">
        <v>1324</v>
      </c>
      <c r="B166" s="52"/>
      <c r="C166" s="52"/>
      <c r="D166" s="52"/>
      <c r="E166" s="52"/>
      <c r="F166" s="52"/>
      <c r="G166" s="52"/>
      <c r="H166" s="52"/>
      <c r="I166" s="52"/>
      <c r="J166" s="52"/>
      <c r="K166" s="52"/>
      <c r="L166" s="52"/>
      <c r="M166" s="52"/>
      <c r="N166" s="52"/>
      <c r="O166" s="52"/>
      <c r="P166" s="52"/>
      <c r="Q166" s="52"/>
      <c r="R166" s="52"/>
      <c r="S166" s="388">
        <v>0</v>
      </c>
      <c r="T166" s="388">
        <v>0</v>
      </c>
      <c r="U166" s="388">
        <v>0</v>
      </c>
      <c r="V166" s="388">
        <v>0</v>
      </c>
      <c r="W166" s="388">
        <v>0</v>
      </c>
      <c r="X166" s="388">
        <v>0</v>
      </c>
      <c r="Y166" s="388">
        <v>0</v>
      </c>
      <c r="Z166" s="388">
        <v>0</v>
      </c>
      <c r="AA166" s="388">
        <v>0</v>
      </c>
      <c r="AB166" s="388">
        <v>0</v>
      </c>
      <c r="AC166" s="388">
        <v>0</v>
      </c>
      <c r="AD166" s="388">
        <v>0</v>
      </c>
      <c r="AE166" s="388">
        <v>0</v>
      </c>
      <c r="AF166" s="388">
        <v>0</v>
      </c>
      <c r="AG166" s="388">
        <v>0</v>
      </c>
      <c r="AH166" s="388">
        <v>0</v>
      </c>
      <c r="AI166" s="388">
        <v>0</v>
      </c>
      <c r="AJ166" s="388">
        <v>0</v>
      </c>
      <c r="AK166" s="388">
        <v>0</v>
      </c>
      <c r="AL166" s="981">
        <v>0</v>
      </c>
      <c r="AM166" s="981"/>
      <c r="AO166" s="1041"/>
    </row>
    <row r="167" spans="1:41" ht="12.75" customHeight="1">
      <c r="A167" s="83" t="s">
        <v>362</v>
      </c>
      <c r="B167" s="52"/>
      <c r="C167" s="52"/>
      <c r="D167" s="52"/>
      <c r="E167" s="52"/>
      <c r="F167" s="52"/>
      <c r="G167" s="52"/>
      <c r="H167" s="52"/>
      <c r="I167" s="52"/>
      <c r="J167" s="52"/>
      <c r="K167" s="52"/>
      <c r="L167" s="52"/>
      <c r="M167" s="52"/>
      <c r="N167" s="52"/>
      <c r="O167" s="52"/>
      <c r="P167" s="52"/>
      <c r="Q167" s="52"/>
      <c r="R167" s="52"/>
      <c r="S167" s="388">
        <v>0</v>
      </c>
      <c r="T167" s="388">
        <v>0</v>
      </c>
      <c r="U167" s="388">
        <v>0</v>
      </c>
      <c r="V167" s="388">
        <v>0</v>
      </c>
      <c r="W167" s="388">
        <v>0</v>
      </c>
      <c r="X167" s="388">
        <v>0</v>
      </c>
      <c r="Y167" s="388">
        <v>0</v>
      </c>
      <c r="Z167" s="388">
        <v>0</v>
      </c>
      <c r="AA167" s="388">
        <v>0</v>
      </c>
      <c r="AB167" s="388">
        <v>0</v>
      </c>
      <c r="AC167" s="388">
        <v>0</v>
      </c>
      <c r="AD167" s="388">
        <v>0</v>
      </c>
      <c r="AE167" s="388">
        <v>0</v>
      </c>
      <c r="AF167" s="388">
        <v>0</v>
      </c>
      <c r="AG167" s="388">
        <v>0</v>
      </c>
      <c r="AH167" s="388">
        <v>0</v>
      </c>
      <c r="AI167" s="388">
        <v>0</v>
      </c>
      <c r="AJ167" s="388">
        <v>0</v>
      </c>
      <c r="AK167" s="388">
        <v>0</v>
      </c>
      <c r="AL167" s="981">
        <v>0</v>
      </c>
      <c r="AM167" s="981"/>
      <c r="AO167" s="1041"/>
    </row>
    <row r="168" spans="1:41" ht="12.75" customHeight="1">
      <c r="A168" s="83" t="s">
        <v>669</v>
      </c>
      <c r="B168" s="52"/>
      <c r="C168" s="52"/>
      <c r="D168" s="52"/>
      <c r="E168" s="52"/>
      <c r="F168" s="52"/>
      <c r="G168" s="52"/>
      <c r="H168" s="52"/>
      <c r="I168" s="52"/>
      <c r="J168" s="52"/>
      <c r="K168" s="52"/>
      <c r="L168" s="52"/>
      <c r="M168" s="52"/>
      <c r="N168" s="52"/>
      <c r="O168" s="52"/>
      <c r="P168" s="52"/>
      <c r="Q168" s="52"/>
      <c r="R168" s="52"/>
      <c r="S168" s="388">
        <v>0</v>
      </c>
      <c r="T168" s="388">
        <v>0</v>
      </c>
      <c r="U168" s="388">
        <v>0</v>
      </c>
      <c r="V168" s="388">
        <v>0</v>
      </c>
      <c r="W168" s="388">
        <v>0</v>
      </c>
      <c r="X168" s="388">
        <v>0</v>
      </c>
      <c r="Y168" s="388">
        <v>0</v>
      </c>
      <c r="Z168" s="388">
        <v>0</v>
      </c>
      <c r="AA168" s="388">
        <v>0</v>
      </c>
      <c r="AB168" s="388">
        <v>0</v>
      </c>
      <c r="AC168" s="388">
        <v>0</v>
      </c>
      <c r="AD168" s="388">
        <v>0</v>
      </c>
      <c r="AE168" s="388">
        <v>0</v>
      </c>
      <c r="AF168" s="388">
        <v>0</v>
      </c>
      <c r="AG168" s="388">
        <v>0</v>
      </c>
      <c r="AH168" s="388">
        <v>0</v>
      </c>
      <c r="AI168" s="388">
        <v>0</v>
      </c>
      <c r="AJ168" s="388">
        <v>0</v>
      </c>
      <c r="AK168" s="388">
        <v>0</v>
      </c>
      <c r="AL168" s="981">
        <v>0</v>
      </c>
      <c r="AM168" s="981"/>
      <c r="AO168" s="1041"/>
    </row>
    <row r="169" spans="1:41" ht="12.75" customHeight="1">
      <c r="A169" s="83" t="s">
        <v>397</v>
      </c>
      <c r="B169" s="52"/>
      <c r="C169" s="52"/>
      <c r="D169" s="52"/>
      <c r="E169" s="52"/>
      <c r="F169" s="52"/>
      <c r="G169" s="52"/>
      <c r="H169" s="52"/>
      <c r="I169" s="52"/>
      <c r="J169" s="52"/>
      <c r="K169" s="52"/>
      <c r="L169" s="52"/>
      <c r="M169" s="52"/>
      <c r="N169" s="52"/>
      <c r="O169" s="52"/>
      <c r="P169" s="52"/>
      <c r="Q169" s="52"/>
      <c r="R169" s="52"/>
      <c r="S169" s="387">
        <v>3.22</v>
      </c>
      <c r="T169" s="387">
        <v>3.76</v>
      </c>
      <c r="U169" s="387">
        <v>4.3499999999999996</v>
      </c>
      <c r="V169" s="387">
        <v>4.1710000000000003</v>
      </c>
      <c r="W169" s="387">
        <v>3.9169999999999998</v>
      </c>
      <c r="X169" s="387">
        <v>3.4860000000000002</v>
      </c>
      <c r="Y169" s="387">
        <v>3.3420000000000001</v>
      </c>
      <c r="Z169" s="387">
        <v>3.395</v>
      </c>
      <c r="AA169" s="387">
        <v>3.9350000000000001</v>
      </c>
      <c r="AB169" s="388">
        <v>0</v>
      </c>
      <c r="AC169" s="388">
        <v>0</v>
      </c>
      <c r="AD169" s="388">
        <v>0</v>
      </c>
      <c r="AE169" s="388">
        <v>0</v>
      </c>
      <c r="AF169" s="388">
        <v>0</v>
      </c>
      <c r="AG169" s="388">
        <v>0</v>
      </c>
      <c r="AH169" s="388">
        <v>0</v>
      </c>
      <c r="AI169" s="388">
        <v>0</v>
      </c>
      <c r="AJ169" s="388">
        <v>0</v>
      </c>
      <c r="AK169" s="388">
        <v>0</v>
      </c>
      <c r="AL169" s="981">
        <v>0</v>
      </c>
      <c r="AM169" s="981"/>
      <c r="AO169" s="1041"/>
    </row>
    <row r="170" spans="1:41" ht="12.75" customHeight="1">
      <c r="A170" s="83" t="s">
        <v>544</v>
      </c>
      <c r="B170" s="52"/>
      <c r="C170" s="52"/>
      <c r="D170" s="52"/>
      <c r="E170" s="52"/>
      <c r="F170" s="52"/>
      <c r="G170" s="52"/>
      <c r="H170" s="52"/>
      <c r="I170" s="52"/>
      <c r="J170" s="52"/>
      <c r="K170" s="52"/>
      <c r="L170" s="52"/>
      <c r="M170" s="52"/>
      <c r="N170" s="52"/>
      <c r="O170" s="52"/>
      <c r="P170" s="52"/>
      <c r="Q170" s="52"/>
      <c r="R170" s="52"/>
      <c r="S170" s="388">
        <v>0</v>
      </c>
      <c r="T170" s="388">
        <v>0</v>
      </c>
      <c r="U170" s="388">
        <v>0</v>
      </c>
      <c r="V170" s="388">
        <v>0</v>
      </c>
      <c r="W170" s="388">
        <v>0</v>
      </c>
      <c r="X170" s="388">
        <v>0</v>
      </c>
      <c r="Y170" s="388">
        <v>0</v>
      </c>
      <c r="Z170" s="388">
        <v>0</v>
      </c>
      <c r="AA170" s="388">
        <v>0</v>
      </c>
      <c r="AB170" s="388">
        <v>0</v>
      </c>
      <c r="AC170" s="388">
        <v>0</v>
      </c>
      <c r="AD170" s="388">
        <v>0</v>
      </c>
      <c r="AE170" s="388">
        <v>0</v>
      </c>
      <c r="AF170" s="388">
        <v>0</v>
      </c>
      <c r="AG170" s="388">
        <v>0</v>
      </c>
      <c r="AH170" s="388">
        <v>0</v>
      </c>
      <c r="AI170" s="388">
        <v>0</v>
      </c>
      <c r="AJ170" s="388">
        <v>0</v>
      </c>
      <c r="AK170" s="388">
        <v>0</v>
      </c>
      <c r="AL170" s="981">
        <v>0</v>
      </c>
      <c r="AM170" s="981"/>
      <c r="AO170" s="1049"/>
    </row>
    <row r="171" spans="1:41" ht="12.75" customHeight="1">
      <c r="A171" s="154" t="s">
        <v>3842</v>
      </c>
      <c r="B171" s="155" t="s">
        <v>1100</v>
      </c>
      <c r="C171" s="155" t="s">
        <v>1100</v>
      </c>
      <c r="D171" s="155" t="s">
        <v>1100</v>
      </c>
      <c r="E171" s="155" t="s">
        <v>1100</v>
      </c>
      <c r="F171" s="155" t="s">
        <v>1100</v>
      </c>
      <c r="G171" s="155" t="s">
        <v>1100</v>
      </c>
      <c r="H171" s="155" t="s">
        <v>1100</v>
      </c>
      <c r="I171" s="155" t="s">
        <v>1100</v>
      </c>
      <c r="J171" s="155" t="s">
        <v>1100</v>
      </c>
      <c r="K171" s="155" t="s">
        <v>1100</v>
      </c>
      <c r="L171" s="155" t="s">
        <v>1100</v>
      </c>
      <c r="M171" s="155" t="s">
        <v>1100</v>
      </c>
      <c r="N171" s="155" t="s">
        <v>1100</v>
      </c>
      <c r="O171" s="155" t="s">
        <v>1100</v>
      </c>
      <c r="P171" s="155" t="s">
        <v>1100</v>
      </c>
      <c r="Q171" s="155" t="s">
        <v>1100</v>
      </c>
      <c r="R171" s="155" t="s">
        <v>1100</v>
      </c>
      <c r="S171" s="389">
        <f t="shared" ref="S171:AL171" si="23">SUM(S157:S170)</f>
        <v>107.4</v>
      </c>
      <c r="T171" s="389">
        <f t="shared" si="23"/>
        <v>125.4</v>
      </c>
      <c r="U171" s="389">
        <f t="shared" si="23"/>
        <v>145</v>
      </c>
      <c r="V171" s="389">
        <f t="shared" si="23"/>
        <v>139.03199999999998</v>
      </c>
      <c r="W171" s="389">
        <f t="shared" si="23"/>
        <v>130.56199999999998</v>
      </c>
      <c r="X171" s="389">
        <f t="shared" si="23"/>
        <v>116.20100000000001</v>
      </c>
      <c r="Y171" s="389">
        <f t="shared" si="23"/>
        <v>111.396</v>
      </c>
      <c r="Z171" s="389">
        <f t="shared" si="23"/>
        <v>113.158</v>
      </c>
      <c r="AA171" s="389">
        <f t="shared" si="23"/>
        <v>131.15899999999999</v>
      </c>
      <c r="AB171" s="389">
        <f t="shared" si="23"/>
        <v>126.80500000000001</v>
      </c>
      <c r="AC171" s="389">
        <f t="shared" si="23"/>
        <v>121.25800000000001</v>
      </c>
      <c r="AD171" s="389">
        <f t="shared" si="23"/>
        <v>142.619</v>
      </c>
      <c r="AE171" s="389">
        <f t="shared" si="23"/>
        <v>151.108</v>
      </c>
      <c r="AF171" s="389">
        <f t="shared" si="23"/>
        <v>184.38100000000003</v>
      </c>
      <c r="AG171" s="389">
        <f t="shared" si="23"/>
        <v>191.346</v>
      </c>
      <c r="AH171" s="389">
        <f t="shared" si="23"/>
        <v>171.23500000000001</v>
      </c>
      <c r="AI171" s="389">
        <f t="shared" si="23"/>
        <v>41.722000000000001</v>
      </c>
      <c r="AJ171" s="389">
        <f t="shared" si="23"/>
        <v>52.278999999999996</v>
      </c>
      <c r="AK171" s="390">
        <f t="shared" si="23"/>
        <v>31.227</v>
      </c>
      <c r="AL171" s="391">
        <f t="shared" si="23"/>
        <v>52.734999999999999</v>
      </c>
      <c r="AM171" s="391">
        <f>SUM(AM157:AM170)</f>
        <v>45.847000000000001</v>
      </c>
    </row>
    <row r="173" spans="1:41" ht="12.75" customHeight="1">
      <c r="A173" s="74" t="s">
        <v>3735</v>
      </c>
      <c r="B173" s="626" t="s">
        <v>166</v>
      </c>
      <c r="C173" s="626" t="s">
        <v>163</v>
      </c>
      <c r="D173" s="626" t="s">
        <v>160</v>
      </c>
      <c r="E173" s="626" t="s">
        <v>157</v>
      </c>
      <c r="F173" s="626" t="s">
        <v>153</v>
      </c>
      <c r="G173" s="626" t="s">
        <v>149</v>
      </c>
      <c r="H173" s="626" t="s">
        <v>146</v>
      </c>
      <c r="I173" s="626" t="s">
        <v>142</v>
      </c>
      <c r="J173" s="626" t="s">
        <v>139</v>
      </c>
      <c r="K173" s="626" t="s">
        <v>136</v>
      </c>
      <c r="L173" s="626" t="s">
        <v>132</v>
      </c>
      <c r="M173" s="626" t="s">
        <v>208</v>
      </c>
      <c r="N173" s="626" t="s">
        <v>126</v>
      </c>
      <c r="O173" s="626" t="s">
        <v>123</v>
      </c>
      <c r="P173" s="626" t="s">
        <v>120</v>
      </c>
      <c r="Q173" s="626" t="s">
        <v>117</v>
      </c>
      <c r="R173" s="626" t="s">
        <v>114</v>
      </c>
      <c r="S173" s="626" t="s">
        <v>111</v>
      </c>
      <c r="T173" s="626" t="s">
        <v>108</v>
      </c>
      <c r="U173" s="626" t="s">
        <v>104</v>
      </c>
      <c r="V173" s="626" t="s">
        <v>101</v>
      </c>
      <c r="W173" s="626" t="s">
        <v>98</v>
      </c>
      <c r="X173" s="626" t="s">
        <v>95</v>
      </c>
      <c r="Y173" s="626" t="s">
        <v>91</v>
      </c>
      <c r="Z173" s="626" t="s">
        <v>87</v>
      </c>
      <c r="AA173" s="626" t="s">
        <v>83</v>
      </c>
      <c r="AB173" s="626" t="s">
        <v>79</v>
      </c>
      <c r="AC173" s="626" t="s">
        <v>75</v>
      </c>
      <c r="AD173" s="626" t="s">
        <v>72</v>
      </c>
      <c r="AE173" s="626" t="s">
        <v>69</v>
      </c>
      <c r="AF173" s="626" t="s">
        <v>66</v>
      </c>
      <c r="AG173" s="626" t="s">
        <v>62</v>
      </c>
      <c r="AH173" s="626" t="s">
        <v>59</v>
      </c>
      <c r="AI173" s="626" t="s">
        <v>55</v>
      </c>
      <c r="AJ173" s="626" t="s">
        <v>52</v>
      </c>
      <c r="AK173" s="626" t="s">
        <v>49</v>
      </c>
      <c r="AL173" s="587" t="s">
        <v>46</v>
      </c>
      <c r="AM173" s="663" t="s">
        <v>42</v>
      </c>
      <c r="AO173" s="640" t="s">
        <v>227</v>
      </c>
    </row>
    <row r="174" spans="1:41" ht="12.75" customHeight="1">
      <c r="A174" s="83" t="s">
        <v>393</v>
      </c>
      <c r="B174" s="52"/>
      <c r="C174" s="52"/>
      <c r="D174" s="52"/>
      <c r="E174" s="52"/>
      <c r="F174" s="52"/>
      <c r="G174" s="52"/>
      <c r="H174" s="52"/>
      <c r="I174" s="52"/>
      <c r="J174" s="52"/>
      <c r="K174" s="52"/>
      <c r="L174" s="52"/>
      <c r="M174" s="52"/>
      <c r="N174" s="52"/>
      <c r="O174" s="52"/>
      <c r="P174" s="52"/>
      <c r="Q174" s="52"/>
      <c r="R174" s="52"/>
      <c r="S174" s="521">
        <v>14.29</v>
      </c>
      <c r="T174" s="521">
        <v>22.49</v>
      </c>
      <c r="U174" s="521">
        <v>27.66</v>
      </c>
      <c r="V174" s="521">
        <v>39.15</v>
      </c>
      <c r="W174" s="521">
        <v>39.5</v>
      </c>
      <c r="X174" s="521">
        <v>38.840000000000003</v>
      </c>
      <c r="Y174" s="541">
        <v>102.751</v>
      </c>
      <c r="Z174" s="541">
        <v>97.481999999999999</v>
      </c>
      <c r="AA174" s="541">
        <v>46.427999999999997</v>
      </c>
      <c r="AB174" s="541">
        <v>46.997</v>
      </c>
      <c r="AC174" s="541">
        <v>0</v>
      </c>
      <c r="AD174" s="541">
        <v>0</v>
      </c>
      <c r="AE174" s="541">
        <v>0</v>
      </c>
      <c r="AF174" s="977">
        <v>0</v>
      </c>
      <c r="AG174" s="977">
        <v>0</v>
      </c>
      <c r="AH174" s="977">
        <v>0</v>
      </c>
      <c r="AI174" s="977">
        <v>0</v>
      </c>
      <c r="AJ174" s="977">
        <v>0</v>
      </c>
      <c r="AK174" s="977">
        <v>0</v>
      </c>
      <c r="AL174" s="978">
        <v>0</v>
      </c>
      <c r="AM174" s="978">
        <v>0</v>
      </c>
      <c r="AO174" s="1041" t="s">
        <v>3843</v>
      </c>
    </row>
    <row r="175" spans="1:41" ht="12.75" customHeight="1">
      <c r="A175" s="83" t="s">
        <v>406</v>
      </c>
      <c r="B175" s="52"/>
      <c r="C175" s="52"/>
      <c r="D175" s="52"/>
      <c r="E175" s="52"/>
      <c r="F175" s="52"/>
      <c r="G175" s="52"/>
      <c r="H175" s="52"/>
      <c r="I175" s="52"/>
      <c r="J175" s="52"/>
      <c r="K175" s="52"/>
      <c r="L175" s="52"/>
      <c r="M175" s="52"/>
      <c r="N175" s="52"/>
      <c r="O175" s="52"/>
      <c r="P175" s="52"/>
      <c r="Q175" s="52"/>
      <c r="R175" s="52"/>
      <c r="S175" s="521">
        <v>22.03</v>
      </c>
      <c r="T175" s="521">
        <v>22.56</v>
      </c>
      <c r="U175" s="521">
        <v>27.75</v>
      </c>
      <c r="V175" s="521">
        <v>39.270000000000003</v>
      </c>
      <c r="W175" s="521">
        <v>39.619999999999997</v>
      </c>
      <c r="X175" s="521">
        <v>45.77</v>
      </c>
      <c r="Y175" s="541">
        <v>86.49</v>
      </c>
      <c r="Z175" s="541">
        <v>112.75</v>
      </c>
      <c r="AA175" s="541">
        <v>103.443</v>
      </c>
      <c r="AB175" s="541">
        <v>104.711</v>
      </c>
      <c r="AC175" s="541">
        <v>35.457999999999998</v>
      </c>
      <c r="AD175" s="541">
        <v>32.682000000000002</v>
      </c>
      <c r="AE175" s="541">
        <v>30.3</v>
      </c>
      <c r="AF175" s="977">
        <v>30.900640478635111</v>
      </c>
      <c r="AG175" s="977">
        <v>46.978394362444135</v>
      </c>
      <c r="AH175" s="977">
        <v>51.824510486052688</v>
      </c>
      <c r="AI175" s="977">
        <v>107.95048542217124</v>
      </c>
      <c r="AJ175" s="977">
        <v>118.59025090064843</v>
      </c>
      <c r="AK175" s="977">
        <v>126.46942857930451</v>
      </c>
      <c r="AL175" s="979">
        <v>132.50821439141319</v>
      </c>
      <c r="AM175" s="979">
        <v>131.90433581020233</v>
      </c>
      <c r="AO175" s="1041"/>
    </row>
    <row r="176" spans="1:41" ht="12.75" customHeight="1">
      <c r="A176" s="83" t="s">
        <v>734</v>
      </c>
      <c r="B176" s="52"/>
      <c r="C176" s="52"/>
      <c r="D176" s="52"/>
      <c r="E176" s="52"/>
      <c r="F176" s="52"/>
      <c r="G176" s="52"/>
      <c r="H176" s="52"/>
      <c r="I176" s="52"/>
      <c r="J176" s="52"/>
      <c r="K176" s="52"/>
      <c r="L176" s="52"/>
      <c r="M176" s="52"/>
      <c r="N176" s="52"/>
      <c r="O176" s="52"/>
      <c r="P176" s="52"/>
      <c r="Q176" s="52"/>
      <c r="R176" s="52"/>
      <c r="S176" s="521">
        <v>0</v>
      </c>
      <c r="T176" s="521">
        <v>0</v>
      </c>
      <c r="U176" s="521">
        <v>0</v>
      </c>
      <c r="V176" s="521">
        <v>0</v>
      </c>
      <c r="W176" s="521">
        <v>0</v>
      </c>
      <c r="X176" s="521">
        <v>0</v>
      </c>
      <c r="Y176" s="541">
        <v>0</v>
      </c>
      <c r="Z176" s="541">
        <v>0</v>
      </c>
      <c r="AA176" s="541">
        <v>0</v>
      </c>
      <c r="AB176" s="541">
        <v>0</v>
      </c>
      <c r="AC176" s="541">
        <v>0</v>
      </c>
      <c r="AD176" s="541">
        <v>0</v>
      </c>
      <c r="AE176" s="541">
        <v>0</v>
      </c>
      <c r="AF176" s="977">
        <v>0</v>
      </c>
      <c r="AG176" s="977">
        <v>0</v>
      </c>
      <c r="AH176" s="977">
        <v>0</v>
      </c>
      <c r="AI176" s="977">
        <v>0</v>
      </c>
      <c r="AJ176" s="977">
        <v>0</v>
      </c>
      <c r="AK176" s="977">
        <v>0</v>
      </c>
      <c r="AL176" s="979">
        <v>0</v>
      </c>
      <c r="AM176" s="979">
        <v>0</v>
      </c>
      <c r="AO176" s="1041"/>
    </row>
    <row r="177" spans="1:41" ht="12.75" customHeight="1">
      <c r="A177" s="83" t="s">
        <v>510</v>
      </c>
      <c r="B177" s="52"/>
      <c r="C177" s="52"/>
      <c r="D177" s="52"/>
      <c r="E177" s="52"/>
      <c r="F177" s="52"/>
      <c r="G177" s="52"/>
      <c r="H177" s="52"/>
      <c r="I177" s="52"/>
      <c r="J177" s="52"/>
      <c r="K177" s="52"/>
      <c r="L177" s="52"/>
      <c r="M177" s="52"/>
      <c r="N177" s="52"/>
      <c r="O177" s="52"/>
      <c r="P177" s="52"/>
      <c r="Q177" s="52"/>
      <c r="R177" s="52"/>
      <c r="S177" s="521">
        <v>57.45</v>
      </c>
      <c r="T177" s="521">
        <v>54.54</v>
      </c>
      <c r="U177" s="521">
        <v>67.08</v>
      </c>
      <c r="V177" s="521">
        <v>94.92</v>
      </c>
      <c r="W177" s="521">
        <v>95.78</v>
      </c>
      <c r="X177" s="521">
        <v>223.13</v>
      </c>
      <c r="Y177" s="541">
        <v>393.55500000000001</v>
      </c>
      <c r="Z177" s="541">
        <v>327.43200000000002</v>
      </c>
      <c r="AA177" s="541">
        <v>326.17899999999997</v>
      </c>
      <c r="AB177" s="541">
        <v>330.178</v>
      </c>
      <c r="AC177" s="541">
        <v>212.89400000000001</v>
      </c>
      <c r="AD177" s="541">
        <v>177.40299999999999</v>
      </c>
      <c r="AE177" s="541">
        <v>121.46899999999999</v>
      </c>
      <c r="AF177" s="977">
        <v>123.87671881609286</v>
      </c>
      <c r="AG177" s="977">
        <v>122.77176711616892</v>
      </c>
      <c r="AH177" s="977">
        <v>135.43644517126256</v>
      </c>
      <c r="AI177" s="977">
        <v>211.35867368662878</v>
      </c>
      <c r="AJ177" s="977">
        <v>232.19050886618462</v>
      </c>
      <c r="AK177" s="977">
        <v>247.61732735050435</v>
      </c>
      <c r="AL177" s="979">
        <v>259.44080137133335</v>
      </c>
      <c r="AM177" s="979">
        <v>258.25845396925041</v>
      </c>
      <c r="AO177" s="1041"/>
    </row>
    <row r="178" spans="1:41" ht="12.75" customHeight="1">
      <c r="A178" s="83" t="s">
        <v>409</v>
      </c>
      <c r="B178" s="52"/>
      <c r="C178" s="52"/>
      <c r="D178" s="52"/>
      <c r="E178" s="52"/>
      <c r="F178" s="52"/>
      <c r="G178" s="52"/>
      <c r="H178" s="52"/>
      <c r="I178" s="52"/>
      <c r="J178" s="52"/>
      <c r="K178" s="52"/>
      <c r="L178" s="52"/>
      <c r="M178" s="52"/>
      <c r="N178" s="52"/>
      <c r="O178" s="52"/>
      <c r="P178" s="52"/>
      <c r="Q178" s="52"/>
      <c r="R178" s="52"/>
      <c r="S178" s="521">
        <v>111.93</v>
      </c>
      <c r="T178" s="521">
        <v>133.38999999999999</v>
      </c>
      <c r="U178" s="521">
        <v>164.05</v>
      </c>
      <c r="V178" s="521">
        <v>232.14</v>
      </c>
      <c r="W178" s="521">
        <v>234.27</v>
      </c>
      <c r="X178" s="521">
        <v>240.29</v>
      </c>
      <c r="Y178" s="541">
        <v>394.86700000000002</v>
      </c>
      <c r="Z178" s="541">
        <v>403.25400000000002</v>
      </c>
      <c r="AA178" s="541">
        <v>355.38400000000001</v>
      </c>
      <c r="AB178" s="541">
        <v>359.74200000000002</v>
      </c>
      <c r="AC178" s="541">
        <v>366.39499999999998</v>
      </c>
      <c r="AD178" s="541">
        <v>298.5</v>
      </c>
      <c r="AE178" s="541">
        <v>138.75299999999999</v>
      </c>
      <c r="AF178" s="977">
        <v>141.50303035099358</v>
      </c>
      <c r="AG178" s="977">
        <v>122.54343765059942</v>
      </c>
      <c r="AH178" s="977">
        <v>135.18456208876748</v>
      </c>
      <c r="AI178" s="977">
        <v>155.45873803751923</v>
      </c>
      <c r="AJ178" s="977">
        <v>170.78098978868655</v>
      </c>
      <c r="AK178" s="977">
        <v>182.12773838279423</v>
      </c>
      <c r="AL178" s="979">
        <v>190.8241515388622</v>
      </c>
      <c r="AM178" s="979">
        <v>189.9545102232554</v>
      </c>
      <c r="AO178" s="1041"/>
    </row>
    <row r="179" spans="1:41" ht="12.75" customHeight="1">
      <c r="A179" s="83" t="s">
        <v>389</v>
      </c>
      <c r="B179" s="52"/>
      <c r="C179" s="52"/>
      <c r="D179" s="52"/>
      <c r="E179" s="52"/>
      <c r="F179" s="52"/>
      <c r="G179" s="52"/>
      <c r="H179" s="52"/>
      <c r="I179" s="52"/>
      <c r="J179" s="52"/>
      <c r="K179" s="52"/>
      <c r="L179" s="52"/>
      <c r="M179" s="52"/>
      <c r="N179" s="52"/>
      <c r="O179" s="52"/>
      <c r="P179" s="52"/>
      <c r="Q179" s="52"/>
      <c r="R179" s="52"/>
      <c r="S179" s="521">
        <v>470.41</v>
      </c>
      <c r="T179" s="521">
        <v>520.71</v>
      </c>
      <c r="U179" s="521">
        <v>640.4</v>
      </c>
      <c r="V179" s="521">
        <v>906.2</v>
      </c>
      <c r="W179" s="521">
        <v>914.49</v>
      </c>
      <c r="X179" s="521">
        <v>977.23</v>
      </c>
      <c r="Y179" s="541">
        <v>1395.6679999999999</v>
      </c>
      <c r="Z179" s="541">
        <v>1241.798</v>
      </c>
      <c r="AA179" s="541">
        <v>1186.7550000000001</v>
      </c>
      <c r="AB179" s="541">
        <v>1201.306</v>
      </c>
      <c r="AC179" s="541">
        <v>1418.424</v>
      </c>
      <c r="AD179" s="541">
        <v>1344.569</v>
      </c>
      <c r="AE179" s="541">
        <v>1349.46</v>
      </c>
      <c r="AF179" s="977">
        <v>1376.2030167711307</v>
      </c>
      <c r="AG179" s="977">
        <v>1416.8456697013512</v>
      </c>
      <c r="AH179" s="977">
        <v>1563.0021899014905</v>
      </c>
      <c r="AI179" s="977">
        <v>1740.3747179046968</v>
      </c>
      <c r="AJ179" s="977">
        <v>1911.9087204685586</v>
      </c>
      <c r="AK179" s="977">
        <v>2038.9366034482834</v>
      </c>
      <c r="AL179" s="979">
        <v>2136.2937400385836</v>
      </c>
      <c r="AM179" s="979">
        <v>2126.5580263795537</v>
      </c>
      <c r="AO179" s="1041"/>
    </row>
    <row r="180" spans="1:41" ht="12.75" customHeight="1">
      <c r="A180" s="83" t="s">
        <v>703</v>
      </c>
      <c r="B180" s="52"/>
      <c r="C180" s="52"/>
      <c r="D180" s="52"/>
      <c r="E180" s="52"/>
      <c r="F180" s="52"/>
      <c r="G180" s="52"/>
      <c r="H180" s="52"/>
      <c r="I180" s="52"/>
      <c r="J180" s="52"/>
      <c r="K180" s="52"/>
      <c r="L180" s="52"/>
      <c r="M180" s="52"/>
      <c r="N180" s="52"/>
      <c r="O180" s="52"/>
      <c r="P180" s="52"/>
      <c r="Q180" s="52"/>
      <c r="R180" s="52"/>
      <c r="S180" s="521">
        <v>30.48</v>
      </c>
      <c r="T180" s="521">
        <v>33.57</v>
      </c>
      <c r="U180" s="521">
        <v>41.28</v>
      </c>
      <c r="V180" s="521">
        <v>58.42</v>
      </c>
      <c r="W180" s="521">
        <v>58.95</v>
      </c>
      <c r="X180" s="521">
        <v>52.52</v>
      </c>
      <c r="Y180" s="541">
        <v>77.867000000000004</v>
      </c>
      <c r="Z180" s="541">
        <v>80.164000000000001</v>
      </c>
      <c r="AA180" s="541">
        <v>79.986000000000004</v>
      </c>
      <c r="AB180" s="541">
        <v>80.966999999999999</v>
      </c>
      <c r="AC180" s="541">
        <v>87.456999999999994</v>
      </c>
      <c r="AD180" s="541">
        <v>108.029</v>
      </c>
      <c r="AE180" s="541">
        <v>230.316</v>
      </c>
      <c r="AF180" s="977">
        <v>234.88060542102622</v>
      </c>
      <c r="AG180" s="977">
        <v>237.96962996866955</v>
      </c>
      <c r="AH180" s="977">
        <v>262.51769033495265</v>
      </c>
      <c r="AI180" s="977">
        <v>522.16521121000937</v>
      </c>
      <c r="AJ180" s="977">
        <v>573.6306156180284</v>
      </c>
      <c r="AK180" s="977">
        <v>611.74283401748039</v>
      </c>
      <c r="AL180" s="979">
        <v>640.95292841122091</v>
      </c>
      <c r="AM180" s="979">
        <v>638.03191897184684</v>
      </c>
      <c r="AO180" s="1041"/>
    </row>
    <row r="181" spans="1:41" ht="12.75" customHeight="1">
      <c r="A181" s="83" t="s">
        <v>234</v>
      </c>
      <c r="B181" s="52"/>
      <c r="C181" s="52"/>
      <c r="D181" s="52"/>
      <c r="E181" s="52"/>
      <c r="F181" s="52"/>
      <c r="G181" s="52"/>
      <c r="H181" s="52"/>
      <c r="I181" s="52"/>
      <c r="J181" s="52"/>
      <c r="K181" s="52"/>
      <c r="L181" s="52"/>
      <c r="M181" s="52"/>
      <c r="N181" s="52"/>
      <c r="O181" s="52"/>
      <c r="P181" s="52"/>
      <c r="Q181" s="52"/>
      <c r="R181" s="52"/>
      <c r="S181" s="521">
        <v>20.22</v>
      </c>
      <c r="T181" s="521">
        <v>20.22</v>
      </c>
      <c r="U181" s="521">
        <v>24.87</v>
      </c>
      <c r="V181" s="521">
        <v>35.19</v>
      </c>
      <c r="W181" s="521">
        <v>35.51</v>
      </c>
      <c r="X181" s="521">
        <v>35.340000000000003</v>
      </c>
      <c r="Y181" s="541">
        <v>49.747</v>
      </c>
      <c r="Z181" s="541">
        <v>67.495000000000005</v>
      </c>
      <c r="AA181" s="541">
        <v>68.075000000000003</v>
      </c>
      <c r="AB181" s="541">
        <v>68.91</v>
      </c>
      <c r="AC181" s="541">
        <v>72.638000000000005</v>
      </c>
      <c r="AD181" s="541">
        <v>84.960999999999999</v>
      </c>
      <c r="AE181" s="541">
        <v>117.72199999999999</v>
      </c>
      <c r="AF181" s="977">
        <v>120.05534344666097</v>
      </c>
      <c r="AG181" s="977">
        <v>122.20973635276648</v>
      </c>
      <c r="AH181" s="977">
        <v>134.81643740840212</v>
      </c>
      <c r="AI181" s="977">
        <v>208.26930782267601</v>
      </c>
      <c r="AJ181" s="977">
        <v>228.79665036247093</v>
      </c>
      <c r="AK181" s="977">
        <v>243.99797970275148</v>
      </c>
      <c r="AL181" s="979">
        <v>255.64863357668915</v>
      </c>
      <c r="AM181" s="979">
        <v>254.48356818929537</v>
      </c>
      <c r="AO181" s="1041"/>
    </row>
    <row r="182" spans="1:41" ht="12.75" customHeight="1">
      <c r="A182" s="83" t="s">
        <v>701</v>
      </c>
      <c r="B182" s="52"/>
      <c r="C182" s="52"/>
      <c r="D182" s="52"/>
      <c r="E182" s="52"/>
      <c r="F182" s="52"/>
      <c r="G182" s="52"/>
      <c r="H182" s="52"/>
      <c r="I182" s="52"/>
      <c r="J182" s="52"/>
      <c r="K182" s="52"/>
      <c r="L182" s="52"/>
      <c r="M182" s="52"/>
      <c r="N182" s="52"/>
      <c r="O182" s="52"/>
      <c r="P182" s="52"/>
      <c r="Q182" s="52"/>
      <c r="R182" s="52"/>
      <c r="S182" s="521">
        <v>1.44</v>
      </c>
      <c r="T182" s="521">
        <v>1.79</v>
      </c>
      <c r="U182" s="521">
        <v>2.2000000000000002</v>
      </c>
      <c r="V182" s="521">
        <v>3.11</v>
      </c>
      <c r="W182" s="521">
        <v>3.14</v>
      </c>
      <c r="X182" s="521">
        <v>3.28</v>
      </c>
      <c r="Y182" s="541">
        <v>6.7480000000000002</v>
      </c>
      <c r="Z182" s="541">
        <v>7.9290000000000003</v>
      </c>
      <c r="AA182" s="541">
        <v>7.077</v>
      </c>
      <c r="AB182" s="541">
        <v>7.1630000000000003</v>
      </c>
      <c r="AC182" s="541">
        <v>8.85</v>
      </c>
      <c r="AD182" s="541">
        <v>15.534000000000001</v>
      </c>
      <c r="AE182" s="541">
        <v>27.113</v>
      </c>
      <c r="AF182" s="977">
        <v>27.650449913244863</v>
      </c>
      <c r="AG182" s="977">
        <v>36.409613883820256</v>
      </c>
      <c r="AH182" s="977">
        <v>40.165493991927967</v>
      </c>
      <c r="AI182" s="977">
        <v>47.595912257805473</v>
      </c>
      <c r="AJ182" s="977">
        <v>52.287038399357954</v>
      </c>
      <c r="AK182" s="977">
        <v>55.761007487967092</v>
      </c>
      <c r="AL182" s="979">
        <v>58.423538541280664</v>
      </c>
      <c r="AM182" s="979">
        <v>58.157285435949305</v>
      </c>
      <c r="AO182" s="1041"/>
    </row>
    <row r="183" spans="1:41" ht="12.75" customHeight="1">
      <c r="A183" s="83" t="s">
        <v>1324</v>
      </c>
      <c r="B183" s="52"/>
      <c r="C183" s="52"/>
      <c r="D183" s="52"/>
      <c r="E183" s="52"/>
      <c r="F183" s="52"/>
      <c r="G183" s="52"/>
      <c r="H183" s="52"/>
      <c r="I183" s="52"/>
      <c r="J183" s="52"/>
      <c r="K183" s="52"/>
      <c r="L183" s="52"/>
      <c r="M183" s="52"/>
      <c r="N183" s="52"/>
      <c r="O183" s="52"/>
      <c r="P183" s="52"/>
      <c r="Q183" s="52"/>
      <c r="R183" s="52"/>
      <c r="S183" s="521">
        <v>57</v>
      </c>
      <c r="T183" s="521">
        <v>78.77</v>
      </c>
      <c r="U183" s="521">
        <v>96.88</v>
      </c>
      <c r="V183" s="521">
        <v>137.09</v>
      </c>
      <c r="W183" s="521">
        <v>138.34</v>
      </c>
      <c r="X183" s="521">
        <v>44.4</v>
      </c>
      <c r="Y183" s="541">
        <v>76.399000000000001</v>
      </c>
      <c r="Z183" s="541">
        <v>76.739999999999995</v>
      </c>
      <c r="AA183" s="541">
        <v>75.513000000000005</v>
      </c>
      <c r="AB183" s="541">
        <v>76.438000000000002</v>
      </c>
      <c r="AC183" s="541">
        <v>0.30599999999999999</v>
      </c>
      <c r="AD183" s="541">
        <v>0.85699999999999998</v>
      </c>
      <c r="AE183" s="541">
        <v>0.67800000000000005</v>
      </c>
      <c r="AF183" s="977">
        <v>0.69129444767119108</v>
      </c>
      <c r="AG183" s="977">
        <v>6.1824813714188602</v>
      </c>
      <c r="AH183" s="977">
        <v>6.8202431141210367</v>
      </c>
      <c r="AI183" s="977">
        <v>12.459126817084229</v>
      </c>
      <c r="AJ183" s="977">
        <v>13.687117473003559</v>
      </c>
      <c r="AK183" s="977">
        <v>14.596494337116793</v>
      </c>
      <c r="AL183" s="979">
        <v>15.293462006692629</v>
      </c>
      <c r="AM183" s="979">
        <v>15.223765239735044</v>
      </c>
      <c r="AO183" s="1041"/>
    </row>
    <row r="184" spans="1:41" ht="12.75" customHeight="1">
      <c r="A184" s="83" t="s">
        <v>362</v>
      </c>
      <c r="B184" s="52"/>
      <c r="C184" s="52"/>
      <c r="D184" s="52"/>
      <c r="E184" s="52"/>
      <c r="F184" s="52"/>
      <c r="G184" s="52"/>
      <c r="H184" s="52"/>
      <c r="I184" s="52"/>
      <c r="J184" s="52"/>
      <c r="K184" s="52"/>
      <c r="L184" s="52"/>
      <c r="M184" s="52"/>
      <c r="N184" s="52"/>
      <c r="O184" s="52"/>
      <c r="P184" s="52"/>
      <c r="Q184" s="52"/>
      <c r="R184" s="52"/>
      <c r="S184" s="521">
        <v>82.5</v>
      </c>
      <c r="T184" s="521">
        <v>84.79</v>
      </c>
      <c r="U184" s="521">
        <v>104.27</v>
      </c>
      <c r="V184" s="521">
        <v>147.55000000000001</v>
      </c>
      <c r="W184" s="521">
        <v>148.9</v>
      </c>
      <c r="X184" s="521">
        <v>196.97</v>
      </c>
      <c r="Y184" s="541">
        <v>372.96100000000001</v>
      </c>
      <c r="Z184" s="541">
        <v>503.15600000000001</v>
      </c>
      <c r="AA184" s="541">
        <v>485.44</v>
      </c>
      <c r="AB184" s="541">
        <v>491.392</v>
      </c>
      <c r="AC184" s="541">
        <v>603.20100000000002</v>
      </c>
      <c r="AD184" s="541">
        <v>495.10599999999999</v>
      </c>
      <c r="AE184" s="541">
        <v>452.75900000000001</v>
      </c>
      <c r="AF184" s="977">
        <v>461.73142374539964</v>
      </c>
      <c r="AG184" s="977">
        <v>399.51980407169896</v>
      </c>
      <c r="AH184" s="977">
        <v>440.73277847170488</v>
      </c>
      <c r="AI184" s="977">
        <v>633.38238231230775</v>
      </c>
      <c r="AJ184" s="977">
        <v>695.80952175172013</v>
      </c>
      <c r="AK184" s="977">
        <v>742.03934933658229</v>
      </c>
      <c r="AL184" s="979">
        <v>777.47096901841087</v>
      </c>
      <c r="AM184" s="979">
        <v>773.92780705022801</v>
      </c>
      <c r="AO184" s="1041"/>
    </row>
    <row r="185" spans="1:41" ht="12.75" customHeight="1">
      <c r="A185" s="83" t="s">
        <v>669</v>
      </c>
      <c r="B185" s="52"/>
      <c r="C185" s="52"/>
      <c r="D185" s="52"/>
      <c r="E185" s="52"/>
      <c r="F185" s="52"/>
      <c r="G185" s="52"/>
      <c r="H185" s="52"/>
      <c r="I185" s="52"/>
      <c r="J185" s="52"/>
      <c r="K185" s="52"/>
      <c r="L185" s="52"/>
      <c r="M185" s="52"/>
      <c r="N185" s="52"/>
      <c r="O185" s="52"/>
      <c r="P185" s="52"/>
      <c r="Q185" s="52"/>
      <c r="R185" s="52"/>
      <c r="S185" s="521">
        <v>0</v>
      </c>
      <c r="T185" s="521">
        <v>0</v>
      </c>
      <c r="U185" s="521">
        <v>0</v>
      </c>
      <c r="V185" s="521">
        <v>0</v>
      </c>
      <c r="W185" s="521">
        <v>0</v>
      </c>
      <c r="X185" s="521">
        <v>0</v>
      </c>
      <c r="Y185" s="541">
        <v>0</v>
      </c>
      <c r="Z185" s="541">
        <v>0</v>
      </c>
      <c r="AA185" s="541">
        <v>0</v>
      </c>
      <c r="AB185" s="541">
        <v>0</v>
      </c>
      <c r="AC185" s="541">
        <v>0</v>
      </c>
      <c r="AD185" s="541">
        <v>0</v>
      </c>
      <c r="AE185" s="541">
        <v>0</v>
      </c>
      <c r="AF185" s="977">
        <v>0</v>
      </c>
      <c r="AG185" s="977">
        <v>0</v>
      </c>
      <c r="AH185" s="977">
        <v>0</v>
      </c>
      <c r="AI185" s="977">
        <v>0</v>
      </c>
      <c r="AJ185" s="977">
        <v>0</v>
      </c>
      <c r="AK185" s="977">
        <v>0</v>
      </c>
      <c r="AL185" s="979">
        <v>0</v>
      </c>
      <c r="AM185" s="979">
        <v>0</v>
      </c>
      <c r="AO185" s="1041"/>
    </row>
    <row r="186" spans="1:41" ht="12.75" customHeight="1">
      <c r="A186" s="83" t="s">
        <v>397</v>
      </c>
      <c r="B186" s="52"/>
      <c r="C186" s="52"/>
      <c r="D186" s="52"/>
      <c r="E186" s="52"/>
      <c r="F186" s="52"/>
      <c r="G186" s="52"/>
      <c r="H186" s="52"/>
      <c r="I186" s="52"/>
      <c r="J186" s="52"/>
      <c r="K186" s="52"/>
      <c r="L186" s="52"/>
      <c r="M186" s="52"/>
      <c r="N186" s="52"/>
      <c r="O186" s="52"/>
      <c r="P186" s="52"/>
      <c r="Q186" s="52"/>
      <c r="R186" s="52"/>
      <c r="S186" s="521">
        <v>0.6</v>
      </c>
      <c r="T186" s="521">
        <v>0.52</v>
      </c>
      <c r="U186" s="521">
        <v>0.64</v>
      </c>
      <c r="V186" s="521">
        <v>0.91</v>
      </c>
      <c r="W186" s="521">
        <v>0.92</v>
      </c>
      <c r="X186" s="521">
        <v>0.62</v>
      </c>
      <c r="Y186" s="541">
        <v>1.712</v>
      </c>
      <c r="Z186" s="541">
        <v>2.5310000000000001</v>
      </c>
      <c r="AA186" s="541">
        <v>2.8860000000000001</v>
      </c>
      <c r="AB186" s="541">
        <v>2.9220000000000002</v>
      </c>
      <c r="AC186" s="541">
        <v>6.7889999999999997</v>
      </c>
      <c r="AD186" s="541">
        <v>6.9080000000000004</v>
      </c>
      <c r="AE186" s="541">
        <v>7.3760000000000003</v>
      </c>
      <c r="AF186" s="977">
        <v>7.5217557661657724</v>
      </c>
      <c r="AG186" s="977">
        <v>24.601963762641823</v>
      </c>
      <c r="AH186" s="977">
        <v>27.139810678880472</v>
      </c>
      <c r="AI186" s="977">
        <v>25.339456397511867</v>
      </c>
      <c r="AJ186" s="977">
        <v>27.836952099983737</v>
      </c>
      <c r="AK186" s="977">
        <v>29.68644891748993</v>
      </c>
      <c r="AL186" s="979">
        <v>31.103946478352341</v>
      </c>
      <c r="AM186" s="979">
        <v>30.9621967222661</v>
      </c>
      <c r="AO186" s="1041"/>
    </row>
    <row r="187" spans="1:41" ht="12.75" customHeight="1">
      <c r="A187" s="83" t="s">
        <v>544</v>
      </c>
      <c r="B187" s="52"/>
      <c r="C187" s="52"/>
      <c r="D187" s="52"/>
      <c r="E187" s="52"/>
      <c r="F187" s="52"/>
      <c r="G187" s="52"/>
      <c r="H187" s="52"/>
      <c r="I187" s="52"/>
      <c r="J187" s="52"/>
      <c r="K187" s="52"/>
      <c r="L187" s="52"/>
      <c r="M187" s="52"/>
      <c r="N187" s="52"/>
      <c r="O187" s="52"/>
      <c r="P187" s="52"/>
      <c r="Q187" s="52"/>
      <c r="R187" s="52"/>
      <c r="S187" s="521">
        <v>28.65</v>
      </c>
      <c r="T187" s="521">
        <v>31.64</v>
      </c>
      <c r="U187" s="521">
        <v>38.92</v>
      </c>
      <c r="V187" s="521">
        <v>55.07</v>
      </c>
      <c r="W187" s="521">
        <v>55.57</v>
      </c>
      <c r="X187" s="521">
        <v>36.590000000000003</v>
      </c>
      <c r="Y187" s="541">
        <v>46.235999999999997</v>
      </c>
      <c r="Z187" s="541">
        <v>39.267000000000003</v>
      </c>
      <c r="AA187" s="541">
        <v>35.835000000000001</v>
      </c>
      <c r="AB187" s="541">
        <v>36.274999999999999</v>
      </c>
      <c r="AC187" s="541">
        <v>30.588999999999999</v>
      </c>
      <c r="AD187" s="541">
        <v>33.451999999999998</v>
      </c>
      <c r="AE187" s="541">
        <v>47.054000000000002</v>
      </c>
      <c r="AF187" s="977">
        <v>47.986015952668673</v>
      </c>
      <c r="AG187" s="977">
        <v>61.967358784428299</v>
      </c>
      <c r="AH187" s="977">
        <v>68.359680629781181</v>
      </c>
      <c r="AI187" s="977">
        <v>89.645988131589363</v>
      </c>
      <c r="AJ187" s="977">
        <v>98.481634271357095</v>
      </c>
      <c r="AK187" s="977">
        <v>105.02478843972563</v>
      </c>
      <c r="AL187" s="979">
        <v>110.03961462716137</v>
      </c>
      <c r="AM187" s="980">
        <v>109.53813200841779</v>
      </c>
      <c r="AO187" s="1049"/>
    </row>
    <row r="188" spans="1:41" ht="12.75" customHeight="1">
      <c r="A188" s="154" t="s">
        <v>3844</v>
      </c>
      <c r="B188" s="155" t="s">
        <v>1100</v>
      </c>
      <c r="C188" s="155" t="s">
        <v>1100</v>
      </c>
      <c r="D188" s="155" t="s">
        <v>1100</v>
      </c>
      <c r="E188" s="155" t="s">
        <v>1100</v>
      </c>
      <c r="F188" s="155" t="s">
        <v>1100</v>
      </c>
      <c r="G188" s="155" t="s">
        <v>1100</v>
      </c>
      <c r="H188" s="155" t="s">
        <v>1100</v>
      </c>
      <c r="I188" s="155" t="s">
        <v>1100</v>
      </c>
      <c r="J188" s="155" t="s">
        <v>1100</v>
      </c>
      <c r="K188" s="155" t="s">
        <v>1100</v>
      </c>
      <c r="L188" s="155" t="s">
        <v>1100</v>
      </c>
      <c r="M188" s="155" t="s">
        <v>1100</v>
      </c>
      <c r="N188" s="155" t="s">
        <v>1100</v>
      </c>
      <c r="O188" s="155" t="s">
        <v>1100</v>
      </c>
      <c r="P188" s="155" t="s">
        <v>1100</v>
      </c>
      <c r="Q188" s="155" t="s">
        <v>1100</v>
      </c>
      <c r="R188" s="155" t="s">
        <v>1100</v>
      </c>
      <c r="S188" s="440">
        <f>SUM(S174:S187)</f>
        <v>897.00000000000011</v>
      </c>
      <c r="T188" s="440">
        <f t="shared" ref="T188:AL188" si="24">SUM(T174:T187)</f>
        <v>1004.99</v>
      </c>
      <c r="U188" s="440">
        <f t="shared" si="24"/>
        <v>1236.0000000000002</v>
      </c>
      <c r="V188" s="440">
        <f t="shared" si="24"/>
        <v>1749.02</v>
      </c>
      <c r="W188" s="440">
        <f t="shared" si="24"/>
        <v>1764.9900000000002</v>
      </c>
      <c r="X188" s="440">
        <f t="shared" si="24"/>
        <v>1894.9799999999998</v>
      </c>
      <c r="Y188" s="440">
        <f t="shared" si="24"/>
        <v>3005.0009999999997</v>
      </c>
      <c r="Z188" s="440">
        <f t="shared" si="24"/>
        <v>2959.9979999999996</v>
      </c>
      <c r="AA188" s="440">
        <f t="shared" si="24"/>
        <v>2773.0010000000002</v>
      </c>
      <c r="AB188" s="440">
        <f t="shared" si="24"/>
        <v>2807.0009999999997</v>
      </c>
      <c r="AC188" s="440">
        <f t="shared" si="24"/>
        <v>2843.0009999999997</v>
      </c>
      <c r="AD188" s="440">
        <f t="shared" si="24"/>
        <v>2598.0009999999993</v>
      </c>
      <c r="AE188" s="440">
        <f t="shared" si="24"/>
        <v>2523.0000000000005</v>
      </c>
      <c r="AF188" s="440">
        <f t="shared" si="24"/>
        <v>2573.0002951096899</v>
      </c>
      <c r="AG188" s="440">
        <f t="shared" si="24"/>
        <v>2597.9998570260082</v>
      </c>
      <c r="AH188" s="440">
        <f t="shared" si="24"/>
        <v>2865.9998422773438</v>
      </c>
      <c r="AI188" s="440">
        <f t="shared" si="24"/>
        <v>3754</v>
      </c>
      <c r="AJ188" s="440">
        <f t="shared" si="24"/>
        <v>4124</v>
      </c>
      <c r="AK188" s="440">
        <f t="shared" si="24"/>
        <v>4398</v>
      </c>
      <c r="AL188" s="371">
        <f t="shared" si="24"/>
        <v>4608.0000000000009</v>
      </c>
      <c r="AM188" s="386">
        <f>SUM(AM174:AM187)</f>
        <v>4587.0000000000009</v>
      </c>
    </row>
    <row r="190" spans="1:41" ht="12.75" customHeight="1">
      <c r="A190" s="74" t="s">
        <v>3821</v>
      </c>
      <c r="B190" s="626" t="s">
        <v>166</v>
      </c>
      <c r="C190" s="626" t="s">
        <v>163</v>
      </c>
      <c r="D190" s="626" t="s">
        <v>160</v>
      </c>
      <c r="E190" s="626" t="s">
        <v>157</v>
      </c>
      <c r="F190" s="626" t="s">
        <v>153</v>
      </c>
      <c r="G190" s="626" t="s">
        <v>149</v>
      </c>
      <c r="H190" s="626" t="s">
        <v>146</v>
      </c>
      <c r="I190" s="626" t="s">
        <v>142</v>
      </c>
      <c r="J190" s="626" t="s">
        <v>139</v>
      </c>
      <c r="K190" s="626" t="s">
        <v>136</v>
      </c>
      <c r="L190" s="626" t="s">
        <v>132</v>
      </c>
      <c r="M190" s="626" t="s">
        <v>208</v>
      </c>
      <c r="N190" s="626" t="s">
        <v>126</v>
      </c>
      <c r="O190" s="626" t="s">
        <v>123</v>
      </c>
      <c r="P190" s="626" t="s">
        <v>120</v>
      </c>
      <c r="Q190" s="626" t="s">
        <v>117</v>
      </c>
      <c r="R190" s="626" t="s">
        <v>114</v>
      </c>
      <c r="S190" s="626" t="s">
        <v>111</v>
      </c>
      <c r="T190" s="626" t="s">
        <v>108</v>
      </c>
      <c r="U190" s="626" t="s">
        <v>104</v>
      </c>
      <c r="V190" s="626" t="s">
        <v>101</v>
      </c>
      <c r="W190" s="626" t="s">
        <v>98</v>
      </c>
      <c r="X190" s="626" t="s">
        <v>95</v>
      </c>
      <c r="Y190" s="626" t="s">
        <v>91</v>
      </c>
      <c r="Z190" s="626" t="s">
        <v>87</v>
      </c>
      <c r="AA190" s="626" t="s">
        <v>83</v>
      </c>
      <c r="AB190" s="626" t="s">
        <v>79</v>
      </c>
      <c r="AC190" s="626" t="s">
        <v>75</v>
      </c>
      <c r="AD190" s="626" t="s">
        <v>72</v>
      </c>
      <c r="AE190" s="626" t="s">
        <v>69</v>
      </c>
      <c r="AF190" s="626" t="s">
        <v>66</v>
      </c>
      <c r="AG190" s="626" t="s">
        <v>62</v>
      </c>
      <c r="AH190" s="626" t="s">
        <v>59</v>
      </c>
      <c r="AI190" s="626" t="s">
        <v>55</v>
      </c>
      <c r="AJ190" s="626" t="s">
        <v>52</v>
      </c>
      <c r="AK190" s="626" t="s">
        <v>49</v>
      </c>
      <c r="AL190" s="587" t="s">
        <v>46</v>
      </c>
      <c r="AM190" s="663" t="s">
        <v>42</v>
      </c>
      <c r="AO190" s="660" t="s">
        <v>227</v>
      </c>
    </row>
    <row r="191" spans="1:41" ht="12.75" customHeight="1">
      <c r="A191" s="83" t="s">
        <v>393</v>
      </c>
      <c r="B191" s="52"/>
      <c r="C191" s="52"/>
      <c r="D191" s="52"/>
      <c r="E191" s="52"/>
      <c r="F191" s="52"/>
      <c r="G191" s="52"/>
      <c r="H191" s="52"/>
      <c r="I191" s="52"/>
      <c r="J191" s="52"/>
      <c r="K191" s="52"/>
      <c r="L191" s="52"/>
      <c r="M191" s="52"/>
      <c r="N191" s="52"/>
      <c r="O191" s="52"/>
      <c r="P191" s="52"/>
      <c r="Q191" s="52"/>
      <c r="R191" s="52"/>
      <c r="S191" s="521">
        <f>SUMIF(RDprograms[Socio-Economic Objective
],$A191,RDprograms[2005-06])</f>
        <v>114.99999999999999</v>
      </c>
      <c r="T191" s="521">
        <f>SUMIF(RDprograms[Socio-Economic Objective
],$A191,RDprograms[2006-07])</f>
        <v>121.29999999999998</v>
      </c>
      <c r="U191" s="521">
        <f>SUMIF(RDprograms[Socio-Economic Objective
],$A191,RDprograms[2007-08])</f>
        <v>127.5</v>
      </c>
      <c r="V191" s="521">
        <f>SUMIF(RDprograms[Socio-Economic Objective
],$A191,RDprograms[2008-09])</f>
        <v>143.91800000000001</v>
      </c>
      <c r="W191" s="521">
        <f>SUMIF(RDprograms[Socio-Economic Objective
],$A191,RDprograms[2009-10])</f>
        <v>296.351</v>
      </c>
      <c r="X191" s="521">
        <f>SUMIF(RDprograms[Socio-Economic Objective
],$A191,RDprograms[2010-11])</f>
        <v>242.17899999999997</v>
      </c>
      <c r="Y191" s="521">
        <f>SUMIF(RDprograms[Socio-Economic Objective
],$A191,RDprograms[2011-12])</f>
        <v>228.57400000000001</v>
      </c>
      <c r="Z191" s="521">
        <f>SUMIF(RDprograms[Socio-Economic Objective
],$A191,RDprograms[2012-13])</f>
        <v>252.59200000000001</v>
      </c>
      <c r="AA191" s="521">
        <f>SUMIF(RDprograms[Socio-Economic Objective
],$A191,RDprograms[2013-14])</f>
        <v>156.50799999999998</v>
      </c>
      <c r="AB191" s="521">
        <f>SUMIF(RDprograms[Socio-Economic Objective
],$A191,RDprograms[2014-15])</f>
        <v>120.139</v>
      </c>
      <c r="AC191" s="521">
        <f>SUMIF(RDprograms[Socio-Economic Objective
],$A191,RDprograms[2015-16])</f>
        <v>117.762</v>
      </c>
      <c r="AD191" s="521">
        <f>SUMIF(RDprograms[Socio-Economic Objective
],$A191,RDprograms[2016-17])</f>
        <v>111.40899999999999</v>
      </c>
      <c r="AE191" s="521">
        <f>SUMIF(RDprograms[Socio-Economic Objective
],$A191,RDprograms[2017-18])</f>
        <v>119.27499999999999</v>
      </c>
      <c r="AF191" s="521">
        <f>SUMIF(RDprograms[Socio-Economic Objective
],$A191,RDprograms[2018-19])</f>
        <v>119.22799999999999</v>
      </c>
      <c r="AG191" s="521">
        <f>SUMIF(RDprograms[Socio-Economic Objective
],$A191,RDprograms[2019-20])</f>
        <v>137.93299999999999</v>
      </c>
      <c r="AH191" s="521">
        <f>SUMIF(RDprograms[Socio-Economic Objective
],$A191,RDprograms[2020-21])</f>
        <v>211.441</v>
      </c>
      <c r="AI191" s="521">
        <f>SUMIF(RDprograms[Socio-Economic Objective
],$A191,RDprograms[2021-22])</f>
        <v>222.62</v>
      </c>
      <c r="AJ191" s="521">
        <f>SUMIF(RDprograms[Socio-Economic Objective
],$A191,RDprograms[2022-23])</f>
        <v>211.69199999999998</v>
      </c>
      <c r="AK191" s="521">
        <f>SUMIF(RDprograms[Socio-Economic Objective
],$A191,RDprograms[2023-24])</f>
        <v>281.26099999999997</v>
      </c>
      <c r="AL191" s="527">
        <f>SUMIF(RDprograms[Socio-Economic Objective
],$A191,RDprograms[2024-25])</f>
        <v>263.10199999999998</v>
      </c>
      <c r="AM191" s="527">
        <f>SUMIF(RDprograms[Socio-Economic Objective
],$A191,RDprograms[2025-26])</f>
        <v>280.10299999999995</v>
      </c>
      <c r="AO191" s="655" t="s">
        <v>1100</v>
      </c>
    </row>
    <row r="192" spans="1:41" ht="12.75" customHeight="1">
      <c r="A192" s="83" t="s">
        <v>406</v>
      </c>
      <c r="B192" s="52"/>
      <c r="C192" s="52"/>
      <c r="D192" s="52"/>
      <c r="E192" s="52"/>
      <c r="F192" s="52"/>
      <c r="G192" s="52"/>
      <c r="H192" s="52"/>
      <c r="I192" s="52"/>
      <c r="J192" s="52"/>
      <c r="K192" s="52"/>
      <c r="L192" s="52"/>
      <c r="M192" s="52"/>
      <c r="N192" s="52"/>
      <c r="O192" s="52"/>
      <c r="P192" s="52"/>
      <c r="Q192" s="52"/>
      <c r="R192" s="52"/>
      <c r="S192" s="521">
        <f>SUMIF(RDprograms[Socio-Economic Objective
],$A192,RDprograms[2005-06])</f>
        <v>34.552999999999997</v>
      </c>
      <c r="T192" s="521">
        <f>SUMIF(RDprograms[Socio-Economic Objective
],$A192,RDprograms[2006-07])</f>
        <v>66.949999999999989</v>
      </c>
      <c r="U192" s="521">
        <f>SUMIF(RDprograms[Socio-Economic Objective
],$A192,RDprograms[2007-08])</f>
        <v>62.444999999999993</v>
      </c>
      <c r="V192" s="521">
        <f>SUMIF(RDprograms[Socio-Economic Objective
],$A192,RDprograms[2008-09])</f>
        <v>65.024999999999991</v>
      </c>
      <c r="W192" s="521">
        <f>SUMIF(RDprograms[Socio-Economic Objective
],$A192,RDprograms[2009-10])</f>
        <v>61.031999999999996</v>
      </c>
      <c r="X192" s="521">
        <f>SUMIF(RDprograms[Socio-Economic Objective
],$A192,RDprograms[2010-11])</f>
        <v>50.113</v>
      </c>
      <c r="Y192" s="521">
        <f>SUMIF(RDprograms[Socio-Economic Objective
],$A192,RDprograms[2011-12])</f>
        <v>50.081000000000003</v>
      </c>
      <c r="Z192" s="521">
        <f>SUMIF(RDprograms[Socio-Economic Objective
],$A192,RDprograms[2012-13])</f>
        <v>59.808000000000007</v>
      </c>
      <c r="AA192" s="521">
        <f>SUMIF(RDprograms[Socio-Economic Objective
],$A192,RDprograms[2013-14])</f>
        <v>56.776999999999994</v>
      </c>
      <c r="AB192" s="521">
        <f>SUMIF(RDprograms[Socio-Economic Objective
],$A192,RDprograms[2014-15])</f>
        <v>41.930999999999997</v>
      </c>
      <c r="AC192" s="521">
        <f>SUMIF(RDprograms[Socio-Economic Objective
],$A192,RDprograms[2015-16])</f>
        <v>50.203000000000003</v>
      </c>
      <c r="AD192" s="521">
        <f>SUMIF(RDprograms[Socio-Economic Objective
],$A192,RDprograms[2016-17])</f>
        <v>51.543999999999997</v>
      </c>
      <c r="AE192" s="521">
        <f>SUMIF(RDprograms[Socio-Economic Objective
],$A192,RDprograms[2017-18])</f>
        <v>160.572</v>
      </c>
      <c r="AF192" s="521">
        <f>SUMIF(RDprograms[Socio-Economic Objective
],$A192,RDprograms[2018-19])</f>
        <v>48.785000000000004</v>
      </c>
      <c r="AG192" s="521">
        <f>SUMIF(RDprograms[Socio-Economic Objective
],$A192,RDprograms[2019-20])</f>
        <v>60.04</v>
      </c>
      <c r="AH192" s="521">
        <f>SUMIF(RDprograms[Socio-Economic Objective
],$A192,RDprograms[2020-21])</f>
        <v>61.785000000000004</v>
      </c>
      <c r="AI192" s="521">
        <f>SUMIF(RDprograms[Socio-Economic Objective
],$A192,RDprograms[2021-22])</f>
        <v>73.491</v>
      </c>
      <c r="AJ192" s="521">
        <f>SUMIF(RDprograms[Socio-Economic Objective
],$A192,RDprograms[2022-23])</f>
        <v>90.349000000000004</v>
      </c>
      <c r="AK192" s="521">
        <f>SUMIF(RDprograms[Socio-Economic Objective
],$A192,RDprograms[2023-24])</f>
        <v>74.77000000000001</v>
      </c>
      <c r="AL192" s="527">
        <f>SUMIF(RDprograms[Socio-Economic Objective
],$A192,RDprograms[2024-25])</f>
        <v>174.31399999999999</v>
      </c>
      <c r="AM192" s="527">
        <f>SUMIF(RDprograms[Socio-Economic Objective
],$A192,RDprograms[2025-26])</f>
        <v>111.714</v>
      </c>
      <c r="AO192" s="658" t="s">
        <v>1100</v>
      </c>
    </row>
    <row r="193" spans="1:41" ht="12.75" customHeight="1">
      <c r="A193" s="83" t="s">
        <v>734</v>
      </c>
      <c r="B193" s="52"/>
      <c r="C193" s="52"/>
      <c r="D193" s="52"/>
      <c r="E193" s="52"/>
      <c r="F193" s="52"/>
      <c r="G193" s="52"/>
      <c r="H193" s="52"/>
      <c r="I193" s="52"/>
      <c r="J193" s="52"/>
      <c r="K193" s="52"/>
      <c r="L193" s="52"/>
      <c r="M193" s="52"/>
      <c r="N193" s="52"/>
      <c r="O193" s="52"/>
      <c r="P193" s="52"/>
      <c r="Q193" s="52"/>
      <c r="R193" s="52"/>
      <c r="S193" s="521">
        <f>SUMIF(RDprograms[Socio-Economic Objective
],$A193,RDprograms[2005-06])</f>
        <v>4.5940000000000003</v>
      </c>
      <c r="T193" s="521">
        <f>SUMIF(RDprograms[Socio-Economic Objective
],$A193,RDprograms[2006-07])</f>
        <v>4.6989999999999998</v>
      </c>
      <c r="U193" s="521">
        <f>SUMIF(RDprograms[Socio-Economic Objective
],$A193,RDprograms[2007-08])</f>
        <v>4.7930000000000001</v>
      </c>
      <c r="V193" s="521">
        <f>SUMIF(RDprograms[Socio-Economic Objective
],$A193,RDprograms[2008-09])</f>
        <v>4.9160000000000004</v>
      </c>
      <c r="W193" s="521">
        <f>SUMIF(RDprograms[Socio-Economic Objective
],$A193,RDprograms[2009-10])</f>
        <v>59.402000000000001</v>
      </c>
      <c r="X193" s="521">
        <f>SUMIF(RDprograms[Socio-Economic Objective
],$A193,RDprograms[2010-11])</f>
        <v>61.821999999999996</v>
      </c>
      <c r="Y193" s="521">
        <f>SUMIF(RDprograms[Socio-Economic Objective
],$A193,RDprograms[2011-12])</f>
        <v>46.638999999999996</v>
      </c>
      <c r="Z193" s="521">
        <f>SUMIF(RDprograms[Socio-Economic Objective
],$A193,RDprograms[2012-13])</f>
        <v>83.565000000000012</v>
      </c>
      <c r="AA193" s="521">
        <f>SUMIF(RDprograms[Socio-Economic Objective
],$A193,RDprograms[2013-14])</f>
        <v>26.834</v>
      </c>
      <c r="AB193" s="521">
        <f>SUMIF(RDprograms[Socio-Economic Objective
],$A193,RDprograms[2014-15])</f>
        <v>43.145999999999994</v>
      </c>
      <c r="AC193" s="521">
        <f>SUMIF(RDprograms[Socio-Economic Objective
],$A193,RDprograms[2015-16])</f>
        <v>20.304000000000002</v>
      </c>
      <c r="AD193" s="521">
        <f>SUMIF(RDprograms[Socio-Economic Objective
],$A193,RDprograms[2016-17])</f>
        <v>18.244999999999997</v>
      </c>
      <c r="AE193" s="521">
        <f>SUMIF(RDprograms[Socio-Economic Objective
],$A193,RDprograms[2017-18])</f>
        <v>22.886999999999997</v>
      </c>
      <c r="AF193" s="521">
        <f>SUMIF(RDprograms[Socio-Economic Objective
],$A193,RDprograms[2018-19])</f>
        <v>32.097999999999999</v>
      </c>
      <c r="AG193" s="521">
        <f>SUMIF(RDprograms[Socio-Economic Objective
],$A193,RDprograms[2019-20])</f>
        <v>29.411000000000001</v>
      </c>
      <c r="AH193" s="521">
        <f>SUMIF(RDprograms[Socio-Economic Objective
],$A193,RDprograms[2020-21])</f>
        <v>22.545000000000002</v>
      </c>
      <c r="AI193" s="521">
        <f>SUMIF(RDprograms[Socio-Economic Objective
],$A193,RDprograms[2021-22])</f>
        <v>127.94500000000001</v>
      </c>
      <c r="AJ193" s="521">
        <f>SUMIF(RDprograms[Socio-Economic Objective
],$A193,RDprograms[2022-23])</f>
        <v>154.61199999999999</v>
      </c>
      <c r="AK193" s="521">
        <f>SUMIF(RDprograms[Socio-Economic Objective
],$A193,RDprograms[2023-24])</f>
        <v>98.71</v>
      </c>
      <c r="AL193" s="527">
        <f>SUMIF(RDprograms[Socio-Economic Objective
],$A193,RDprograms[2024-25])</f>
        <v>153.44499999999999</v>
      </c>
      <c r="AM193" s="527">
        <f>SUMIF(RDprograms[Socio-Economic Objective
],$A193,RDprograms[2025-26])</f>
        <v>22.234999999999999</v>
      </c>
      <c r="AO193" s="655" t="s">
        <v>1100</v>
      </c>
    </row>
    <row r="194" spans="1:41" ht="12.75" customHeight="1">
      <c r="A194" s="83" t="s">
        <v>510</v>
      </c>
      <c r="B194" s="52"/>
      <c r="C194" s="52"/>
      <c r="D194" s="52"/>
      <c r="E194" s="52"/>
      <c r="F194" s="52"/>
      <c r="G194" s="52"/>
      <c r="H194" s="52"/>
      <c r="I194" s="52"/>
      <c r="J194" s="52"/>
      <c r="K194" s="52"/>
      <c r="L194" s="52"/>
      <c r="M194" s="52"/>
      <c r="N194" s="52"/>
      <c r="O194" s="52"/>
      <c r="P194" s="52"/>
      <c r="Q194" s="52"/>
      <c r="R194" s="52"/>
      <c r="S194" s="521">
        <f>SUMIF(RDprograms[Socio-Economic Objective
],$A194,RDprograms[2005-06])</f>
        <v>22</v>
      </c>
      <c r="T194" s="521">
        <f>SUMIF(RDprograms[Socio-Economic Objective
],$A194,RDprograms[2006-07])</f>
        <v>18.431999999999999</v>
      </c>
      <c r="U194" s="521">
        <f>SUMIF(RDprograms[Socio-Economic Objective
],$A194,RDprograms[2007-08])</f>
        <v>12.605999999999998</v>
      </c>
      <c r="V194" s="521">
        <f>SUMIF(RDprograms[Socio-Economic Objective
],$A194,RDprograms[2008-09])</f>
        <v>6.8419999999999996</v>
      </c>
      <c r="W194" s="521">
        <f>SUMIF(RDprograms[Socio-Economic Objective
],$A194,RDprograms[2009-10])</f>
        <v>6.53</v>
      </c>
      <c r="X194" s="521">
        <f>SUMIF(RDprograms[Socio-Economic Objective
],$A194,RDprograms[2010-11])</f>
        <v>7.9340000000000011</v>
      </c>
      <c r="Y194" s="521">
        <f>SUMIF(RDprograms[Socio-Economic Objective
],$A194,RDprograms[2011-12])</f>
        <v>9.048</v>
      </c>
      <c r="Z194" s="521">
        <f>SUMIF(RDprograms[Socio-Economic Objective
],$A194,RDprograms[2012-13])</f>
        <v>10.721812</v>
      </c>
      <c r="AA194" s="521">
        <f>SUMIF(RDprograms[Socio-Economic Objective
],$A194,RDprograms[2013-14])</f>
        <v>11.703007999999999</v>
      </c>
      <c r="AB194" s="521">
        <f>SUMIF(RDprograms[Socio-Economic Objective
],$A194,RDprograms[2014-15])</f>
        <v>12.749743920000002</v>
      </c>
      <c r="AC194" s="521">
        <f>SUMIF(RDprograms[Socio-Economic Objective
],$A194,RDprograms[2015-16])</f>
        <v>9.4051987799999992</v>
      </c>
      <c r="AD194" s="521">
        <f>SUMIF(RDprograms[Socio-Economic Objective
],$A194,RDprograms[2016-17])</f>
        <v>10.487182699999998</v>
      </c>
      <c r="AE194" s="521">
        <f>SUMIF(RDprograms[Socio-Economic Objective
],$A194,RDprograms[2017-18])</f>
        <v>11.556800000000001</v>
      </c>
      <c r="AF194" s="521">
        <f>SUMIF(RDprograms[Socio-Economic Objective
],$A194,RDprograms[2018-19])</f>
        <v>13.145875999999999</v>
      </c>
      <c r="AG194" s="521">
        <f>SUMIF(RDprograms[Socio-Economic Objective
],$A194,RDprograms[2019-20])</f>
        <v>22.683999999999997</v>
      </c>
      <c r="AH194" s="521">
        <f>SUMIF(RDprograms[Socio-Economic Objective
],$A194,RDprograms[2020-21])</f>
        <v>33.68</v>
      </c>
      <c r="AI194" s="521">
        <f>SUMIF(RDprograms[Socio-Economic Objective
],$A194,RDprograms[2021-22])</f>
        <v>34.193000000000005</v>
      </c>
      <c r="AJ194" s="521">
        <f>SUMIF(RDprograms[Socio-Economic Objective
],$A194,RDprograms[2022-23])</f>
        <v>53.227300000000007</v>
      </c>
      <c r="AK194" s="521">
        <f>SUMIF(RDprograms[Socio-Economic Objective
],$A194,RDprograms[2023-24])</f>
        <v>41.597302000000006</v>
      </c>
      <c r="AL194" s="527">
        <f>SUMIF(RDprograms[Socio-Economic Objective
],$A194,RDprograms[2024-25])</f>
        <v>68.771864999999991</v>
      </c>
      <c r="AM194" s="527">
        <f>SUMIF(RDprograms[Socio-Economic Objective
],$A194,RDprograms[2025-26])</f>
        <v>49.625</v>
      </c>
      <c r="AO194" s="655" t="s">
        <v>1100</v>
      </c>
    </row>
    <row r="195" spans="1:41" ht="12.75" customHeight="1">
      <c r="A195" s="83" t="s">
        <v>409</v>
      </c>
      <c r="B195" s="52"/>
      <c r="C195" s="52"/>
      <c r="D195" s="52"/>
      <c r="E195" s="52"/>
      <c r="F195" s="52"/>
      <c r="G195" s="52"/>
      <c r="H195" s="52"/>
      <c r="I195" s="52"/>
      <c r="J195" s="52"/>
      <c r="K195" s="52"/>
      <c r="L195" s="52"/>
      <c r="M195" s="52"/>
      <c r="N195" s="52"/>
      <c r="O195" s="52"/>
      <c r="P195" s="52"/>
      <c r="Q195" s="52"/>
      <c r="R195" s="52"/>
      <c r="S195" s="521">
        <f>SUMIF(RDprograms[Socio-Economic Objective
],$A195,RDprograms[2005-06])</f>
        <v>9.2319999999999993</v>
      </c>
      <c r="T195" s="521">
        <f>SUMIF(RDprograms[Socio-Economic Objective
],$A195,RDprograms[2006-07])</f>
        <v>8.4379999999999988</v>
      </c>
      <c r="U195" s="521">
        <f>SUMIF(RDprograms[Socio-Economic Objective
],$A195,RDprograms[2007-08])</f>
        <v>24.961500000000001</v>
      </c>
      <c r="V195" s="521">
        <f>SUMIF(RDprograms[Socio-Economic Objective
],$A195,RDprograms[2008-09])</f>
        <v>39.403999999999989</v>
      </c>
      <c r="W195" s="521">
        <f>SUMIF(RDprograms[Socio-Economic Objective
],$A195,RDprograms[2009-10])</f>
        <v>259.93799999999999</v>
      </c>
      <c r="X195" s="521">
        <f>SUMIF(RDprograms[Socio-Economic Objective
],$A195,RDprograms[2010-11])</f>
        <v>222.99099999999999</v>
      </c>
      <c r="Y195" s="521">
        <f>SUMIF(RDprograms[Socio-Economic Objective
],$A195,RDprograms[2011-12])</f>
        <v>183.15</v>
      </c>
      <c r="Z195" s="521">
        <f>SUMIF(RDprograms[Socio-Economic Objective
],$A195,RDprograms[2012-13])</f>
        <v>169.66400000000002</v>
      </c>
      <c r="AA195" s="521">
        <f>SUMIF(RDprograms[Socio-Economic Objective
],$A195,RDprograms[2013-14])</f>
        <v>412.67899999999997</v>
      </c>
      <c r="AB195" s="521">
        <f>SUMIF(RDprograms[Socio-Economic Objective
],$A195,RDprograms[2014-15])</f>
        <v>404.505</v>
      </c>
      <c r="AC195" s="521">
        <f>SUMIF(RDprograms[Socio-Economic Objective
],$A195,RDprograms[2015-16])</f>
        <v>199.35499999999999</v>
      </c>
      <c r="AD195" s="521">
        <f>SUMIF(RDprograms[Socio-Economic Objective
],$A195,RDprograms[2016-17])</f>
        <v>262.78700000000003</v>
      </c>
      <c r="AE195" s="521">
        <f>SUMIF(RDprograms[Socio-Economic Objective
],$A195,RDprograms[2017-18])</f>
        <v>291.40100000000001</v>
      </c>
      <c r="AF195" s="521">
        <f>SUMIF(RDprograms[Socio-Economic Objective
],$A195,RDprograms[2018-19])</f>
        <v>237.19499999999999</v>
      </c>
      <c r="AG195" s="521">
        <f>SUMIF(RDprograms[Socio-Economic Objective
],$A195,RDprograms[2019-20])</f>
        <v>239.18299999999999</v>
      </c>
      <c r="AH195" s="521">
        <f>SUMIF(RDprograms[Socio-Economic Objective
],$A195,RDprograms[2020-21])</f>
        <v>244.02600000000001</v>
      </c>
      <c r="AI195" s="521">
        <f>SUMIF(RDprograms[Socio-Economic Objective
],$A195,RDprograms[2021-22])</f>
        <v>464.072</v>
      </c>
      <c r="AJ195" s="521">
        <f>SUMIF(RDprograms[Socio-Economic Objective
],$A195,RDprograms[2022-23])</f>
        <v>337.77100000000002</v>
      </c>
      <c r="AK195" s="521">
        <f>SUMIF(RDprograms[Socio-Economic Objective
],$A195,RDprograms[2023-24])</f>
        <v>336.66500000000002</v>
      </c>
      <c r="AL195" s="527">
        <f>SUMIF(RDprograms[Socio-Economic Objective
],$A195,RDprograms[2024-25])</f>
        <v>445.85400000000004</v>
      </c>
      <c r="AM195" s="527">
        <f>SUMIF(RDprograms[Socio-Economic Objective
],$A195,RDprograms[2025-26])</f>
        <v>737.03600000000006</v>
      </c>
      <c r="AO195" s="655" t="s">
        <v>1100</v>
      </c>
    </row>
    <row r="196" spans="1:41" ht="12.75" customHeight="1">
      <c r="A196" s="83" t="s">
        <v>389</v>
      </c>
      <c r="B196" s="52"/>
      <c r="C196" s="52"/>
      <c r="D196" s="52"/>
      <c r="E196" s="52"/>
      <c r="F196" s="52"/>
      <c r="G196" s="52"/>
      <c r="H196" s="52"/>
      <c r="I196" s="52"/>
      <c r="J196" s="52"/>
      <c r="K196" s="52"/>
      <c r="L196" s="52"/>
      <c r="M196" s="52"/>
      <c r="N196" s="52"/>
      <c r="O196" s="52"/>
      <c r="P196" s="52"/>
      <c r="Q196" s="52"/>
      <c r="R196" s="52"/>
      <c r="S196" s="521">
        <f>SUMIF(RDprograms[Socio-Economic Objective
],$A196,RDprograms[2005-06])</f>
        <v>567.23000000000013</v>
      </c>
      <c r="T196" s="521">
        <f>SUMIF(RDprograms[Socio-Economic Objective
],$A196,RDprograms[2006-07])</f>
        <v>588.74900000000002</v>
      </c>
      <c r="U196" s="521">
        <f>SUMIF(RDprograms[Socio-Economic Objective
],$A196,RDprograms[2007-08])</f>
        <v>648.33000000000004</v>
      </c>
      <c r="V196" s="521">
        <f>SUMIF(RDprograms[Socio-Economic Objective
],$A196,RDprograms[2008-09])</f>
        <v>623.62</v>
      </c>
      <c r="W196" s="521">
        <f>SUMIF(RDprograms[Socio-Economic Objective
],$A196,RDprograms[2009-10])</f>
        <v>800.83799999999997</v>
      </c>
      <c r="X196" s="521">
        <f>SUMIF(RDprograms[Socio-Economic Objective
],$A196,RDprograms[2010-11])</f>
        <v>714.49199999999996</v>
      </c>
      <c r="Y196" s="521">
        <f>SUMIF(RDprograms[Socio-Economic Objective
],$A196,RDprograms[2011-12])</f>
        <v>669.38599999999997</v>
      </c>
      <c r="Z196" s="521">
        <f>SUMIF(RDprograms[Socio-Economic Objective
],$A196,RDprograms[2012-13])</f>
        <v>545.62500000000011</v>
      </c>
      <c r="AA196" s="521">
        <f>SUMIF(RDprograms[Socio-Economic Objective
],$A196,RDprograms[2013-14])</f>
        <v>392.45699999999994</v>
      </c>
      <c r="AB196" s="521">
        <f>SUMIF(RDprograms[Socio-Economic Objective
],$A196,RDprograms[2014-15])</f>
        <v>353.87700000000001</v>
      </c>
      <c r="AC196" s="521">
        <f>SUMIF(RDprograms[Socio-Economic Objective
],$A196,RDprograms[2015-16])</f>
        <v>313.58200000000005</v>
      </c>
      <c r="AD196" s="521">
        <f>SUMIF(RDprograms[Socio-Economic Objective
],$A196,RDprograms[2016-17])</f>
        <v>272.69200000000001</v>
      </c>
      <c r="AE196" s="521">
        <f>SUMIF(RDprograms[Socio-Economic Objective
],$A196,RDprograms[2017-18])</f>
        <v>260.78399999999999</v>
      </c>
      <c r="AF196" s="521">
        <f>SUMIF(RDprograms[Socio-Economic Objective
],$A196,RDprograms[2018-19])</f>
        <v>230.92900000000003</v>
      </c>
      <c r="AG196" s="521">
        <f>SUMIF(RDprograms[Socio-Economic Objective
],$A196,RDprograms[2019-20])</f>
        <v>187.99500000000003</v>
      </c>
      <c r="AH196" s="521">
        <f>SUMIF(RDprograms[Socio-Economic Objective
],$A196,RDprograms[2020-21])</f>
        <v>271.77699999999999</v>
      </c>
      <c r="AI196" s="521">
        <f>SUMIF(RDprograms[Socio-Economic Objective
],$A196,RDprograms[2021-22])</f>
        <v>219.15499999999997</v>
      </c>
      <c r="AJ196" s="521">
        <f>SUMIF(RDprograms[Socio-Economic Objective
],$A196,RDprograms[2022-23])</f>
        <v>229.52299999999997</v>
      </c>
      <c r="AK196" s="521">
        <f>SUMIF(RDprograms[Socio-Economic Objective
],$A196,RDprograms[2023-24])</f>
        <v>237.98400000000001</v>
      </c>
      <c r="AL196" s="527">
        <f>SUMIF(RDprograms[Socio-Economic Objective
],$A196,RDprograms[2024-25])</f>
        <v>242.636</v>
      </c>
      <c r="AM196" s="527">
        <f>SUMIF(RDprograms[Socio-Economic Objective
],$A196,RDprograms[2025-26])</f>
        <v>243.90200000000002</v>
      </c>
      <c r="AO196" s="655" t="s">
        <v>1100</v>
      </c>
    </row>
    <row r="197" spans="1:41" ht="12.75" customHeight="1">
      <c r="A197" s="83" t="s">
        <v>703</v>
      </c>
      <c r="B197" s="52"/>
      <c r="C197" s="52"/>
      <c r="D197" s="52"/>
      <c r="E197" s="52"/>
      <c r="F197" s="52"/>
      <c r="G197" s="52"/>
      <c r="H197" s="52"/>
      <c r="I197" s="52"/>
      <c r="J197" s="52"/>
      <c r="K197" s="52"/>
      <c r="L197" s="52"/>
      <c r="M197" s="52"/>
      <c r="N197" s="52"/>
      <c r="O197" s="52"/>
      <c r="P197" s="52"/>
      <c r="Q197" s="52"/>
      <c r="R197" s="52"/>
      <c r="S197" s="521">
        <f>SUMIF(RDprograms[Socio-Economic Objective
],$A197,RDprograms[2005-06])</f>
        <v>699.16600000000005</v>
      </c>
      <c r="T197" s="521">
        <f>SUMIF(RDprograms[Socio-Economic Objective
],$A197,RDprograms[2006-07])</f>
        <v>993.14200000000005</v>
      </c>
      <c r="U197" s="521">
        <f>SUMIF(RDprograms[Socio-Economic Objective
],$A197,RDprograms[2007-08])</f>
        <v>656.87299999999982</v>
      </c>
      <c r="V197" s="521">
        <f>SUMIF(RDprograms[Socio-Economic Objective
],$A197,RDprograms[2008-09])</f>
        <v>850.8180000000001</v>
      </c>
      <c r="W197" s="521">
        <f>SUMIF(RDprograms[Socio-Economic Objective
],$A197,RDprograms[2009-10])</f>
        <v>814.40599999999995</v>
      </c>
      <c r="X197" s="521">
        <f>SUMIF(RDprograms[Socio-Economic Objective
],$A197,RDprograms[2010-11])</f>
        <v>1002.2489999999999</v>
      </c>
      <c r="Y197" s="521">
        <f>SUMIF(RDprograms[Socio-Economic Objective
],$A197,RDprograms[2011-12])</f>
        <v>1103.5139999999999</v>
      </c>
      <c r="Z197" s="521">
        <f>SUMIF(RDprograms[Socio-Economic Objective
],$A197,RDprograms[2012-13])</f>
        <v>887.74300000000005</v>
      </c>
      <c r="AA197" s="521">
        <f>SUMIF(RDprograms[Socio-Economic Objective
],$A197,RDprograms[2013-14])</f>
        <v>977.3</v>
      </c>
      <c r="AB197" s="521">
        <f>SUMIF(RDprograms[Socio-Economic Objective
],$A197,RDprograms[2014-15])</f>
        <v>978.17960239000013</v>
      </c>
      <c r="AC197" s="521">
        <f>SUMIF(RDprograms[Socio-Economic Objective
],$A197,RDprograms[2015-16])</f>
        <v>885.48359999999991</v>
      </c>
      <c r="AD197" s="521">
        <f>SUMIF(RDprograms[Socio-Economic Objective
],$A197,RDprograms[2016-17])</f>
        <v>976.61234999999988</v>
      </c>
      <c r="AE197" s="521">
        <f>SUMIF(RDprograms[Socio-Economic Objective
],$A197,RDprograms[2017-18])</f>
        <v>1001.8643109999998</v>
      </c>
      <c r="AF197" s="521">
        <f>SUMIF(RDprograms[Socio-Economic Objective
],$A197,RDprograms[2018-19])</f>
        <v>1211.5743689999999</v>
      </c>
      <c r="AG197" s="521">
        <f>SUMIF(RDprograms[Socio-Economic Objective
],$A197,RDprograms[2019-20])</f>
        <v>1423.5880000000002</v>
      </c>
      <c r="AH197" s="521">
        <f>SUMIF(RDprograms[Socio-Economic Objective
],$A197,RDprograms[2020-21])</f>
        <v>1648.8568230000001</v>
      </c>
      <c r="AI197" s="521">
        <f>SUMIF(RDprograms[Socio-Economic Objective
],$A197,RDprograms[2021-22])</f>
        <v>1642.1869999999999</v>
      </c>
      <c r="AJ197" s="521">
        <f>SUMIF(RDprograms[Socio-Economic Objective
],$A197,RDprograms[2022-23])</f>
        <v>1722.2319999999997</v>
      </c>
      <c r="AK197" s="521">
        <f>SUMIF(RDprograms[Socio-Economic Objective
],$A197,RDprograms[2023-24])</f>
        <v>1710.5820000000001</v>
      </c>
      <c r="AL197" s="527">
        <f>SUMIF(RDprograms[Socio-Economic Objective
],$A197,RDprograms[2024-25])</f>
        <v>1735.3649999999998</v>
      </c>
      <c r="AM197" s="527">
        <f>SUMIF(RDprograms[Socio-Economic Objective
],$A197,RDprograms[2025-26])</f>
        <v>1737.2249999999997</v>
      </c>
      <c r="AO197" s="655" t="s">
        <v>1100</v>
      </c>
    </row>
    <row r="198" spans="1:41" ht="12.75" customHeight="1">
      <c r="A198" s="83" t="s">
        <v>234</v>
      </c>
      <c r="B198" s="52"/>
      <c r="C198" s="52"/>
      <c r="D198" s="52"/>
      <c r="E198" s="52"/>
      <c r="F198" s="52"/>
      <c r="G198" s="52"/>
      <c r="H198" s="52"/>
      <c r="I198" s="52"/>
      <c r="J198" s="52"/>
      <c r="K198" s="52"/>
      <c r="L198" s="52"/>
      <c r="M198" s="52"/>
      <c r="N198" s="52"/>
      <c r="O198" s="52"/>
      <c r="P198" s="52"/>
      <c r="Q198" s="52"/>
      <c r="R198" s="52"/>
      <c r="S198" s="521">
        <f>SUMIF(RDprograms[Socio-Economic Objective
],$A198,RDprograms[2005-06])</f>
        <v>272.53100000000001</v>
      </c>
      <c r="T198" s="521">
        <f>SUMIF(RDprograms[Socio-Economic Objective
],$A198,RDprograms[2006-07])</f>
        <v>281.58</v>
      </c>
      <c r="U198" s="521">
        <f>SUMIF(RDprograms[Socio-Economic Objective
],$A198,RDprograms[2007-08])</f>
        <v>289.82000000000005</v>
      </c>
      <c r="V198" s="521">
        <f>SUMIF(RDprograms[Socio-Economic Objective
],$A198,RDprograms[2008-09])</f>
        <v>303.41899999999998</v>
      </c>
      <c r="W198" s="521">
        <f>SUMIF(RDprograms[Socio-Economic Objective
],$A198,RDprograms[2009-10])</f>
        <v>326.72900000000004</v>
      </c>
      <c r="X198" s="521">
        <f>SUMIF(RDprograms[Socio-Economic Objective
],$A198,RDprograms[2010-11])</f>
        <v>333.589</v>
      </c>
      <c r="Y198" s="521">
        <f>SUMIF(RDprograms[Socio-Economic Objective
],$A198,RDprograms[2011-12])</f>
        <v>362.17399999999998</v>
      </c>
      <c r="Z198" s="521">
        <f>SUMIF(RDprograms[Socio-Economic Objective
],$A198,RDprograms[2012-13])</f>
        <v>355.298</v>
      </c>
      <c r="AA198" s="521">
        <f>SUMIF(RDprograms[Socio-Economic Objective
],$A198,RDprograms[2013-14])</f>
        <v>378.30200000000002</v>
      </c>
      <c r="AB198" s="521">
        <f>SUMIF(RDprograms[Socio-Economic Objective
],$A198,RDprograms[2014-15])</f>
        <v>395.10255310000002</v>
      </c>
      <c r="AC198" s="521">
        <f>SUMIF(RDprograms[Socio-Economic Objective
],$A198,RDprograms[2015-16])</f>
        <v>411.02500000000003</v>
      </c>
      <c r="AD198" s="521">
        <f>SUMIF(RDprograms[Socio-Economic Objective
],$A198,RDprograms[2016-17])</f>
        <v>417.11</v>
      </c>
      <c r="AE198" s="521">
        <f>SUMIF(RDprograms[Socio-Economic Objective
],$A198,RDprograms[2017-18])</f>
        <v>462.02599999999995</v>
      </c>
      <c r="AF198" s="521">
        <f>SUMIF(RDprograms[Socio-Economic Objective
],$A198,RDprograms[2018-19])</f>
        <v>512.45699999999999</v>
      </c>
      <c r="AG198" s="521">
        <f>SUMIF(RDprograms[Socio-Economic Objective
],$A198,RDprograms[2019-20])</f>
        <v>521.32600000000002</v>
      </c>
      <c r="AH198" s="521">
        <f>SUMIF(RDprograms[Socio-Economic Objective
],$A198,RDprograms[2020-21])</f>
        <v>477.56799999999993</v>
      </c>
      <c r="AI198" s="521">
        <f>SUMIF(RDprograms[Socio-Economic Objective
],$A198,RDprograms[2021-22])</f>
        <v>562.50999999999988</v>
      </c>
      <c r="AJ198" s="521">
        <f>SUMIF(RDprograms[Socio-Economic Objective
],$A198,RDprograms[2022-23])</f>
        <v>627.48599999999999</v>
      </c>
      <c r="AK198" s="521">
        <f>SUMIF(RDprograms[Socio-Economic Objective
],$A198,RDprograms[2023-24])</f>
        <v>687.55899999999997</v>
      </c>
      <c r="AL198" s="527">
        <f>SUMIF(RDprograms[Socio-Economic Objective
],$A198,RDprograms[2024-25])</f>
        <v>695.24999999999989</v>
      </c>
      <c r="AM198" s="527">
        <f>SUMIF(RDprograms[Socio-Economic Objective
],$A198,RDprograms[2025-26])</f>
        <v>676.93300000000011</v>
      </c>
      <c r="AO198" s="655" t="s">
        <v>1100</v>
      </c>
    </row>
    <row r="199" spans="1:41" ht="12.75" customHeight="1">
      <c r="A199" s="83" t="s">
        <v>701</v>
      </c>
      <c r="B199" s="52"/>
      <c r="C199" s="52"/>
      <c r="D199" s="52"/>
      <c r="E199" s="52"/>
      <c r="F199" s="52"/>
      <c r="G199" s="52"/>
      <c r="H199" s="52"/>
      <c r="I199" s="52"/>
      <c r="J199" s="52"/>
      <c r="K199" s="52"/>
      <c r="L199" s="52"/>
      <c r="M199" s="52"/>
      <c r="N199" s="52"/>
      <c r="O199" s="52"/>
      <c r="P199" s="52"/>
      <c r="Q199" s="52"/>
      <c r="R199" s="52"/>
      <c r="S199" s="521">
        <v>0</v>
      </c>
      <c r="T199" s="521">
        <f>SUMIF(RDprograms[Socio-Economic Objective
],$A199,RDprograms[2006-07])</f>
        <v>0</v>
      </c>
      <c r="U199" s="521">
        <f>SUMIF(RDprograms[Socio-Economic Objective
],$A199,RDprograms[2007-08])</f>
        <v>0</v>
      </c>
      <c r="V199" s="521">
        <f>SUMIF(RDprograms[Socio-Economic Objective
],$A199,RDprograms[2008-09])</f>
        <v>2.5419999999999998</v>
      </c>
      <c r="W199" s="521">
        <f>SUMIF(RDprograms[Socio-Economic Objective
],$A199,RDprograms[2009-10])</f>
        <v>0</v>
      </c>
      <c r="X199" s="521">
        <f>SUMIF(RDprograms[Socio-Economic Objective
],$A199,RDprograms[2010-11])</f>
        <v>0</v>
      </c>
      <c r="Y199" s="521">
        <f>SUMIF(RDprograms[Socio-Economic Objective
],$A199,RDprograms[2011-12])</f>
        <v>0</v>
      </c>
      <c r="Z199" s="521">
        <f>SUMIF(RDprograms[Socio-Economic Objective
],$A199,RDprograms[2012-13])</f>
        <v>0</v>
      </c>
      <c r="AA199" s="521">
        <f>SUMIF(RDprograms[Socio-Economic Objective
],$A199,RDprograms[2013-14])</f>
        <v>0</v>
      </c>
      <c r="AB199" s="521">
        <f>SUMIF(RDprograms[Socio-Economic Objective
],$A199,RDprograms[2014-15])</f>
        <v>0</v>
      </c>
      <c r="AC199" s="521">
        <f>SUMIF(RDprograms[Socio-Economic Objective
],$A199,RDprograms[2015-16])</f>
        <v>0</v>
      </c>
      <c r="AD199" s="521">
        <f>SUMIF(RDprograms[Socio-Economic Objective
],$A199,RDprograms[2016-17])</f>
        <v>0</v>
      </c>
      <c r="AE199" s="521">
        <f>SUMIF(RDprograms[Socio-Economic Objective
],$A199,RDprograms[2017-18])</f>
        <v>0</v>
      </c>
      <c r="AF199" s="521">
        <f>SUMIF(RDprograms[Socio-Economic Objective
],$A199,RDprograms[2018-19])</f>
        <v>0</v>
      </c>
      <c r="AG199" s="521">
        <f>SUMIF(RDprograms[Socio-Economic Objective
],$A199,RDprograms[2019-20])</f>
        <v>0</v>
      </c>
      <c r="AH199" s="521">
        <f>SUMIF(RDprograms[Socio-Economic Objective
],$A199,RDprograms[2020-21])</f>
        <v>0</v>
      </c>
      <c r="AI199" s="521">
        <f>SUMIF(RDprograms[Socio-Economic Objective
],$A199,RDprograms[2021-22])</f>
        <v>0</v>
      </c>
      <c r="AJ199" s="521">
        <f>SUMIF(RDprograms[Socio-Economic Objective
],$A199,RDprograms[2022-23])</f>
        <v>0</v>
      </c>
      <c r="AK199" s="521">
        <f>SUMIF(RDprograms[Socio-Economic Objective
],$A199,RDprograms[2023-24])</f>
        <v>0</v>
      </c>
      <c r="AL199" s="527">
        <f>SUMIF(RDprograms[Socio-Economic Objective
],$A199,RDprograms[2024-25])</f>
        <v>0</v>
      </c>
      <c r="AM199" s="527">
        <f>SUMIF(RDprograms[Socio-Economic Objective
],$A199,RDprograms[2025-26])</f>
        <v>0</v>
      </c>
      <c r="AO199" s="655" t="s">
        <v>1100</v>
      </c>
    </row>
    <row r="200" spans="1:41" ht="12.75" customHeight="1">
      <c r="A200" s="83" t="s">
        <v>1324</v>
      </c>
      <c r="B200" s="52"/>
      <c r="C200" s="52"/>
      <c r="D200" s="52"/>
      <c r="E200" s="52"/>
      <c r="F200" s="52"/>
      <c r="G200" s="52"/>
      <c r="H200" s="52"/>
      <c r="I200" s="52"/>
      <c r="J200" s="52"/>
      <c r="K200" s="52"/>
      <c r="L200" s="52"/>
      <c r="M200" s="52"/>
      <c r="N200" s="52"/>
      <c r="O200" s="52"/>
      <c r="P200" s="52"/>
      <c r="Q200" s="52"/>
      <c r="R200" s="52"/>
      <c r="S200" s="521">
        <f>SUMIF(RDprograms[Socio-Economic Objective
],$A200,RDprograms[2005-06])</f>
        <v>0.34599999999999997</v>
      </c>
      <c r="T200" s="521">
        <f>SUMIF(RDprograms[Socio-Economic Objective
],$A200,RDprograms[2006-07])</f>
        <v>0.17799999999999999</v>
      </c>
      <c r="U200" s="521">
        <f>SUMIF(RDprograms[Socio-Economic Objective
],$A200,RDprograms[2007-08])</f>
        <v>0.154</v>
      </c>
      <c r="V200" s="521">
        <f>SUMIF(RDprograms[Socio-Economic Objective
],$A200,RDprograms[2008-09])</f>
        <v>0.378</v>
      </c>
      <c r="W200" s="521">
        <f>SUMIF(RDprograms[Socio-Economic Objective
],$A200,RDprograms[2009-10])</f>
        <v>0.30399999999999999</v>
      </c>
      <c r="X200" s="521">
        <f>SUMIF(RDprograms[Socio-Economic Objective
],$A200,RDprograms[2010-11])</f>
        <v>0.29299999999999998</v>
      </c>
      <c r="Y200" s="521">
        <f>SUMIF(RDprograms[Socio-Economic Objective
],$A200,RDprograms[2011-12])</f>
        <v>0.42899999999999994</v>
      </c>
      <c r="Z200" s="521">
        <f>SUMIF(RDprograms[Socio-Economic Objective
],$A200,RDprograms[2012-13])</f>
        <v>0.42599999999999999</v>
      </c>
      <c r="AA200" s="521">
        <f>SUMIF(RDprograms[Socio-Economic Objective
],$A200,RDprograms[2013-14])</f>
        <v>0.54849999999999999</v>
      </c>
      <c r="AB200" s="521">
        <f>SUMIF(RDprograms[Socio-Economic Objective
],$A200,RDprograms[2014-15])</f>
        <v>0.50900000000000001</v>
      </c>
      <c r="AC200" s="521">
        <f>SUMIF(RDprograms[Socio-Economic Objective
],$A200,RDprograms[2015-16])</f>
        <v>0.55549999999999999</v>
      </c>
      <c r="AD200" s="521">
        <f>SUMIF(RDprograms[Socio-Economic Objective
],$A200,RDprograms[2016-17])</f>
        <v>0.34799999999999998</v>
      </c>
      <c r="AE200" s="521">
        <f>SUMIF(RDprograms[Socio-Economic Objective
],$A200,RDprograms[2017-18])</f>
        <v>0.41000000000000003</v>
      </c>
      <c r="AF200" s="521">
        <f>SUMIF(RDprograms[Socio-Economic Objective
],$A200,RDprograms[2018-19])</f>
        <v>0.111</v>
      </c>
      <c r="AG200" s="521">
        <f>SUMIF(RDprograms[Socio-Economic Objective
],$A200,RDprograms[2019-20])</f>
        <v>6.5000000000000002E-2</v>
      </c>
      <c r="AH200" s="521">
        <f>SUMIF(RDprograms[Socio-Economic Objective
],$A200,RDprograms[2020-21])</f>
        <v>0.184</v>
      </c>
      <c r="AI200" s="521">
        <f>SUMIF(RDprograms[Socio-Economic Objective
],$A200,RDprograms[2021-22])</f>
        <v>0.192</v>
      </c>
      <c r="AJ200" s="521">
        <f>SUMIF(RDprograms[Socio-Economic Objective
],$A200,RDprograms[2022-23])</f>
        <v>0.10299999999999999</v>
      </c>
      <c r="AK200" s="521">
        <f>SUMIF(RDprograms[Socio-Economic Objective
],$A200,RDprograms[2023-24])</f>
        <v>0</v>
      </c>
      <c r="AL200" s="527">
        <f>SUMIF(RDprograms[Socio-Economic Objective
],$A200,RDprograms[2024-25])</f>
        <v>0</v>
      </c>
      <c r="AM200" s="527">
        <f>SUMIF(RDprograms[Socio-Economic Objective
],$A200,RDprograms[2025-26])</f>
        <v>0</v>
      </c>
      <c r="AO200" s="655" t="s">
        <v>1100</v>
      </c>
    </row>
    <row r="201" spans="1:41" ht="12.75" customHeight="1">
      <c r="A201" s="83" t="s">
        <v>362</v>
      </c>
      <c r="B201" s="52"/>
      <c r="C201" s="52"/>
      <c r="D201" s="52"/>
      <c r="E201" s="52"/>
      <c r="F201" s="52"/>
      <c r="G201" s="52"/>
      <c r="H201" s="52"/>
      <c r="I201" s="52"/>
      <c r="J201" s="52"/>
      <c r="K201" s="52"/>
      <c r="L201" s="52"/>
      <c r="M201" s="52"/>
      <c r="N201" s="52"/>
      <c r="O201" s="52"/>
      <c r="P201" s="52"/>
      <c r="Q201" s="52"/>
      <c r="R201" s="52"/>
      <c r="S201" s="521">
        <f>SUMIF(RDprograms[Socio-Economic Objective
],$A201,RDprograms[2005-06])</f>
        <v>25.952400000000004</v>
      </c>
      <c r="T201" s="521">
        <f>SUMIF(RDprograms[Socio-Economic Objective
],$A201,RDprograms[2006-07])</f>
        <v>29.734360000000006</v>
      </c>
      <c r="U201" s="521">
        <f>SUMIF(RDprograms[Socio-Economic Objective
],$A201,RDprograms[2007-08])</f>
        <v>52.025269000000002</v>
      </c>
      <c r="V201" s="521">
        <f>SUMIF(RDprograms[Socio-Economic Objective
],$A201,RDprograms[2008-09])</f>
        <v>74.652087999999978</v>
      </c>
      <c r="W201" s="521">
        <f>SUMIF(RDprograms[Socio-Economic Objective
],$A201,RDprograms[2009-10])</f>
        <v>87.00543900000001</v>
      </c>
      <c r="X201" s="521">
        <f>SUMIF(RDprograms[Socio-Economic Objective
],$A201,RDprograms[2010-11])</f>
        <v>197.26263600000004</v>
      </c>
      <c r="Y201" s="521">
        <f>SUMIF(RDprograms[Socio-Economic Objective
],$A201,RDprograms[2011-12])</f>
        <v>158.72585800000002</v>
      </c>
      <c r="Z201" s="521">
        <f>SUMIF(RDprograms[Socio-Economic Objective
],$A201,RDprograms[2012-13])</f>
        <v>119.94510500000001</v>
      </c>
      <c r="AA201" s="521">
        <f>SUMIF(RDprograms[Socio-Economic Objective
],$A201,RDprograms[2013-14])</f>
        <v>128.29849999999999</v>
      </c>
      <c r="AB201" s="521">
        <f>SUMIF(RDprograms[Socio-Economic Objective
],$A201,RDprograms[2014-15])</f>
        <v>107.34700000000001</v>
      </c>
      <c r="AC201" s="521">
        <f>SUMIF(RDprograms[Socio-Economic Objective
],$A201,RDprograms[2015-16])</f>
        <v>139.26465800000003</v>
      </c>
      <c r="AD201" s="521">
        <f>SUMIF(RDprograms[Socio-Economic Objective
],$A201,RDprograms[2016-17])</f>
        <v>159.92911800000002</v>
      </c>
      <c r="AE201" s="521">
        <f>SUMIF(RDprograms[Socio-Economic Objective
],$A201,RDprograms[2017-18])</f>
        <v>144.89259999999996</v>
      </c>
      <c r="AF201" s="521">
        <f>SUMIF(RDprograms[Socio-Economic Objective
],$A201,RDprograms[2018-19])</f>
        <v>148.18600000000001</v>
      </c>
      <c r="AG201" s="521">
        <f>SUMIF(RDprograms[Socio-Economic Objective
],$A201,RDprograms[2019-20])</f>
        <v>113.943</v>
      </c>
      <c r="AH201" s="521">
        <f>SUMIF(RDprograms[Socio-Economic Objective
],$A201,RDprograms[2020-21])</f>
        <v>43.385999999999981</v>
      </c>
      <c r="AI201" s="521">
        <f>SUMIF(RDprograms[Socio-Economic Objective
],$A201,RDprograms[2021-22])</f>
        <v>56.463000000000001</v>
      </c>
      <c r="AJ201" s="521">
        <f>SUMIF(RDprograms[Socio-Economic Objective
],$A201,RDprograms[2022-23])</f>
        <v>59.030713599999991</v>
      </c>
      <c r="AK201" s="521">
        <f>SUMIF(RDprograms[Socio-Economic Objective
],$A201,RDprograms[2023-24])</f>
        <v>68.573000000000008</v>
      </c>
      <c r="AL201" s="527">
        <f>SUMIF(RDprograms[Socio-Economic Objective
],$A201,RDprograms[2024-25])</f>
        <v>72.298000000000002</v>
      </c>
      <c r="AM201" s="527">
        <f>SUMIF(RDprograms[Socio-Economic Objective
],$A201,RDprograms[2025-26])</f>
        <v>68.466000000000008</v>
      </c>
      <c r="AO201" s="655" t="s">
        <v>1100</v>
      </c>
    </row>
    <row r="202" spans="1:41" ht="12.75" customHeight="1">
      <c r="A202" s="83" t="s">
        <v>669</v>
      </c>
      <c r="B202" s="52"/>
      <c r="C202" s="52"/>
      <c r="D202" s="52"/>
      <c r="E202" s="52"/>
      <c r="F202" s="52"/>
      <c r="G202" s="52"/>
      <c r="H202" s="52"/>
      <c r="I202" s="52"/>
      <c r="J202" s="52"/>
      <c r="K202" s="52"/>
      <c r="L202" s="52"/>
      <c r="M202" s="52"/>
      <c r="N202" s="52"/>
      <c r="O202" s="52"/>
      <c r="P202" s="52"/>
      <c r="Q202" s="52"/>
      <c r="R202" s="52"/>
      <c r="S202" s="521">
        <f>SUMIF(RDprograms[Socio-Economic Objective
],$A202,RDprograms[2005-06])</f>
        <v>1383.25</v>
      </c>
      <c r="T202" s="521">
        <f>SUMIF(RDprograms[Socio-Economic Objective
],$A202,RDprograms[2006-07])</f>
        <v>1400.3989999999999</v>
      </c>
      <c r="U202" s="521">
        <f>SUMIF(RDprograms[Socio-Economic Objective
],$A202,RDprograms[2007-08])</f>
        <v>1391.6779999999999</v>
      </c>
      <c r="V202" s="521">
        <f>SUMIF(RDprograms[Socio-Economic Objective
],$A202,RDprograms[2008-09])</f>
        <v>1408.4279999999999</v>
      </c>
      <c r="W202" s="521">
        <f>SUMIF(RDprograms[Socio-Economic Objective
],$A202,RDprograms[2009-10])</f>
        <v>1513.962</v>
      </c>
      <c r="X202" s="521">
        <f>SUMIF(RDprograms[Socio-Economic Objective
],$A202,RDprograms[2010-11])</f>
        <v>1661.433</v>
      </c>
      <c r="Y202" s="521">
        <f>SUMIF(RDprograms[Socio-Economic Objective
],$A202,RDprograms[2011-12])</f>
        <v>1774.615</v>
      </c>
      <c r="Z202" s="521">
        <f>SUMIF(RDprograms[Socio-Economic Objective
],$A202,RDprograms[2012-13])</f>
        <v>1807.4639999999999</v>
      </c>
      <c r="AA202" s="521">
        <f>SUMIF(RDprograms[Socio-Economic Objective
],$A202,RDprograms[2013-14])</f>
        <v>1874.4600000000003</v>
      </c>
      <c r="AB202" s="521">
        <f>SUMIF(RDprograms[Socio-Economic Objective
],$A202,RDprograms[2014-15])</f>
        <v>1947.2684999999999</v>
      </c>
      <c r="AC202" s="521">
        <f>SUMIF(RDprograms[Socio-Economic Objective
],$A202,RDprograms[2015-16])</f>
        <v>2022.2830000000001</v>
      </c>
      <c r="AD202" s="521">
        <f>SUMIF(RDprograms[Socio-Economic Objective
],$A202,RDprograms[2016-17])</f>
        <v>1973.3009999999999</v>
      </c>
      <c r="AE202" s="521">
        <f>SUMIF(RDprograms[Socio-Economic Objective
],$A202,RDprograms[2017-18])</f>
        <v>2141.5515</v>
      </c>
      <c r="AF202" s="521">
        <f>SUMIF(RDprograms[Socio-Economic Objective
],$A202,RDprograms[2018-19])</f>
        <v>2122.8220000000001</v>
      </c>
      <c r="AG202" s="521">
        <f>SUMIF(RDprograms[Socio-Economic Objective
],$A202,RDprograms[2019-20])</f>
        <v>2144.8429999999998</v>
      </c>
      <c r="AH202" s="521">
        <f>SUMIF(RDprograms[Socio-Economic Objective
],$A202,RDprograms[2020-21])</f>
        <v>3190.9489999999996</v>
      </c>
      <c r="AI202" s="521">
        <f>SUMIF(RDprograms[Socio-Economic Objective
],$A202,RDprograms[2021-22])</f>
        <v>2230.5810000000001</v>
      </c>
      <c r="AJ202" s="521">
        <f>SUMIF(RDprograms[Socio-Economic Objective
],$A202,RDprograms[2022-23])</f>
        <v>2273.8390000000004</v>
      </c>
      <c r="AK202" s="521">
        <f>SUMIF(RDprograms[Socio-Economic Objective
],$A202,RDprograms[2023-24])</f>
        <v>2395.2449999999999</v>
      </c>
      <c r="AL202" s="527">
        <f>SUMIF(RDprograms[Socio-Economic Objective
],$A202,RDprograms[2024-25])</f>
        <v>2529.6509999999998</v>
      </c>
      <c r="AM202" s="527">
        <f>SUMIF(RDprograms[Socio-Economic Objective
],$A202,RDprograms[2025-26])</f>
        <v>2611.433</v>
      </c>
      <c r="AO202" s="655" t="s">
        <v>1100</v>
      </c>
    </row>
    <row r="203" spans="1:41" ht="12.75" customHeight="1">
      <c r="A203" s="83" t="s">
        <v>397</v>
      </c>
      <c r="B203" s="52"/>
      <c r="C203" s="52"/>
      <c r="D203" s="52"/>
      <c r="E203" s="52"/>
      <c r="F203" s="52"/>
      <c r="G203" s="52"/>
      <c r="H203" s="52"/>
      <c r="I203" s="52"/>
      <c r="J203" s="52"/>
      <c r="K203" s="52"/>
      <c r="L203" s="52"/>
      <c r="M203" s="52"/>
      <c r="N203" s="52"/>
      <c r="O203" s="52"/>
      <c r="P203" s="52"/>
      <c r="Q203" s="52"/>
      <c r="R203" s="52"/>
      <c r="S203" s="521">
        <f>SUMIF(RDprograms[Socio-Economic Objective
],$A203,RDprograms[2005-06])</f>
        <v>180.928935</v>
      </c>
      <c r="T203" s="521">
        <f>SUMIF(RDprograms[Socio-Economic Objective
],$A203,RDprograms[2006-07])</f>
        <v>63.450971000000003</v>
      </c>
      <c r="U203" s="521">
        <f>SUMIF(RDprograms[Socio-Economic Objective
],$A203,RDprograms[2007-08])</f>
        <v>15.980729000000002</v>
      </c>
      <c r="V203" s="521">
        <f>SUMIF(RDprograms[Socio-Economic Objective
],$A203,RDprograms[2008-09])</f>
        <v>22.508418000000002</v>
      </c>
      <c r="W203" s="521">
        <f>SUMIF(RDprograms[Socio-Economic Objective
],$A203,RDprograms[2009-10])</f>
        <v>81.166768000000005</v>
      </c>
      <c r="X203" s="521">
        <f>SUMIF(RDprograms[Socio-Economic Objective
],$A203,RDprograms[2010-11])</f>
        <v>149.61404199999998</v>
      </c>
      <c r="Y203" s="521">
        <f>SUMIF(RDprograms[Socio-Economic Objective
],$A203,RDprograms[2011-12])</f>
        <v>150.02499999999998</v>
      </c>
      <c r="Z203" s="521">
        <f>SUMIF(RDprograms[Socio-Economic Objective
],$A203,RDprograms[2012-13])</f>
        <v>70.950999999999993</v>
      </c>
      <c r="AA203" s="521">
        <f>SUMIF(RDprograms[Socio-Economic Objective
],$A203,RDprograms[2013-14])</f>
        <v>50.892000000000003</v>
      </c>
      <c r="AB203" s="521">
        <f>SUMIF(RDprograms[Socio-Economic Objective
],$A203,RDprograms[2014-15])</f>
        <v>26.779999999999998</v>
      </c>
      <c r="AC203" s="521">
        <f>SUMIF(RDprograms[Socio-Economic Objective
],$A203,RDprograms[2015-16])</f>
        <v>15.449</v>
      </c>
      <c r="AD203" s="521">
        <f>SUMIF(RDprograms[Socio-Economic Objective
],$A203,RDprograms[2016-17])</f>
        <v>46.498000000000005</v>
      </c>
      <c r="AE203" s="521">
        <f>SUMIF(RDprograms[Socio-Economic Objective
],$A203,RDprograms[2017-18])</f>
        <v>88.335000000000008</v>
      </c>
      <c r="AF203" s="521">
        <f>SUMIF(RDprograms[Socio-Economic Objective
],$A203,RDprograms[2018-19])</f>
        <v>20.368000000000002</v>
      </c>
      <c r="AG203" s="521">
        <f>SUMIF(RDprograms[Socio-Economic Objective
],$A203,RDprograms[2019-20])</f>
        <v>18.171999999999997</v>
      </c>
      <c r="AH203" s="521">
        <f>SUMIF(RDprograms[Socio-Economic Objective
],$A203,RDprograms[2020-21])</f>
        <v>18.603000000000002</v>
      </c>
      <c r="AI203" s="521">
        <f>SUMIF(RDprograms[Socio-Economic Objective
],$A203,RDprograms[2021-22])</f>
        <v>39.430999999999997</v>
      </c>
      <c r="AJ203" s="521">
        <f>SUMIF(RDprograms[Socio-Economic Objective
],$A203,RDprograms[2022-23])</f>
        <v>134.87899999999999</v>
      </c>
      <c r="AK203" s="521">
        <f>SUMIF(RDprograms[Socio-Economic Objective
],$A203,RDprograms[2023-24])</f>
        <v>147.66899999999998</v>
      </c>
      <c r="AL203" s="527">
        <f>SUMIF(RDprograms[Socio-Economic Objective
],$A203,RDprograms[2024-25])</f>
        <v>347.17700000000002</v>
      </c>
      <c r="AM203" s="527">
        <f>SUMIF(RDprograms[Socio-Economic Objective
],$A203,RDprograms[2025-26])</f>
        <v>330.14</v>
      </c>
      <c r="AO203" s="655" t="s">
        <v>1100</v>
      </c>
    </row>
    <row r="204" spans="1:41" ht="12.75" customHeight="1">
      <c r="A204" s="83" t="s">
        <v>544</v>
      </c>
      <c r="B204" s="52"/>
      <c r="C204" s="52"/>
      <c r="D204" s="52"/>
      <c r="E204" s="52"/>
      <c r="F204" s="52"/>
      <c r="G204" s="52"/>
      <c r="H204" s="52"/>
      <c r="I204" s="52"/>
      <c r="J204" s="52"/>
      <c r="K204" s="52"/>
      <c r="L204" s="52"/>
      <c r="M204" s="52"/>
      <c r="N204" s="52"/>
      <c r="O204" s="52"/>
      <c r="P204" s="52"/>
      <c r="Q204" s="52"/>
      <c r="R204" s="52"/>
      <c r="S204" s="521">
        <f>SUMIF(RDprograms[Socio-Economic Objective
],$A204,RDprograms[2005-06])</f>
        <v>351.13099999999997</v>
      </c>
      <c r="T204" s="521">
        <f>SUMIF(RDprograms[Socio-Economic Objective
],$A204,RDprograms[2006-07])</f>
        <v>408.1</v>
      </c>
      <c r="U204" s="521">
        <f>SUMIF(RDprograms[Socio-Economic Objective
],$A204,RDprograms[2007-08])</f>
        <v>409.46500000000003</v>
      </c>
      <c r="V204" s="521">
        <f>SUMIF(RDprograms[Socio-Economic Objective
],$A204,RDprograms[2008-09])</f>
        <v>393.41499999999996</v>
      </c>
      <c r="W204" s="521">
        <f>SUMIF(RDprograms[Socio-Economic Objective
],$A204,RDprograms[2009-10])</f>
        <v>422.44600000000003</v>
      </c>
      <c r="X204" s="521">
        <f>SUMIF(RDprograms[Socio-Economic Objective
],$A204,RDprograms[2010-11])</f>
        <v>437.26499999999999</v>
      </c>
      <c r="Y204" s="521">
        <f>SUMIF(RDprograms[Socio-Economic Objective
],$A204,RDprograms[2011-12])</f>
        <v>468.63499999999993</v>
      </c>
      <c r="Z204" s="521">
        <f>SUMIF(RDprograms[Socio-Economic Objective
],$A204,RDprograms[2012-13])</f>
        <v>443.59399999999999</v>
      </c>
      <c r="AA204" s="521">
        <f>SUMIF(RDprograms[Socio-Economic Objective
],$A204,RDprograms[2013-14])</f>
        <v>433.95799999999997</v>
      </c>
      <c r="AB204" s="521">
        <f>SUMIF(RDprograms[Socio-Economic Objective
],$A204,RDprograms[2014-15])</f>
        <v>448.197</v>
      </c>
      <c r="AC204" s="521">
        <f>SUMIF(RDprograms[Socio-Economic Objective
],$A204,RDprograms[2015-16])</f>
        <v>515.35299999999995</v>
      </c>
      <c r="AD204" s="521">
        <f>SUMIF(RDprograms[Socio-Economic Objective
],$A204,RDprograms[2016-17])</f>
        <v>497.03300000000002</v>
      </c>
      <c r="AE204" s="521">
        <f>SUMIF(RDprograms[Socio-Economic Objective
],$A204,RDprograms[2017-18])</f>
        <v>558.95400000000006</v>
      </c>
      <c r="AF204" s="521">
        <f>SUMIF(RDprograms[Socio-Economic Objective
],$A204,RDprograms[2018-19])</f>
        <v>527.83200000000011</v>
      </c>
      <c r="AG204" s="521">
        <f>SUMIF(RDprograms[Socio-Economic Objective
],$A204,RDprograms[2019-20])</f>
        <v>456.59699999999998</v>
      </c>
      <c r="AH204" s="521">
        <f>SUMIF(RDprograms[Socio-Economic Objective
],$A204,RDprograms[2020-21])</f>
        <v>557.22880000000009</v>
      </c>
      <c r="AI204" s="521">
        <f>SUMIF(RDprograms[Socio-Economic Objective
],$A204,RDprograms[2021-22])</f>
        <v>635.93880000000013</v>
      </c>
      <c r="AJ204" s="521">
        <f>SUMIF(RDprograms[Socio-Economic Objective
],$A204,RDprograms[2022-23])</f>
        <v>633.04100000000005</v>
      </c>
      <c r="AK204" s="521">
        <f>SUMIF(RDprograms[Socio-Economic Objective
],$A204,RDprograms[2023-24])</f>
        <v>722.78600000000006</v>
      </c>
      <c r="AL204" s="527">
        <f>SUMIF(RDprograms[Socio-Economic Objective
],$A204,RDprograms[2024-25])</f>
        <v>707.65600000000006</v>
      </c>
      <c r="AM204" s="527">
        <f>SUMIF(RDprograms[Socio-Economic Objective
],$A204,RDprograms[2025-26])</f>
        <v>774.625</v>
      </c>
      <c r="AO204" s="655" t="s">
        <v>1100</v>
      </c>
    </row>
    <row r="205" spans="1:41" ht="12.75" customHeight="1">
      <c r="A205" s="154" t="s">
        <v>3845</v>
      </c>
      <c r="B205" s="155" t="s">
        <v>1100</v>
      </c>
      <c r="C205" s="155" t="s">
        <v>1100</v>
      </c>
      <c r="D205" s="155" t="s">
        <v>1100</v>
      </c>
      <c r="E205" s="155" t="s">
        <v>1100</v>
      </c>
      <c r="F205" s="155" t="s">
        <v>1100</v>
      </c>
      <c r="G205" s="155" t="s">
        <v>1100</v>
      </c>
      <c r="H205" s="155" t="s">
        <v>1100</v>
      </c>
      <c r="I205" s="155" t="s">
        <v>1100</v>
      </c>
      <c r="J205" s="155" t="s">
        <v>1100</v>
      </c>
      <c r="K205" s="155" t="s">
        <v>1100</v>
      </c>
      <c r="L205" s="155" t="s">
        <v>1100</v>
      </c>
      <c r="M205" s="155" t="s">
        <v>1100</v>
      </c>
      <c r="N205" s="155" t="s">
        <v>1100</v>
      </c>
      <c r="O205" s="155" t="s">
        <v>1100</v>
      </c>
      <c r="P205" s="155" t="s">
        <v>1100</v>
      </c>
      <c r="Q205" s="155" t="s">
        <v>1100</v>
      </c>
      <c r="R205" s="155" t="s">
        <v>1100</v>
      </c>
      <c r="S205" s="440">
        <f t="shared" ref="S205:AL205" si="25">SUM(S191:S204)</f>
        <v>3665.9143349999999</v>
      </c>
      <c r="T205" s="440">
        <f t="shared" si="25"/>
        <v>3985.1523309999998</v>
      </c>
      <c r="U205" s="440">
        <f t="shared" si="25"/>
        <v>3696.6314979999997</v>
      </c>
      <c r="V205" s="440">
        <f t="shared" si="25"/>
        <v>3939.8855059999996</v>
      </c>
      <c r="W205" s="440">
        <f t="shared" si="25"/>
        <v>4730.1102069999997</v>
      </c>
      <c r="X205" s="440">
        <f t="shared" si="25"/>
        <v>5081.2366780000002</v>
      </c>
      <c r="Y205" s="440">
        <f t="shared" si="25"/>
        <v>5204.9958579999993</v>
      </c>
      <c r="Z205" s="440">
        <f t="shared" si="25"/>
        <v>4807.396917</v>
      </c>
      <c r="AA205" s="440">
        <f t="shared" si="25"/>
        <v>4900.7170079999996</v>
      </c>
      <c r="AB205" s="440">
        <f t="shared" si="25"/>
        <v>4879.7313994100004</v>
      </c>
      <c r="AC205" s="440">
        <f t="shared" si="25"/>
        <v>4700.0249567800001</v>
      </c>
      <c r="AD205" s="440">
        <f t="shared" si="25"/>
        <v>4797.9956506999997</v>
      </c>
      <c r="AE205" s="440">
        <f t="shared" si="25"/>
        <v>5264.5092109999996</v>
      </c>
      <c r="AF205" s="440">
        <f t="shared" si="25"/>
        <v>5224.7312450000009</v>
      </c>
      <c r="AG205" s="440">
        <f t="shared" si="25"/>
        <v>5355.78</v>
      </c>
      <c r="AH205" s="440">
        <f t="shared" si="25"/>
        <v>6782.0296229999994</v>
      </c>
      <c r="AI205" s="440">
        <f t="shared" si="25"/>
        <v>6308.7787999999991</v>
      </c>
      <c r="AJ205" s="440">
        <f t="shared" si="25"/>
        <v>6527.7850135999997</v>
      </c>
      <c r="AK205" s="440">
        <f t="shared" si="25"/>
        <v>6803.4013020000002</v>
      </c>
      <c r="AL205" s="542">
        <f t="shared" si="25"/>
        <v>7435.5198649999993</v>
      </c>
      <c r="AM205" s="386">
        <f>SUM(AM191:AM204)</f>
        <v>7643.4369999999999</v>
      </c>
      <c r="AO205" s="659" t="s">
        <v>1100</v>
      </c>
    </row>
  </sheetData>
  <mergeCells count="10">
    <mergeCell ref="AN17:AN18"/>
    <mergeCell ref="AO157:AO170"/>
    <mergeCell ref="AO174:AO187"/>
    <mergeCell ref="A1:L1"/>
    <mergeCell ref="AO19:AO20"/>
    <mergeCell ref="AO22:AO24"/>
    <mergeCell ref="AO26:AO28"/>
    <mergeCell ref="AO124:AO125"/>
    <mergeCell ref="AO30:AO33"/>
    <mergeCell ref="AO89:AO92"/>
  </mergeCells>
  <conditionalFormatting sqref="S39:AC48">
    <cfRule type="cellIs" dxfId="225" priority="20" operator="equal">
      <formula>0</formula>
    </cfRule>
  </conditionalFormatting>
  <conditionalFormatting sqref="S56:AC65">
    <cfRule type="cellIs" dxfId="224" priority="34" operator="equal">
      <formula>0</formula>
    </cfRule>
  </conditionalFormatting>
  <conditionalFormatting sqref="S73:AC82">
    <cfRule type="cellIs" dxfId="223" priority="48" operator="equal">
      <formula>0</formula>
    </cfRule>
  </conditionalFormatting>
  <conditionalFormatting sqref="S90:AC99">
    <cfRule type="cellIs" dxfId="222" priority="62" operator="equal">
      <formula>0</formula>
    </cfRule>
  </conditionalFormatting>
  <conditionalFormatting sqref="S107:AC116">
    <cfRule type="cellIs" dxfId="221" priority="76" operator="equal">
      <formula>0</formula>
    </cfRule>
  </conditionalFormatting>
  <conditionalFormatting sqref="S124:AC133">
    <cfRule type="cellIs" dxfId="220" priority="90" operator="equal">
      <formula>0</formula>
    </cfRule>
  </conditionalFormatting>
  <conditionalFormatting sqref="S141:AC150">
    <cfRule type="cellIs" dxfId="219" priority="104" operator="equal">
      <formula>0</formula>
    </cfRule>
  </conditionalFormatting>
  <conditionalFormatting sqref="S158:AC167">
    <cfRule type="cellIs" dxfId="218" priority="123" operator="equal">
      <formula>0</formula>
    </cfRule>
  </conditionalFormatting>
  <conditionalFormatting sqref="S49:AJ49 AC50:AJ51 S51:AB51">
    <cfRule type="cellIs" dxfId="217" priority="10" operator="equal">
      <formula>0</formula>
    </cfRule>
  </conditionalFormatting>
  <conditionalFormatting sqref="S50:AJ51">
    <cfRule type="cellIs" dxfId="216" priority="14" operator="equal">
      <formula>0</formula>
    </cfRule>
  </conditionalFormatting>
  <conditionalFormatting sqref="S55:AJ56">
    <cfRule type="cellIs" dxfId="215" priority="27" operator="equal">
      <formula>0</formula>
    </cfRule>
  </conditionalFormatting>
  <conditionalFormatting sqref="S67:AJ68">
    <cfRule type="cellIs" dxfId="214" priority="28" operator="equal">
      <formula>0</formula>
    </cfRule>
  </conditionalFormatting>
  <conditionalFormatting sqref="S83:AJ83 AC84:AJ85 S85:AB85">
    <cfRule type="cellIs" dxfId="213" priority="38" operator="equal">
      <formula>0</formula>
    </cfRule>
  </conditionalFormatting>
  <conditionalFormatting sqref="S84:AJ85">
    <cfRule type="cellIs" dxfId="212" priority="42" operator="equal">
      <formula>0</formula>
    </cfRule>
  </conditionalFormatting>
  <conditionalFormatting sqref="S101:AJ102">
    <cfRule type="cellIs" dxfId="211" priority="56" operator="equal">
      <formula>0</formula>
    </cfRule>
  </conditionalFormatting>
  <conditionalFormatting sqref="S117:AJ117 AC118:AJ119 S119:AB119">
    <cfRule type="cellIs" dxfId="210" priority="66" operator="equal">
      <formula>0</formula>
    </cfRule>
  </conditionalFormatting>
  <conditionalFormatting sqref="S118:AJ119">
    <cfRule type="cellIs" dxfId="209" priority="70" operator="equal">
      <formula>0</formula>
    </cfRule>
  </conditionalFormatting>
  <conditionalFormatting sqref="S134:AJ134 AC135:AJ136 S136:AB136">
    <cfRule type="cellIs" dxfId="208" priority="80" operator="equal">
      <formula>0</formula>
    </cfRule>
  </conditionalFormatting>
  <conditionalFormatting sqref="S135:AJ136">
    <cfRule type="cellIs" dxfId="207" priority="84" operator="equal">
      <formula>0</formula>
    </cfRule>
  </conditionalFormatting>
  <conditionalFormatting sqref="S151:AJ151 AC152:AJ153 S153:AB153">
    <cfRule type="cellIs" dxfId="206" priority="94" operator="equal">
      <formula>0</formula>
    </cfRule>
  </conditionalFormatting>
  <conditionalFormatting sqref="S152:AJ153">
    <cfRule type="cellIs" dxfId="205" priority="98" operator="equal">
      <formula>0</formula>
    </cfRule>
  </conditionalFormatting>
  <conditionalFormatting sqref="S168:AJ168 AC169:AJ170 S170:AB170">
    <cfRule type="cellIs" dxfId="204" priority="110" operator="equal">
      <formula>0</formula>
    </cfRule>
  </conditionalFormatting>
  <conditionalFormatting sqref="S169:AJ171">
    <cfRule type="cellIs" dxfId="203" priority="114" operator="equal">
      <formula>0</formula>
    </cfRule>
  </conditionalFormatting>
  <conditionalFormatting sqref="S72:AK85">
    <cfRule type="cellIs" dxfId="202" priority="37" operator="equal">
      <formula>0</formula>
    </cfRule>
  </conditionalFormatting>
  <conditionalFormatting sqref="S140:AK153">
    <cfRule type="cellIs" dxfId="201" priority="93" operator="equal">
      <formula>0</formula>
    </cfRule>
  </conditionalFormatting>
  <conditionalFormatting sqref="S38:AM51">
    <cfRule type="cellIs" dxfId="200" priority="9" operator="equal">
      <formula>0</formula>
    </cfRule>
  </conditionalFormatting>
  <conditionalFormatting sqref="S57:AM66 S66:AJ67 S68:AM68">
    <cfRule type="cellIs" dxfId="199" priority="23" operator="equal">
      <formula>0</formula>
    </cfRule>
  </conditionalFormatting>
  <conditionalFormatting sqref="S89:AM102">
    <cfRule type="cellIs" dxfId="198" priority="1" operator="equal">
      <formula>0</formula>
    </cfRule>
  </conditionalFormatting>
  <conditionalFormatting sqref="S106:AM119">
    <cfRule type="cellIs" dxfId="197" priority="65" operator="equal">
      <formula>0</formula>
    </cfRule>
  </conditionalFormatting>
  <conditionalFormatting sqref="S123:AM136">
    <cfRule type="cellIs" dxfId="196" priority="79" operator="equal">
      <formula>0</formula>
    </cfRule>
  </conditionalFormatting>
  <conditionalFormatting sqref="S157:AM170">
    <cfRule type="cellIs" dxfId="195" priority="109" operator="equal">
      <formula>0</formula>
    </cfRule>
  </conditionalFormatting>
  <conditionalFormatting sqref="AC67:AJ68">
    <cfRule type="cellIs" dxfId="194" priority="24" operator="equal">
      <formula>0</formula>
    </cfRule>
  </conditionalFormatting>
  <conditionalFormatting sqref="AC101:AJ102 S102:AB102">
    <cfRule type="cellIs" dxfId="193" priority="52" operator="equal">
      <formula>0</formula>
    </cfRule>
  </conditionalFormatting>
  <conditionalFormatting sqref="AD47:AF48">
    <cfRule type="cellIs" dxfId="192" priority="19" operator="equal">
      <formula>0</formula>
    </cfRule>
  </conditionalFormatting>
  <conditionalFormatting sqref="AD64:AF65">
    <cfRule type="cellIs" dxfId="191" priority="33" operator="equal">
      <formula>0</formula>
    </cfRule>
  </conditionalFormatting>
  <conditionalFormatting sqref="AD81:AF82">
    <cfRule type="cellIs" dxfId="190" priority="47" operator="equal">
      <formula>0</formula>
    </cfRule>
  </conditionalFormatting>
  <conditionalFormatting sqref="AD98:AF99">
    <cfRule type="cellIs" dxfId="189" priority="61" operator="equal">
      <formula>0</formula>
    </cfRule>
  </conditionalFormatting>
  <conditionalFormatting sqref="AD115:AF116">
    <cfRule type="cellIs" dxfId="188" priority="75" operator="equal">
      <formula>0</formula>
    </cfRule>
  </conditionalFormatting>
  <conditionalFormatting sqref="AD132:AF133">
    <cfRule type="cellIs" dxfId="187" priority="89" operator="equal">
      <formula>0</formula>
    </cfRule>
  </conditionalFormatting>
  <conditionalFormatting sqref="AD149:AF150">
    <cfRule type="cellIs" dxfId="186" priority="103" operator="equal">
      <formula>0</formula>
    </cfRule>
  </conditionalFormatting>
  <conditionalFormatting sqref="AD166:AF167">
    <cfRule type="cellIs" dxfId="185" priority="120" operator="equal">
      <formula>0</formula>
    </cfRule>
  </conditionalFormatting>
  <conditionalFormatting sqref="AD39:AI45">
    <cfRule type="cellIs" dxfId="184" priority="17" operator="equal">
      <formula>0</formula>
    </cfRule>
  </conditionalFormatting>
  <conditionalFormatting sqref="AD56:AI62">
    <cfRule type="cellIs" dxfId="183" priority="31" operator="equal">
      <formula>0</formula>
    </cfRule>
  </conditionalFormatting>
  <conditionalFormatting sqref="AD73:AI79">
    <cfRule type="cellIs" dxfId="182" priority="45" operator="equal">
      <formula>0</formula>
    </cfRule>
  </conditionalFormatting>
  <conditionalFormatting sqref="AD90:AI96">
    <cfRule type="cellIs" dxfId="181" priority="59" operator="equal">
      <formula>0</formula>
    </cfRule>
  </conditionalFormatting>
  <conditionalFormatting sqref="AD107:AI113">
    <cfRule type="cellIs" dxfId="180" priority="73" operator="equal">
      <formula>0</formula>
    </cfRule>
  </conditionalFormatting>
  <conditionalFormatting sqref="AD124:AI130">
    <cfRule type="cellIs" dxfId="179" priority="87" operator="equal">
      <formula>0</formula>
    </cfRule>
  </conditionalFormatting>
  <conditionalFormatting sqref="AD141:AI147">
    <cfRule type="cellIs" dxfId="178" priority="101" operator="equal">
      <formula>0</formula>
    </cfRule>
  </conditionalFormatting>
  <conditionalFormatting sqref="AD158:AI164">
    <cfRule type="cellIs" dxfId="177" priority="117" operator="equal">
      <formula>0</formula>
    </cfRule>
  </conditionalFormatting>
  <conditionalFormatting sqref="AD46:AJ46">
    <cfRule type="cellIs" dxfId="176" priority="15" operator="equal">
      <formula>0</formula>
    </cfRule>
  </conditionalFormatting>
  <conditionalFormatting sqref="AD63:AJ63">
    <cfRule type="cellIs" dxfId="175" priority="29" operator="equal">
      <formula>0</formula>
    </cfRule>
  </conditionalFormatting>
  <conditionalFormatting sqref="AD80:AJ80">
    <cfRule type="cellIs" dxfId="174" priority="43" operator="equal">
      <formula>0</formula>
    </cfRule>
  </conditionalFormatting>
  <conditionalFormatting sqref="AD97:AJ97">
    <cfRule type="cellIs" dxfId="173" priority="57" operator="equal">
      <formula>0</formula>
    </cfRule>
  </conditionalFormatting>
  <conditionalFormatting sqref="AD114:AJ114">
    <cfRule type="cellIs" dxfId="172" priority="71" operator="equal">
      <formula>0</formula>
    </cfRule>
  </conditionalFormatting>
  <conditionalFormatting sqref="AD131:AJ131">
    <cfRule type="cellIs" dxfId="171" priority="85" operator="equal">
      <formula>0</formula>
    </cfRule>
  </conditionalFormatting>
  <conditionalFormatting sqref="AD148:AJ148">
    <cfRule type="cellIs" dxfId="170" priority="99" operator="equal">
      <formula>0</formula>
    </cfRule>
  </conditionalFormatting>
  <conditionalFormatting sqref="AD165:AJ165">
    <cfRule type="cellIs" dxfId="169" priority="115" operator="equal">
      <formula>0</formula>
    </cfRule>
  </conditionalFormatting>
  <conditionalFormatting sqref="AE46:AI46">
    <cfRule type="cellIs" dxfId="168" priority="11" operator="equal">
      <formula>0</formula>
    </cfRule>
  </conditionalFormatting>
  <conditionalFormatting sqref="AE63:AI63">
    <cfRule type="cellIs" dxfId="167" priority="25" operator="equal">
      <formula>0</formula>
    </cfRule>
  </conditionalFormatting>
  <conditionalFormatting sqref="AE80:AI80">
    <cfRule type="cellIs" dxfId="166" priority="39" operator="equal">
      <formula>0</formula>
    </cfRule>
  </conditionalFormatting>
  <conditionalFormatting sqref="AE97:AI97">
    <cfRule type="cellIs" dxfId="165" priority="53" operator="equal">
      <formula>0</formula>
    </cfRule>
  </conditionalFormatting>
  <conditionalFormatting sqref="AE114:AI114">
    <cfRule type="cellIs" dxfId="164" priority="67" operator="equal">
      <formula>0</formula>
    </cfRule>
  </conditionalFormatting>
  <conditionalFormatting sqref="AE131:AI131">
    <cfRule type="cellIs" dxfId="163" priority="81" operator="equal">
      <formula>0</formula>
    </cfRule>
  </conditionalFormatting>
  <conditionalFormatting sqref="AE148:AI148">
    <cfRule type="cellIs" dxfId="162" priority="95" operator="equal">
      <formula>0</formula>
    </cfRule>
  </conditionalFormatting>
  <conditionalFormatting sqref="AE165:AI165">
    <cfRule type="cellIs" dxfId="161" priority="111" operator="equal">
      <formula>0</formula>
    </cfRule>
  </conditionalFormatting>
  <conditionalFormatting sqref="AI98:AI99">
    <cfRule type="cellIs" dxfId="160" priority="60" operator="equal">
      <formula>0</formula>
    </cfRule>
  </conditionalFormatting>
  <conditionalFormatting sqref="AJ38:AJ45">
    <cfRule type="cellIs" dxfId="159" priority="12" operator="equal">
      <formula>0</formula>
    </cfRule>
  </conditionalFormatting>
  <conditionalFormatting sqref="AJ55:AJ62">
    <cfRule type="cellIs" dxfId="158" priority="26" operator="equal">
      <formula>0</formula>
    </cfRule>
  </conditionalFormatting>
  <conditionalFormatting sqref="AJ72:AJ79">
    <cfRule type="cellIs" dxfId="157" priority="40" operator="equal">
      <formula>0</formula>
    </cfRule>
  </conditionalFormatting>
  <conditionalFormatting sqref="AJ89:AJ96">
    <cfRule type="cellIs" dxfId="156" priority="54" operator="equal">
      <formula>0</formula>
    </cfRule>
  </conditionalFormatting>
  <conditionalFormatting sqref="AJ106:AJ113">
    <cfRule type="cellIs" dxfId="155" priority="68" operator="equal">
      <formula>0</formula>
    </cfRule>
  </conditionalFormatting>
  <conditionalFormatting sqref="AJ123:AJ130">
    <cfRule type="cellIs" dxfId="154" priority="82" operator="equal">
      <formula>0</formula>
    </cfRule>
  </conditionalFormatting>
  <conditionalFormatting sqref="AJ140:AJ147">
    <cfRule type="cellIs" dxfId="153" priority="96" operator="equal">
      <formula>0</formula>
    </cfRule>
  </conditionalFormatting>
  <conditionalFormatting sqref="AJ157:AJ164">
    <cfRule type="cellIs" dxfId="152" priority="112" operator="equal">
      <formula>0</formula>
    </cfRule>
  </conditionalFormatting>
  <conditionalFormatting sqref="AK73:AK85 AI81:AI82">
    <cfRule type="cellIs" dxfId="151" priority="46" operator="equal">
      <formula>0</formula>
    </cfRule>
  </conditionalFormatting>
  <conditionalFormatting sqref="AK141:AK153 AI149:AI150">
    <cfRule type="cellIs" dxfId="150" priority="102" operator="equal">
      <formula>0</formula>
    </cfRule>
  </conditionalFormatting>
  <conditionalFormatting sqref="AK57:AM66 AI64:AI65 AK68:AM68">
    <cfRule type="cellIs" dxfId="149" priority="32" operator="equal">
      <formula>0</formula>
    </cfRule>
  </conditionalFormatting>
  <conditionalFormatting sqref="AK67:AM67">
    <cfRule type="cellIs" dxfId="148" priority="4" operator="equal">
      <formula>0</formula>
    </cfRule>
    <cfRule type="cellIs" dxfId="147" priority="3" operator="equal">
      <formula>0</formula>
    </cfRule>
  </conditionalFormatting>
  <conditionalFormatting sqref="AK89:AM102">
    <cfRule type="cellIs" dxfId="146" priority="2" operator="equal">
      <formula>0</formula>
    </cfRule>
  </conditionalFormatting>
  <conditionalFormatting sqref="AK171:AM171">
    <cfRule type="cellIs" dxfId="145" priority="108" operator="equal">
      <formula>0</formula>
    </cfRule>
    <cfRule type="cellIs" dxfId="144" priority="107" operator="equal">
      <formula>0</formula>
    </cfRule>
  </conditionalFormatting>
  <conditionalFormatting sqref="AL38:AM38 AK39:AM51 AI47:AI48">
    <cfRule type="cellIs" dxfId="143" priority="18" operator="equal">
      <formula>0</formula>
    </cfRule>
  </conditionalFormatting>
  <conditionalFormatting sqref="AL55:AM56">
    <cfRule type="cellIs" dxfId="142" priority="5" operator="equal">
      <formula>0</formula>
    </cfRule>
    <cfRule type="cellIs" dxfId="141" priority="6" operator="equal">
      <formula>0</formula>
    </cfRule>
  </conditionalFormatting>
  <conditionalFormatting sqref="AL106:AM106 AK107:AM119 AI115:AI116">
    <cfRule type="cellIs" dxfId="140" priority="74" operator="equal">
      <formula>0</formula>
    </cfRule>
  </conditionalFormatting>
  <conditionalFormatting sqref="AL123:AM123 AK124:AM136 AI132:AI133">
    <cfRule type="cellIs" dxfId="139" priority="88" operator="equal">
      <formula>0</formula>
    </cfRule>
  </conditionalFormatting>
  <conditionalFormatting sqref="AL157:AM157 AK158:AM170 AI166:AI167">
    <cfRule type="cellIs" dxfId="138" priority="118" operator="equal">
      <formula>0</formula>
    </cfRule>
  </conditionalFormatting>
  <hyperlinks>
    <hyperlink ref="A3" location="'6. SEO Tables'!A18" display="Total Australian Government investment in R&amp;D by SEO" xr:uid="{E4908322-15E2-4E1D-B72E-C88C05349BFB}"/>
    <hyperlink ref="A6" location="'6. SEO Tables'!A38" display="Australian Institute of Aboriginal and Torres Strait Islander Studies (AIATSIS)" xr:uid="{D634A09D-9EEB-4377-8AF8-CCE7233479C7}"/>
    <hyperlink ref="A7" location="'6. SEO Tables'!A55" display="Australian Institute of Marine Science (AIMS)" xr:uid="{2FB6F230-AA33-4C9F-9480-885D47706B68}"/>
    <hyperlink ref="A8" location="'6. SEO Tables'!A72" display="Australian Nuclear Science &amp; Technology Organisation (ANSTO)" xr:uid="{CD9A7FBB-1CC9-41D1-AEEB-C45EBCD4778C}"/>
    <hyperlink ref="A9" location="'6. SEO Tables'!A89" display="Australian Research Council (ARC)" xr:uid="{9F230C1D-6AC7-4E70-8783-2907B8D93B06}"/>
    <hyperlink ref="A10" location="'6. SEO Tables'!A106" display="Bureau of Meteorology (BoM)" xr:uid="{A30639CD-42DB-4370-A0A4-80EB3B781304}"/>
    <hyperlink ref="A11" location="'6. SEO Tables'!A123" display="Commonwealth Scientific and Industrial Research Organisation (CSIRO)" xr:uid="{F0A89308-34B0-43E9-B538-5CA4BB06E30A}"/>
    <hyperlink ref="A12" location="'6. SEO Tables'!A140" display="National Collaborative Research Infrastructure Strategy (NCRIS)" xr:uid="{261187B7-64F4-48EC-943F-A4C514185E9B}"/>
    <hyperlink ref="A13" location="'6. SEO Tables'!A157" display="Geoscience Australia" xr:uid="{888AF011-53E0-454B-AE10-004C085F07AE}"/>
    <hyperlink ref="A14" location="'6. SEO Tables'!A174" display="Industry R&amp;D Tax Measures" xr:uid="{70C65D44-E262-4EC8-9A92-5A180D17D789}"/>
    <hyperlink ref="A15" location="'6. SEO Tables'!A191" display="All other programs" xr:uid="{E0F8CC31-8BB2-4235-9AFF-02A7F0CFD03A}"/>
  </hyperlinks>
  <pageMargins left="0.7" right="0.7" top="0.75" bottom="0.75" header="0.3" footer="0.3"/>
  <headerFooter>
    <oddHeader>&amp;C&amp;"Calibri"&amp;12&amp;KC00000 OFFICIAL&amp;1#_x000D_</oddHeader>
    <oddFooter>&amp;C_x000D_&amp;1#&amp;"Calibri"&amp;12&amp;KC00000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9FDF8-2217-4271-992F-80E566F67D6D}">
  <sheetPr>
    <tabColor rgb="FFC973AF"/>
  </sheetPr>
  <dimension ref="A1:AX50"/>
  <sheetViews>
    <sheetView zoomScale="80" zoomScaleNormal="80" workbookViewId="0">
      <selection sqref="A1:F1"/>
    </sheetView>
  </sheetViews>
  <sheetFormatPr defaultRowHeight="15"/>
  <cols>
    <col min="1" max="1" width="60.7109375" customWidth="1"/>
    <col min="2" max="47" width="9.28515625" customWidth="1"/>
    <col min="48" max="49" width="12.140625" customWidth="1"/>
    <col min="50" max="50" width="108.140625" customWidth="1"/>
  </cols>
  <sheetData>
    <row r="1" spans="1:50" ht="30" customHeight="1">
      <c r="A1" s="1042" t="s">
        <v>3846</v>
      </c>
      <c r="B1" s="1042"/>
      <c r="C1" s="1042"/>
      <c r="D1" s="1042"/>
      <c r="E1" s="1042"/>
      <c r="F1" s="1042"/>
      <c r="G1" s="456" t="s">
        <v>1100</v>
      </c>
      <c r="H1" s="456" t="s">
        <v>1100</v>
      </c>
      <c r="I1" s="456" t="s">
        <v>1100</v>
      </c>
      <c r="J1" s="456" t="s">
        <v>1100</v>
      </c>
      <c r="K1" s="456" t="s">
        <v>1100</v>
      </c>
      <c r="L1" s="141" t="s">
        <v>1100</v>
      </c>
      <c r="M1" s="141" t="s">
        <v>1100</v>
      </c>
      <c r="N1" s="141" t="s">
        <v>1100</v>
      </c>
      <c r="O1" s="141" t="s">
        <v>1100</v>
      </c>
      <c r="P1" s="141" t="s">
        <v>1100</v>
      </c>
      <c r="Q1" s="141" t="s">
        <v>1100</v>
      </c>
      <c r="R1" s="141" t="s">
        <v>1100</v>
      </c>
      <c r="S1" s="141" t="s">
        <v>1100</v>
      </c>
      <c r="T1" s="141" t="s">
        <v>1100</v>
      </c>
      <c r="U1" s="141" t="s">
        <v>1100</v>
      </c>
      <c r="V1" s="141" t="s">
        <v>1100</v>
      </c>
      <c r="W1" s="141" t="s">
        <v>1100</v>
      </c>
      <c r="X1" s="141" t="s">
        <v>1100</v>
      </c>
      <c r="Y1" s="141" t="s">
        <v>1100</v>
      </c>
      <c r="Z1" s="141" t="s">
        <v>1100</v>
      </c>
      <c r="AA1" s="141" t="s">
        <v>1100</v>
      </c>
      <c r="AB1" s="141" t="s">
        <v>1100</v>
      </c>
      <c r="AC1" s="141" t="s">
        <v>1100</v>
      </c>
      <c r="AD1" s="141" t="s">
        <v>1100</v>
      </c>
      <c r="AE1" s="141" t="s">
        <v>1100</v>
      </c>
      <c r="AF1" s="141" t="s">
        <v>1100</v>
      </c>
      <c r="AG1" s="141" t="s">
        <v>1100</v>
      </c>
      <c r="AH1" s="141" t="s">
        <v>1100</v>
      </c>
      <c r="AI1" s="141" t="s">
        <v>1100</v>
      </c>
      <c r="AJ1" s="141" t="s">
        <v>1100</v>
      </c>
      <c r="AK1" s="141" t="s">
        <v>1100</v>
      </c>
      <c r="AL1" s="141" t="s">
        <v>1100</v>
      </c>
      <c r="AM1" s="141" t="s">
        <v>1100</v>
      </c>
      <c r="AN1" s="141" t="s">
        <v>1100</v>
      </c>
      <c r="AO1" s="142" t="s">
        <v>1100</v>
      </c>
      <c r="AP1" s="142" t="s">
        <v>1100</v>
      </c>
      <c r="AQ1" s="142" t="s">
        <v>1100</v>
      </c>
      <c r="AR1" s="142" t="s">
        <v>1100</v>
      </c>
      <c r="AS1" s="142" t="s">
        <v>1100</v>
      </c>
      <c r="AT1" s="142" t="s">
        <v>1100</v>
      </c>
      <c r="AU1" s="142" t="s">
        <v>1100</v>
      </c>
      <c r="AV1" s="142" t="s">
        <v>1100</v>
      </c>
      <c r="AW1" s="543"/>
      <c r="AX1" s="544"/>
    </row>
    <row r="2" spans="1:50" ht="32.25" customHeight="1">
      <c r="A2" s="1055" t="s">
        <v>3847</v>
      </c>
      <c r="B2" s="10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383"/>
      <c r="AV2" s="376" t="s">
        <v>201</v>
      </c>
      <c r="AW2" s="380" t="s">
        <v>202</v>
      </c>
      <c r="AX2" s="158"/>
    </row>
    <row r="3" spans="1:50" ht="12.75" customHeight="1">
      <c r="A3" s="159" t="s">
        <v>3848</v>
      </c>
      <c r="B3" s="160" t="s">
        <v>207</v>
      </c>
      <c r="C3" s="160" t="s">
        <v>194</v>
      </c>
      <c r="D3" s="160" t="s">
        <v>191</v>
      </c>
      <c r="E3" s="160" t="s">
        <v>188</v>
      </c>
      <c r="F3" s="160" t="s">
        <v>185</v>
      </c>
      <c r="G3" s="160" t="s">
        <v>181</v>
      </c>
      <c r="H3" s="160" t="s">
        <v>178</v>
      </c>
      <c r="I3" s="160" t="s">
        <v>175</v>
      </c>
      <c r="J3" s="160" t="s">
        <v>171</v>
      </c>
      <c r="K3" s="160" t="s">
        <v>168</v>
      </c>
      <c r="L3" s="160" t="s">
        <v>166</v>
      </c>
      <c r="M3" s="160" t="s">
        <v>163</v>
      </c>
      <c r="N3" s="160" t="s">
        <v>160</v>
      </c>
      <c r="O3" s="160" t="s">
        <v>157</v>
      </c>
      <c r="P3" s="160" t="s">
        <v>153</v>
      </c>
      <c r="Q3" s="160" t="s">
        <v>149</v>
      </c>
      <c r="R3" s="160" t="s">
        <v>146</v>
      </c>
      <c r="S3" s="160" t="s">
        <v>142</v>
      </c>
      <c r="T3" s="160" t="s">
        <v>139</v>
      </c>
      <c r="U3" s="160" t="s">
        <v>136</v>
      </c>
      <c r="V3" s="160" t="s">
        <v>132</v>
      </c>
      <c r="W3" s="160" t="s">
        <v>208</v>
      </c>
      <c r="X3" s="160" t="s">
        <v>126</v>
      </c>
      <c r="Y3" s="160" t="s">
        <v>123</v>
      </c>
      <c r="Z3" s="160" t="s">
        <v>120</v>
      </c>
      <c r="AA3" s="160" t="s">
        <v>117</v>
      </c>
      <c r="AB3" s="160" t="s">
        <v>114</v>
      </c>
      <c r="AC3" s="160" t="s">
        <v>111</v>
      </c>
      <c r="AD3" s="160" t="s">
        <v>108</v>
      </c>
      <c r="AE3" s="160" t="s">
        <v>104</v>
      </c>
      <c r="AF3" s="160" t="s">
        <v>101</v>
      </c>
      <c r="AG3" s="161" t="s">
        <v>98</v>
      </c>
      <c r="AH3" s="160" t="s">
        <v>95</v>
      </c>
      <c r="AI3" s="160" t="s">
        <v>91</v>
      </c>
      <c r="AJ3" s="160" t="s">
        <v>87</v>
      </c>
      <c r="AK3" s="160" t="s">
        <v>83</v>
      </c>
      <c r="AL3" s="160" t="s">
        <v>79</v>
      </c>
      <c r="AM3" s="160" t="s">
        <v>75</v>
      </c>
      <c r="AN3" s="160" t="s">
        <v>72</v>
      </c>
      <c r="AO3" s="160" t="s">
        <v>69</v>
      </c>
      <c r="AP3" s="160" t="s">
        <v>66</v>
      </c>
      <c r="AQ3" s="160" t="s">
        <v>62</v>
      </c>
      <c r="AR3" s="160" t="s">
        <v>59</v>
      </c>
      <c r="AS3" s="160" t="s">
        <v>55</v>
      </c>
      <c r="AT3" s="160" t="s">
        <v>52</v>
      </c>
      <c r="AU3" s="160" t="s">
        <v>49</v>
      </c>
      <c r="AV3" s="377" t="s">
        <v>46</v>
      </c>
      <c r="AW3" s="381" t="s">
        <v>42</v>
      </c>
      <c r="AX3" s="675" t="s">
        <v>227</v>
      </c>
    </row>
    <row r="4" spans="1:50" ht="12.75" customHeight="1">
      <c r="A4" s="449" t="s">
        <v>3849</v>
      </c>
      <c r="B4" s="450">
        <v>0</v>
      </c>
      <c r="C4" s="450">
        <v>0</v>
      </c>
      <c r="D4" s="450">
        <v>0</v>
      </c>
      <c r="E4" s="450">
        <v>0</v>
      </c>
      <c r="F4" s="450">
        <v>0</v>
      </c>
      <c r="G4" s="450">
        <v>0</v>
      </c>
      <c r="H4" s="450">
        <v>0</v>
      </c>
      <c r="I4" s="450">
        <v>0</v>
      </c>
      <c r="J4" s="450">
        <v>0</v>
      </c>
      <c r="K4" s="450">
        <v>0</v>
      </c>
      <c r="L4" s="450">
        <v>0</v>
      </c>
      <c r="M4" s="450">
        <v>0</v>
      </c>
      <c r="N4" s="450">
        <v>0</v>
      </c>
      <c r="O4" s="450">
        <v>0</v>
      </c>
      <c r="P4" s="450">
        <v>0</v>
      </c>
      <c r="Q4" s="450">
        <v>0</v>
      </c>
      <c r="R4" s="450">
        <v>0</v>
      </c>
      <c r="S4" s="450">
        <v>0</v>
      </c>
      <c r="T4" s="450">
        <v>0</v>
      </c>
      <c r="U4" s="450">
        <v>0</v>
      </c>
      <c r="V4" s="450">
        <v>0</v>
      </c>
      <c r="W4" s="450">
        <v>0</v>
      </c>
      <c r="X4" s="450">
        <v>0</v>
      </c>
      <c r="Y4" s="450">
        <v>0</v>
      </c>
      <c r="Z4" s="450">
        <v>0</v>
      </c>
      <c r="AA4" s="450">
        <v>0</v>
      </c>
      <c r="AB4" s="451">
        <v>2.63</v>
      </c>
      <c r="AC4" s="451">
        <v>2.96</v>
      </c>
      <c r="AD4" s="451">
        <v>4.9000000000000004</v>
      </c>
      <c r="AE4" s="451">
        <v>0.81899999999999995</v>
      </c>
      <c r="AF4" s="451">
        <v>0.41699999999999998</v>
      </c>
      <c r="AG4" s="451">
        <v>1.8420000000000001</v>
      </c>
      <c r="AH4" s="451">
        <v>2.4380000000000002</v>
      </c>
      <c r="AI4" s="451">
        <v>4.2910000000000004</v>
      </c>
      <c r="AJ4" s="451">
        <v>4.6230000000000002</v>
      </c>
      <c r="AK4" s="451">
        <v>5.476</v>
      </c>
      <c r="AL4" s="451">
        <v>2.9556335900000001</v>
      </c>
      <c r="AM4" s="451">
        <v>2.5030000000000001</v>
      </c>
      <c r="AN4" s="451">
        <v>3.165</v>
      </c>
      <c r="AO4" s="451">
        <v>5.7233122699999974</v>
      </c>
      <c r="AP4" s="451">
        <v>5.2649999999999997</v>
      </c>
      <c r="AQ4" s="451">
        <v>3.3620000000000001</v>
      </c>
      <c r="AR4" s="451">
        <v>3.875</v>
      </c>
      <c r="AS4" s="168">
        <v>6.093</v>
      </c>
      <c r="AT4" s="451">
        <v>7.4820000000000002</v>
      </c>
      <c r="AU4" s="988">
        <v>5.9740000000000002</v>
      </c>
      <c r="AV4" s="989">
        <v>7.2690000000000001</v>
      </c>
      <c r="AW4" s="988">
        <v>5.992</v>
      </c>
      <c r="AX4" s="985" t="s">
        <v>3850</v>
      </c>
    </row>
    <row r="5" spans="1:50" ht="12.75" customHeight="1">
      <c r="A5" s="449" t="s">
        <v>254</v>
      </c>
      <c r="B5" s="450">
        <v>0</v>
      </c>
      <c r="C5" s="450">
        <v>0</v>
      </c>
      <c r="D5" s="451">
        <v>0.14000000000000001</v>
      </c>
      <c r="E5" s="451">
        <v>0.15</v>
      </c>
      <c r="F5" s="451">
        <v>0.15</v>
      </c>
      <c r="G5" s="451">
        <v>0.15</v>
      </c>
      <c r="H5" s="451">
        <v>0.16</v>
      </c>
      <c r="I5" s="451">
        <v>0.22</v>
      </c>
      <c r="J5" s="451">
        <v>0.31</v>
      </c>
      <c r="K5" s="451">
        <v>0.28000000000000003</v>
      </c>
      <c r="L5" s="451">
        <v>0.37</v>
      </c>
      <c r="M5" s="451">
        <v>0.3</v>
      </c>
      <c r="N5" s="451">
        <v>0.45</v>
      </c>
      <c r="O5" s="451">
        <v>0.56999999999999995</v>
      </c>
      <c r="P5" s="451">
        <v>0.68</v>
      </c>
      <c r="Q5" s="451">
        <v>0.67</v>
      </c>
      <c r="R5" s="451">
        <v>0.63</v>
      </c>
      <c r="S5" s="451">
        <v>0.68</v>
      </c>
      <c r="T5" s="451">
        <v>0.76</v>
      </c>
      <c r="U5" s="451">
        <v>0.77</v>
      </c>
      <c r="V5" s="451">
        <v>0.71</v>
      </c>
      <c r="W5" s="451">
        <v>0.66</v>
      </c>
      <c r="X5" s="451">
        <v>0.68</v>
      </c>
      <c r="Y5" s="451">
        <v>0.71</v>
      </c>
      <c r="Z5" s="451">
        <v>0.52</v>
      </c>
      <c r="AA5" s="451">
        <v>5.3</v>
      </c>
      <c r="AB5" s="451">
        <v>4.43</v>
      </c>
      <c r="AC5" s="451">
        <v>4.43</v>
      </c>
      <c r="AD5" s="451">
        <v>4.0999999999999996</v>
      </c>
      <c r="AE5" s="451">
        <v>0.82799999999999996</v>
      </c>
      <c r="AF5" s="451">
        <v>0.89</v>
      </c>
      <c r="AG5" s="451">
        <v>1.117</v>
      </c>
      <c r="AH5" s="451">
        <v>1.6781751699999998</v>
      </c>
      <c r="AI5" s="451">
        <v>1.9710000000000001</v>
      </c>
      <c r="AJ5" s="451">
        <v>1.758</v>
      </c>
      <c r="AK5" s="451">
        <v>2.194</v>
      </c>
      <c r="AL5" s="451">
        <v>2.0294775299999999</v>
      </c>
      <c r="AM5" s="451">
        <v>2.3849999999999998</v>
      </c>
      <c r="AN5" s="451">
        <v>2.4900000000000002</v>
      </c>
      <c r="AO5" s="451">
        <v>2.4878544200000001</v>
      </c>
      <c r="AP5" s="451">
        <v>2.2389999999999999</v>
      </c>
      <c r="AQ5" s="451">
        <v>2.2959999999999998</v>
      </c>
      <c r="AR5" s="451">
        <v>2.5249999999999999</v>
      </c>
      <c r="AS5" s="168">
        <v>2.4620000000000002</v>
      </c>
      <c r="AT5" s="451">
        <v>2.661</v>
      </c>
      <c r="AU5" s="988">
        <v>2.6230000000000002</v>
      </c>
      <c r="AV5" s="989">
        <v>3.101</v>
      </c>
      <c r="AW5" s="988">
        <v>3.1749999999999998</v>
      </c>
      <c r="AX5" s="986" t="s">
        <v>3851</v>
      </c>
    </row>
    <row r="6" spans="1:50" ht="12.75" customHeight="1">
      <c r="A6" s="449" t="s">
        <v>3852</v>
      </c>
      <c r="B6" s="450">
        <v>0</v>
      </c>
      <c r="C6" s="450">
        <v>0</v>
      </c>
      <c r="D6" s="450">
        <v>0</v>
      </c>
      <c r="E6" s="450">
        <v>0</v>
      </c>
      <c r="F6" s="450">
        <v>0</v>
      </c>
      <c r="G6" s="450">
        <v>0</v>
      </c>
      <c r="H6" s="450">
        <v>0</v>
      </c>
      <c r="I6" s="450">
        <v>0</v>
      </c>
      <c r="J6" s="450">
        <v>0</v>
      </c>
      <c r="K6" s="450">
        <v>0</v>
      </c>
      <c r="L6" s="450">
        <v>0</v>
      </c>
      <c r="M6" s="450">
        <v>0</v>
      </c>
      <c r="N6" s="450">
        <v>0</v>
      </c>
      <c r="O6" s="450">
        <v>0</v>
      </c>
      <c r="P6" s="450">
        <v>0</v>
      </c>
      <c r="Q6" s="450">
        <v>0</v>
      </c>
      <c r="R6" s="450">
        <v>0</v>
      </c>
      <c r="S6" s="450">
        <v>0</v>
      </c>
      <c r="T6" s="450">
        <v>0</v>
      </c>
      <c r="U6" s="450">
        <v>0</v>
      </c>
      <c r="V6" s="450">
        <v>0</v>
      </c>
      <c r="W6" s="450">
        <v>0</v>
      </c>
      <c r="X6" s="450">
        <v>0</v>
      </c>
      <c r="Y6" s="450">
        <v>0</v>
      </c>
      <c r="Z6" s="450">
        <v>0</v>
      </c>
      <c r="AA6" s="450">
        <v>0</v>
      </c>
      <c r="AB6" s="450">
        <v>0</v>
      </c>
      <c r="AC6" s="450">
        <v>0</v>
      </c>
      <c r="AD6" s="450">
        <v>0</v>
      </c>
      <c r="AE6" s="450">
        <v>0</v>
      </c>
      <c r="AF6" s="450">
        <v>0</v>
      </c>
      <c r="AG6" s="450">
        <v>0</v>
      </c>
      <c r="AH6" s="450">
        <v>0</v>
      </c>
      <c r="AI6" s="450">
        <v>0</v>
      </c>
      <c r="AJ6" s="450">
        <v>0</v>
      </c>
      <c r="AK6" s="450">
        <v>0</v>
      </c>
      <c r="AL6" s="450">
        <v>0</v>
      </c>
      <c r="AM6" s="450">
        <v>0</v>
      </c>
      <c r="AN6" s="451">
        <v>6.5869999999999997</v>
      </c>
      <c r="AO6" s="451">
        <v>3.2902100000000004E-2</v>
      </c>
      <c r="AP6" s="451">
        <v>10.538</v>
      </c>
      <c r="AQ6" s="451">
        <v>11.648</v>
      </c>
      <c r="AR6" s="451">
        <v>9.5709999999999997</v>
      </c>
      <c r="AS6" s="168">
        <v>9.7240000000000002</v>
      </c>
      <c r="AT6" s="451">
        <v>10.151999999999999</v>
      </c>
      <c r="AU6" s="988">
        <v>12.621</v>
      </c>
      <c r="AV6" s="989">
        <v>12.551</v>
      </c>
      <c r="AW6" s="988">
        <v>12.584</v>
      </c>
      <c r="AX6" s="986" t="s">
        <v>3853</v>
      </c>
    </row>
    <row r="7" spans="1:50" ht="12.75" customHeight="1">
      <c r="A7" s="449" t="s">
        <v>259</v>
      </c>
      <c r="B7" s="451">
        <v>0.28999999999999998</v>
      </c>
      <c r="C7" s="451">
        <v>0.28999999999999998</v>
      </c>
      <c r="D7" s="451">
        <v>0.39</v>
      </c>
      <c r="E7" s="451">
        <v>0.42</v>
      </c>
      <c r="F7" s="451">
        <v>0.4</v>
      </c>
      <c r="G7" s="451">
        <v>0.42</v>
      </c>
      <c r="H7" s="451">
        <v>0.6</v>
      </c>
      <c r="I7" s="451">
        <v>0.78</v>
      </c>
      <c r="J7" s="451">
        <v>1</v>
      </c>
      <c r="K7" s="451">
        <v>1.43</v>
      </c>
      <c r="L7" s="451">
        <v>1.37</v>
      </c>
      <c r="M7" s="451">
        <v>1.95</v>
      </c>
      <c r="N7" s="451">
        <v>2.58</v>
      </c>
      <c r="O7" s="451">
        <v>2.67</v>
      </c>
      <c r="P7" s="451">
        <v>2.88</v>
      </c>
      <c r="Q7" s="451">
        <v>3.61</v>
      </c>
      <c r="R7" s="451">
        <v>3.75</v>
      </c>
      <c r="S7" s="451">
        <v>3.57</v>
      </c>
      <c r="T7" s="451">
        <v>3.42</v>
      </c>
      <c r="U7" s="451">
        <v>3.46</v>
      </c>
      <c r="V7" s="451">
        <v>3.47</v>
      </c>
      <c r="W7" s="451">
        <v>3.65</v>
      </c>
      <c r="X7" s="451">
        <v>3.92</v>
      </c>
      <c r="Y7" s="451">
        <v>11.79</v>
      </c>
      <c r="Z7" s="451">
        <v>13.3</v>
      </c>
      <c r="AA7" s="451">
        <v>13.3</v>
      </c>
      <c r="AB7" s="451">
        <v>13.47</v>
      </c>
      <c r="AC7" s="451">
        <v>13.47</v>
      </c>
      <c r="AD7" s="451">
        <v>12.1</v>
      </c>
      <c r="AE7" s="451">
        <v>3.1749999999999998</v>
      </c>
      <c r="AF7" s="451">
        <v>3.9820000000000002</v>
      </c>
      <c r="AG7" s="451">
        <v>3.6659999999999999</v>
      </c>
      <c r="AH7" s="451">
        <v>4.5990000000000002</v>
      </c>
      <c r="AI7" s="451">
        <v>4.7460000000000004</v>
      </c>
      <c r="AJ7" s="451">
        <v>4.6920000000000002</v>
      </c>
      <c r="AK7" s="451">
        <v>4.6879999999999997</v>
      </c>
      <c r="AL7" s="451">
        <v>5.1826962699999992</v>
      </c>
      <c r="AM7" s="451">
        <v>4.8730000000000002</v>
      </c>
      <c r="AN7" s="451">
        <v>5.0650000000000004</v>
      </c>
      <c r="AO7" s="451">
        <v>5.3515978899999999</v>
      </c>
      <c r="AP7" s="451">
        <v>5.3710000000000004</v>
      </c>
      <c r="AQ7" s="451">
        <v>5.07</v>
      </c>
      <c r="AR7" s="451">
        <v>5.3209999999999997</v>
      </c>
      <c r="AS7" s="168">
        <v>5.6529999999999996</v>
      </c>
      <c r="AT7" s="451">
        <v>5.5789999999999997</v>
      </c>
      <c r="AU7" s="988">
        <v>5.7830000000000004</v>
      </c>
      <c r="AV7" s="989">
        <v>5.75</v>
      </c>
      <c r="AW7" s="988">
        <v>5.8</v>
      </c>
      <c r="AX7" s="986" t="s">
        <v>3853</v>
      </c>
    </row>
    <row r="8" spans="1:50" ht="12.75" customHeight="1">
      <c r="A8" s="449" t="s">
        <v>3854</v>
      </c>
      <c r="B8" s="450">
        <v>0</v>
      </c>
      <c r="C8" s="451">
        <v>5.4</v>
      </c>
      <c r="D8" s="451">
        <v>7.54</v>
      </c>
      <c r="E8" s="451">
        <v>8.77</v>
      </c>
      <c r="F8" s="451">
        <v>8.83</v>
      </c>
      <c r="G8" s="451">
        <v>9.3000000000000007</v>
      </c>
      <c r="H8" s="451">
        <v>12.32</v>
      </c>
      <c r="I8" s="451">
        <v>11.88</v>
      </c>
      <c r="J8" s="451">
        <v>15.25</v>
      </c>
      <c r="K8" s="451">
        <v>18.309999999999999</v>
      </c>
      <c r="L8" s="451">
        <v>14.21</v>
      </c>
      <c r="M8" s="451">
        <v>19.63</v>
      </c>
      <c r="N8" s="451">
        <v>17.11</v>
      </c>
      <c r="O8" s="451">
        <v>14.05</v>
      </c>
      <c r="P8" s="451">
        <v>12.32</v>
      </c>
      <c r="Q8" s="451">
        <v>12.45</v>
      </c>
      <c r="R8" s="451">
        <v>19.5</v>
      </c>
      <c r="S8" s="451">
        <v>10.94</v>
      </c>
      <c r="T8" s="451">
        <v>12.79</v>
      </c>
      <c r="U8" s="451">
        <v>13.09</v>
      </c>
      <c r="V8" s="451">
        <v>10.53</v>
      </c>
      <c r="W8" s="451">
        <v>11.97</v>
      </c>
      <c r="X8" s="451">
        <v>11.81</v>
      </c>
      <c r="Y8" s="451">
        <v>56.31</v>
      </c>
      <c r="Z8" s="451">
        <v>62.6</v>
      </c>
      <c r="AA8" s="451">
        <v>40.4</v>
      </c>
      <c r="AB8" s="451">
        <v>40.409999999999997</v>
      </c>
      <c r="AC8" s="451">
        <v>42</v>
      </c>
      <c r="AD8" s="451">
        <v>46.5</v>
      </c>
      <c r="AE8" s="451">
        <v>45.11</v>
      </c>
      <c r="AF8" s="451">
        <v>41.7</v>
      </c>
      <c r="AG8" s="451">
        <v>35.319000000000003</v>
      </c>
      <c r="AH8" s="451">
        <v>47.026000000000003</v>
      </c>
      <c r="AI8" s="451">
        <v>52</v>
      </c>
      <c r="AJ8" s="451">
        <v>43.744999999999997</v>
      </c>
      <c r="AK8" s="451">
        <v>43.308999999999997</v>
      </c>
      <c r="AL8" s="451">
        <v>48.3035584</v>
      </c>
      <c r="AM8" s="451">
        <v>50.331000000000003</v>
      </c>
      <c r="AN8" s="451">
        <v>60.210999999999999</v>
      </c>
      <c r="AO8" s="451">
        <v>72.479141259999992</v>
      </c>
      <c r="AP8" s="451">
        <v>68.076999999999998</v>
      </c>
      <c r="AQ8" s="451">
        <v>38.335000000000001</v>
      </c>
      <c r="AR8" s="451">
        <v>29.178000000000001</v>
      </c>
      <c r="AS8" s="168">
        <v>45.933999999999997</v>
      </c>
      <c r="AT8" s="451">
        <v>41.203000000000003</v>
      </c>
      <c r="AU8" s="988">
        <v>36.701999999999998</v>
      </c>
      <c r="AV8" s="989">
        <v>45</v>
      </c>
      <c r="AW8" s="988">
        <v>45</v>
      </c>
      <c r="AX8" s="986" t="s">
        <v>3855</v>
      </c>
    </row>
    <row r="9" spans="1:50" ht="12.75" customHeight="1">
      <c r="A9" s="449" t="s">
        <v>3856</v>
      </c>
      <c r="B9" s="450">
        <v>0</v>
      </c>
      <c r="C9" s="450">
        <v>0</v>
      </c>
      <c r="D9" s="451">
        <v>0.31</v>
      </c>
      <c r="E9" s="451">
        <v>0.47</v>
      </c>
      <c r="F9" s="451">
        <v>0.28999999999999998</v>
      </c>
      <c r="G9" s="451">
        <v>1.03</v>
      </c>
      <c r="H9" s="451">
        <v>0.99</v>
      </c>
      <c r="I9" s="451">
        <v>1.37</v>
      </c>
      <c r="J9" s="451">
        <v>1.01</v>
      </c>
      <c r="K9" s="451">
        <v>0.99</v>
      </c>
      <c r="L9" s="451">
        <v>1.1000000000000001</v>
      </c>
      <c r="M9" s="451">
        <v>1.99</v>
      </c>
      <c r="N9" s="450">
        <v>0</v>
      </c>
      <c r="O9" s="450">
        <v>0</v>
      </c>
      <c r="P9" s="450">
        <v>0</v>
      </c>
      <c r="Q9" s="450">
        <v>0</v>
      </c>
      <c r="R9" s="450">
        <v>0</v>
      </c>
      <c r="S9" s="450">
        <v>0</v>
      </c>
      <c r="T9" s="450">
        <v>0</v>
      </c>
      <c r="U9" s="450">
        <v>0</v>
      </c>
      <c r="V9" s="450">
        <v>0</v>
      </c>
      <c r="W9" s="450">
        <v>0</v>
      </c>
      <c r="X9" s="450">
        <v>0</v>
      </c>
      <c r="Y9" s="450">
        <v>0</v>
      </c>
      <c r="Z9" s="450">
        <v>0</v>
      </c>
      <c r="AA9" s="450">
        <v>0</v>
      </c>
      <c r="AB9" s="450">
        <v>0</v>
      </c>
      <c r="AC9" s="450">
        <v>0</v>
      </c>
      <c r="AD9" s="450">
        <v>0</v>
      </c>
      <c r="AE9" s="450">
        <v>0</v>
      </c>
      <c r="AF9" s="450">
        <v>0</v>
      </c>
      <c r="AG9" s="450">
        <v>0</v>
      </c>
      <c r="AH9" s="450">
        <v>0</v>
      </c>
      <c r="AI9" s="450">
        <v>0</v>
      </c>
      <c r="AJ9" s="450">
        <v>0</v>
      </c>
      <c r="AK9" s="450">
        <v>0</v>
      </c>
      <c r="AL9" s="450">
        <v>0</v>
      </c>
      <c r="AM9" s="450">
        <v>0</v>
      </c>
      <c r="AN9" s="450">
        <v>0</v>
      </c>
      <c r="AO9" s="450">
        <v>0</v>
      </c>
      <c r="AP9" s="450">
        <v>0</v>
      </c>
      <c r="AQ9" s="450">
        <v>0</v>
      </c>
      <c r="AR9" s="450">
        <v>0</v>
      </c>
      <c r="AS9" s="450">
        <v>0</v>
      </c>
      <c r="AT9" s="450">
        <v>0</v>
      </c>
      <c r="AU9" s="990">
        <v>0</v>
      </c>
      <c r="AV9" s="989"/>
      <c r="AW9" s="988"/>
      <c r="AX9" s="676" t="s">
        <v>3857</v>
      </c>
    </row>
    <row r="10" spans="1:50" ht="12.75" customHeight="1">
      <c r="A10" s="449" t="s">
        <v>3858</v>
      </c>
      <c r="B10" s="451">
        <v>0.19</v>
      </c>
      <c r="C10" s="451">
        <v>0.23</v>
      </c>
      <c r="D10" s="451">
        <v>0.24</v>
      </c>
      <c r="E10" s="451">
        <v>0.22</v>
      </c>
      <c r="F10" s="451">
        <v>0.24</v>
      </c>
      <c r="G10" s="451">
        <v>0.23</v>
      </c>
      <c r="H10" s="451">
        <v>0.24</v>
      </c>
      <c r="I10" s="451">
        <v>0.28999999999999998</v>
      </c>
      <c r="J10" s="451">
        <v>0.38</v>
      </c>
      <c r="K10" s="451">
        <v>0.4</v>
      </c>
      <c r="L10" s="451">
        <v>0.38</v>
      </c>
      <c r="M10" s="451">
        <v>0.46</v>
      </c>
      <c r="N10" s="451">
        <v>0.55000000000000004</v>
      </c>
      <c r="O10" s="451">
        <v>0.78</v>
      </c>
      <c r="P10" s="451">
        <v>0.65</v>
      </c>
      <c r="Q10" s="451">
        <v>0.67</v>
      </c>
      <c r="R10" s="451">
        <v>0.71</v>
      </c>
      <c r="S10" s="451">
        <v>0.71</v>
      </c>
      <c r="T10" s="451">
        <v>0.79</v>
      </c>
      <c r="U10" s="451">
        <v>0.82</v>
      </c>
      <c r="V10" s="451">
        <v>0.79</v>
      </c>
      <c r="W10" s="451">
        <v>0.84</v>
      </c>
      <c r="X10" s="451">
        <v>0.85</v>
      </c>
      <c r="Y10" s="451">
        <v>0.9</v>
      </c>
      <c r="Z10" s="451">
        <v>1.1000000000000001</v>
      </c>
      <c r="AA10" s="451">
        <v>1.1000000000000001</v>
      </c>
      <c r="AB10" s="451">
        <v>1.1399999999999999</v>
      </c>
      <c r="AC10" s="451">
        <v>1.1399999999999999</v>
      </c>
      <c r="AD10" s="451">
        <v>1.4</v>
      </c>
      <c r="AE10" s="451">
        <v>1.0129999999999999</v>
      </c>
      <c r="AF10" s="451">
        <v>1.0900000000000001</v>
      </c>
      <c r="AG10" s="451">
        <v>1.4650000000000001</v>
      </c>
      <c r="AH10" s="451">
        <v>1.4735780000000001</v>
      </c>
      <c r="AI10" s="451">
        <v>1.528</v>
      </c>
      <c r="AJ10" s="451">
        <v>1.1200000000000001</v>
      </c>
      <c r="AK10" s="451">
        <v>1.163</v>
      </c>
      <c r="AL10" s="451">
        <v>1.2402437100000001</v>
      </c>
      <c r="AM10" s="451">
        <v>1.2250000000000001</v>
      </c>
      <c r="AN10" s="450">
        <v>0</v>
      </c>
      <c r="AO10" s="450">
        <v>0</v>
      </c>
      <c r="AP10" s="450">
        <v>0</v>
      </c>
      <c r="AQ10" s="450">
        <v>0</v>
      </c>
      <c r="AR10" s="450">
        <v>0</v>
      </c>
      <c r="AS10" s="450">
        <v>0</v>
      </c>
      <c r="AT10" s="450">
        <v>0</v>
      </c>
      <c r="AU10" s="990">
        <v>0</v>
      </c>
      <c r="AV10" s="989"/>
      <c r="AW10" s="988"/>
      <c r="AX10" s="676" t="s">
        <v>3859</v>
      </c>
    </row>
    <row r="11" spans="1:50" ht="12.75" customHeight="1">
      <c r="A11" s="449" t="s">
        <v>3860</v>
      </c>
      <c r="B11" s="110">
        <v>0</v>
      </c>
      <c r="C11" s="451">
        <v>5.47</v>
      </c>
      <c r="D11" s="451">
        <v>4.42</v>
      </c>
      <c r="E11" s="451">
        <v>5.16</v>
      </c>
      <c r="F11" s="451">
        <v>4.28</v>
      </c>
      <c r="G11" s="451">
        <v>2.14</v>
      </c>
      <c r="H11" s="451">
        <v>4.17</v>
      </c>
      <c r="I11" s="451">
        <v>3.28</v>
      </c>
      <c r="J11" s="451">
        <v>4.82</v>
      </c>
      <c r="K11" s="451">
        <v>7.07</v>
      </c>
      <c r="L11" s="451">
        <v>15.02</v>
      </c>
      <c r="M11" s="451">
        <v>17.05</v>
      </c>
      <c r="N11" s="451">
        <v>14.95</v>
      </c>
      <c r="O11" s="451">
        <v>13.88</v>
      </c>
      <c r="P11" s="451">
        <v>16.100000000000001</v>
      </c>
      <c r="Q11" s="451">
        <v>1.48</v>
      </c>
      <c r="R11" s="110">
        <v>0</v>
      </c>
      <c r="S11" s="110">
        <v>0</v>
      </c>
      <c r="T11" s="110">
        <v>0</v>
      </c>
      <c r="U11" s="110">
        <v>0</v>
      </c>
      <c r="V11" s="110">
        <v>0</v>
      </c>
      <c r="W11" s="110">
        <v>0</v>
      </c>
      <c r="X11" s="110">
        <v>0</v>
      </c>
      <c r="Y11" s="110">
        <v>0</v>
      </c>
      <c r="Z11" s="110">
        <v>0</v>
      </c>
      <c r="AA11" s="110">
        <v>0</v>
      </c>
      <c r="AB11" s="110">
        <v>0</v>
      </c>
      <c r="AC11" s="110">
        <v>0</v>
      </c>
      <c r="AD11" s="110">
        <v>0</v>
      </c>
      <c r="AE11" s="110">
        <v>0</v>
      </c>
      <c r="AF11" s="110">
        <v>0</v>
      </c>
      <c r="AG11" s="110">
        <v>0</v>
      </c>
      <c r="AH11" s="110">
        <v>0</v>
      </c>
      <c r="AI11" s="110">
        <v>0</v>
      </c>
      <c r="AJ11" s="110">
        <v>0</v>
      </c>
      <c r="AK11" s="110">
        <v>0</v>
      </c>
      <c r="AL11" s="110">
        <v>0</v>
      </c>
      <c r="AM11" s="110">
        <v>0</v>
      </c>
      <c r="AN11" s="450">
        <v>0</v>
      </c>
      <c r="AO11" s="450">
        <v>0</v>
      </c>
      <c r="AP11" s="450">
        <v>0</v>
      </c>
      <c r="AQ11" s="450">
        <v>0</v>
      </c>
      <c r="AR11" s="450">
        <v>0</v>
      </c>
      <c r="AS11" s="450">
        <v>0</v>
      </c>
      <c r="AT11" s="450">
        <v>0</v>
      </c>
      <c r="AU11" s="990">
        <v>0</v>
      </c>
      <c r="AV11" s="989"/>
      <c r="AW11" s="988"/>
      <c r="AX11" s="676"/>
    </row>
    <row r="12" spans="1:50" ht="12.75" customHeight="1">
      <c r="A12" s="449" t="s">
        <v>284</v>
      </c>
      <c r="B12" s="110">
        <v>0</v>
      </c>
      <c r="C12" s="110">
        <v>0</v>
      </c>
      <c r="D12" s="110">
        <v>0</v>
      </c>
      <c r="E12" s="451">
        <v>0.2</v>
      </c>
      <c r="F12" s="451">
        <v>0.25</v>
      </c>
      <c r="G12" s="451">
        <v>0.67</v>
      </c>
      <c r="H12" s="451">
        <v>1</v>
      </c>
      <c r="I12" s="451">
        <v>0.89</v>
      </c>
      <c r="J12" s="451">
        <v>1.04</v>
      </c>
      <c r="K12" s="451">
        <v>0.86</v>
      </c>
      <c r="L12" s="451">
        <v>1.55</v>
      </c>
      <c r="M12" s="451">
        <v>1.87</v>
      </c>
      <c r="N12" s="451">
        <v>2.66</v>
      </c>
      <c r="O12" s="451">
        <v>3.87</v>
      </c>
      <c r="P12" s="451">
        <v>3.89</v>
      </c>
      <c r="Q12" s="451">
        <v>2.57</v>
      </c>
      <c r="R12" s="451">
        <v>2.13</v>
      </c>
      <c r="S12" s="451">
        <v>2.9</v>
      </c>
      <c r="T12" s="451">
        <v>4.3</v>
      </c>
      <c r="U12" s="451">
        <v>5.48</v>
      </c>
      <c r="V12" s="451">
        <v>5.47</v>
      </c>
      <c r="W12" s="451">
        <v>5.36</v>
      </c>
      <c r="X12" s="451">
        <v>5.44</v>
      </c>
      <c r="Y12" s="451">
        <v>5</v>
      </c>
      <c r="Z12" s="451">
        <v>7.2</v>
      </c>
      <c r="AA12" s="451">
        <v>3.4</v>
      </c>
      <c r="AB12" s="451">
        <v>3.45</v>
      </c>
      <c r="AC12" s="451">
        <v>4.05</v>
      </c>
      <c r="AD12" s="451">
        <v>4.2</v>
      </c>
      <c r="AE12" s="451">
        <v>1.954</v>
      </c>
      <c r="AF12" s="451">
        <v>2.198</v>
      </c>
      <c r="AG12" s="451">
        <v>3.4340000000000002</v>
      </c>
      <c r="AH12" s="451">
        <v>4.5759999999999996</v>
      </c>
      <c r="AI12" s="451">
        <v>10.294</v>
      </c>
      <c r="AJ12" s="451">
        <v>11.8</v>
      </c>
      <c r="AK12" s="451">
        <v>10.977</v>
      </c>
      <c r="AL12" s="451">
        <v>7.2982820400000001</v>
      </c>
      <c r="AM12" s="451">
        <v>6.0540000000000003</v>
      </c>
      <c r="AN12" s="451">
        <v>6.1310000000000002</v>
      </c>
      <c r="AO12" s="451">
        <v>9.0927674699999983</v>
      </c>
      <c r="AP12" s="451">
        <v>8.6950000000000003</v>
      </c>
      <c r="AQ12" s="451">
        <v>4.1639999999999997</v>
      </c>
      <c r="AR12" s="451">
        <v>1.3260000000000001</v>
      </c>
      <c r="AS12" s="168">
        <v>6.39</v>
      </c>
      <c r="AT12" s="451">
        <v>12.188000000000001</v>
      </c>
      <c r="AU12" s="988">
        <v>11.6</v>
      </c>
      <c r="AV12" s="989">
        <v>10.352</v>
      </c>
      <c r="AW12" s="988">
        <v>11.093999999999999</v>
      </c>
      <c r="AX12" s="986" t="s">
        <v>3853</v>
      </c>
    </row>
    <row r="13" spans="1:50" ht="12.75" customHeight="1">
      <c r="A13" s="449" t="s">
        <v>287</v>
      </c>
      <c r="B13" s="451">
        <v>0.44</v>
      </c>
      <c r="C13" s="451">
        <v>0.46</v>
      </c>
      <c r="D13" s="451">
        <v>0.42</v>
      </c>
      <c r="E13" s="451">
        <v>0.42</v>
      </c>
      <c r="F13" s="451">
        <v>0.54</v>
      </c>
      <c r="G13" s="451">
        <v>0.56999999999999995</v>
      </c>
      <c r="H13" s="451">
        <v>0.6</v>
      </c>
      <c r="I13" s="451">
        <v>0.67</v>
      </c>
      <c r="J13" s="451">
        <v>1.26</v>
      </c>
      <c r="K13" s="451">
        <v>1.64</v>
      </c>
      <c r="L13" s="451">
        <v>1.57</v>
      </c>
      <c r="M13" s="451">
        <v>2.94</v>
      </c>
      <c r="N13" s="451">
        <v>4.82</v>
      </c>
      <c r="O13" s="451">
        <v>5.21</v>
      </c>
      <c r="P13" s="451">
        <v>5.65</v>
      </c>
      <c r="Q13" s="451">
        <v>6.2</v>
      </c>
      <c r="R13" s="451">
        <v>6.13</v>
      </c>
      <c r="S13" s="451">
        <v>5.75</v>
      </c>
      <c r="T13" s="451">
        <v>8.36</v>
      </c>
      <c r="U13" s="451">
        <v>10.94</v>
      </c>
      <c r="V13" s="451">
        <v>11.86</v>
      </c>
      <c r="W13" s="451">
        <v>14.25</v>
      </c>
      <c r="X13" s="451">
        <v>15.71</v>
      </c>
      <c r="Y13" s="451">
        <v>11.52</v>
      </c>
      <c r="Z13" s="451">
        <v>12.9</v>
      </c>
      <c r="AA13" s="451">
        <v>16.3</v>
      </c>
      <c r="AB13" s="451">
        <v>31</v>
      </c>
      <c r="AC13" s="451">
        <v>31</v>
      </c>
      <c r="AD13" s="451">
        <v>31</v>
      </c>
      <c r="AE13" s="451">
        <v>27.963999999999999</v>
      </c>
      <c r="AF13" s="451">
        <v>27.318000000000001</v>
      </c>
      <c r="AG13" s="451">
        <v>28.253</v>
      </c>
      <c r="AH13" s="451">
        <v>30.244</v>
      </c>
      <c r="AI13" s="451">
        <v>30.864999999999998</v>
      </c>
      <c r="AJ13" s="451">
        <v>31.274999999999999</v>
      </c>
      <c r="AK13" s="451">
        <v>32.981000000000002</v>
      </c>
      <c r="AL13" s="451">
        <v>35.372936769999988</v>
      </c>
      <c r="AM13" s="451">
        <v>35.369</v>
      </c>
      <c r="AN13" s="451">
        <v>31.327000000000002</v>
      </c>
      <c r="AO13" s="451">
        <v>32.485981009999996</v>
      </c>
      <c r="AP13" s="451">
        <v>30.31</v>
      </c>
      <c r="AQ13" s="451">
        <v>30.594000000000001</v>
      </c>
      <c r="AR13" s="451">
        <v>31.350999999999999</v>
      </c>
      <c r="AS13" s="168">
        <v>31.994</v>
      </c>
      <c r="AT13" s="451">
        <v>29.167000000000002</v>
      </c>
      <c r="AU13" s="988">
        <v>30.344000000000001</v>
      </c>
      <c r="AV13" s="989">
        <v>30.2</v>
      </c>
      <c r="AW13" s="988">
        <v>30.2</v>
      </c>
      <c r="AX13" s="986" t="s">
        <v>3855</v>
      </c>
    </row>
    <row r="14" spans="1:50" ht="12.75" customHeight="1">
      <c r="A14" s="449" t="s">
        <v>3861</v>
      </c>
      <c r="B14" s="451">
        <v>0.09</v>
      </c>
      <c r="C14" s="451">
        <v>0.09</v>
      </c>
      <c r="D14" s="451">
        <v>0.12</v>
      </c>
      <c r="E14" s="451">
        <v>0.12</v>
      </c>
      <c r="F14" s="451">
        <v>0.12</v>
      </c>
      <c r="G14" s="451">
        <v>0.09</v>
      </c>
      <c r="H14" s="451">
        <v>0.12</v>
      </c>
      <c r="I14" s="451">
        <v>0.16</v>
      </c>
      <c r="J14" s="451">
        <v>0.32</v>
      </c>
      <c r="K14" s="451">
        <v>0.26</v>
      </c>
      <c r="L14" s="451">
        <v>0.28999999999999998</v>
      </c>
      <c r="M14" s="451">
        <v>0.39</v>
      </c>
      <c r="N14" s="451">
        <v>0.45</v>
      </c>
      <c r="O14" s="451">
        <v>0.78</v>
      </c>
      <c r="P14" s="451">
        <v>0.92</v>
      </c>
      <c r="Q14" s="451">
        <v>0.46</v>
      </c>
      <c r="R14" s="451">
        <v>0.49</v>
      </c>
      <c r="S14" s="451">
        <v>0.39</v>
      </c>
      <c r="T14" s="451">
        <v>0.79</v>
      </c>
      <c r="U14" s="451">
        <v>0.41</v>
      </c>
      <c r="V14" s="451">
        <v>0.7</v>
      </c>
      <c r="W14" s="451">
        <v>0.7</v>
      </c>
      <c r="X14" s="451">
        <v>0.71</v>
      </c>
      <c r="Y14" s="451">
        <v>0.45</v>
      </c>
      <c r="Z14" s="451">
        <v>0.56999999999999995</v>
      </c>
      <c r="AA14" s="110">
        <v>0</v>
      </c>
      <c r="AB14" s="110">
        <v>0</v>
      </c>
      <c r="AC14" s="110">
        <v>0</v>
      </c>
      <c r="AD14" s="110">
        <v>0</v>
      </c>
      <c r="AE14" s="110">
        <v>0</v>
      </c>
      <c r="AF14" s="110">
        <v>0</v>
      </c>
      <c r="AG14" s="110">
        <v>0</v>
      </c>
      <c r="AH14" s="110">
        <v>0</v>
      </c>
      <c r="AI14" s="110">
        <v>0</v>
      </c>
      <c r="AJ14" s="110">
        <v>0</v>
      </c>
      <c r="AK14" s="110">
        <v>0</v>
      </c>
      <c r="AL14" s="110">
        <v>0</v>
      </c>
      <c r="AM14" s="110">
        <v>0</v>
      </c>
      <c r="AN14" s="110">
        <v>0</v>
      </c>
      <c r="AO14" s="110">
        <v>0</v>
      </c>
      <c r="AP14" s="110">
        <v>0</v>
      </c>
      <c r="AQ14" s="110">
        <v>0</v>
      </c>
      <c r="AR14" s="110">
        <v>0</v>
      </c>
      <c r="AS14" s="110">
        <v>0</v>
      </c>
      <c r="AT14" s="450">
        <v>0</v>
      </c>
      <c r="AU14" s="990">
        <v>0</v>
      </c>
      <c r="AV14" s="989"/>
      <c r="AW14" s="988"/>
      <c r="AX14" s="676"/>
    </row>
    <row r="15" spans="1:50" ht="12.75" customHeight="1">
      <c r="A15" s="449" t="s">
        <v>291</v>
      </c>
      <c r="B15" s="450">
        <v>0</v>
      </c>
      <c r="C15" s="450">
        <v>0</v>
      </c>
      <c r="D15" s="450">
        <v>0</v>
      </c>
      <c r="E15" s="450">
        <v>0</v>
      </c>
      <c r="F15" s="450">
        <v>0</v>
      </c>
      <c r="G15" s="450">
        <v>0</v>
      </c>
      <c r="H15" s="450">
        <v>0</v>
      </c>
      <c r="I15" s="450">
        <v>0</v>
      </c>
      <c r="J15" s="450">
        <v>0</v>
      </c>
      <c r="K15" s="450">
        <v>0</v>
      </c>
      <c r="L15" s="450">
        <v>0</v>
      </c>
      <c r="M15" s="450">
        <v>0</v>
      </c>
      <c r="N15" s="451">
        <v>0.5</v>
      </c>
      <c r="O15" s="451">
        <v>1.1200000000000001</v>
      </c>
      <c r="P15" s="451">
        <v>1.01</v>
      </c>
      <c r="Q15" s="451">
        <v>2.0099999999999998</v>
      </c>
      <c r="R15" s="451">
        <v>2.41</v>
      </c>
      <c r="S15" s="451">
        <v>2.46</v>
      </c>
      <c r="T15" s="451">
        <v>2.52</v>
      </c>
      <c r="U15" s="451">
        <v>2.88</v>
      </c>
      <c r="V15" s="451">
        <v>3.3</v>
      </c>
      <c r="W15" s="451">
        <v>3.61</v>
      </c>
      <c r="X15" s="451">
        <v>3.57</v>
      </c>
      <c r="Y15" s="451">
        <v>4.4000000000000004</v>
      </c>
      <c r="Z15" s="451">
        <v>4.97</v>
      </c>
      <c r="AA15" s="451">
        <v>6.08</v>
      </c>
      <c r="AB15" s="451">
        <v>2</v>
      </c>
      <c r="AC15" s="451">
        <v>5.74</v>
      </c>
      <c r="AD15" s="451">
        <v>5.74</v>
      </c>
      <c r="AE15" s="451">
        <v>0.82199999999999995</v>
      </c>
      <c r="AF15" s="451">
        <v>0.23</v>
      </c>
      <c r="AG15" s="451">
        <v>0.80700000000000005</v>
      </c>
      <c r="AH15" s="451">
        <v>0.91400000000000003</v>
      </c>
      <c r="AI15" s="451">
        <v>0.91</v>
      </c>
      <c r="AJ15" s="451">
        <v>0.85499999999999998</v>
      </c>
      <c r="AK15" s="451">
        <v>0.875</v>
      </c>
      <c r="AL15" s="451">
        <v>0.96815445</v>
      </c>
      <c r="AM15" s="451">
        <v>0.71199999999999997</v>
      </c>
      <c r="AN15" s="451">
        <v>1.2609999999999999</v>
      </c>
      <c r="AO15" s="451">
        <v>1.10490431</v>
      </c>
      <c r="AP15" s="451">
        <v>1.175</v>
      </c>
      <c r="AQ15" s="451">
        <v>1.0189999999999999</v>
      </c>
      <c r="AR15" s="451">
        <v>0.30099999999999999</v>
      </c>
      <c r="AS15" s="168">
        <v>2.1829999999999998</v>
      </c>
      <c r="AT15" s="451">
        <v>1.292</v>
      </c>
      <c r="AU15" s="988">
        <v>1.321</v>
      </c>
      <c r="AV15" s="989">
        <v>1.4750000000000001</v>
      </c>
      <c r="AW15" s="988">
        <v>1.4950000000000001</v>
      </c>
      <c r="AX15" s="986" t="s">
        <v>3853</v>
      </c>
    </row>
    <row r="16" spans="1:50" ht="12.75" customHeight="1">
      <c r="A16" s="449" t="s">
        <v>295</v>
      </c>
      <c r="B16" s="450">
        <v>0</v>
      </c>
      <c r="C16" s="450">
        <v>0</v>
      </c>
      <c r="D16" s="450">
        <v>0</v>
      </c>
      <c r="E16" s="450">
        <v>0</v>
      </c>
      <c r="F16" s="450">
        <v>0</v>
      </c>
      <c r="G16" s="450">
        <v>0</v>
      </c>
      <c r="H16" s="450">
        <v>0</v>
      </c>
      <c r="I16" s="450">
        <v>0</v>
      </c>
      <c r="J16" s="450">
        <v>0</v>
      </c>
      <c r="K16" s="450">
        <v>0</v>
      </c>
      <c r="L16" s="450">
        <v>0</v>
      </c>
      <c r="M16" s="450">
        <v>0</v>
      </c>
      <c r="N16" s="450">
        <v>0</v>
      </c>
      <c r="O16" s="450">
        <v>0</v>
      </c>
      <c r="P16" s="450">
        <v>0</v>
      </c>
      <c r="Q16" s="450">
        <v>0</v>
      </c>
      <c r="R16" s="451">
        <v>0.38</v>
      </c>
      <c r="S16" s="451">
        <v>1</v>
      </c>
      <c r="T16" s="451">
        <v>1.72</v>
      </c>
      <c r="U16" s="451">
        <v>2.5299999999999998</v>
      </c>
      <c r="V16" s="451">
        <v>2.56</v>
      </c>
      <c r="W16" s="451">
        <v>3.14</v>
      </c>
      <c r="X16" s="451">
        <v>3.17</v>
      </c>
      <c r="Y16" s="451">
        <v>3.03</v>
      </c>
      <c r="Z16" s="451">
        <v>3</v>
      </c>
      <c r="AA16" s="451">
        <v>3.8</v>
      </c>
      <c r="AB16" s="451">
        <v>3.83</v>
      </c>
      <c r="AC16" s="451">
        <v>3.83</v>
      </c>
      <c r="AD16" s="451">
        <v>3.6</v>
      </c>
      <c r="AE16" s="451">
        <v>4.6289999999999996</v>
      </c>
      <c r="AF16" s="451">
        <v>5.1909999999999998</v>
      </c>
      <c r="AG16" s="451">
        <v>5.0949999999999998</v>
      </c>
      <c r="AH16" s="451">
        <v>5.1970000000000001</v>
      </c>
      <c r="AI16" s="451">
        <v>5.234</v>
      </c>
      <c r="AJ16" s="451">
        <v>4.5</v>
      </c>
      <c r="AK16" s="451">
        <v>4.9219999999999997</v>
      </c>
      <c r="AL16" s="451">
        <v>5.4210079999999996</v>
      </c>
      <c r="AM16" s="451">
        <v>5.6050000000000004</v>
      </c>
      <c r="AN16" s="451">
        <v>5.89</v>
      </c>
      <c r="AO16" s="451">
        <v>6.4272209099999991</v>
      </c>
      <c r="AP16" s="451">
        <v>6.1349999999999998</v>
      </c>
      <c r="AQ16" s="451">
        <v>5.3209999999999997</v>
      </c>
      <c r="AR16" s="451">
        <v>5.3159999999999998</v>
      </c>
      <c r="AS16" s="168">
        <v>5.577</v>
      </c>
      <c r="AT16" s="451">
        <v>5.3390000000000004</v>
      </c>
      <c r="AU16" s="988">
        <v>5.2480000000000002</v>
      </c>
      <c r="AV16" s="989">
        <v>6.7389999999999999</v>
      </c>
      <c r="AW16" s="988">
        <v>7.1479999999999997</v>
      </c>
      <c r="AX16" s="986" t="s">
        <v>3855</v>
      </c>
    </row>
    <row r="17" spans="1:50" ht="12.75" customHeight="1">
      <c r="A17" s="449" t="s">
        <v>3862</v>
      </c>
      <c r="B17" s="450">
        <v>0</v>
      </c>
      <c r="C17" s="450">
        <v>0</v>
      </c>
      <c r="D17" s="450">
        <v>0</v>
      </c>
      <c r="E17" s="450">
        <v>0</v>
      </c>
      <c r="F17" s="450">
        <v>0</v>
      </c>
      <c r="G17" s="450">
        <v>0</v>
      </c>
      <c r="H17" s="450">
        <v>0</v>
      </c>
      <c r="I17" s="451">
        <v>0.24</v>
      </c>
      <c r="J17" s="451">
        <v>0.66</v>
      </c>
      <c r="K17" s="451">
        <v>0.84</v>
      </c>
      <c r="L17" s="451">
        <v>0.98</v>
      </c>
      <c r="M17" s="451">
        <v>1.32</v>
      </c>
      <c r="N17" s="450">
        <v>0</v>
      </c>
      <c r="O17" s="450">
        <v>0</v>
      </c>
      <c r="P17" s="450">
        <v>0</v>
      </c>
      <c r="Q17" s="450">
        <v>0</v>
      </c>
      <c r="R17" s="450">
        <v>0</v>
      </c>
      <c r="S17" s="450">
        <v>0</v>
      </c>
      <c r="T17" s="450">
        <v>0</v>
      </c>
      <c r="U17" s="450">
        <v>0</v>
      </c>
      <c r="V17" s="450">
        <v>0</v>
      </c>
      <c r="W17" s="450">
        <v>0</v>
      </c>
      <c r="X17" s="450">
        <v>0</v>
      </c>
      <c r="Y17" s="450">
        <v>0</v>
      </c>
      <c r="Z17" s="450">
        <v>0</v>
      </c>
      <c r="AA17" s="450">
        <v>0</v>
      </c>
      <c r="AB17" s="450">
        <v>0</v>
      </c>
      <c r="AC17" s="450">
        <v>0</v>
      </c>
      <c r="AD17" s="450">
        <v>0</v>
      </c>
      <c r="AE17" s="450">
        <v>0</v>
      </c>
      <c r="AF17" s="450">
        <v>0</v>
      </c>
      <c r="AG17" s="450">
        <v>0</v>
      </c>
      <c r="AH17" s="450">
        <v>0</v>
      </c>
      <c r="AI17" s="450">
        <v>0</v>
      </c>
      <c r="AJ17" s="450">
        <v>0</v>
      </c>
      <c r="AK17" s="450">
        <v>0</v>
      </c>
      <c r="AL17" s="450">
        <v>0</v>
      </c>
      <c r="AM17" s="450">
        <v>0</v>
      </c>
      <c r="AN17" s="450">
        <v>0</v>
      </c>
      <c r="AO17" s="450">
        <v>0</v>
      </c>
      <c r="AP17" s="450">
        <v>0</v>
      </c>
      <c r="AQ17" s="450">
        <v>0</v>
      </c>
      <c r="AR17" s="450">
        <v>0</v>
      </c>
      <c r="AS17" s="450">
        <v>0</v>
      </c>
      <c r="AT17" s="450">
        <v>0</v>
      </c>
      <c r="AU17" s="990">
        <v>0</v>
      </c>
      <c r="AV17" s="989"/>
      <c r="AW17" s="988"/>
      <c r="AX17" s="677" t="s">
        <v>3857</v>
      </c>
    </row>
    <row r="18" spans="1:50" ht="12.75" customHeight="1">
      <c r="A18" s="449" t="s">
        <v>3863</v>
      </c>
      <c r="B18" s="450">
        <v>0</v>
      </c>
      <c r="C18" s="450">
        <v>0</v>
      </c>
      <c r="D18" s="450">
        <v>0</v>
      </c>
      <c r="E18" s="450">
        <v>0</v>
      </c>
      <c r="F18" s="450">
        <v>0</v>
      </c>
      <c r="G18" s="450">
        <v>0</v>
      </c>
      <c r="H18" s="450">
        <v>0</v>
      </c>
      <c r="I18" s="450">
        <v>0</v>
      </c>
      <c r="J18" s="450">
        <v>0</v>
      </c>
      <c r="K18" s="450">
        <v>0</v>
      </c>
      <c r="L18" s="450">
        <v>0</v>
      </c>
      <c r="M18" s="450">
        <v>0</v>
      </c>
      <c r="N18" s="451">
        <v>4.2699999999999996</v>
      </c>
      <c r="O18" s="451">
        <v>5.31</v>
      </c>
      <c r="P18" s="451">
        <v>9.36</v>
      </c>
      <c r="Q18" s="451">
        <v>12.61</v>
      </c>
      <c r="R18" s="451">
        <v>8.51</v>
      </c>
      <c r="S18" s="451">
        <v>17.18</v>
      </c>
      <c r="T18" s="451">
        <v>19.48</v>
      </c>
      <c r="U18" s="451">
        <v>20.39</v>
      </c>
      <c r="V18" s="451">
        <v>17.97</v>
      </c>
      <c r="W18" s="451">
        <v>17.75</v>
      </c>
      <c r="X18" s="451">
        <v>21.13</v>
      </c>
      <c r="Y18" s="451">
        <v>24.79</v>
      </c>
      <c r="Z18" s="451">
        <v>25.6</v>
      </c>
      <c r="AA18" s="451">
        <v>28.2</v>
      </c>
      <c r="AB18" s="451">
        <v>25.71</v>
      </c>
      <c r="AC18" s="451">
        <v>25.91</v>
      </c>
      <c r="AD18" s="451">
        <v>23.2</v>
      </c>
      <c r="AE18" s="451">
        <v>36.386000000000003</v>
      </c>
      <c r="AF18" s="451">
        <v>30.777999999999999</v>
      </c>
      <c r="AG18" s="451">
        <v>30.245000000000001</v>
      </c>
      <c r="AH18" s="451">
        <v>22.190999999999999</v>
      </c>
      <c r="AI18" s="451">
        <v>46.610999999999997</v>
      </c>
      <c r="AJ18" s="451">
        <v>55.552999999999997</v>
      </c>
      <c r="AK18" s="451">
        <v>55.719000000000001</v>
      </c>
      <c r="AL18" s="451">
        <v>53.699282689999997</v>
      </c>
      <c r="AM18" s="451">
        <v>59.451999999999998</v>
      </c>
      <c r="AN18" s="451">
        <v>77.513000000000005</v>
      </c>
      <c r="AO18" s="451">
        <v>61.089907849999996</v>
      </c>
      <c r="AP18" s="451">
        <v>56.344999999999999</v>
      </c>
      <c r="AQ18" s="451">
        <v>54.584000000000003</v>
      </c>
      <c r="AR18" s="451">
        <v>78.543000000000006</v>
      </c>
      <c r="AS18" s="168">
        <v>120.28</v>
      </c>
      <c r="AT18" s="451">
        <v>132.559</v>
      </c>
      <c r="AU18" s="988">
        <v>122.92</v>
      </c>
      <c r="AV18" s="989">
        <v>122.476</v>
      </c>
      <c r="AW18" s="988">
        <v>102.795</v>
      </c>
      <c r="AX18" s="986" t="s">
        <v>3853</v>
      </c>
    </row>
    <row r="19" spans="1:50" ht="12.75" customHeight="1">
      <c r="A19" s="449" t="s">
        <v>3864</v>
      </c>
      <c r="B19" s="451">
        <v>3.47</v>
      </c>
      <c r="C19" s="451">
        <v>3.09</v>
      </c>
      <c r="D19" s="451">
        <v>2.0099999999999998</v>
      </c>
      <c r="E19" s="451">
        <v>1.97</v>
      </c>
      <c r="F19" s="451">
        <v>4.6500000000000004</v>
      </c>
      <c r="G19" s="451">
        <v>4.6500000000000004</v>
      </c>
      <c r="H19" s="451">
        <v>5.4</v>
      </c>
      <c r="I19" s="451">
        <v>5.48</v>
      </c>
      <c r="J19" s="451">
        <v>6.4</v>
      </c>
      <c r="K19" s="451">
        <v>5.16</v>
      </c>
      <c r="L19" s="451">
        <v>8.35</v>
      </c>
      <c r="M19" s="451">
        <v>9.84</v>
      </c>
      <c r="N19" s="451">
        <v>8.4499999999999993</v>
      </c>
      <c r="O19" s="451">
        <v>12.92</v>
      </c>
      <c r="P19" s="451">
        <v>18.350000000000001</v>
      </c>
      <c r="Q19" s="451">
        <v>19.95</v>
      </c>
      <c r="R19" s="451">
        <v>16.28</v>
      </c>
      <c r="S19" s="451">
        <v>33.65</v>
      </c>
      <c r="T19" s="451">
        <v>35.17</v>
      </c>
      <c r="U19" s="451">
        <v>32.020000000000003</v>
      </c>
      <c r="V19" s="451">
        <v>31.64</v>
      </c>
      <c r="W19" s="451">
        <v>29.05</v>
      </c>
      <c r="X19" s="451">
        <v>27.37</v>
      </c>
      <c r="Y19" s="451">
        <v>37.14</v>
      </c>
      <c r="Z19" s="451">
        <v>39.4</v>
      </c>
      <c r="AA19" s="451">
        <v>41.4</v>
      </c>
      <c r="AB19" s="451">
        <v>41.45</v>
      </c>
      <c r="AC19" s="451">
        <v>41.45</v>
      </c>
      <c r="AD19" s="451">
        <v>27.6</v>
      </c>
      <c r="AE19" s="451">
        <v>40.390999999999998</v>
      </c>
      <c r="AF19" s="451">
        <v>31.111999999999998</v>
      </c>
      <c r="AG19" s="451">
        <v>45.179000000000002</v>
      </c>
      <c r="AH19" s="451">
        <v>63.963999999999999</v>
      </c>
      <c r="AI19" s="451">
        <v>64.176000000000002</v>
      </c>
      <c r="AJ19" s="451">
        <v>62.843000000000004</v>
      </c>
      <c r="AK19" s="451">
        <v>64.697000000000003</v>
      </c>
      <c r="AL19" s="451">
        <v>63.891059469999995</v>
      </c>
      <c r="AM19" s="451">
        <v>51.067999999999998</v>
      </c>
      <c r="AN19" s="451">
        <v>62.043999999999997</v>
      </c>
      <c r="AO19" s="451">
        <v>56.326490360000022</v>
      </c>
      <c r="AP19" s="451">
        <v>57.975000000000001</v>
      </c>
      <c r="AQ19" s="451">
        <v>40.904000000000003</v>
      </c>
      <c r="AR19" s="451">
        <v>78.728999999999999</v>
      </c>
      <c r="AS19" s="168">
        <v>103.241</v>
      </c>
      <c r="AT19" s="451">
        <v>128.92500000000001</v>
      </c>
      <c r="AU19" s="988">
        <v>102.783</v>
      </c>
      <c r="AV19" s="989">
        <v>81.650999999999996</v>
      </c>
      <c r="AW19" s="988">
        <v>87.566000000000003</v>
      </c>
      <c r="AX19" s="986" t="s">
        <v>3853</v>
      </c>
    </row>
    <row r="20" spans="1:50" ht="12.75" customHeight="1">
      <c r="A20" s="449" t="s">
        <v>3865</v>
      </c>
      <c r="B20" s="450">
        <v>0</v>
      </c>
      <c r="C20" s="450">
        <v>0</v>
      </c>
      <c r="D20" s="451">
        <v>0.02</v>
      </c>
      <c r="E20" s="451">
        <v>0.06</v>
      </c>
      <c r="F20" s="451">
        <v>0.05</v>
      </c>
      <c r="G20" s="451">
        <v>0.05</v>
      </c>
      <c r="H20" s="451">
        <v>0.05</v>
      </c>
      <c r="I20" s="451">
        <v>0.08</v>
      </c>
      <c r="J20" s="451">
        <v>0.09</v>
      </c>
      <c r="K20" s="451">
        <v>0.11</v>
      </c>
      <c r="L20" s="451">
        <v>0.1</v>
      </c>
      <c r="M20" s="451">
        <v>0.12</v>
      </c>
      <c r="N20" s="451">
        <v>0.14000000000000001</v>
      </c>
      <c r="O20" s="451">
        <v>7.0000000000000007E-2</v>
      </c>
      <c r="P20" s="451">
        <v>0.12</v>
      </c>
      <c r="Q20" s="451">
        <v>0.15</v>
      </c>
      <c r="R20" s="451">
        <v>0.15</v>
      </c>
      <c r="S20" s="451">
        <v>0.15</v>
      </c>
      <c r="T20" s="451">
        <v>0.2</v>
      </c>
      <c r="U20" s="451">
        <v>0.16</v>
      </c>
      <c r="V20" s="451">
        <v>0.18</v>
      </c>
      <c r="W20" s="451">
        <v>0.19</v>
      </c>
      <c r="X20" s="451">
        <v>0.19</v>
      </c>
      <c r="Y20" s="451">
        <v>0.2</v>
      </c>
      <c r="Z20" s="451">
        <v>0.19</v>
      </c>
      <c r="AA20" s="451">
        <v>0.18</v>
      </c>
      <c r="AB20" s="451">
        <v>0.22</v>
      </c>
      <c r="AC20" s="451">
        <v>0.23</v>
      </c>
      <c r="AD20" s="451">
        <v>0.5</v>
      </c>
      <c r="AE20" s="451">
        <v>0.27800000000000002</v>
      </c>
      <c r="AF20" s="451">
        <v>0.28499999999999998</v>
      </c>
      <c r="AG20" s="451">
        <v>0.36399999999999999</v>
      </c>
      <c r="AH20" s="451">
        <v>0.36760900000000002</v>
      </c>
      <c r="AI20" s="451">
        <v>0.42099999999999999</v>
      </c>
      <c r="AJ20" s="451">
        <v>0.28699999999999998</v>
      </c>
      <c r="AK20" s="451">
        <v>0.29799999999999999</v>
      </c>
      <c r="AL20" s="451">
        <v>0.28348505999999996</v>
      </c>
      <c r="AM20" s="451">
        <v>0.246</v>
      </c>
      <c r="AN20" s="450">
        <v>0</v>
      </c>
      <c r="AO20" s="450">
        <v>0</v>
      </c>
      <c r="AP20" s="450">
        <v>0</v>
      </c>
      <c r="AQ20" s="450">
        <v>0</v>
      </c>
      <c r="AR20" s="450">
        <v>0</v>
      </c>
      <c r="AS20" s="450">
        <v>0</v>
      </c>
      <c r="AT20" s="450">
        <v>0</v>
      </c>
      <c r="AU20" s="990">
        <v>0</v>
      </c>
      <c r="AV20" s="989"/>
      <c r="AW20" s="988"/>
      <c r="AX20" s="678" t="s">
        <v>3859</v>
      </c>
    </row>
    <row r="21" spans="1:50" ht="12.75" customHeight="1">
      <c r="A21" s="449" t="s">
        <v>305</v>
      </c>
      <c r="B21" s="450">
        <v>0</v>
      </c>
      <c r="C21" s="450">
        <v>0</v>
      </c>
      <c r="D21" s="450">
        <v>0</v>
      </c>
      <c r="E21" s="450">
        <v>0</v>
      </c>
      <c r="F21" s="450">
        <v>0</v>
      </c>
      <c r="G21" s="450">
        <v>0</v>
      </c>
      <c r="H21" s="450">
        <v>0</v>
      </c>
      <c r="I21" s="450">
        <v>0</v>
      </c>
      <c r="J21" s="450">
        <v>0</v>
      </c>
      <c r="K21" s="450">
        <v>0</v>
      </c>
      <c r="L21" s="451">
        <v>0.2</v>
      </c>
      <c r="M21" s="451">
        <v>1.62</v>
      </c>
      <c r="N21" s="451">
        <v>3.26</v>
      </c>
      <c r="O21" s="451">
        <v>4.9400000000000004</v>
      </c>
      <c r="P21" s="451">
        <v>7.24</v>
      </c>
      <c r="Q21" s="451">
        <v>3.12</v>
      </c>
      <c r="R21" s="451">
        <v>3.61</v>
      </c>
      <c r="S21" s="451">
        <v>4.28</v>
      </c>
      <c r="T21" s="451">
        <v>8.0399999999999991</v>
      </c>
      <c r="U21" s="451">
        <v>9.06</v>
      </c>
      <c r="V21" s="451">
        <v>8.86</v>
      </c>
      <c r="W21" s="451">
        <v>9.83</v>
      </c>
      <c r="X21" s="451">
        <v>10.77</v>
      </c>
      <c r="Y21" s="451">
        <v>10.44</v>
      </c>
      <c r="Z21" s="451">
        <v>22.4</v>
      </c>
      <c r="AA21" s="451">
        <v>25.3</v>
      </c>
      <c r="AB21" s="451">
        <v>26.5</v>
      </c>
      <c r="AC21" s="451">
        <v>26.5</v>
      </c>
      <c r="AD21" s="451">
        <v>16.8</v>
      </c>
      <c r="AE21" s="451">
        <v>18.788</v>
      </c>
      <c r="AF21" s="451">
        <v>18.731000000000002</v>
      </c>
      <c r="AG21" s="451">
        <v>21.425999999999998</v>
      </c>
      <c r="AH21" s="451">
        <v>21.597999999999999</v>
      </c>
      <c r="AI21" s="451">
        <v>21.056000000000001</v>
      </c>
      <c r="AJ21" s="451">
        <v>23.812999999999999</v>
      </c>
      <c r="AK21" s="451">
        <v>24.623000000000001</v>
      </c>
      <c r="AL21" s="451">
        <v>26.318708319999999</v>
      </c>
      <c r="AM21" s="451">
        <v>29.673999999999999</v>
      </c>
      <c r="AN21" s="451">
        <v>31.094999999999999</v>
      </c>
      <c r="AO21" s="451">
        <v>32.947880740000009</v>
      </c>
      <c r="AP21" s="451">
        <v>33.389000000000003</v>
      </c>
      <c r="AQ21" s="451">
        <v>34.706000000000003</v>
      </c>
      <c r="AR21" s="451">
        <v>34.756999999999998</v>
      </c>
      <c r="AS21" s="168">
        <v>37.779000000000003</v>
      </c>
      <c r="AT21" s="451">
        <v>38.110999999999997</v>
      </c>
      <c r="AU21" s="988">
        <v>37.735999999999997</v>
      </c>
      <c r="AV21" s="989">
        <v>37.332000000000001</v>
      </c>
      <c r="AW21" s="988">
        <v>37.798000000000002</v>
      </c>
      <c r="AX21" s="987" t="s">
        <v>3866</v>
      </c>
    </row>
    <row r="22" spans="1:50" ht="12.75" customHeight="1">
      <c r="A22" s="449" t="s">
        <v>3867</v>
      </c>
      <c r="B22" s="450">
        <v>0</v>
      </c>
      <c r="C22" s="450">
        <v>0</v>
      </c>
      <c r="D22" s="450">
        <v>0</v>
      </c>
      <c r="E22" s="450">
        <v>0</v>
      </c>
      <c r="F22" s="450">
        <v>0</v>
      </c>
      <c r="G22" s="450">
        <v>0</v>
      </c>
      <c r="H22" s="450">
        <v>0</v>
      </c>
      <c r="I22" s="450">
        <v>0</v>
      </c>
      <c r="J22" s="450">
        <v>0</v>
      </c>
      <c r="K22" s="450">
        <v>0</v>
      </c>
      <c r="L22" s="450">
        <v>0</v>
      </c>
      <c r="M22" s="450">
        <v>0</v>
      </c>
      <c r="N22" s="450">
        <v>0</v>
      </c>
      <c r="O22" s="450">
        <v>0</v>
      </c>
      <c r="P22" s="450">
        <v>0</v>
      </c>
      <c r="Q22" s="450">
        <v>0</v>
      </c>
      <c r="R22" s="450">
        <v>0</v>
      </c>
      <c r="S22" s="450">
        <v>0</v>
      </c>
      <c r="T22" s="450">
        <v>0</v>
      </c>
      <c r="U22" s="450">
        <v>0</v>
      </c>
      <c r="V22" s="450">
        <v>0</v>
      </c>
      <c r="W22" s="450">
        <v>0</v>
      </c>
      <c r="X22" s="450">
        <v>0</v>
      </c>
      <c r="Y22" s="450">
        <v>0</v>
      </c>
      <c r="Z22" s="450">
        <v>0</v>
      </c>
      <c r="AA22" s="450">
        <v>0</v>
      </c>
      <c r="AB22" s="450">
        <v>0</v>
      </c>
      <c r="AC22" s="450">
        <v>0</v>
      </c>
      <c r="AD22" s="450">
        <v>0</v>
      </c>
      <c r="AE22" s="450">
        <v>0</v>
      </c>
      <c r="AF22" s="450">
        <v>0</v>
      </c>
      <c r="AG22" s="450">
        <v>0</v>
      </c>
      <c r="AH22" s="450">
        <v>0</v>
      </c>
      <c r="AI22" s="450">
        <v>0</v>
      </c>
      <c r="AJ22" s="450">
        <v>0</v>
      </c>
      <c r="AK22" s="450">
        <v>0</v>
      </c>
      <c r="AL22" s="450">
        <v>0</v>
      </c>
      <c r="AM22" s="450">
        <v>0</v>
      </c>
      <c r="AN22" s="451">
        <v>0.68899999999999995</v>
      </c>
      <c r="AO22" s="451">
        <v>0.71643751000000011</v>
      </c>
      <c r="AP22" s="451">
        <v>0.7</v>
      </c>
      <c r="AQ22" s="451">
        <v>0.80800000000000005</v>
      </c>
      <c r="AR22" s="451">
        <v>0.59399999999999997</v>
      </c>
      <c r="AS22" s="168">
        <v>0.503</v>
      </c>
      <c r="AT22" s="451">
        <v>0.46700000000000003</v>
      </c>
      <c r="AU22" s="988">
        <v>0.51800000000000002</v>
      </c>
      <c r="AV22" s="989">
        <v>0.55700000000000005</v>
      </c>
      <c r="AW22" s="988">
        <v>0.59</v>
      </c>
      <c r="AX22" s="987" t="s">
        <v>3866</v>
      </c>
    </row>
    <row r="23" spans="1:50" ht="12.75" customHeight="1">
      <c r="A23" s="449" t="s">
        <v>3868</v>
      </c>
      <c r="B23" s="451">
        <v>3.2</v>
      </c>
      <c r="C23" s="451">
        <v>3.18</v>
      </c>
      <c r="D23" s="451">
        <v>3.3</v>
      </c>
      <c r="E23" s="451">
        <v>3.02</v>
      </c>
      <c r="F23" s="451">
        <v>4.16</v>
      </c>
      <c r="G23" s="451">
        <v>3.61</v>
      </c>
      <c r="H23" s="451">
        <v>4.6100000000000003</v>
      </c>
      <c r="I23" s="451">
        <v>5.55</v>
      </c>
      <c r="J23" s="451">
        <v>7.68</v>
      </c>
      <c r="K23" s="451">
        <v>8.65</v>
      </c>
      <c r="L23" s="451">
        <v>11.58</v>
      </c>
      <c r="M23" s="451">
        <v>13.3</v>
      </c>
      <c r="N23" s="451">
        <v>15.17</v>
      </c>
      <c r="O23" s="451">
        <v>25.6</v>
      </c>
      <c r="P23" s="451">
        <v>25.55</v>
      </c>
      <c r="Q23" s="451">
        <v>24.65</v>
      </c>
      <c r="R23" s="451">
        <v>23.52</v>
      </c>
      <c r="S23" s="451">
        <v>22.4</v>
      </c>
      <c r="T23" s="451">
        <v>23.13</v>
      </c>
      <c r="U23" s="451">
        <v>24.5</v>
      </c>
      <c r="V23" s="451">
        <v>12.31</v>
      </c>
      <c r="W23" s="451">
        <v>21.33</v>
      </c>
      <c r="X23" s="451">
        <v>23.52</v>
      </c>
      <c r="Y23" s="451">
        <v>15.93</v>
      </c>
      <c r="Z23" s="451">
        <v>19.399999999999999</v>
      </c>
      <c r="AA23" s="451">
        <v>20.5</v>
      </c>
      <c r="AB23" s="451">
        <v>21.13</v>
      </c>
      <c r="AC23" s="451">
        <v>21.77</v>
      </c>
      <c r="AD23" s="451">
        <v>22.1</v>
      </c>
      <c r="AE23" s="451">
        <v>30.561</v>
      </c>
      <c r="AF23" s="451">
        <v>34.847999999999999</v>
      </c>
      <c r="AG23" s="451">
        <v>35.5</v>
      </c>
      <c r="AH23" s="451">
        <v>35.228999999999999</v>
      </c>
      <c r="AI23" s="451">
        <v>36.006999999999998</v>
      </c>
      <c r="AJ23" s="451">
        <v>35.5</v>
      </c>
      <c r="AK23" s="451">
        <v>40.179000000000002</v>
      </c>
      <c r="AL23" s="451">
        <v>43.673939920000002</v>
      </c>
      <c r="AM23" s="451">
        <v>41.503</v>
      </c>
      <c r="AN23" s="450">
        <v>0</v>
      </c>
      <c r="AO23" s="450">
        <v>0</v>
      </c>
      <c r="AP23" s="450">
        <v>0</v>
      </c>
      <c r="AQ23" s="450">
        <v>0</v>
      </c>
      <c r="AR23" s="450">
        <v>0</v>
      </c>
      <c r="AS23" s="450">
        <v>0</v>
      </c>
      <c r="AT23" s="110">
        <v>0</v>
      </c>
      <c r="AU23" s="990">
        <v>0</v>
      </c>
      <c r="AV23" s="989"/>
      <c r="AW23" s="988"/>
      <c r="AX23" s="678" t="s">
        <v>3869</v>
      </c>
    </row>
    <row r="24" spans="1:50" ht="12.75" customHeight="1">
      <c r="A24" s="449" t="s">
        <v>3870</v>
      </c>
      <c r="B24" s="450">
        <v>0</v>
      </c>
      <c r="C24" s="450">
        <v>0</v>
      </c>
      <c r="D24" s="450">
        <v>0</v>
      </c>
      <c r="E24" s="450">
        <v>0</v>
      </c>
      <c r="F24" s="450">
        <v>0</v>
      </c>
      <c r="G24" s="450">
        <v>0</v>
      </c>
      <c r="H24" s="450">
        <v>0</v>
      </c>
      <c r="I24" s="450">
        <v>0</v>
      </c>
      <c r="J24" s="450">
        <v>0</v>
      </c>
      <c r="K24" s="450">
        <v>0</v>
      </c>
      <c r="L24" s="450">
        <v>0</v>
      </c>
      <c r="M24" s="450">
        <v>0</v>
      </c>
      <c r="N24" s="450">
        <v>0</v>
      </c>
      <c r="O24" s="450">
        <v>0</v>
      </c>
      <c r="P24" s="450">
        <v>0</v>
      </c>
      <c r="Q24" s="450">
        <v>0</v>
      </c>
      <c r="R24" s="450">
        <v>0</v>
      </c>
      <c r="S24" s="450">
        <v>0</v>
      </c>
      <c r="T24" s="450">
        <v>0</v>
      </c>
      <c r="U24" s="450">
        <v>0</v>
      </c>
      <c r="V24" s="450">
        <v>0</v>
      </c>
      <c r="W24" s="450">
        <v>0</v>
      </c>
      <c r="X24" s="450">
        <v>0</v>
      </c>
      <c r="Y24" s="450">
        <v>0</v>
      </c>
      <c r="Z24" s="450">
        <v>0</v>
      </c>
      <c r="AA24" s="450">
        <v>0</v>
      </c>
      <c r="AB24" s="450">
        <v>0</v>
      </c>
      <c r="AC24" s="450">
        <v>0</v>
      </c>
      <c r="AD24" s="450">
        <v>0</v>
      </c>
      <c r="AE24" s="450">
        <v>0</v>
      </c>
      <c r="AF24" s="450">
        <v>0</v>
      </c>
      <c r="AG24" s="450">
        <v>0</v>
      </c>
      <c r="AH24" s="450">
        <v>0</v>
      </c>
      <c r="AI24" s="450">
        <v>0</v>
      </c>
      <c r="AJ24" s="450">
        <v>0</v>
      </c>
      <c r="AK24" s="450">
        <v>0</v>
      </c>
      <c r="AL24" s="450">
        <v>0</v>
      </c>
      <c r="AM24" s="450">
        <v>0</v>
      </c>
      <c r="AN24" s="451">
        <v>25.606000000000002</v>
      </c>
      <c r="AO24" s="451">
        <v>27.065250490000015</v>
      </c>
      <c r="AP24" s="451">
        <v>27.195</v>
      </c>
      <c r="AQ24" s="451">
        <v>28.01</v>
      </c>
      <c r="AR24" s="451">
        <v>24.864000000000001</v>
      </c>
      <c r="AS24" s="168">
        <v>25.946000000000002</v>
      </c>
      <c r="AT24" s="451">
        <v>25.042999999999999</v>
      </c>
      <c r="AU24" s="988">
        <v>27.547000000000001</v>
      </c>
      <c r="AV24" s="989">
        <v>30.997</v>
      </c>
      <c r="AW24" s="988">
        <v>32.378</v>
      </c>
      <c r="AX24" s="986" t="s">
        <v>3853</v>
      </c>
    </row>
    <row r="25" spans="1:50" ht="12.75" customHeight="1">
      <c r="A25" s="449" t="s">
        <v>3871</v>
      </c>
      <c r="B25" s="451">
        <v>0.35</v>
      </c>
      <c r="C25" s="451">
        <v>0.41</v>
      </c>
      <c r="D25" s="451">
        <v>0.28000000000000003</v>
      </c>
      <c r="E25" s="451">
        <v>0.3</v>
      </c>
      <c r="F25" s="451">
        <v>0.23</v>
      </c>
      <c r="G25" s="451">
        <v>0.3</v>
      </c>
      <c r="H25" s="451">
        <v>0.31</v>
      </c>
      <c r="I25" s="451">
        <v>0.55000000000000004</v>
      </c>
      <c r="J25" s="451">
        <v>0.4</v>
      </c>
      <c r="K25" s="451">
        <v>0.52</v>
      </c>
      <c r="L25" s="451">
        <v>0.46</v>
      </c>
      <c r="M25" s="451">
        <v>0.68</v>
      </c>
      <c r="N25" s="450">
        <v>0</v>
      </c>
      <c r="O25" s="450">
        <v>0</v>
      </c>
      <c r="P25" s="450">
        <v>0</v>
      </c>
      <c r="Q25" s="450">
        <v>0</v>
      </c>
      <c r="R25" s="450">
        <v>0</v>
      </c>
      <c r="S25" s="450">
        <v>0</v>
      </c>
      <c r="T25" s="450">
        <v>0</v>
      </c>
      <c r="U25" s="450">
        <v>0</v>
      </c>
      <c r="V25" s="450">
        <v>0</v>
      </c>
      <c r="W25" s="450">
        <v>0</v>
      </c>
      <c r="X25" s="450">
        <v>0</v>
      </c>
      <c r="Y25" s="450">
        <v>0</v>
      </c>
      <c r="Z25" s="450">
        <v>0</v>
      </c>
      <c r="AA25" s="450">
        <v>0</v>
      </c>
      <c r="AB25" s="450">
        <v>0</v>
      </c>
      <c r="AC25" s="450">
        <v>0</v>
      </c>
      <c r="AD25" s="450">
        <v>0</v>
      </c>
      <c r="AE25" s="450">
        <v>0</v>
      </c>
      <c r="AF25" s="450">
        <v>0</v>
      </c>
      <c r="AG25" s="450">
        <v>0</v>
      </c>
      <c r="AH25" s="450">
        <v>0</v>
      </c>
      <c r="AI25" s="450">
        <v>0</v>
      </c>
      <c r="AJ25" s="450">
        <v>0</v>
      </c>
      <c r="AK25" s="450">
        <v>0</v>
      </c>
      <c r="AL25" s="450">
        <v>0</v>
      </c>
      <c r="AM25" s="450">
        <v>0</v>
      </c>
      <c r="AN25" s="450">
        <v>0</v>
      </c>
      <c r="AO25" s="450">
        <v>0</v>
      </c>
      <c r="AP25" s="450">
        <v>0</v>
      </c>
      <c r="AQ25" s="450">
        <v>0</v>
      </c>
      <c r="AR25" s="450">
        <v>0</v>
      </c>
      <c r="AS25" s="450">
        <v>0</v>
      </c>
      <c r="AT25" s="450">
        <v>0</v>
      </c>
      <c r="AU25" s="990">
        <v>0</v>
      </c>
      <c r="AV25" s="989"/>
      <c r="AW25" s="988"/>
      <c r="AX25" s="677" t="s">
        <v>3857</v>
      </c>
    </row>
    <row r="26" spans="1:50" ht="12.75" customHeight="1">
      <c r="A26" s="449" t="s">
        <v>3872</v>
      </c>
      <c r="B26" s="450">
        <v>0</v>
      </c>
      <c r="C26" s="450">
        <v>0</v>
      </c>
      <c r="D26" s="450">
        <v>0</v>
      </c>
      <c r="E26" s="450">
        <v>0</v>
      </c>
      <c r="F26" s="450">
        <v>0</v>
      </c>
      <c r="G26" s="450">
        <v>0</v>
      </c>
      <c r="H26" s="450">
        <v>0</v>
      </c>
      <c r="I26" s="450">
        <v>0</v>
      </c>
      <c r="J26" s="450">
        <v>0</v>
      </c>
      <c r="K26" s="450">
        <v>0</v>
      </c>
      <c r="L26" s="450">
        <v>0</v>
      </c>
      <c r="M26" s="451">
        <v>0.2</v>
      </c>
      <c r="N26" s="451">
        <v>0.3</v>
      </c>
      <c r="O26" s="451">
        <v>0.15</v>
      </c>
      <c r="P26" s="451">
        <v>0.99</v>
      </c>
      <c r="Q26" s="451">
        <v>1.03</v>
      </c>
      <c r="R26" s="451">
        <v>1.32</v>
      </c>
      <c r="S26" s="451">
        <v>1.57</v>
      </c>
      <c r="T26" s="451">
        <v>1.39</v>
      </c>
      <c r="U26" s="451">
        <v>1.87</v>
      </c>
      <c r="V26" s="451">
        <v>1.8</v>
      </c>
      <c r="W26" s="450">
        <v>0</v>
      </c>
      <c r="X26" s="450">
        <v>0</v>
      </c>
      <c r="Y26" s="450">
        <v>0</v>
      </c>
      <c r="Z26" s="450">
        <v>0</v>
      </c>
      <c r="AA26" s="450">
        <v>0</v>
      </c>
      <c r="AB26" s="450">
        <v>0</v>
      </c>
      <c r="AC26" s="450">
        <v>0</v>
      </c>
      <c r="AD26" s="450">
        <v>0</v>
      </c>
      <c r="AE26" s="450">
        <v>0</v>
      </c>
      <c r="AF26" s="450">
        <v>0</v>
      </c>
      <c r="AG26" s="450">
        <v>0</v>
      </c>
      <c r="AH26" s="450">
        <v>0</v>
      </c>
      <c r="AI26" s="450">
        <v>0</v>
      </c>
      <c r="AJ26" s="450">
        <v>0</v>
      </c>
      <c r="AK26" s="450">
        <v>0</v>
      </c>
      <c r="AL26" s="450">
        <v>0</v>
      </c>
      <c r="AM26" s="450">
        <v>0</v>
      </c>
      <c r="AN26" s="450">
        <v>0</v>
      </c>
      <c r="AO26" s="450">
        <v>0</v>
      </c>
      <c r="AP26" s="450">
        <v>0</v>
      </c>
      <c r="AQ26" s="450">
        <v>0</v>
      </c>
      <c r="AR26" s="450">
        <v>0</v>
      </c>
      <c r="AS26" s="450">
        <v>0</v>
      </c>
      <c r="AT26" s="450">
        <v>0</v>
      </c>
      <c r="AU26" s="990">
        <v>0</v>
      </c>
      <c r="AV26" s="989"/>
      <c r="AW26" s="988"/>
      <c r="AX26" s="677"/>
    </row>
    <row r="27" spans="1:50" ht="12.75" customHeight="1">
      <c r="A27" s="449" t="s">
        <v>349</v>
      </c>
      <c r="B27" s="450">
        <v>0</v>
      </c>
      <c r="C27" s="450">
        <v>0</v>
      </c>
      <c r="D27" s="450">
        <v>0</v>
      </c>
      <c r="E27" s="450">
        <v>0</v>
      </c>
      <c r="F27" s="450">
        <v>0</v>
      </c>
      <c r="G27" s="450">
        <v>0</v>
      </c>
      <c r="H27" s="450">
        <v>0</v>
      </c>
      <c r="I27" s="450">
        <v>0</v>
      </c>
      <c r="J27" s="450">
        <v>0</v>
      </c>
      <c r="K27" s="451">
        <v>1.28</v>
      </c>
      <c r="L27" s="451">
        <v>1.4</v>
      </c>
      <c r="M27" s="451">
        <v>1.37</v>
      </c>
      <c r="N27" s="451">
        <v>1.48</v>
      </c>
      <c r="O27" s="451">
        <v>1.28</v>
      </c>
      <c r="P27" s="451">
        <v>3.4</v>
      </c>
      <c r="Q27" s="451">
        <v>4.4800000000000004</v>
      </c>
      <c r="R27" s="451">
        <v>4.8899999999999997</v>
      </c>
      <c r="S27" s="451">
        <v>5.46</v>
      </c>
      <c r="T27" s="451">
        <v>5.99</v>
      </c>
      <c r="U27" s="451">
        <v>6.17</v>
      </c>
      <c r="V27" s="451">
        <v>6.04</v>
      </c>
      <c r="W27" s="451">
        <v>5.99</v>
      </c>
      <c r="X27" s="451">
        <v>6.17</v>
      </c>
      <c r="Y27" s="451">
        <v>4.28</v>
      </c>
      <c r="Z27" s="451">
        <v>5.3</v>
      </c>
      <c r="AA27" s="451">
        <v>5.5</v>
      </c>
      <c r="AB27" s="451">
        <v>5.47</v>
      </c>
      <c r="AC27" s="451">
        <v>5.47</v>
      </c>
      <c r="AD27" s="451">
        <v>5.0999999999999996</v>
      </c>
      <c r="AE27" s="451">
        <v>4.8230000000000004</v>
      </c>
      <c r="AF27" s="451">
        <v>4.4939999999999998</v>
      </c>
      <c r="AG27" s="451">
        <v>4.1360000000000001</v>
      </c>
      <c r="AH27" s="451">
        <v>3.823</v>
      </c>
      <c r="AI27" s="451">
        <v>3.915</v>
      </c>
      <c r="AJ27" s="451">
        <v>4.3419999999999996</v>
      </c>
      <c r="AK27" s="451">
        <v>19.559999999999999</v>
      </c>
      <c r="AL27" s="451">
        <v>22.678872089999999</v>
      </c>
      <c r="AM27" s="451">
        <v>24.332999999999998</v>
      </c>
      <c r="AN27" s="451">
        <v>25.545999999999999</v>
      </c>
      <c r="AO27" s="451">
        <v>23.674017550000002</v>
      </c>
      <c r="AP27" s="451">
        <v>22.4</v>
      </c>
      <c r="AQ27" s="451">
        <v>21.032</v>
      </c>
      <c r="AR27" s="451">
        <v>21.751000000000001</v>
      </c>
      <c r="AS27" s="168">
        <v>21.08</v>
      </c>
      <c r="AT27" s="451">
        <v>22.75</v>
      </c>
      <c r="AU27" s="988">
        <v>20.803999999999998</v>
      </c>
      <c r="AV27" s="989">
        <v>21</v>
      </c>
      <c r="AW27" s="988">
        <v>21</v>
      </c>
      <c r="AX27" s="986" t="s">
        <v>3853</v>
      </c>
    </row>
    <row r="28" spans="1:50" ht="12.75" customHeight="1">
      <c r="A28" s="449" t="s">
        <v>3873</v>
      </c>
      <c r="B28" s="451">
        <v>0.39</v>
      </c>
      <c r="C28" s="451">
        <v>0.39</v>
      </c>
      <c r="D28" s="451">
        <v>0.38</v>
      </c>
      <c r="E28" s="451">
        <v>0.41</v>
      </c>
      <c r="F28" s="451">
        <v>0.47</v>
      </c>
      <c r="G28" s="451">
        <v>0.55000000000000004</v>
      </c>
      <c r="H28" s="451">
        <v>0.67</v>
      </c>
      <c r="I28" s="451">
        <v>0.66</v>
      </c>
      <c r="J28" s="451">
        <v>0.69</v>
      </c>
      <c r="K28" s="451">
        <v>0.64</v>
      </c>
      <c r="L28" s="451">
        <v>0.94</v>
      </c>
      <c r="M28" s="451">
        <v>0.77</v>
      </c>
      <c r="N28" s="451">
        <v>0.59</v>
      </c>
      <c r="O28" s="451">
        <v>0.59</v>
      </c>
      <c r="P28" s="451">
        <v>0.92</v>
      </c>
      <c r="Q28" s="451">
        <v>0.64</v>
      </c>
      <c r="R28" s="451">
        <v>0.33</v>
      </c>
      <c r="S28" s="451">
        <v>0.49</v>
      </c>
      <c r="T28" s="451">
        <v>0.56999999999999995</v>
      </c>
      <c r="U28" s="451">
        <v>0.83</v>
      </c>
      <c r="V28" s="451">
        <v>0.63</v>
      </c>
      <c r="W28" s="451">
        <v>0.76</v>
      </c>
      <c r="X28" s="451">
        <v>0.68</v>
      </c>
      <c r="Y28" s="451">
        <v>0.63</v>
      </c>
      <c r="Z28" s="450">
        <v>0</v>
      </c>
      <c r="AA28" s="450">
        <v>0</v>
      </c>
      <c r="AB28" s="450">
        <v>0</v>
      </c>
      <c r="AC28" s="450">
        <v>0</v>
      </c>
      <c r="AD28" s="450">
        <v>0</v>
      </c>
      <c r="AE28" s="450">
        <v>0</v>
      </c>
      <c r="AF28" s="450">
        <v>0</v>
      </c>
      <c r="AG28" s="450">
        <v>0</v>
      </c>
      <c r="AH28" s="450">
        <v>0</v>
      </c>
      <c r="AI28" s="450">
        <v>0</v>
      </c>
      <c r="AJ28" s="450">
        <v>0</v>
      </c>
      <c r="AK28" s="450">
        <v>0</v>
      </c>
      <c r="AL28" s="450">
        <v>0</v>
      </c>
      <c r="AM28" s="450">
        <v>0</v>
      </c>
      <c r="AN28" s="450">
        <v>0</v>
      </c>
      <c r="AO28" s="450">
        <v>0</v>
      </c>
      <c r="AP28" s="450">
        <v>0</v>
      </c>
      <c r="AQ28" s="450">
        <v>0</v>
      </c>
      <c r="AR28" s="450">
        <v>0</v>
      </c>
      <c r="AS28" s="450">
        <v>0</v>
      </c>
      <c r="AT28" s="110">
        <v>0</v>
      </c>
      <c r="AU28" s="990">
        <v>0</v>
      </c>
      <c r="AV28" s="989"/>
      <c r="AW28" s="988"/>
      <c r="AX28" s="677"/>
    </row>
    <row r="29" spans="1:50" ht="12.75" customHeight="1">
      <c r="A29" s="449" t="s">
        <v>352</v>
      </c>
      <c r="B29" s="450">
        <v>0</v>
      </c>
      <c r="C29" s="451">
        <v>0.26</v>
      </c>
      <c r="D29" s="451">
        <v>0.26</v>
      </c>
      <c r="E29" s="451">
        <v>0.28000000000000003</v>
      </c>
      <c r="F29" s="451">
        <v>0.37</v>
      </c>
      <c r="G29" s="451">
        <v>0.38</v>
      </c>
      <c r="H29" s="451">
        <v>0.49</v>
      </c>
      <c r="I29" s="451">
        <v>0.52</v>
      </c>
      <c r="J29" s="451">
        <v>0.67</v>
      </c>
      <c r="K29" s="451">
        <v>0.82</v>
      </c>
      <c r="L29" s="451">
        <v>0.94</v>
      </c>
      <c r="M29" s="451">
        <v>1.28</v>
      </c>
      <c r="N29" s="451">
        <v>1.25</v>
      </c>
      <c r="O29" s="451">
        <v>0.96</v>
      </c>
      <c r="P29" s="451">
        <v>1.6</v>
      </c>
      <c r="Q29" s="451">
        <v>1.7</v>
      </c>
      <c r="R29" s="451">
        <v>2.08</v>
      </c>
      <c r="S29" s="451">
        <v>1.91</v>
      </c>
      <c r="T29" s="451">
        <v>2.62</v>
      </c>
      <c r="U29" s="451">
        <v>2.37</v>
      </c>
      <c r="V29" s="451">
        <v>4.5999999999999996</v>
      </c>
      <c r="W29" s="451">
        <v>5.63</v>
      </c>
      <c r="X29" s="451">
        <v>5.52</v>
      </c>
      <c r="Y29" s="451">
        <v>7.35</v>
      </c>
      <c r="Z29" s="451">
        <v>7.8</v>
      </c>
      <c r="AA29" s="451">
        <v>7.7</v>
      </c>
      <c r="AB29" s="451">
        <v>7.91</v>
      </c>
      <c r="AC29" s="451">
        <v>7.91</v>
      </c>
      <c r="AD29" s="451">
        <v>13.2</v>
      </c>
      <c r="AE29" s="451">
        <v>9.8789999999999996</v>
      </c>
      <c r="AF29" s="451">
        <v>12.537000000000001</v>
      </c>
      <c r="AG29" s="451">
        <v>12.11</v>
      </c>
      <c r="AH29" s="451">
        <v>11.207000000000001</v>
      </c>
      <c r="AI29" s="451">
        <v>11.162000000000001</v>
      </c>
      <c r="AJ29" s="451">
        <v>11.74</v>
      </c>
      <c r="AK29" s="451">
        <v>12.709</v>
      </c>
      <c r="AL29" s="451">
        <v>11.844677079999999</v>
      </c>
      <c r="AM29" s="451">
        <v>11.727</v>
      </c>
      <c r="AN29" s="451">
        <v>13.332000000000001</v>
      </c>
      <c r="AO29" s="452">
        <v>14.058477999999999</v>
      </c>
      <c r="AP29" s="451">
        <v>12.476000000000001</v>
      </c>
      <c r="AQ29" s="451">
        <v>11.718999999999999</v>
      </c>
      <c r="AR29" s="451">
        <v>10.786</v>
      </c>
      <c r="AS29" s="168">
        <v>13.952999999999999</v>
      </c>
      <c r="AT29" s="452">
        <v>11.608000000000001</v>
      </c>
      <c r="AU29" s="988">
        <v>9.5890000000000004</v>
      </c>
      <c r="AV29" s="989">
        <v>12.058999999999999</v>
      </c>
      <c r="AW29" s="988">
        <v>13.686</v>
      </c>
      <c r="AX29" s="986" t="s">
        <v>3874</v>
      </c>
    </row>
    <row r="30" spans="1:50" ht="12.75" customHeight="1">
      <c r="A30" s="170" t="s">
        <v>1622</v>
      </c>
      <c r="B30" s="171">
        <f>SUM(B4:B29)</f>
        <v>8.4200000000000017</v>
      </c>
      <c r="C30" s="171">
        <f t="shared" ref="C30:AR30" si="0">SUM(C4:C29)</f>
        <v>19.270000000000003</v>
      </c>
      <c r="D30" s="171">
        <f t="shared" si="0"/>
        <v>19.830000000000002</v>
      </c>
      <c r="E30" s="171">
        <f t="shared" si="0"/>
        <v>21.97</v>
      </c>
      <c r="F30" s="171">
        <f t="shared" si="0"/>
        <v>25.03</v>
      </c>
      <c r="G30" s="171">
        <f t="shared" si="0"/>
        <v>24.14</v>
      </c>
      <c r="H30" s="171">
        <f t="shared" si="0"/>
        <v>31.73</v>
      </c>
      <c r="I30" s="171">
        <f t="shared" si="0"/>
        <v>32.620000000000005</v>
      </c>
      <c r="J30" s="171">
        <f t="shared" si="0"/>
        <v>41.980000000000004</v>
      </c>
      <c r="K30" s="171">
        <f t="shared" si="0"/>
        <v>49.26</v>
      </c>
      <c r="L30" s="171">
        <f t="shared" si="0"/>
        <v>60.809999999999995</v>
      </c>
      <c r="M30" s="171">
        <f t="shared" si="0"/>
        <v>77.08</v>
      </c>
      <c r="N30" s="171">
        <f t="shared" si="0"/>
        <v>78.98</v>
      </c>
      <c r="O30" s="171">
        <f t="shared" si="0"/>
        <v>94.750000000000014</v>
      </c>
      <c r="P30" s="171">
        <f t="shared" si="0"/>
        <v>111.63</v>
      </c>
      <c r="Q30" s="171">
        <f t="shared" si="0"/>
        <v>98.45</v>
      </c>
      <c r="R30" s="171">
        <f t="shared" si="0"/>
        <v>96.82</v>
      </c>
      <c r="S30" s="171">
        <f t="shared" si="0"/>
        <v>115.48999999999998</v>
      </c>
      <c r="T30" s="171">
        <f t="shared" si="0"/>
        <v>132.04</v>
      </c>
      <c r="U30" s="171">
        <f t="shared" si="0"/>
        <v>137.75</v>
      </c>
      <c r="V30" s="171">
        <f t="shared" si="0"/>
        <v>123.42</v>
      </c>
      <c r="W30" s="171">
        <f t="shared" si="0"/>
        <v>134.70999999999998</v>
      </c>
      <c r="X30" s="171">
        <f t="shared" si="0"/>
        <v>141.21</v>
      </c>
      <c r="Y30" s="171">
        <f t="shared" si="0"/>
        <v>194.87</v>
      </c>
      <c r="Z30" s="171">
        <f t="shared" si="0"/>
        <v>226.25000000000003</v>
      </c>
      <c r="AA30" s="171">
        <f t="shared" si="0"/>
        <v>218.46</v>
      </c>
      <c r="AB30" s="171">
        <f t="shared" si="0"/>
        <v>230.74999999999997</v>
      </c>
      <c r="AC30" s="171">
        <f t="shared" si="0"/>
        <v>237.86</v>
      </c>
      <c r="AD30" s="171">
        <f t="shared" si="0"/>
        <v>222.03999999999996</v>
      </c>
      <c r="AE30" s="171">
        <f t="shared" si="0"/>
        <v>227.42000000000002</v>
      </c>
      <c r="AF30" s="171">
        <f t="shared" si="0"/>
        <v>215.80099999999999</v>
      </c>
      <c r="AG30" s="171">
        <f t="shared" si="0"/>
        <v>229.95800000000003</v>
      </c>
      <c r="AH30" s="171">
        <f t="shared" si="0"/>
        <v>256.52536216999999</v>
      </c>
      <c r="AI30" s="171">
        <f t="shared" si="0"/>
        <v>295.18699999999995</v>
      </c>
      <c r="AJ30" s="171">
        <f t="shared" si="0"/>
        <v>298.44600000000003</v>
      </c>
      <c r="AK30" s="171">
        <f t="shared" si="0"/>
        <v>324.37</v>
      </c>
      <c r="AL30" s="171">
        <f t="shared" si="0"/>
        <v>331.16201538999997</v>
      </c>
      <c r="AM30" s="171">
        <f t="shared" si="0"/>
        <v>327.05999999999995</v>
      </c>
      <c r="AN30" s="171">
        <f t="shared" si="0"/>
        <v>357.952</v>
      </c>
      <c r="AO30" s="171">
        <f t="shared" si="0"/>
        <v>351.06414414</v>
      </c>
      <c r="AP30" s="171">
        <f t="shared" si="0"/>
        <v>348.28499999999997</v>
      </c>
      <c r="AQ30" s="171">
        <f t="shared" si="0"/>
        <v>293.57199999999995</v>
      </c>
      <c r="AR30" s="171">
        <f t="shared" si="0"/>
        <v>338.78799999999995</v>
      </c>
      <c r="AS30" s="171">
        <f>SUM(AS4:AS29)</f>
        <v>438.79199999999997</v>
      </c>
      <c r="AT30" s="171">
        <f>SUM(AT4:AT29)</f>
        <v>474.52600000000001</v>
      </c>
      <c r="AU30" s="171">
        <f>SUM(AU4:AU29)</f>
        <v>434.11299999999994</v>
      </c>
      <c r="AV30" s="172">
        <f>SUM(AV$3:AV$29)</f>
        <v>428.50900000000007</v>
      </c>
      <c r="AW30" s="378">
        <f>SUM(AW4:AW29)</f>
        <v>418.30099999999999</v>
      </c>
      <c r="AX30" s="679"/>
    </row>
    <row r="32" spans="1:50" ht="30">
      <c r="A32" s="379" t="s">
        <v>3875</v>
      </c>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382"/>
      <c r="AV32" s="157" t="s">
        <v>1633</v>
      </c>
      <c r="AW32" s="157" t="s">
        <v>202</v>
      </c>
      <c r="AX32" s="173"/>
    </row>
    <row r="33" spans="1:50" ht="12.75" customHeight="1">
      <c r="A33" s="159" t="s">
        <v>3876</v>
      </c>
      <c r="B33" s="160" t="s">
        <v>207</v>
      </c>
      <c r="C33" s="160" t="s">
        <v>194</v>
      </c>
      <c r="D33" s="160" t="s">
        <v>191</v>
      </c>
      <c r="E33" s="160" t="s">
        <v>188</v>
      </c>
      <c r="F33" s="160" t="s">
        <v>185</v>
      </c>
      <c r="G33" s="160" t="s">
        <v>181</v>
      </c>
      <c r="H33" s="160" t="s">
        <v>178</v>
      </c>
      <c r="I33" s="160" t="s">
        <v>175</v>
      </c>
      <c r="J33" s="160" t="s">
        <v>171</v>
      </c>
      <c r="K33" s="160" t="s">
        <v>168</v>
      </c>
      <c r="L33" s="160" t="s">
        <v>166</v>
      </c>
      <c r="M33" s="160" t="s">
        <v>163</v>
      </c>
      <c r="N33" s="160" t="s">
        <v>160</v>
      </c>
      <c r="O33" s="160" t="s">
        <v>157</v>
      </c>
      <c r="P33" s="160" t="s">
        <v>153</v>
      </c>
      <c r="Q33" s="160" t="s">
        <v>149</v>
      </c>
      <c r="R33" s="160" t="s">
        <v>146</v>
      </c>
      <c r="S33" s="160" t="s">
        <v>142</v>
      </c>
      <c r="T33" s="160" t="s">
        <v>139</v>
      </c>
      <c r="U33" s="160" t="s">
        <v>136</v>
      </c>
      <c r="V33" s="160" t="s">
        <v>132</v>
      </c>
      <c r="W33" s="160" t="s">
        <v>208</v>
      </c>
      <c r="X33" s="160" t="s">
        <v>126</v>
      </c>
      <c r="Y33" s="160" t="s">
        <v>123</v>
      </c>
      <c r="Z33" s="160" t="s">
        <v>120</v>
      </c>
      <c r="AA33" s="160" t="s">
        <v>117</v>
      </c>
      <c r="AB33" s="160" t="s">
        <v>114</v>
      </c>
      <c r="AC33" s="160" t="s">
        <v>111</v>
      </c>
      <c r="AD33" s="160" t="s">
        <v>108</v>
      </c>
      <c r="AE33" s="160" t="s">
        <v>104</v>
      </c>
      <c r="AF33" s="160" t="s">
        <v>101</v>
      </c>
      <c r="AG33" s="160" t="s">
        <v>98</v>
      </c>
      <c r="AH33" s="160" t="s">
        <v>95</v>
      </c>
      <c r="AI33" s="160" t="s">
        <v>91</v>
      </c>
      <c r="AJ33" s="160" t="s">
        <v>87</v>
      </c>
      <c r="AK33" s="160" t="s">
        <v>83</v>
      </c>
      <c r="AL33" s="160" t="s">
        <v>79</v>
      </c>
      <c r="AM33" s="160" t="s">
        <v>75</v>
      </c>
      <c r="AN33" s="160" t="s">
        <v>72</v>
      </c>
      <c r="AO33" s="160" t="s">
        <v>69</v>
      </c>
      <c r="AP33" s="160" t="s">
        <v>66</v>
      </c>
      <c r="AQ33" s="174" t="s">
        <v>62</v>
      </c>
      <c r="AR33" s="160" t="s">
        <v>59</v>
      </c>
      <c r="AS33" s="160" t="s">
        <v>55</v>
      </c>
      <c r="AT33" s="160" t="s">
        <v>52</v>
      </c>
      <c r="AU33" s="160" t="s">
        <v>49</v>
      </c>
      <c r="AV33" s="377" t="s">
        <v>46</v>
      </c>
      <c r="AW33" s="162" t="s">
        <v>42</v>
      </c>
      <c r="AX33" s="680" t="s">
        <v>227</v>
      </c>
    </row>
    <row r="34" spans="1:50" ht="12.75" customHeight="1">
      <c r="A34" s="163" t="s">
        <v>3877</v>
      </c>
      <c r="B34" s="164">
        <v>0</v>
      </c>
      <c r="C34" s="164">
        <v>0</v>
      </c>
      <c r="D34" s="164">
        <v>0</v>
      </c>
      <c r="E34" s="164">
        <v>0</v>
      </c>
      <c r="F34" s="165">
        <v>0.2</v>
      </c>
      <c r="G34" s="165">
        <v>0.1</v>
      </c>
      <c r="H34" s="165">
        <v>0.3</v>
      </c>
      <c r="I34" s="165">
        <v>0.4</v>
      </c>
      <c r="J34" s="165">
        <v>1.5</v>
      </c>
      <c r="K34" s="165">
        <v>3</v>
      </c>
      <c r="L34" s="165">
        <v>4</v>
      </c>
      <c r="M34" s="165">
        <v>5</v>
      </c>
      <c r="N34" s="165">
        <v>6</v>
      </c>
      <c r="O34" s="165">
        <v>8.4</v>
      </c>
      <c r="P34" s="165">
        <v>10.5</v>
      </c>
      <c r="Q34" s="165">
        <v>10.5</v>
      </c>
      <c r="R34" s="165">
        <v>10.5</v>
      </c>
      <c r="S34" s="165">
        <v>10.5</v>
      </c>
      <c r="T34" s="165">
        <v>5.6</v>
      </c>
      <c r="U34" s="165">
        <v>10.8</v>
      </c>
      <c r="V34" s="165">
        <v>11</v>
      </c>
      <c r="W34" s="165">
        <v>3.8</v>
      </c>
      <c r="X34" s="165">
        <v>3.7</v>
      </c>
      <c r="Y34" s="165">
        <v>17.2</v>
      </c>
      <c r="Z34" s="165">
        <v>14.92</v>
      </c>
      <c r="AA34" s="165">
        <v>14.8</v>
      </c>
      <c r="AB34" s="165">
        <v>14.6</v>
      </c>
      <c r="AC34" s="165">
        <v>14.9</v>
      </c>
      <c r="AD34" s="165">
        <v>14.9</v>
      </c>
      <c r="AE34" s="165">
        <v>13.4</v>
      </c>
      <c r="AF34" s="165">
        <v>13.345000000000001</v>
      </c>
      <c r="AG34" s="165">
        <v>13.991</v>
      </c>
      <c r="AH34" s="165">
        <v>13.125999999999999</v>
      </c>
      <c r="AI34" s="165">
        <v>15.071</v>
      </c>
      <c r="AJ34" s="165">
        <v>14.719000000000001</v>
      </c>
      <c r="AK34" s="165">
        <v>14.461</v>
      </c>
      <c r="AL34" s="165">
        <v>13.02844653</v>
      </c>
      <c r="AM34" s="165">
        <v>11.837</v>
      </c>
      <c r="AN34" s="165">
        <v>3.9649999999999999</v>
      </c>
      <c r="AO34" s="165">
        <v>4.8730000000000002</v>
      </c>
      <c r="AP34" s="165">
        <v>5.1829999999999998</v>
      </c>
      <c r="AQ34" s="166">
        <v>37.462000000000003</v>
      </c>
      <c r="AR34" s="165">
        <v>21.582999999999998</v>
      </c>
      <c r="AS34" s="167">
        <v>20.370999999999999</v>
      </c>
      <c r="AT34" s="166">
        <v>26.306999999999999</v>
      </c>
      <c r="AU34" s="168">
        <v>31.762</v>
      </c>
      <c r="AV34" s="991">
        <v>26.6</v>
      </c>
      <c r="AW34" s="992">
        <v>27.6</v>
      </c>
      <c r="AX34" s="983" t="s">
        <v>3878</v>
      </c>
    </row>
    <row r="35" spans="1:50" ht="12.75" customHeight="1">
      <c r="A35" s="163" t="s">
        <v>254</v>
      </c>
      <c r="B35" s="164">
        <v>0</v>
      </c>
      <c r="C35" s="164">
        <v>0</v>
      </c>
      <c r="D35" s="164">
        <v>0</v>
      </c>
      <c r="E35" s="164">
        <v>0</v>
      </c>
      <c r="F35" s="164">
        <v>0</v>
      </c>
      <c r="G35" s="164">
        <v>0</v>
      </c>
      <c r="H35" s="164">
        <v>0</v>
      </c>
      <c r="I35" s="164">
        <v>0</v>
      </c>
      <c r="J35" s="164">
        <v>0</v>
      </c>
      <c r="K35" s="164">
        <v>0</v>
      </c>
      <c r="L35" s="164">
        <v>0</v>
      </c>
      <c r="M35" s="164">
        <v>0</v>
      </c>
      <c r="N35" s="164">
        <v>0</v>
      </c>
      <c r="O35" s="164">
        <v>0</v>
      </c>
      <c r="P35" s="164">
        <v>0</v>
      </c>
      <c r="Q35" s="164">
        <v>0</v>
      </c>
      <c r="R35" s="164">
        <v>0</v>
      </c>
      <c r="S35" s="164">
        <v>0</v>
      </c>
      <c r="T35" s="164">
        <v>0</v>
      </c>
      <c r="U35" s="164">
        <v>0</v>
      </c>
      <c r="V35" s="164">
        <v>0</v>
      </c>
      <c r="W35" s="164">
        <v>0</v>
      </c>
      <c r="X35" s="164">
        <v>0</v>
      </c>
      <c r="Y35" s="164">
        <v>0</v>
      </c>
      <c r="Z35" s="164">
        <v>0</v>
      </c>
      <c r="AA35" s="164">
        <v>0</v>
      </c>
      <c r="AB35" s="164">
        <v>0</v>
      </c>
      <c r="AC35" s="164">
        <v>0</v>
      </c>
      <c r="AD35" s="164">
        <v>0</v>
      </c>
      <c r="AE35" s="164">
        <v>0</v>
      </c>
      <c r="AF35" s="164">
        <v>0</v>
      </c>
      <c r="AG35" s="164">
        <v>0</v>
      </c>
      <c r="AH35" s="164">
        <v>0</v>
      </c>
      <c r="AI35" s="164">
        <v>0</v>
      </c>
      <c r="AJ35" s="164">
        <v>0</v>
      </c>
      <c r="AK35" s="164">
        <v>0</v>
      </c>
      <c r="AL35" s="165">
        <v>1.78423428</v>
      </c>
      <c r="AM35" s="165">
        <v>1.536</v>
      </c>
      <c r="AN35" s="165">
        <v>1.956</v>
      </c>
      <c r="AO35" s="165">
        <v>2.633</v>
      </c>
      <c r="AP35" s="165">
        <v>3.5139999999999998</v>
      </c>
      <c r="AQ35" s="165">
        <v>3.35</v>
      </c>
      <c r="AR35" s="165">
        <v>2.5249999999999999</v>
      </c>
      <c r="AS35" s="168">
        <v>2.4620000000000002</v>
      </c>
      <c r="AT35" s="165">
        <v>2.661</v>
      </c>
      <c r="AU35" s="168">
        <v>2.6230000000000002</v>
      </c>
      <c r="AV35" s="991">
        <v>3.101</v>
      </c>
      <c r="AW35" s="991">
        <v>3.1749999999999998</v>
      </c>
      <c r="AX35" s="984" t="s">
        <v>3879</v>
      </c>
    </row>
    <row r="36" spans="1:50" ht="12.75" customHeight="1">
      <c r="A36" s="163" t="s">
        <v>259</v>
      </c>
      <c r="B36" s="164">
        <v>0</v>
      </c>
      <c r="C36" s="164">
        <v>0</v>
      </c>
      <c r="D36" s="164">
        <v>0</v>
      </c>
      <c r="E36" s="164">
        <v>0</v>
      </c>
      <c r="F36" s="164">
        <v>0</v>
      </c>
      <c r="G36" s="164">
        <v>0</v>
      </c>
      <c r="H36" s="164">
        <v>0</v>
      </c>
      <c r="I36" s="164">
        <v>0</v>
      </c>
      <c r="J36" s="164">
        <v>0</v>
      </c>
      <c r="K36" s="164">
        <v>0</v>
      </c>
      <c r="L36" s="164">
        <v>0</v>
      </c>
      <c r="M36" s="164">
        <v>0</v>
      </c>
      <c r="N36" s="164">
        <v>0</v>
      </c>
      <c r="O36" s="164">
        <v>0</v>
      </c>
      <c r="P36" s="164">
        <v>0</v>
      </c>
      <c r="Q36" s="164">
        <v>0</v>
      </c>
      <c r="R36" s="164">
        <v>0</v>
      </c>
      <c r="S36" s="164">
        <v>0</v>
      </c>
      <c r="T36" s="164">
        <v>0</v>
      </c>
      <c r="U36" s="164">
        <v>0</v>
      </c>
      <c r="V36" s="164">
        <v>0</v>
      </c>
      <c r="W36" s="164">
        <v>0</v>
      </c>
      <c r="X36" s="164">
        <v>0</v>
      </c>
      <c r="Y36" s="164">
        <v>0</v>
      </c>
      <c r="Z36" s="164">
        <v>0</v>
      </c>
      <c r="AA36" s="164">
        <v>0</v>
      </c>
      <c r="AB36" s="164">
        <v>0</v>
      </c>
      <c r="AC36" s="164">
        <v>0</v>
      </c>
      <c r="AD36" s="164">
        <v>0</v>
      </c>
      <c r="AE36" s="164">
        <v>0</v>
      </c>
      <c r="AF36" s="164">
        <v>0</v>
      </c>
      <c r="AG36" s="164">
        <v>0</v>
      </c>
      <c r="AH36" s="164">
        <v>0</v>
      </c>
      <c r="AI36" s="164">
        <v>0</v>
      </c>
      <c r="AJ36" s="164">
        <v>0</v>
      </c>
      <c r="AK36" s="164">
        <v>0</v>
      </c>
      <c r="AL36" s="164">
        <v>0</v>
      </c>
      <c r="AM36" s="164">
        <v>0</v>
      </c>
      <c r="AN36" s="165">
        <v>4.9400000000000004</v>
      </c>
      <c r="AO36" s="165">
        <v>5.4720000000000004</v>
      </c>
      <c r="AP36" s="165">
        <v>5.1070000000000002</v>
      </c>
      <c r="AQ36" s="165">
        <v>4.4329999999999998</v>
      </c>
      <c r="AR36" s="165">
        <v>5.2990000000000004</v>
      </c>
      <c r="AS36" s="168">
        <v>6.335</v>
      </c>
      <c r="AT36" s="165">
        <v>6.718</v>
      </c>
      <c r="AU36" s="168">
        <v>5.9729999999999999</v>
      </c>
      <c r="AV36" s="991">
        <v>5.75</v>
      </c>
      <c r="AW36" s="991">
        <v>5.8</v>
      </c>
      <c r="AX36" s="984" t="s">
        <v>3880</v>
      </c>
    </row>
    <row r="37" spans="1:50" ht="12.75" customHeight="1">
      <c r="A37" s="163" t="s">
        <v>266</v>
      </c>
      <c r="B37" s="165">
        <v>3.1</v>
      </c>
      <c r="C37" s="165">
        <v>10.4</v>
      </c>
      <c r="D37" s="165">
        <v>6.9</v>
      </c>
      <c r="E37" s="165">
        <v>7.9</v>
      </c>
      <c r="F37" s="165">
        <v>8.6</v>
      </c>
      <c r="G37" s="165">
        <v>10</v>
      </c>
      <c r="H37" s="165">
        <v>11.7</v>
      </c>
      <c r="I37" s="165">
        <v>13</v>
      </c>
      <c r="J37" s="165">
        <v>14.4</v>
      </c>
      <c r="K37" s="165">
        <v>12.1</v>
      </c>
      <c r="L37" s="165">
        <v>21.7</v>
      </c>
      <c r="M37" s="165">
        <v>20.8</v>
      </c>
      <c r="N37" s="165">
        <v>11.7</v>
      </c>
      <c r="O37" s="165">
        <v>13.8</v>
      </c>
      <c r="P37" s="165">
        <v>13.2</v>
      </c>
      <c r="Q37" s="165">
        <v>12</v>
      </c>
      <c r="R37" s="165">
        <v>15.1</v>
      </c>
      <c r="S37" s="165">
        <v>11.7</v>
      </c>
      <c r="T37" s="165">
        <v>10.4</v>
      </c>
      <c r="U37" s="165">
        <v>7.2</v>
      </c>
      <c r="V37" s="165">
        <v>9.6</v>
      </c>
      <c r="W37" s="165">
        <v>9.1999999999999993</v>
      </c>
      <c r="X37" s="165">
        <v>9</v>
      </c>
      <c r="Y37" s="165">
        <v>22.5</v>
      </c>
      <c r="Z37" s="165">
        <v>16.2</v>
      </c>
      <c r="AA37" s="165">
        <v>16.2</v>
      </c>
      <c r="AB37" s="165">
        <v>13.7</v>
      </c>
      <c r="AC37" s="165">
        <v>16.2</v>
      </c>
      <c r="AD37" s="165">
        <v>11.6</v>
      </c>
      <c r="AE37" s="165">
        <v>12.1</v>
      </c>
      <c r="AF37" s="165">
        <v>12.2</v>
      </c>
      <c r="AG37" s="165">
        <v>10.321999999999999</v>
      </c>
      <c r="AH37" s="165">
        <v>9.6</v>
      </c>
      <c r="AI37" s="165">
        <v>11.5</v>
      </c>
      <c r="AJ37" s="165">
        <v>13.746</v>
      </c>
      <c r="AK37" s="165">
        <v>12.97</v>
      </c>
      <c r="AL37" s="165">
        <v>12.478474390000001</v>
      </c>
      <c r="AM37" s="165">
        <v>13.423999999999999</v>
      </c>
      <c r="AN37" s="165">
        <v>14.742000000000001</v>
      </c>
      <c r="AO37" s="165">
        <v>17.87</v>
      </c>
      <c r="AP37" s="165">
        <v>20.800999999999998</v>
      </c>
      <c r="AQ37" s="165">
        <v>26.475999999999999</v>
      </c>
      <c r="AR37" s="165">
        <v>16.582999999999998</v>
      </c>
      <c r="AS37" s="168">
        <v>13.930999999999999</v>
      </c>
      <c r="AT37" s="165">
        <v>14.988</v>
      </c>
      <c r="AU37" s="168">
        <v>11.99</v>
      </c>
      <c r="AV37" s="991">
        <v>17</v>
      </c>
      <c r="AW37" s="991">
        <v>17</v>
      </c>
      <c r="AX37" s="984" t="s">
        <v>3879</v>
      </c>
    </row>
    <row r="38" spans="1:50" ht="12.75" customHeight="1">
      <c r="A38" s="163" t="s">
        <v>284</v>
      </c>
      <c r="B38" s="164">
        <v>0</v>
      </c>
      <c r="C38" s="164">
        <v>0</v>
      </c>
      <c r="D38" s="164">
        <v>0</v>
      </c>
      <c r="E38" s="164">
        <v>0</v>
      </c>
      <c r="F38" s="164">
        <v>0</v>
      </c>
      <c r="G38" s="164">
        <v>0</v>
      </c>
      <c r="H38" s="164">
        <v>0</v>
      </c>
      <c r="I38" s="164">
        <v>0</v>
      </c>
      <c r="J38" s="164">
        <v>0</v>
      </c>
      <c r="K38" s="164">
        <v>0</v>
      </c>
      <c r="L38" s="164">
        <v>0</v>
      </c>
      <c r="M38" s="164">
        <v>0</v>
      </c>
      <c r="N38" s="164">
        <v>0</v>
      </c>
      <c r="O38" s="164">
        <v>0</v>
      </c>
      <c r="P38" s="164">
        <v>0</v>
      </c>
      <c r="Q38" s="164">
        <v>0</v>
      </c>
      <c r="R38" s="164">
        <v>0</v>
      </c>
      <c r="S38" s="164">
        <v>0</v>
      </c>
      <c r="T38" s="164">
        <v>0</v>
      </c>
      <c r="U38" s="164">
        <v>0</v>
      </c>
      <c r="V38" s="164">
        <v>0</v>
      </c>
      <c r="W38" s="164">
        <v>0</v>
      </c>
      <c r="X38" s="164">
        <v>0</v>
      </c>
      <c r="Y38" s="164">
        <v>0</v>
      </c>
      <c r="Z38" s="164">
        <v>0</v>
      </c>
      <c r="AA38" s="164">
        <v>0</v>
      </c>
      <c r="AB38" s="164">
        <v>0</v>
      </c>
      <c r="AC38" s="164">
        <v>0</v>
      </c>
      <c r="AD38" s="164">
        <v>0</v>
      </c>
      <c r="AE38" s="164">
        <v>0</v>
      </c>
      <c r="AF38" s="164">
        <v>0</v>
      </c>
      <c r="AG38" s="164">
        <v>0</v>
      </c>
      <c r="AH38" s="164">
        <v>0</v>
      </c>
      <c r="AI38" s="164">
        <v>0</v>
      </c>
      <c r="AJ38" s="164">
        <v>0</v>
      </c>
      <c r="AK38" s="164">
        <v>0</v>
      </c>
      <c r="AL38" s="164">
        <v>0</v>
      </c>
      <c r="AM38" s="164">
        <v>0</v>
      </c>
      <c r="AN38" s="165">
        <v>6.1289999999999996</v>
      </c>
      <c r="AO38" s="165">
        <v>9.0890000000000004</v>
      </c>
      <c r="AP38" s="165">
        <v>8.6790000000000003</v>
      </c>
      <c r="AQ38" s="165">
        <v>4.335</v>
      </c>
      <c r="AR38" s="165">
        <v>1.3260000000000001</v>
      </c>
      <c r="AS38" s="168">
        <v>6.3860000000000001</v>
      </c>
      <c r="AT38" s="165">
        <v>12.186999999999999</v>
      </c>
      <c r="AU38" s="168">
        <v>11.381</v>
      </c>
      <c r="AV38" s="991">
        <v>10.351000000000001</v>
      </c>
      <c r="AW38" s="991">
        <v>14.507</v>
      </c>
      <c r="AX38" s="984" t="s">
        <v>3881</v>
      </c>
    </row>
    <row r="39" spans="1:50" ht="12.75" customHeight="1">
      <c r="A39" s="163" t="s">
        <v>287</v>
      </c>
      <c r="B39" s="164">
        <v>0</v>
      </c>
      <c r="C39" s="164">
        <v>0</v>
      </c>
      <c r="D39" s="164">
        <v>0</v>
      </c>
      <c r="E39" s="164">
        <v>0</v>
      </c>
      <c r="F39" s="164">
        <v>0</v>
      </c>
      <c r="G39" s="164">
        <v>0</v>
      </c>
      <c r="H39" s="164">
        <v>0</v>
      </c>
      <c r="I39" s="164">
        <v>0</v>
      </c>
      <c r="J39" s="164">
        <v>0</v>
      </c>
      <c r="K39" s="164">
        <v>0</v>
      </c>
      <c r="L39" s="164">
        <v>0</v>
      </c>
      <c r="M39" s="164">
        <v>0</v>
      </c>
      <c r="N39" s="164">
        <v>0</v>
      </c>
      <c r="O39" s="164">
        <v>0</v>
      </c>
      <c r="P39" s="164">
        <v>0</v>
      </c>
      <c r="Q39" s="164">
        <v>0</v>
      </c>
      <c r="R39" s="164">
        <v>0</v>
      </c>
      <c r="S39" s="164">
        <v>0</v>
      </c>
      <c r="T39" s="164">
        <v>0</v>
      </c>
      <c r="U39" s="164">
        <v>0</v>
      </c>
      <c r="V39" s="164">
        <v>0</v>
      </c>
      <c r="W39" s="164">
        <v>0</v>
      </c>
      <c r="X39" s="164">
        <v>0</v>
      </c>
      <c r="Y39" s="164">
        <v>0</v>
      </c>
      <c r="Z39" s="164">
        <v>0</v>
      </c>
      <c r="AA39" s="165">
        <v>15.351667000000001</v>
      </c>
      <c r="AB39" s="165">
        <v>14.532978</v>
      </c>
      <c r="AC39" s="165">
        <v>15.359</v>
      </c>
      <c r="AD39" s="165">
        <v>15.997999999999999</v>
      </c>
      <c r="AE39" s="165">
        <v>18.297000000000001</v>
      </c>
      <c r="AF39" s="165">
        <v>19.167000000000002</v>
      </c>
      <c r="AG39" s="165">
        <v>19.641999999999999</v>
      </c>
      <c r="AH39" s="165">
        <v>17.748999999999999</v>
      </c>
      <c r="AI39" s="165">
        <v>18.431999999999999</v>
      </c>
      <c r="AJ39" s="165">
        <v>19.28</v>
      </c>
      <c r="AK39" s="165">
        <v>20.388000000000002</v>
      </c>
      <c r="AL39" s="165">
        <v>21.392051980000002</v>
      </c>
      <c r="AM39" s="165">
        <v>22.224</v>
      </c>
      <c r="AN39" s="165">
        <v>21.617999999999999</v>
      </c>
      <c r="AO39" s="165">
        <v>20.376000000000001</v>
      </c>
      <c r="AP39" s="165">
        <v>20.210999999999999</v>
      </c>
      <c r="AQ39" s="165">
        <v>22.841000000000001</v>
      </c>
      <c r="AR39" s="165">
        <v>18.913</v>
      </c>
      <c r="AS39" s="168">
        <v>21.911000000000001</v>
      </c>
      <c r="AT39" s="165">
        <v>29.259</v>
      </c>
      <c r="AU39" s="168">
        <v>27.016999999999999</v>
      </c>
      <c r="AV39" s="991">
        <v>28.2</v>
      </c>
      <c r="AW39" s="991">
        <v>28.2</v>
      </c>
      <c r="AX39" s="984" t="s">
        <v>3879</v>
      </c>
    </row>
    <row r="40" spans="1:50" ht="12.75" customHeight="1">
      <c r="A40" s="163" t="s">
        <v>291</v>
      </c>
      <c r="B40" s="165">
        <v>0.7</v>
      </c>
      <c r="C40" s="165">
        <v>0.9</v>
      </c>
      <c r="D40" s="165">
        <v>1.3</v>
      </c>
      <c r="E40" s="165">
        <v>1.5</v>
      </c>
      <c r="F40" s="165">
        <v>2.5</v>
      </c>
      <c r="G40" s="165">
        <v>3.1</v>
      </c>
      <c r="H40" s="165">
        <v>4.3</v>
      </c>
      <c r="I40" s="165">
        <v>5</v>
      </c>
      <c r="J40" s="165">
        <v>6.2</v>
      </c>
      <c r="K40" s="165">
        <v>6.2</v>
      </c>
      <c r="L40" s="165">
        <v>5.4</v>
      </c>
      <c r="M40" s="165">
        <v>8.1</v>
      </c>
      <c r="N40" s="165">
        <v>8.4</v>
      </c>
      <c r="O40" s="165">
        <v>6.6</v>
      </c>
      <c r="P40" s="165">
        <v>7.5</v>
      </c>
      <c r="Q40" s="165">
        <v>8.5</v>
      </c>
      <c r="R40" s="165">
        <v>9.1999999999999993</v>
      </c>
      <c r="S40" s="165">
        <v>10.4</v>
      </c>
      <c r="T40" s="165">
        <v>11.3</v>
      </c>
      <c r="U40" s="165">
        <v>11.2</v>
      </c>
      <c r="V40" s="165">
        <v>12.1</v>
      </c>
      <c r="W40" s="165">
        <v>13.1</v>
      </c>
      <c r="X40" s="165">
        <v>12.8</v>
      </c>
      <c r="Y40" s="165">
        <v>15.8</v>
      </c>
      <c r="Z40" s="165">
        <v>25.5</v>
      </c>
      <c r="AA40" s="165">
        <v>27.9</v>
      </c>
      <c r="AB40" s="165">
        <v>31.7</v>
      </c>
      <c r="AC40" s="165">
        <v>32.799999999999997</v>
      </c>
      <c r="AD40" s="165">
        <v>28</v>
      </c>
      <c r="AE40" s="165">
        <v>14.9</v>
      </c>
      <c r="AF40" s="165">
        <v>21.35</v>
      </c>
      <c r="AG40" s="165">
        <v>16.335000000000001</v>
      </c>
      <c r="AH40" s="165">
        <v>16.527999999999999</v>
      </c>
      <c r="AI40" s="165">
        <v>17.494</v>
      </c>
      <c r="AJ40" s="165">
        <v>17.041</v>
      </c>
      <c r="AK40" s="165">
        <v>18.120999999999999</v>
      </c>
      <c r="AL40" s="165">
        <v>18.708153619999997</v>
      </c>
      <c r="AM40" s="165">
        <v>19.783000000000001</v>
      </c>
      <c r="AN40" s="165">
        <v>22.021999999999998</v>
      </c>
      <c r="AO40" s="165">
        <v>22.710999999999999</v>
      </c>
      <c r="AP40" s="165">
        <v>23.48</v>
      </c>
      <c r="AQ40" s="165">
        <v>23.439</v>
      </c>
      <c r="AR40" s="165">
        <v>22.219000000000001</v>
      </c>
      <c r="AS40" s="168">
        <v>25.283999999999999</v>
      </c>
      <c r="AT40" s="165">
        <v>21.334</v>
      </c>
      <c r="AU40" s="168">
        <v>26.591999999999999</v>
      </c>
      <c r="AV40" s="991">
        <v>26.652999999999999</v>
      </c>
      <c r="AW40" s="991">
        <v>27.878</v>
      </c>
      <c r="AX40" s="984" t="s">
        <v>3879</v>
      </c>
    </row>
    <row r="41" spans="1:50" ht="12.75" customHeight="1">
      <c r="A41" s="163" t="s">
        <v>295</v>
      </c>
      <c r="B41" s="164">
        <v>0</v>
      </c>
      <c r="C41" s="164">
        <v>0</v>
      </c>
      <c r="D41" s="164">
        <v>0</v>
      </c>
      <c r="E41" s="164">
        <v>0</v>
      </c>
      <c r="F41" s="164">
        <v>0</v>
      </c>
      <c r="G41" s="164">
        <v>0</v>
      </c>
      <c r="H41" s="164">
        <v>0</v>
      </c>
      <c r="I41" s="164">
        <v>0</v>
      </c>
      <c r="J41" s="164">
        <v>0</v>
      </c>
      <c r="K41" s="164">
        <v>0</v>
      </c>
      <c r="L41" s="164">
        <v>0</v>
      </c>
      <c r="M41" s="164">
        <v>0</v>
      </c>
      <c r="N41" s="164">
        <v>0</v>
      </c>
      <c r="O41" s="164">
        <v>0</v>
      </c>
      <c r="P41" s="164">
        <v>0</v>
      </c>
      <c r="Q41" s="164">
        <v>0</v>
      </c>
      <c r="R41" s="164">
        <v>0</v>
      </c>
      <c r="S41" s="164">
        <v>0</v>
      </c>
      <c r="T41" s="164">
        <v>0</v>
      </c>
      <c r="U41" s="164">
        <v>0</v>
      </c>
      <c r="V41" s="164">
        <v>0</v>
      </c>
      <c r="W41" s="164">
        <v>0</v>
      </c>
      <c r="X41" s="164">
        <v>0</v>
      </c>
      <c r="Y41" s="164">
        <v>0</v>
      </c>
      <c r="Z41" s="164">
        <v>0</v>
      </c>
      <c r="AA41" s="164">
        <v>0</v>
      </c>
      <c r="AB41" s="164">
        <v>0</v>
      </c>
      <c r="AC41" s="164">
        <v>0</v>
      </c>
      <c r="AD41" s="164">
        <v>0</v>
      </c>
      <c r="AE41" s="164">
        <v>0</v>
      </c>
      <c r="AF41" s="164">
        <v>0</v>
      </c>
      <c r="AG41" s="164">
        <v>0</v>
      </c>
      <c r="AH41" s="164">
        <v>0</v>
      </c>
      <c r="AI41" s="164">
        <v>0</v>
      </c>
      <c r="AJ41" s="164">
        <v>0</v>
      </c>
      <c r="AK41" s="164">
        <v>0</v>
      </c>
      <c r="AL41" s="165">
        <v>3.3042346999999999</v>
      </c>
      <c r="AM41" s="165">
        <v>4.1609999999999996</v>
      </c>
      <c r="AN41" s="165">
        <v>6.008</v>
      </c>
      <c r="AO41" s="165">
        <v>5.734</v>
      </c>
      <c r="AP41" s="165">
        <v>6.1680000000000001</v>
      </c>
      <c r="AQ41" s="165">
        <v>4.7519999999999998</v>
      </c>
      <c r="AR41" s="165">
        <v>4.2210000000000001</v>
      </c>
      <c r="AS41" s="168">
        <v>5.492</v>
      </c>
      <c r="AT41" s="165">
        <v>7.218</v>
      </c>
      <c r="AU41" s="168">
        <v>6.7480000000000002</v>
      </c>
      <c r="AV41" s="991">
        <v>9.1189999999999998</v>
      </c>
      <c r="AW41" s="991">
        <v>9.673</v>
      </c>
      <c r="AX41" s="984" t="s">
        <v>3879</v>
      </c>
    </row>
    <row r="42" spans="1:50" ht="12.75" customHeight="1">
      <c r="A42" s="163" t="s">
        <v>303</v>
      </c>
      <c r="B42" s="164">
        <v>0</v>
      </c>
      <c r="C42" s="165">
        <v>6</v>
      </c>
      <c r="D42" s="165">
        <v>5.8</v>
      </c>
      <c r="E42" s="165">
        <v>7.5</v>
      </c>
      <c r="F42" s="165">
        <v>6.8</v>
      </c>
      <c r="G42" s="165">
        <v>10.9</v>
      </c>
      <c r="H42" s="165">
        <v>14.1</v>
      </c>
      <c r="I42" s="165">
        <v>15.2</v>
      </c>
      <c r="J42" s="165">
        <v>17.899999999999999</v>
      </c>
      <c r="K42" s="165">
        <v>11.2</v>
      </c>
      <c r="L42" s="165">
        <v>11.1</v>
      </c>
      <c r="M42" s="165">
        <v>13.3</v>
      </c>
      <c r="N42" s="165">
        <v>14.4</v>
      </c>
      <c r="O42" s="165">
        <v>14.8</v>
      </c>
      <c r="P42" s="165">
        <v>15.7</v>
      </c>
      <c r="Q42" s="165">
        <v>21.2</v>
      </c>
      <c r="R42" s="165">
        <v>23.3</v>
      </c>
      <c r="S42" s="165">
        <v>21.3</v>
      </c>
      <c r="T42" s="165">
        <v>29.1</v>
      </c>
      <c r="U42" s="165">
        <v>33.799999999999997</v>
      </c>
      <c r="V42" s="165">
        <v>33.6</v>
      </c>
      <c r="W42" s="165">
        <v>31.9</v>
      </c>
      <c r="X42" s="165">
        <v>34</v>
      </c>
      <c r="Y42" s="165">
        <v>40.799999999999997</v>
      </c>
      <c r="Z42" s="165">
        <v>39.200000000000003</v>
      </c>
      <c r="AA42" s="165">
        <v>39.200000000000003</v>
      </c>
      <c r="AB42" s="165">
        <v>35.1</v>
      </c>
      <c r="AC42" s="165">
        <v>35.1</v>
      </c>
      <c r="AD42" s="165">
        <v>35.799999999999997</v>
      </c>
      <c r="AE42" s="165">
        <v>37.5</v>
      </c>
      <c r="AF42" s="165">
        <v>42.22</v>
      </c>
      <c r="AG42" s="165">
        <v>50.070999999999998</v>
      </c>
      <c r="AH42" s="165">
        <v>53.404000000000003</v>
      </c>
      <c r="AI42" s="165">
        <v>57.567999999999998</v>
      </c>
      <c r="AJ42" s="165">
        <v>62.845999999999997</v>
      </c>
      <c r="AK42" s="165">
        <v>68.742000000000004</v>
      </c>
      <c r="AL42" s="165">
        <v>67.848254620000006</v>
      </c>
      <c r="AM42" s="165">
        <v>70.224999999999994</v>
      </c>
      <c r="AN42" s="165">
        <v>73.284999999999997</v>
      </c>
      <c r="AO42" s="165">
        <v>71.262</v>
      </c>
      <c r="AP42" s="165">
        <v>69.349999999999994</v>
      </c>
      <c r="AQ42" s="165">
        <v>72.537000000000006</v>
      </c>
      <c r="AR42" s="165">
        <v>64.778000000000006</v>
      </c>
      <c r="AS42" s="168">
        <v>90.391000000000005</v>
      </c>
      <c r="AT42" s="165">
        <v>83.802999999999997</v>
      </c>
      <c r="AU42" s="168">
        <v>159.73400000000001</v>
      </c>
      <c r="AV42" s="991">
        <v>126.78</v>
      </c>
      <c r="AW42" s="991">
        <v>109.15300000000001</v>
      </c>
      <c r="AX42" s="984" t="s">
        <v>3879</v>
      </c>
    </row>
    <row r="43" spans="1:50" ht="12.75" customHeight="1">
      <c r="A43" s="163" t="s">
        <v>305</v>
      </c>
      <c r="B43" s="164">
        <v>0</v>
      </c>
      <c r="C43" s="164">
        <v>0</v>
      </c>
      <c r="D43" s="164">
        <v>0</v>
      </c>
      <c r="E43" s="164">
        <v>0</v>
      </c>
      <c r="F43" s="164">
        <v>0</v>
      </c>
      <c r="G43" s="164">
        <v>0</v>
      </c>
      <c r="H43" s="164">
        <v>0</v>
      </c>
      <c r="I43" s="164">
        <v>0</v>
      </c>
      <c r="J43" s="164">
        <v>0</v>
      </c>
      <c r="K43" s="164">
        <v>0</v>
      </c>
      <c r="L43" s="165">
        <v>0.6</v>
      </c>
      <c r="M43" s="165">
        <v>1.2</v>
      </c>
      <c r="N43" s="165">
        <v>3.1</v>
      </c>
      <c r="O43" s="165">
        <v>4.4000000000000004</v>
      </c>
      <c r="P43" s="165">
        <v>8.3000000000000007</v>
      </c>
      <c r="Q43" s="165">
        <v>9.6</v>
      </c>
      <c r="R43" s="165">
        <v>10.7</v>
      </c>
      <c r="S43" s="165">
        <v>11.4</v>
      </c>
      <c r="T43" s="165">
        <v>12</v>
      </c>
      <c r="U43" s="165">
        <v>11.4</v>
      </c>
      <c r="V43" s="165">
        <v>15.3</v>
      </c>
      <c r="W43" s="165">
        <v>15.8</v>
      </c>
      <c r="X43" s="165">
        <v>15.8</v>
      </c>
      <c r="Y43" s="165">
        <v>29.5</v>
      </c>
      <c r="Z43" s="165">
        <v>30.2</v>
      </c>
      <c r="AA43" s="165">
        <v>30</v>
      </c>
      <c r="AB43" s="165">
        <v>30</v>
      </c>
      <c r="AC43" s="165">
        <v>32.9</v>
      </c>
      <c r="AD43" s="165">
        <v>34</v>
      </c>
      <c r="AE43" s="165">
        <v>36.200000000000003</v>
      </c>
      <c r="AF43" s="165">
        <v>32.351999999999997</v>
      </c>
      <c r="AG43" s="165">
        <v>40.186999999999998</v>
      </c>
      <c r="AH43" s="165">
        <v>39.229999999999997</v>
      </c>
      <c r="AI43" s="165">
        <v>42</v>
      </c>
      <c r="AJ43" s="165">
        <v>41.887999999999998</v>
      </c>
      <c r="AK43" s="165">
        <v>41.258000000000003</v>
      </c>
      <c r="AL43" s="165">
        <v>41.021000000000001</v>
      </c>
      <c r="AM43" s="165">
        <v>44.067</v>
      </c>
      <c r="AN43" s="165">
        <v>45.53</v>
      </c>
      <c r="AO43" s="165">
        <v>51.292000000000002</v>
      </c>
      <c r="AP43" s="165">
        <v>54.505000000000003</v>
      </c>
      <c r="AQ43" s="165">
        <v>53.456000000000003</v>
      </c>
      <c r="AR43" s="165">
        <v>49.546999999999997</v>
      </c>
      <c r="AS43" s="168">
        <v>53.790999999999997</v>
      </c>
      <c r="AT43" s="165">
        <v>59.222000000000001</v>
      </c>
      <c r="AU43" s="168">
        <v>81.593999999999994</v>
      </c>
      <c r="AV43" s="991">
        <v>82.338999999999999</v>
      </c>
      <c r="AW43" s="991">
        <v>87.210999999999999</v>
      </c>
      <c r="AX43" s="984" t="s">
        <v>3879</v>
      </c>
    </row>
    <row r="44" spans="1:50" ht="12.75" customHeight="1">
      <c r="A44" s="163" t="s">
        <v>3882</v>
      </c>
      <c r="B44" s="164">
        <v>0</v>
      </c>
      <c r="C44" s="165">
        <v>0.4</v>
      </c>
      <c r="D44" s="165">
        <v>0.5</v>
      </c>
      <c r="E44" s="165">
        <v>0.7</v>
      </c>
      <c r="F44" s="165">
        <v>1.2</v>
      </c>
      <c r="G44" s="165">
        <v>0.7</v>
      </c>
      <c r="H44" s="165">
        <v>1.5</v>
      </c>
      <c r="I44" s="165">
        <v>1.8</v>
      </c>
      <c r="J44" s="165">
        <v>4.9000000000000004</v>
      </c>
      <c r="K44" s="165">
        <v>7.8</v>
      </c>
      <c r="L44" s="165">
        <v>10.4</v>
      </c>
      <c r="M44" s="165">
        <v>9.9</v>
      </c>
      <c r="N44" s="165">
        <v>13.3</v>
      </c>
      <c r="O44" s="165">
        <v>13.3</v>
      </c>
      <c r="P44" s="165">
        <v>13.7</v>
      </c>
      <c r="Q44" s="165">
        <v>11.8</v>
      </c>
      <c r="R44" s="165">
        <v>11.3</v>
      </c>
      <c r="S44" s="165">
        <v>10.6</v>
      </c>
      <c r="T44" s="165">
        <v>9.8000000000000007</v>
      </c>
      <c r="U44" s="165">
        <v>10.8</v>
      </c>
      <c r="V44" s="165">
        <v>11</v>
      </c>
      <c r="W44" s="165">
        <v>11</v>
      </c>
      <c r="X44" s="165">
        <v>11.3</v>
      </c>
      <c r="Y44" s="165">
        <v>11.6</v>
      </c>
      <c r="Z44" s="165">
        <v>11.9</v>
      </c>
      <c r="AA44" s="165">
        <v>12.2</v>
      </c>
      <c r="AB44" s="165">
        <v>12.5</v>
      </c>
      <c r="AC44" s="165">
        <v>12.5</v>
      </c>
      <c r="AD44" s="165">
        <v>12.8</v>
      </c>
      <c r="AE44" s="165">
        <v>13</v>
      </c>
      <c r="AF44" s="165">
        <v>13.018000000000001</v>
      </c>
      <c r="AG44" s="165">
        <v>6.7</v>
      </c>
      <c r="AH44" s="164">
        <v>0</v>
      </c>
      <c r="AI44" s="164">
        <v>0</v>
      </c>
      <c r="AJ44" s="164">
        <v>0</v>
      </c>
      <c r="AK44" s="164">
        <v>0</v>
      </c>
      <c r="AL44" s="164">
        <v>0</v>
      </c>
      <c r="AM44" s="164">
        <v>0</v>
      </c>
      <c r="AN44" s="164">
        <v>0</v>
      </c>
      <c r="AO44" s="164">
        <v>0</v>
      </c>
      <c r="AP44" s="164">
        <v>0</v>
      </c>
      <c r="AQ44" s="164">
        <v>0</v>
      </c>
      <c r="AR44" s="164">
        <v>0</v>
      </c>
      <c r="AS44" s="164">
        <v>0</v>
      </c>
      <c r="AT44" s="164">
        <v>0</v>
      </c>
      <c r="AU44" s="164">
        <v>0</v>
      </c>
      <c r="AV44" s="993"/>
      <c r="AW44" s="993"/>
      <c r="AX44" s="681" t="s">
        <v>3883</v>
      </c>
    </row>
    <row r="45" spans="1:50" ht="12.75" customHeight="1">
      <c r="A45" s="163" t="s">
        <v>310</v>
      </c>
      <c r="B45" s="164">
        <v>0</v>
      </c>
      <c r="C45" s="164">
        <v>0</v>
      </c>
      <c r="D45" s="164">
        <v>0</v>
      </c>
      <c r="E45" s="164">
        <v>0</v>
      </c>
      <c r="F45" s="164">
        <v>0</v>
      </c>
      <c r="G45" s="164">
        <v>0</v>
      </c>
      <c r="H45" s="164">
        <v>0</v>
      </c>
      <c r="I45" s="164">
        <v>0</v>
      </c>
      <c r="J45" s="164">
        <v>0</v>
      </c>
      <c r="K45" s="164">
        <v>0</v>
      </c>
      <c r="L45" s="164">
        <v>0</v>
      </c>
      <c r="M45" s="164">
        <v>0</v>
      </c>
      <c r="N45" s="164">
        <v>0</v>
      </c>
      <c r="O45" s="164">
        <v>0</v>
      </c>
      <c r="P45" s="164">
        <v>0</v>
      </c>
      <c r="Q45" s="164">
        <v>0</v>
      </c>
      <c r="R45" s="164">
        <v>0</v>
      </c>
      <c r="S45" s="164">
        <v>0</v>
      </c>
      <c r="T45" s="164">
        <v>0</v>
      </c>
      <c r="U45" s="164">
        <v>0</v>
      </c>
      <c r="V45" s="164">
        <v>0</v>
      </c>
      <c r="W45" s="164">
        <v>0</v>
      </c>
      <c r="X45" s="164">
        <v>0</v>
      </c>
      <c r="Y45" s="164">
        <v>0</v>
      </c>
      <c r="Z45" s="164">
        <v>0</v>
      </c>
      <c r="AA45" s="164">
        <v>0</v>
      </c>
      <c r="AB45" s="164">
        <v>0</v>
      </c>
      <c r="AC45" s="164">
        <v>0</v>
      </c>
      <c r="AD45" s="164">
        <v>0</v>
      </c>
      <c r="AE45" s="164">
        <v>0</v>
      </c>
      <c r="AF45" s="164">
        <v>0</v>
      </c>
      <c r="AG45" s="164">
        <v>0</v>
      </c>
      <c r="AH45" s="164">
        <v>0</v>
      </c>
      <c r="AI45" s="164">
        <v>0</v>
      </c>
      <c r="AJ45" s="164">
        <v>0</v>
      </c>
      <c r="AK45" s="164">
        <v>0</v>
      </c>
      <c r="AL45" s="164">
        <v>0</v>
      </c>
      <c r="AM45" s="164">
        <v>0</v>
      </c>
      <c r="AN45" s="165">
        <v>55.783000000000001</v>
      </c>
      <c r="AO45" s="165">
        <v>81.415000000000006</v>
      </c>
      <c r="AP45" s="165">
        <v>80.864999999999995</v>
      </c>
      <c r="AQ45" s="165">
        <v>77.022999999999996</v>
      </c>
      <c r="AR45" s="165">
        <v>80.694999999999993</v>
      </c>
      <c r="AS45" s="168">
        <v>104.116</v>
      </c>
      <c r="AT45" s="165">
        <v>105.26</v>
      </c>
      <c r="AU45" s="168">
        <v>86.3</v>
      </c>
      <c r="AV45" s="991">
        <v>100.646</v>
      </c>
      <c r="AW45" s="991">
        <v>100.646</v>
      </c>
      <c r="AX45" s="984" t="s">
        <v>3884</v>
      </c>
    </row>
    <row r="46" spans="1:50" ht="12.75" customHeight="1">
      <c r="A46" s="163" t="s">
        <v>3885</v>
      </c>
      <c r="B46" s="165">
        <v>6.5</v>
      </c>
      <c r="C46" s="165">
        <v>6.8</v>
      </c>
      <c r="D46" s="165">
        <v>3.7</v>
      </c>
      <c r="E46" s="165">
        <v>4</v>
      </c>
      <c r="F46" s="165">
        <v>4.5999999999999996</v>
      </c>
      <c r="G46" s="165">
        <v>5.4</v>
      </c>
      <c r="H46" s="165">
        <v>4</v>
      </c>
      <c r="I46" s="165">
        <v>5.5</v>
      </c>
      <c r="J46" s="165">
        <v>8.4</v>
      </c>
      <c r="K46" s="165">
        <v>8.6</v>
      </c>
      <c r="L46" s="165">
        <v>11.9</v>
      </c>
      <c r="M46" s="165">
        <v>13.8</v>
      </c>
      <c r="N46" s="165">
        <v>13.6</v>
      </c>
      <c r="O46" s="165">
        <v>20.8</v>
      </c>
      <c r="P46" s="165">
        <v>22.9</v>
      </c>
      <c r="Q46" s="165">
        <v>22.1</v>
      </c>
      <c r="R46" s="165">
        <v>25.1</v>
      </c>
      <c r="S46" s="165">
        <v>22.6</v>
      </c>
      <c r="T46" s="165">
        <v>21.1</v>
      </c>
      <c r="U46" s="165">
        <v>22.8</v>
      </c>
      <c r="V46" s="165">
        <v>21.4</v>
      </c>
      <c r="W46" s="165">
        <v>20.2</v>
      </c>
      <c r="X46" s="165">
        <v>20.2</v>
      </c>
      <c r="Y46" s="165">
        <v>23.5</v>
      </c>
      <c r="Z46" s="165">
        <v>26.3</v>
      </c>
      <c r="AA46" s="165">
        <v>28.5</v>
      </c>
      <c r="AB46" s="165">
        <v>35.6</v>
      </c>
      <c r="AC46" s="165">
        <v>36.299999999999997</v>
      </c>
      <c r="AD46" s="165">
        <v>37.6</v>
      </c>
      <c r="AE46" s="165">
        <v>45</v>
      </c>
      <c r="AF46" s="165">
        <v>42.807000000000002</v>
      </c>
      <c r="AG46" s="165">
        <v>41.972000000000001</v>
      </c>
      <c r="AH46" s="165">
        <v>37.844000000000001</v>
      </c>
      <c r="AI46" s="165">
        <v>49.447000000000003</v>
      </c>
      <c r="AJ46" s="165">
        <v>40.585999999999999</v>
      </c>
      <c r="AK46" s="165">
        <v>51.142000000000003</v>
      </c>
      <c r="AL46" s="165">
        <v>47.447172259999995</v>
      </c>
      <c r="AM46" s="165">
        <v>50.843000000000004</v>
      </c>
      <c r="AN46" s="164">
        <v>0</v>
      </c>
      <c r="AO46" s="164">
        <v>0</v>
      </c>
      <c r="AP46" s="164">
        <v>0</v>
      </c>
      <c r="AQ46" s="164">
        <v>0</v>
      </c>
      <c r="AR46" s="164">
        <v>0</v>
      </c>
      <c r="AS46" s="164">
        <v>0</v>
      </c>
      <c r="AT46" s="164">
        <v>0</v>
      </c>
      <c r="AU46" s="164">
        <v>0</v>
      </c>
      <c r="AV46" s="993"/>
      <c r="AW46" s="993"/>
      <c r="AX46" s="682" t="s">
        <v>3886</v>
      </c>
    </row>
    <row r="47" spans="1:50" ht="12.75" customHeight="1">
      <c r="A47" s="163" t="s">
        <v>3887</v>
      </c>
      <c r="B47" s="165">
        <v>6.5</v>
      </c>
      <c r="C47" s="165">
        <v>2.2000000000000002</v>
      </c>
      <c r="D47" s="165">
        <v>2.8</v>
      </c>
      <c r="E47" s="165">
        <v>2.8</v>
      </c>
      <c r="F47" s="165">
        <v>3.6</v>
      </c>
      <c r="G47" s="165">
        <v>4.5999999999999996</v>
      </c>
      <c r="H47" s="165">
        <v>5.4</v>
      </c>
      <c r="I47" s="165">
        <v>7</v>
      </c>
      <c r="J47" s="165">
        <v>10.6</v>
      </c>
      <c r="K47" s="165">
        <v>5.5</v>
      </c>
      <c r="L47" s="165">
        <v>8</v>
      </c>
      <c r="M47" s="165">
        <v>10.1</v>
      </c>
      <c r="N47" s="165">
        <v>11.7</v>
      </c>
      <c r="O47" s="165">
        <v>12.4</v>
      </c>
      <c r="P47" s="165">
        <v>18.8</v>
      </c>
      <c r="Q47" s="165">
        <v>21.3</v>
      </c>
      <c r="R47" s="165">
        <v>25.5</v>
      </c>
      <c r="S47" s="165">
        <v>28</v>
      </c>
      <c r="T47" s="165">
        <v>26.7</v>
      </c>
      <c r="U47" s="165">
        <v>32.5</v>
      </c>
      <c r="V47" s="165">
        <v>36.200000000000003</v>
      </c>
      <c r="W47" s="165">
        <v>33.200000000000003</v>
      </c>
      <c r="X47" s="165">
        <v>34.5</v>
      </c>
      <c r="Y47" s="165">
        <v>36.6</v>
      </c>
      <c r="Z47" s="165">
        <v>40.1</v>
      </c>
      <c r="AA47" s="165">
        <v>41.9</v>
      </c>
      <c r="AB47" s="165">
        <v>37.700000000000003</v>
      </c>
      <c r="AC47" s="165">
        <v>37.799999999999997</v>
      </c>
      <c r="AD47" s="165">
        <v>47.6</v>
      </c>
      <c r="AE47" s="165">
        <v>50.8</v>
      </c>
      <c r="AF47" s="165">
        <v>45.923000000000002</v>
      </c>
      <c r="AG47" s="165">
        <v>22.315999999999999</v>
      </c>
      <c r="AH47" s="165">
        <v>23.657</v>
      </c>
      <c r="AI47" s="165">
        <v>29.283000000000001</v>
      </c>
      <c r="AJ47" s="165">
        <v>24.957000000000001</v>
      </c>
      <c r="AK47" s="165">
        <v>28.858000000000001</v>
      </c>
      <c r="AL47" s="165">
        <v>25.709404940000002</v>
      </c>
      <c r="AM47" s="165">
        <v>24.373999999999999</v>
      </c>
      <c r="AN47" s="164">
        <v>0</v>
      </c>
      <c r="AO47" s="164">
        <v>0</v>
      </c>
      <c r="AP47" s="164">
        <v>0</v>
      </c>
      <c r="AQ47" s="164">
        <v>0</v>
      </c>
      <c r="AR47" s="164">
        <v>0</v>
      </c>
      <c r="AS47" s="164">
        <v>0</v>
      </c>
      <c r="AT47" s="164">
        <v>0</v>
      </c>
      <c r="AU47" s="164">
        <v>0</v>
      </c>
      <c r="AV47" s="993"/>
      <c r="AW47" s="993"/>
      <c r="AX47" s="682" t="s">
        <v>3888</v>
      </c>
    </row>
    <row r="48" spans="1:50" ht="12.75" customHeight="1">
      <c r="A48" s="163" t="s">
        <v>349</v>
      </c>
      <c r="B48" s="164">
        <v>0</v>
      </c>
      <c r="C48" s="164">
        <v>0</v>
      </c>
      <c r="D48" s="164">
        <v>0</v>
      </c>
      <c r="E48" s="164">
        <v>0</v>
      </c>
      <c r="F48" s="164">
        <v>0</v>
      </c>
      <c r="G48" s="164">
        <v>0</v>
      </c>
      <c r="H48" s="164">
        <v>0</v>
      </c>
      <c r="I48" s="164">
        <v>0</v>
      </c>
      <c r="J48" s="164">
        <v>0</v>
      </c>
      <c r="K48" s="164">
        <v>0</v>
      </c>
      <c r="L48" s="164">
        <v>0</v>
      </c>
      <c r="M48" s="164">
        <v>0</v>
      </c>
      <c r="N48" s="164">
        <v>0</v>
      </c>
      <c r="O48" s="164">
        <v>0</v>
      </c>
      <c r="P48" s="164">
        <v>0</v>
      </c>
      <c r="Q48" s="164">
        <v>0</v>
      </c>
      <c r="R48" s="164">
        <v>0</v>
      </c>
      <c r="S48" s="164">
        <v>0</v>
      </c>
      <c r="T48" s="164">
        <v>0</v>
      </c>
      <c r="U48" s="164">
        <v>0</v>
      </c>
      <c r="V48" s="164">
        <v>0</v>
      </c>
      <c r="W48" s="164">
        <v>0</v>
      </c>
      <c r="X48" s="164">
        <v>0</v>
      </c>
      <c r="Y48" s="164">
        <v>0</v>
      </c>
      <c r="Z48" s="164">
        <v>0</v>
      </c>
      <c r="AA48" s="164">
        <v>0</v>
      </c>
      <c r="AB48" s="164">
        <v>0</v>
      </c>
      <c r="AC48" s="164">
        <v>0</v>
      </c>
      <c r="AD48" s="164">
        <v>0</v>
      </c>
      <c r="AE48" s="164">
        <v>0</v>
      </c>
      <c r="AF48" s="164">
        <v>0</v>
      </c>
      <c r="AG48" s="164">
        <v>0</v>
      </c>
      <c r="AH48" s="164">
        <v>0</v>
      </c>
      <c r="AI48" s="164">
        <v>0</v>
      </c>
      <c r="AJ48" s="164">
        <v>0</v>
      </c>
      <c r="AK48" s="164">
        <v>0</v>
      </c>
      <c r="AL48" s="164">
        <v>0</v>
      </c>
      <c r="AM48" s="164">
        <v>0</v>
      </c>
      <c r="AN48" s="165">
        <v>7.6040000000000001</v>
      </c>
      <c r="AO48" s="165">
        <v>6.7380000000000004</v>
      </c>
      <c r="AP48" s="165">
        <v>6.5990000000000002</v>
      </c>
      <c r="AQ48" s="165">
        <v>6.4870000000000001</v>
      </c>
      <c r="AR48" s="165">
        <v>5.9880000000000004</v>
      </c>
      <c r="AS48" s="168">
        <v>6.5410000000000004</v>
      </c>
      <c r="AT48" s="165">
        <v>7.0880000000000001</v>
      </c>
      <c r="AU48" s="168">
        <v>8.5370000000000008</v>
      </c>
      <c r="AV48" s="991">
        <v>8.9730000000000008</v>
      </c>
      <c r="AW48" s="991">
        <v>8.3680000000000003</v>
      </c>
      <c r="AX48" s="984" t="s">
        <v>3881</v>
      </c>
    </row>
    <row r="49" spans="1:50" ht="12.75" customHeight="1">
      <c r="A49" s="163" t="s">
        <v>352</v>
      </c>
      <c r="B49" s="164">
        <v>0</v>
      </c>
      <c r="C49" s="164">
        <v>0</v>
      </c>
      <c r="D49" s="164">
        <v>0</v>
      </c>
      <c r="E49" s="164">
        <v>0</v>
      </c>
      <c r="F49" s="164">
        <v>0</v>
      </c>
      <c r="G49" s="164">
        <v>0</v>
      </c>
      <c r="H49" s="164">
        <v>0</v>
      </c>
      <c r="I49" s="164">
        <v>0</v>
      </c>
      <c r="J49" s="164">
        <v>0</v>
      </c>
      <c r="K49" s="164">
        <v>0</v>
      </c>
      <c r="L49" s="164">
        <v>0</v>
      </c>
      <c r="M49" s="164">
        <v>0</v>
      </c>
      <c r="N49" s="164">
        <v>0</v>
      </c>
      <c r="O49" s="164">
        <v>0</v>
      </c>
      <c r="P49" s="164">
        <v>0</v>
      </c>
      <c r="Q49" s="164">
        <v>0</v>
      </c>
      <c r="R49" s="164">
        <v>0</v>
      </c>
      <c r="S49" s="164">
        <v>0</v>
      </c>
      <c r="T49" s="164">
        <v>0</v>
      </c>
      <c r="U49" s="164">
        <v>0</v>
      </c>
      <c r="V49" s="164">
        <v>0</v>
      </c>
      <c r="W49" s="164">
        <v>0</v>
      </c>
      <c r="X49" s="164">
        <v>0</v>
      </c>
      <c r="Y49" s="164">
        <v>0</v>
      </c>
      <c r="Z49" s="164">
        <v>0</v>
      </c>
      <c r="AA49" s="164">
        <v>0</v>
      </c>
      <c r="AB49" s="164">
        <v>0</v>
      </c>
      <c r="AC49" s="164">
        <v>0</v>
      </c>
      <c r="AD49" s="164">
        <v>0</v>
      </c>
      <c r="AE49" s="164">
        <v>0</v>
      </c>
      <c r="AF49" s="164">
        <v>0</v>
      </c>
      <c r="AG49" s="164">
        <v>0</v>
      </c>
      <c r="AH49" s="164">
        <v>0</v>
      </c>
      <c r="AI49" s="164">
        <v>0</v>
      </c>
      <c r="AJ49" s="164">
        <v>0</v>
      </c>
      <c r="AK49" s="164">
        <v>0</v>
      </c>
      <c r="AL49" s="164">
        <v>0</v>
      </c>
      <c r="AM49" s="164">
        <v>0</v>
      </c>
      <c r="AN49" s="165">
        <v>12.426</v>
      </c>
      <c r="AO49" s="165">
        <v>13.897</v>
      </c>
      <c r="AP49" s="165">
        <v>13.715999999999999</v>
      </c>
      <c r="AQ49" s="169">
        <v>14.914</v>
      </c>
      <c r="AR49" s="165">
        <v>14.089</v>
      </c>
      <c r="AS49" s="175">
        <v>13.489000000000001</v>
      </c>
      <c r="AT49" s="169">
        <v>13.510999999999999</v>
      </c>
      <c r="AU49" s="168">
        <v>10.039999999999999</v>
      </c>
      <c r="AV49" s="991">
        <v>9.3840000000000003</v>
      </c>
      <c r="AW49" s="991">
        <v>14</v>
      </c>
      <c r="AX49" s="984" t="s">
        <v>3881</v>
      </c>
    </row>
    <row r="50" spans="1:50" ht="12.75" customHeight="1">
      <c r="A50" s="170" t="s">
        <v>1622</v>
      </c>
      <c r="B50" s="171">
        <f>SUM(B34:B49)</f>
        <v>16.8</v>
      </c>
      <c r="C50" s="171">
        <f t="shared" ref="C50:AR50" si="1">SUM(C34:C49)</f>
        <v>26.7</v>
      </c>
      <c r="D50" s="171">
        <f t="shared" si="1"/>
        <v>21</v>
      </c>
      <c r="E50" s="171">
        <f t="shared" si="1"/>
        <v>24.4</v>
      </c>
      <c r="F50" s="171">
        <f t="shared" si="1"/>
        <v>27.5</v>
      </c>
      <c r="G50" s="171">
        <f t="shared" si="1"/>
        <v>34.800000000000004</v>
      </c>
      <c r="H50" s="171">
        <f t="shared" si="1"/>
        <v>41.3</v>
      </c>
      <c r="I50" s="171">
        <f t="shared" si="1"/>
        <v>47.899999999999991</v>
      </c>
      <c r="J50" s="171">
        <f t="shared" si="1"/>
        <v>63.9</v>
      </c>
      <c r="K50" s="171">
        <f t="shared" si="1"/>
        <v>54.4</v>
      </c>
      <c r="L50" s="171">
        <f t="shared" si="1"/>
        <v>73.100000000000009</v>
      </c>
      <c r="M50" s="171">
        <f t="shared" si="1"/>
        <v>82.2</v>
      </c>
      <c r="N50" s="171">
        <f t="shared" si="1"/>
        <v>82.2</v>
      </c>
      <c r="O50" s="171">
        <f t="shared" si="1"/>
        <v>94.500000000000014</v>
      </c>
      <c r="P50" s="171">
        <f t="shared" si="1"/>
        <v>110.60000000000001</v>
      </c>
      <c r="Q50" s="171">
        <f t="shared" si="1"/>
        <v>117.00000000000001</v>
      </c>
      <c r="R50" s="171">
        <f t="shared" si="1"/>
        <v>130.69999999999999</v>
      </c>
      <c r="S50" s="171">
        <f t="shared" si="1"/>
        <v>126.5</v>
      </c>
      <c r="T50" s="171">
        <f t="shared" si="1"/>
        <v>126.00000000000001</v>
      </c>
      <c r="U50" s="171">
        <f t="shared" si="1"/>
        <v>140.5</v>
      </c>
      <c r="V50" s="171">
        <f t="shared" si="1"/>
        <v>150.19999999999999</v>
      </c>
      <c r="W50" s="171">
        <f t="shared" si="1"/>
        <v>138.19999999999999</v>
      </c>
      <c r="X50" s="171">
        <f t="shared" si="1"/>
        <v>141.30000000000001</v>
      </c>
      <c r="Y50" s="171">
        <f t="shared" si="1"/>
        <v>197.5</v>
      </c>
      <c r="Z50" s="171">
        <f t="shared" si="1"/>
        <v>204.32</v>
      </c>
      <c r="AA50" s="171">
        <f t="shared" si="1"/>
        <v>226.05166699999998</v>
      </c>
      <c r="AB50" s="171">
        <f t="shared" si="1"/>
        <v>225.43297799999999</v>
      </c>
      <c r="AC50" s="171">
        <f t="shared" si="1"/>
        <v>233.85900000000004</v>
      </c>
      <c r="AD50" s="171">
        <f t="shared" si="1"/>
        <v>238.298</v>
      </c>
      <c r="AE50" s="171">
        <f t="shared" si="1"/>
        <v>241.197</v>
      </c>
      <c r="AF50" s="171">
        <f t="shared" si="1"/>
        <v>242.38200000000001</v>
      </c>
      <c r="AG50" s="171">
        <f t="shared" si="1"/>
        <v>221.536</v>
      </c>
      <c r="AH50" s="171">
        <f t="shared" si="1"/>
        <v>211.13800000000001</v>
      </c>
      <c r="AI50" s="171">
        <f t="shared" si="1"/>
        <v>240.79500000000002</v>
      </c>
      <c r="AJ50" s="171">
        <f t="shared" si="1"/>
        <v>235.06299999999999</v>
      </c>
      <c r="AK50" s="171">
        <f t="shared" si="1"/>
        <v>255.94000000000003</v>
      </c>
      <c r="AL50" s="171">
        <f t="shared" si="1"/>
        <v>252.72142732000003</v>
      </c>
      <c r="AM50" s="171">
        <f t="shared" si="1"/>
        <v>262.47400000000005</v>
      </c>
      <c r="AN50" s="171">
        <f t="shared" si="1"/>
        <v>276.00799999999992</v>
      </c>
      <c r="AO50" s="171">
        <f t="shared" si="1"/>
        <v>313.36199999999997</v>
      </c>
      <c r="AP50" s="171">
        <f t="shared" si="1"/>
        <v>318.178</v>
      </c>
      <c r="AQ50" s="171">
        <f t="shared" si="1"/>
        <v>351.50500000000005</v>
      </c>
      <c r="AR50" s="171">
        <f t="shared" si="1"/>
        <v>307.76599999999996</v>
      </c>
      <c r="AS50" s="171">
        <f>SUM(AS34:AS49)</f>
        <v>370.5</v>
      </c>
      <c r="AT50" s="171">
        <f>SUM(AT34:AT49)</f>
        <v>389.55600000000004</v>
      </c>
      <c r="AU50" s="171">
        <f>SUM(AU34:AU49)</f>
        <v>470.291</v>
      </c>
      <c r="AV50" s="172">
        <f>SUM(AV34:AV49)</f>
        <v>454.89600000000007</v>
      </c>
      <c r="AW50" s="172">
        <f>SUM(AW34:AW49)</f>
        <v>453.21100000000001</v>
      </c>
      <c r="AX50" s="683"/>
    </row>
  </sheetData>
  <mergeCells count="2">
    <mergeCell ref="A1:F1"/>
    <mergeCell ref="A2:B2"/>
  </mergeCells>
  <conditionalFormatting sqref="A30:AW30">
    <cfRule type="cellIs" dxfId="137" priority="89" operator="equal">
      <formula>0</formula>
    </cfRule>
  </conditionalFormatting>
  <conditionalFormatting sqref="A50:AW50">
    <cfRule type="cellIs" dxfId="136" priority="4" operator="equal">
      <formula>0</formula>
    </cfRule>
  </conditionalFormatting>
  <conditionalFormatting sqref="B8">
    <cfRule type="cellIs" dxfId="135" priority="133" operator="equal">
      <formula>0</formula>
    </cfRule>
    <cfRule type="cellIs" dxfId="134" priority="132" operator="equal">
      <formula>0</formula>
    </cfRule>
    <cfRule type="cellIs" dxfId="133" priority="131" operator="equal">
      <formula>0</formula>
    </cfRule>
  </conditionalFormatting>
  <conditionalFormatting sqref="B11">
    <cfRule type="cellIs" dxfId="132" priority="186" operator="equal">
      <formula>0</formula>
    </cfRule>
    <cfRule type="cellIs" dxfId="131" priority="185" operator="equal">
      <formula>0</formula>
    </cfRule>
  </conditionalFormatting>
  <conditionalFormatting sqref="B29">
    <cfRule type="cellIs" dxfId="130" priority="93" operator="equal">
      <formula>0</formula>
    </cfRule>
  </conditionalFormatting>
  <conditionalFormatting sqref="B42:B45">
    <cfRule type="cellIs" dxfId="129" priority="23" operator="equal">
      <formula>0</formula>
    </cfRule>
    <cfRule type="cellIs" dxfId="128" priority="24" operator="equal">
      <formula>0</formula>
    </cfRule>
  </conditionalFormatting>
  <conditionalFormatting sqref="B4:C5">
    <cfRule type="cellIs" dxfId="127" priority="177" operator="equal">
      <formula>0</formula>
    </cfRule>
    <cfRule type="cellIs" dxfId="126" priority="178" operator="equal">
      <formula>0</formula>
    </cfRule>
  </conditionalFormatting>
  <conditionalFormatting sqref="B4:C6">
    <cfRule type="cellIs" dxfId="125" priority="205" operator="equal">
      <formula>0</formula>
    </cfRule>
    <cfRule type="cellIs" dxfId="124" priority="206" operator="equal">
      <formula>0</formula>
    </cfRule>
  </conditionalFormatting>
  <conditionalFormatting sqref="B9:C9">
    <cfRule type="cellIs" dxfId="123" priority="137" operator="equal">
      <formula>0</formula>
    </cfRule>
    <cfRule type="cellIs" dxfId="122" priority="138" operator="equal">
      <formula>0</formula>
    </cfRule>
    <cfRule type="cellIs" dxfId="121" priority="136" operator="equal">
      <formula>0</formula>
    </cfRule>
    <cfRule type="cellIs" dxfId="120" priority="135" operator="equal">
      <formula>0</formula>
    </cfRule>
  </conditionalFormatting>
  <conditionalFormatting sqref="B20:C21">
    <cfRule type="cellIs" dxfId="119" priority="118" operator="equal">
      <formula>0</formula>
    </cfRule>
    <cfRule type="cellIs" dxfId="118" priority="117" operator="equal">
      <formula>0</formula>
    </cfRule>
  </conditionalFormatting>
  <conditionalFormatting sqref="B12:D12">
    <cfRule type="cellIs" dxfId="117" priority="188" operator="equal">
      <formula>0</formula>
    </cfRule>
    <cfRule type="cellIs" dxfId="116" priority="187" operator="equal">
      <formula>0</formula>
    </cfRule>
  </conditionalFormatting>
  <conditionalFormatting sqref="B34:E36">
    <cfRule type="cellIs" dxfId="115" priority="42" operator="equal">
      <formula>0</formula>
    </cfRule>
    <cfRule type="cellIs" dxfId="114" priority="41" operator="equal">
      <formula>0</formula>
    </cfRule>
  </conditionalFormatting>
  <conditionalFormatting sqref="B26:J27">
    <cfRule type="cellIs" dxfId="113" priority="99" operator="equal">
      <formula>0</formula>
    </cfRule>
    <cfRule type="cellIs" dxfId="112" priority="100" operator="equal">
      <formula>0</formula>
    </cfRule>
  </conditionalFormatting>
  <conditionalFormatting sqref="B15:M15 H16:Q16">
    <cfRule type="cellIs" dxfId="111" priority="189" operator="equal">
      <formula>0</formula>
    </cfRule>
  </conditionalFormatting>
  <conditionalFormatting sqref="B15:M15 H16:AN16">
    <cfRule type="cellIs" dxfId="110" priority="190" operator="equal">
      <formula>0</formula>
    </cfRule>
  </conditionalFormatting>
  <conditionalFormatting sqref="B39:Z39">
    <cfRule type="cellIs" dxfId="109" priority="29" operator="equal">
      <formula>0</formula>
    </cfRule>
    <cfRule type="cellIs" dxfId="108" priority="30" operator="equal">
      <formula>0</formula>
    </cfRule>
  </conditionalFormatting>
  <conditionalFormatting sqref="B41:AK41">
    <cfRule type="cellIs" dxfId="107" priority="27" operator="equal">
      <formula>0</formula>
    </cfRule>
    <cfRule type="cellIs" dxfId="106" priority="26" operator="equal">
      <formula>0</formula>
    </cfRule>
  </conditionalFormatting>
  <conditionalFormatting sqref="B6:AM6">
    <cfRule type="cellIs" dxfId="105" priority="179" operator="equal">
      <formula>0</formula>
    </cfRule>
  </conditionalFormatting>
  <conditionalFormatting sqref="B10:AM11">
    <cfRule type="cellIs" dxfId="104" priority="246" operator="equal">
      <formula>0</formula>
    </cfRule>
  </conditionalFormatting>
  <conditionalFormatting sqref="B22:AM22">
    <cfRule type="cellIs" dxfId="103" priority="120" operator="equal">
      <formula>0</formula>
    </cfRule>
  </conditionalFormatting>
  <conditionalFormatting sqref="B24:AM24">
    <cfRule type="cellIs" dxfId="102" priority="108" operator="equal">
      <formula>0</formula>
    </cfRule>
  </conditionalFormatting>
  <conditionalFormatting sqref="B38:AM38">
    <cfRule type="cellIs" dxfId="101" priority="32" operator="equal">
      <formula>0</formula>
    </cfRule>
    <cfRule type="cellIs" dxfId="100" priority="33" operator="equal">
      <formula>0</formula>
    </cfRule>
  </conditionalFormatting>
  <conditionalFormatting sqref="B48:AM49">
    <cfRule type="cellIs" dxfId="99" priority="5" operator="equal">
      <formula>0</formula>
    </cfRule>
  </conditionalFormatting>
  <conditionalFormatting sqref="B6:AN7">
    <cfRule type="cellIs" dxfId="98" priority="180" operator="equal">
      <formula>0</formula>
    </cfRule>
  </conditionalFormatting>
  <conditionalFormatting sqref="B8:AN8">
    <cfRule type="cellIs" dxfId="97" priority="134" operator="equal">
      <formula>0</formula>
    </cfRule>
  </conditionalFormatting>
  <conditionalFormatting sqref="B15:AN15 B19:AN19">
    <cfRule type="cellIs" dxfId="96" priority="280" operator="equal">
      <formula>0</formula>
    </cfRule>
  </conditionalFormatting>
  <conditionalFormatting sqref="B22:AN22">
    <cfRule type="cellIs" dxfId="95" priority="121" operator="equal">
      <formula>0</formula>
    </cfRule>
  </conditionalFormatting>
  <conditionalFormatting sqref="B34:AN41 C42:AN43">
    <cfRule type="cellIs" dxfId="94" priority="85" operator="equal">
      <formula>0</formula>
    </cfRule>
  </conditionalFormatting>
  <conditionalFormatting sqref="B12:AR13">
    <cfRule type="cellIs" dxfId="93" priority="265" operator="equal">
      <formula>0</formula>
    </cfRule>
  </conditionalFormatting>
  <conditionalFormatting sqref="B24:AR24">
    <cfRule type="cellIs" dxfId="92" priority="109" operator="equal">
      <formula>0</formula>
    </cfRule>
  </conditionalFormatting>
  <conditionalFormatting sqref="B29:AR29">
    <cfRule type="cellIs" dxfId="91" priority="94" operator="equal">
      <formula>0</formula>
    </cfRule>
  </conditionalFormatting>
  <conditionalFormatting sqref="B48:AR49">
    <cfRule type="cellIs" dxfId="90" priority="6" operator="equal">
      <formula>0</formula>
    </cfRule>
  </conditionalFormatting>
  <conditionalFormatting sqref="B23:AS23">
    <cfRule type="cellIs" dxfId="89" priority="124" operator="equal">
      <formula>0</formula>
    </cfRule>
  </conditionalFormatting>
  <conditionalFormatting sqref="B25:AS25">
    <cfRule type="cellIs" dxfId="88" priority="106" operator="equal">
      <formula>0</formula>
    </cfRule>
  </conditionalFormatting>
  <conditionalFormatting sqref="B14:AU14">
    <cfRule type="cellIs" dxfId="87" priority="130" operator="equal">
      <formula>0</formula>
    </cfRule>
  </conditionalFormatting>
  <conditionalFormatting sqref="B28:AW28">
    <cfRule type="cellIs" dxfId="86" priority="144" operator="equal">
      <formula>0</formula>
    </cfRule>
  </conditionalFormatting>
  <conditionalFormatting sqref="B46:AW47">
    <cfRule type="cellIs" dxfId="85" priority="9" operator="equal">
      <formula>0</formula>
    </cfRule>
  </conditionalFormatting>
  <conditionalFormatting sqref="C43:K43">
    <cfRule type="cellIs" dxfId="84" priority="21" operator="equal">
      <formula>0</formula>
    </cfRule>
    <cfRule type="cellIs" dxfId="83" priority="20" operator="equal">
      <formula>0</formula>
    </cfRule>
  </conditionalFormatting>
  <conditionalFormatting sqref="C45:AM45">
    <cfRule type="cellIs" dxfId="82" priority="17" operator="equal">
      <formula>0</formula>
    </cfRule>
  </conditionalFormatting>
  <conditionalFormatting sqref="C45:AR45">
    <cfRule type="cellIs" dxfId="81" priority="18" operator="equal">
      <formula>0</formula>
    </cfRule>
  </conditionalFormatting>
  <conditionalFormatting sqref="C44:AW44">
    <cfRule type="cellIs" dxfId="80" priority="15" operator="equal">
      <formula>0</formula>
    </cfRule>
  </conditionalFormatting>
  <conditionalFormatting sqref="D21:K21">
    <cfRule type="cellIs" dxfId="79" priority="114" operator="equal">
      <formula>0</formula>
    </cfRule>
  </conditionalFormatting>
  <conditionalFormatting sqref="D6:N6">
    <cfRule type="cellIs" dxfId="78" priority="204" operator="equal">
      <formula>0</formula>
    </cfRule>
    <cfRule type="cellIs" dxfId="77" priority="203" operator="equal">
      <formula>0</formula>
    </cfRule>
  </conditionalFormatting>
  <conditionalFormatting sqref="D4:AA4">
    <cfRule type="cellIs" dxfId="76" priority="173" operator="equal">
      <formula>0</formula>
    </cfRule>
    <cfRule type="cellIs" dxfId="75" priority="174" operator="equal">
      <formula>0</formula>
    </cfRule>
    <cfRule type="cellIs" dxfId="74" priority="175" operator="equal">
      <formula>0</formula>
    </cfRule>
  </conditionalFormatting>
  <conditionalFormatting sqref="D9:AM9">
    <cfRule type="cellIs" dxfId="73" priority="172" operator="equal">
      <formula>0</formula>
    </cfRule>
  </conditionalFormatting>
  <conditionalFormatting sqref="D4:AN5">
    <cfRule type="cellIs" dxfId="72" priority="176" operator="equal">
      <formula>0</formula>
    </cfRule>
  </conditionalFormatting>
  <conditionalFormatting sqref="D21:AN21">
    <cfRule type="cellIs" dxfId="71" priority="115" operator="equal">
      <formula>0</formula>
    </cfRule>
  </conditionalFormatting>
  <conditionalFormatting sqref="D20:AW20">
    <cfRule type="cellIs" dxfId="70" priority="156" operator="equal">
      <formula>0</formula>
    </cfRule>
  </conditionalFormatting>
  <conditionalFormatting sqref="F35:AK36">
    <cfRule type="cellIs" dxfId="69" priority="39" operator="equal">
      <formula>0</formula>
    </cfRule>
    <cfRule type="cellIs" dxfId="68" priority="38" operator="equal">
      <formula>0</formula>
    </cfRule>
  </conditionalFormatting>
  <conditionalFormatting sqref="I15:M16 B15:H18 B16:Q17 R17:AT17">
    <cfRule type="cellIs" dxfId="67" priority="192" operator="equal">
      <formula>0</formula>
    </cfRule>
  </conditionalFormatting>
  <conditionalFormatting sqref="I15:M16 B15:H18 N16:Q17 R17:AT17">
    <cfRule type="cellIs" dxfId="66" priority="191" operator="equal">
      <formula>0</formula>
    </cfRule>
  </conditionalFormatting>
  <conditionalFormatting sqref="I18:M18">
    <cfRule type="cellIs" dxfId="65" priority="111" operator="equal">
      <formula>0</formula>
    </cfRule>
  </conditionalFormatting>
  <conditionalFormatting sqref="I18:AN18">
    <cfRule type="cellIs" dxfId="64" priority="112" operator="equal">
      <formula>0</formula>
    </cfRule>
  </conditionalFormatting>
  <conditionalFormatting sqref="K26:L26">
    <cfRule type="cellIs" dxfId="63" priority="97" operator="equal">
      <formula>0</formula>
    </cfRule>
    <cfRule type="cellIs" dxfId="62" priority="96" operator="equal">
      <formula>0</formula>
    </cfRule>
  </conditionalFormatting>
  <conditionalFormatting sqref="K27:AR27">
    <cfRule type="cellIs" dxfId="61" priority="249" operator="equal">
      <formula>0</formula>
    </cfRule>
  </conditionalFormatting>
  <conditionalFormatting sqref="N17">
    <cfRule type="cellIs" dxfId="60" priority="183" operator="equal">
      <formula>0</formula>
    </cfRule>
    <cfRule type="cellIs" dxfId="59" priority="184" operator="equal">
      <formula>0</formula>
    </cfRule>
  </conditionalFormatting>
  <conditionalFormatting sqref="N9:AM9 AN9:AU11">
    <cfRule type="cellIs" dxfId="58" priority="140" operator="equal">
      <formula>0</formula>
    </cfRule>
    <cfRule type="cellIs" dxfId="57" priority="139" operator="equal">
      <formula>0</formula>
    </cfRule>
  </conditionalFormatting>
  <conditionalFormatting sqref="N9:AM9">
    <cfRule type="cellIs" dxfId="56" priority="169" operator="equal">
      <formula>0</formula>
    </cfRule>
    <cfRule type="cellIs" dxfId="55" priority="170" operator="equal">
      <formula>0</formula>
    </cfRule>
    <cfRule type="cellIs" dxfId="54" priority="171" operator="equal">
      <formula>0</formula>
    </cfRule>
  </conditionalFormatting>
  <conditionalFormatting sqref="N25:AS25">
    <cfRule type="cellIs" dxfId="53" priority="105" operator="equal">
      <formula>0</formula>
    </cfRule>
  </conditionalFormatting>
  <conditionalFormatting sqref="N17:AU17">
    <cfRule type="cellIs" dxfId="52" priority="127" operator="equal">
      <formula>0</formula>
    </cfRule>
    <cfRule type="cellIs" dxfId="51" priority="128" operator="equal">
      <formula>0</formula>
    </cfRule>
    <cfRule type="cellIs" dxfId="50" priority="159" operator="equal">
      <formula>0</formula>
    </cfRule>
  </conditionalFormatting>
  <conditionalFormatting sqref="N17:AW17">
    <cfRule type="cellIs" dxfId="49" priority="160" operator="equal">
      <formula>0</formula>
    </cfRule>
  </conditionalFormatting>
  <conditionalFormatting sqref="R11:AM11">
    <cfRule type="cellIs" dxfId="48" priority="202" operator="equal">
      <formula>0</formula>
    </cfRule>
    <cfRule type="cellIs" dxfId="47" priority="201" operator="equal">
      <formula>0</formula>
    </cfRule>
  </conditionalFormatting>
  <conditionalFormatting sqref="Z28:AS28">
    <cfRule type="cellIs" dxfId="46" priority="91" operator="equal">
      <formula>0</formula>
    </cfRule>
    <cfRule type="cellIs" dxfId="45" priority="90" operator="equal">
      <formula>0</formula>
    </cfRule>
  </conditionalFormatting>
  <conditionalFormatting sqref="AA14:AU14">
    <cfRule type="cellIs" dxfId="44" priority="129" operator="equal">
      <formula>0</formula>
    </cfRule>
  </conditionalFormatting>
  <conditionalFormatting sqref="AH44:AU44">
    <cfRule type="cellIs" dxfId="43" priority="14" operator="equal">
      <formula>0</formula>
    </cfRule>
  </conditionalFormatting>
  <conditionalFormatting sqref="AL36:AM36">
    <cfRule type="cellIs" dxfId="42" priority="36" operator="equal">
      <formula>0</formula>
    </cfRule>
    <cfRule type="cellIs" dxfId="41" priority="35" operator="equal">
      <formula>0</formula>
    </cfRule>
  </conditionalFormatting>
  <conditionalFormatting sqref="AN23:AS23">
    <cfRule type="cellIs" dxfId="40" priority="123" operator="equal">
      <formula>0</formula>
    </cfRule>
  </conditionalFormatting>
  <conditionalFormatting sqref="AN20:AU20">
    <cfRule type="cellIs" dxfId="39" priority="155" operator="equal">
      <formula>0</formula>
    </cfRule>
  </conditionalFormatting>
  <conditionalFormatting sqref="AN46:AU47">
    <cfRule type="cellIs" dxfId="38" priority="8" operator="equal">
      <formula>0</formula>
    </cfRule>
  </conditionalFormatting>
  <conditionalFormatting sqref="AO18:AP19">
    <cfRule type="cellIs" dxfId="37" priority="258" operator="equal">
      <formula>0</formula>
    </cfRule>
  </conditionalFormatting>
  <conditionalFormatting sqref="AO21:AP22">
    <cfRule type="cellIs" dxfId="36" priority="254" operator="equal">
      <formula>0</formula>
    </cfRule>
  </conditionalFormatting>
  <conditionalFormatting sqref="AO4:AR8">
    <cfRule type="cellIs" dxfId="35" priority="269" operator="equal">
      <formula>0</formula>
    </cfRule>
  </conditionalFormatting>
  <conditionalFormatting sqref="AO15:AR16">
    <cfRule type="cellIs" dxfId="34" priority="261" operator="equal">
      <formula>0</formula>
    </cfRule>
  </conditionalFormatting>
  <conditionalFormatting sqref="AO34:AR43">
    <cfRule type="cellIs" dxfId="33" priority="63" operator="equal">
      <formula>0</formula>
    </cfRule>
  </conditionalFormatting>
  <conditionalFormatting sqref="AQ18:AR22">
    <cfRule type="cellIs" dxfId="32" priority="244" operator="equal">
      <formula>0</formula>
    </cfRule>
  </conditionalFormatting>
  <conditionalFormatting sqref="AT34:AT43">
    <cfRule type="cellIs" dxfId="31" priority="47" operator="equal">
      <formula>0</formula>
    </cfRule>
  </conditionalFormatting>
  <conditionalFormatting sqref="AT45">
    <cfRule type="cellIs" dxfId="30" priority="46" operator="equal">
      <formula>0</formula>
    </cfRule>
  </conditionalFormatting>
  <conditionalFormatting sqref="AT48:AT49">
    <cfRule type="cellIs" dxfId="29" priority="44" operator="equal">
      <formula>0</formula>
    </cfRule>
  </conditionalFormatting>
  <conditionalFormatting sqref="AT23:AU23">
    <cfRule type="cellIs" dxfId="28" priority="151" operator="equal">
      <formula>0</formula>
    </cfRule>
  </conditionalFormatting>
  <conditionalFormatting sqref="AT25:AU26 K26:AS26">
    <cfRule type="cellIs" dxfId="27" priority="103" operator="equal">
      <formula>0</formula>
    </cfRule>
  </conditionalFormatting>
  <conditionalFormatting sqref="AT25:AU26 W26:AS26">
    <cfRule type="cellIs" dxfId="26" priority="102" operator="equal">
      <formula>0</formula>
    </cfRule>
  </conditionalFormatting>
  <conditionalFormatting sqref="AT28:AU28">
    <cfRule type="cellIs" dxfId="25" priority="143" operator="equal">
      <formula>0</formula>
    </cfRule>
  </conditionalFormatting>
  <conditionalFormatting sqref="AT4:AW8">
    <cfRule type="cellIs" dxfId="24" priority="219" operator="equal">
      <formula>0</formula>
    </cfRule>
  </conditionalFormatting>
  <conditionalFormatting sqref="AT12:AW13">
    <cfRule type="cellIs" dxfId="23" priority="217" operator="equal">
      <formula>0</formula>
    </cfRule>
  </conditionalFormatting>
  <conditionalFormatting sqref="AT15:AW16">
    <cfRule type="cellIs" dxfId="22" priority="215" operator="equal">
      <formula>0</formula>
    </cfRule>
  </conditionalFormatting>
  <conditionalFormatting sqref="AT18:AW19">
    <cfRule type="cellIs" dxfId="21" priority="213" operator="equal">
      <formula>0</formula>
    </cfRule>
  </conditionalFormatting>
  <conditionalFormatting sqref="AT21:AW24">
    <cfRule type="cellIs" dxfId="20" priority="152" operator="equal">
      <formula>0</formula>
    </cfRule>
  </conditionalFormatting>
  <conditionalFormatting sqref="AT27:AW27">
    <cfRule type="cellIs" dxfId="19" priority="209" operator="equal">
      <formula>0</formula>
    </cfRule>
  </conditionalFormatting>
  <conditionalFormatting sqref="AT29:AW29">
    <cfRule type="cellIs" dxfId="18" priority="208" operator="equal">
      <formula>0</formula>
    </cfRule>
  </conditionalFormatting>
  <conditionalFormatting sqref="AU9:AU11">
    <cfRule type="cellIs" dxfId="17" priority="167" operator="equal">
      <formula>0</formula>
    </cfRule>
  </conditionalFormatting>
  <conditionalFormatting sqref="AU14">
    <cfRule type="cellIs" dxfId="16" priority="163" operator="equal">
      <formula>0</formula>
    </cfRule>
  </conditionalFormatting>
  <conditionalFormatting sqref="AU20">
    <cfRule type="cellIs" dxfId="15" priority="154" operator="equal">
      <formula>0</formula>
    </cfRule>
    <cfRule type="cellIs" dxfId="14" priority="153" operator="equal">
      <formula>0</formula>
    </cfRule>
  </conditionalFormatting>
  <conditionalFormatting sqref="AU23">
    <cfRule type="cellIs" dxfId="13" priority="150" operator="equal">
      <formula>0</formula>
    </cfRule>
    <cfRule type="cellIs" dxfId="12" priority="149" operator="equal">
      <formula>0</formula>
    </cfRule>
  </conditionalFormatting>
  <conditionalFormatting sqref="AU25:AU26">
    <cfRule type="cellIs" dxfId="11" priority="147" operator="equal">
      <formula>0</formula>
    </cfRule>
  </conditionalFormatting>
  <conditionalFormatting sqref="AU28">
    <cfRule type="cellIs" dxfId="10" priority="141" operator="equal">
      <formula>0</formula>
    </cfRule>
    <cfRule type="cellIs" dxfId="9" priority="142" operator="equal">
      <formula>0</formula>
    </cfRule>
  </conditionalFormatting>
  <conditionalFormatting sqref="AU9:AW11">
    <cfRule type="cellIs" dxfId="8" priority="168" operator="equal">
      <formula>0</formula>
    </cfRule>
  </conditionalFormatting>
  <conditionalFormatting sqref="AU14:AW14">
    <cfRule type="cellIs" dxfId="7" priority="164" operator="equal">
      <formula>0</formula>
    </cfRule>
  </conditionalFormatting>
  <conditionalFormatting sqref="AU25:AW26">
    <cfRule type="cellIs" dxfId="6" priority="148" operator="equal">
      <formula>0</formula>
    </cfRule>
  </conditionalFormatting>
  <conditionalFormatting sqref="AV30:AW30">
    <cfRule type="cellIs" dxfId="5" priority="88" operator="equal">
      <formula>0</formula>
    </cfRule>
    <cfRule type="cellIs" dxfId="4" priority="86" operator="equal">
      <formula>0</formula>
    </cfRule>
    <cfRule type="cellIs" dxfId="3" priority="87" operator="equal">
      <formula>0</formula>
    </cfRule>
  </conditionalFormatting>
  <conditionalFormatting sqref="AV50:AW50">
    <cfRule type="cellIs" dxfId="2" priority="1" operator="equal">
      <formula>0</formula>
    </cfRule>
    <cfRule type="cellIs" dxfId="1" priority="3" operator="equal">
      <formula>0</formula>
    </cfRule>
    <cfRule type="cellIs" dxfId="0" priority="2" operator="equal">
      <formula>0</formula>
    </cfRule>
  </conditionalFormatting>
  <pageMargins left="0.7" right="0.7" top="0.75" bottom="0.75" header="0.3" footer="0.3"/>
  <headerFooter>
    <oddHeader>&amp;C&amp;"Calibri"&amp;12&amp;KC00000 OFFICIAL&amp;1#_x000D_</oddHeader>
    <oddFooter>&amp;C_x000D_&amp;1#&amp;"Calibri"&amp;12&amp;KC00000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FB83F-2166-4CA1-A653-943C66A38E39}">
  <sheetPr>
    <tabColor rgb="FF005677"/>
    <pageSetUpPr fitToPage="1"/>
  </sheetPr>
  <dimension ref="A1:BM186"/>
  <sheetViews>
    <sheetView showGridLines="0" zoomScale="90" zoomScaleNormal="90" workbookViewId="0"/>
  </sheetViews>
  <sheetFormatPr defaultColWidth="0" defaultRowHeight="12.75"/>
  <cols>
    <col min="1" max="1" width="3" style="1" customWidth="1"/>
    <col min="2" max="2" width="10.85546875" style="1" customWidth="1"/>
    <col min="3" max="5" width="9.140625" style="1" customWidth="1"/>
    <col min="6" max="6" width="26" style="1" customWidth="1"/>
    <col min="7" max="7" width="177.85546875" style="1" customWidth="1"/>
    <col min="8" max="16384" width="9.140625" style="1" hidden="1"/>
  </cols>
  <sheetData>
    <row r="1" spans="2:10" s="22" customFormat="1" ht="30" customHeight="1">
      <c r="B1" s="1060" t="s">
        <v>3889</v>
      </c>
      <c r="C1" s="1060"/>
      <c r="D1" s="1060"/>
      <c r="E1" s="1060"/>
      <c r="F1" s="1060"/>
      <c r="G1" s="1060"/>
    </row>
    <row r="2" spans="2:10" ht="16.5" customHeight="1">
      <c r="B2" s="227"/>
      <c r="C2" s="227"/>
      <c r="D2" s="227"/>
      <c r="E2" s="227"/>
      <c r="F2" s="227"/>
      <c r="G2" s="227"/>
    </row>
    <row r="3" spans="2:10" ht="16.5" customHeight="1">
      <c r="B3" s="1061" t="s">
        <v>3890</v>
      </c>
      <c r="C3" s="1061"/>
      <c r="D3" s="1061"/>
      <c r="E3" s="1061"/>
      <c r="F3" s="1061"/>
      <c r="G3" s="1061"/>
    </row>
    <row r="4" spans="2:10" ht="30.6" customHeight="1">
      <c r="B4" s="1003" t="s">
        <v>3891</v>
      </c>
      <c r="C4" s="1003"/>
      <c r="D4" s="1003"/>
      <c r="E4" s="1003"/>
      <c r="F4" s="1003"/>
      <c r="G4" s="1003"/>
    </row>
    <row r="5" spans="2:10" ht="15.75" customHeight="1">
      <c r="B5" s="228" t="s">
        <v>3892</v>
      </c>
      <c r="C5" s="1062" t="s">
        <v>3893</v>
      </c>
      <c r="D5" s="1062"/>
      <c r="E5" s="1062"/>
      <c r="F5" s="1062"/>
      <c r="G5" s="1062"/>
    </row>
    <row r="6" spans="2:10" ht="14.25" customHeight="1">
      <c r="B6" s="228" t="s">
        <v>3892</v>
      </c>
      <c r="C6" s="1062" t="s">
        <v>3894</v>
      </c>
      <c r="D6" s="1062"/>
      <c r="E6" s="1062"/>
      <c r="F6" s="1062"/>
      <c r="G6" s="1062"/>
    </row>
    <row r="7" spans="2:10" ht="14.25" customHeight="1">
      <c r="B7" s="228" t="s">
        <v>3892</v>
      </c>
      <c r="C7" s="1062" t="s">
        <v>3895</v>
      </c>
      <c r="D7" s="1062"/>
      <c r="E7" s="1062"/>
      <c r="F7" s="1062"/>
      <c r="G7" s="1062"/>
    </row>
    <row r="8" spans="2:10" ht="14.25" customHeight="1">
      <c r="B8" s="228" t="s">
        <v>3892</v>
      </c>
      <c r="C8" s="1062" t="s">
        <v>3896</v>
      </c>
      <c r="D8" s="1062"/>
      <c r="E8" s="1062"/>
      <c r="F8" s="1062"/>
      <c r="G8" s="1062"/>
    </row>
    <row r="9" spans="2:10" ht="14.25" customHeight="1">
      <c r="B9" s="228" t="s">
        <v>3892</v>
      </c>
      <c r="C9" s="1062" t="s">
        <v>3897</v>
      </c>
      <c r="D9" s="1062"/>
      <c r="E9" s="1062"/>
      <c r="F9" s="1062"/>
      <c r="G9" s="1062"/>
    </row>
    <row r="10" spans="2:10" ht="14.25" customHeight="1">
      <c r="B10" s="228" t="s">
        <v>3892</v>
      </c>
      <c r="C10" s="1062" t="s">
        <v>3898</v>
      </c>
      <c r="D10" s="1062"/>
      <c r="E10" s="1062"/>
      <c r="F10" s="1062"/>
      <c r="G10" s="1062"/>
    </row>
    <row r="11" spans="2:10" ht="14.25" customHeight="1">
      <c r="B11" s="228" t="s">
        <v>3892</v>
      </c>
      <c r="C11" s="1062" t="s">
        <v>3899</v>
      </c>
      <c r="D11" s="1062"/>
      <c r="E11" s="1062"/>
      <c r="F11" s="1062"/>
      <c r="G11" s="1062"/>
    </row>
    <row r="12" spans="2:10" ht="18" customHeight="1">
      <c r="B12" s="320" t="s">
        <v>3900</v>
      </c>
      <c r="C12" s="782" t="s">
        <v>3901</v>
      </c>
      <c r="D12" s="322"/>
      <c r="E12" s="322"/>
      <c r="F12" s="323"/>
      <c r="G12" s="324"/>
    </row>
    <row r="13" spans="2:10" s="230" customFormat="1" ht="15">
      <c r="B13" s="1057"/>
      <c r="C13" s="1057"/>
      <c r="D13" s="1057"/>
      <c r="E13" s="1057"/>
      <c r="F13" s="1057"/>
      <c r="G13" s="1057"/>
      <c r="H13" s="229"/>
      <c r="I13" s="229"/>
      <c r="J13" s="229"/>
    </row>
    <row r="14" spans="2:10" ht="14.25" customHeight="1">
      <c r="B14" s="1058" t="s">
        <v>3902</v>
      </c>
      <c r="C14" s="1059"/>
      <c r="D14" s="1059"/>
      <c r="E14" s="1059"/>
      <c r="F14" s="1059"/>
      <c r="G14" s="1059"/>
    </row>
    <row r="15" spans="2:10" ht="14.25">
      <c r="B15" s="1003" t="s">
        <v>3903</v>
      </c>
      <c r="C15" s="1003"/>
      <c r="D15" s="1003"/>
      <c r="E15" s="1003"/>
      <c r="F15" s="1003"/>
      <c r="G15" s="1003"/>
    </row>
    <row r="16" spans="2:10" s="216" customFormat="1" ht="67.5" customHeight="1">
      <c r="B16" s="1003" t="s">
        <v>3904</v>
      </c>
      <c r="C16" s="1003"/>
      <c r="D16" s="1003"/>
      <c r="E16" s="1003"/>
      <c r="F16" s="1003"/>
      <c r="G16" s="1003"/>
    </row>
    <row r="17" spans="2:10" s="231" customFormat="1" ht="18" customHeight="1">
      <c r="B17" s="1066" t="s">
        <v>3905</v>
      </c>
      <c r="C17" s="1066"/>
      <c r="D17" s="1066"/>
      <c r="E17" s="1066"/>
      <c r="F17" s="1066"/>
      <c r="G17" s="1066"/>
    </row>
    <row r="18" spans="2:10" s="216" customFormat="1" ht="15">
      <c r="B18" s="232" t="s">
        <v>3892</v>
      </c>
      <c r="C18" s="1063" t="s">
        <v>3906</v>
      </c>
      <c r="D18" s="1063"/>
      <c r="E18" s="1063"/>
      <c r="F18" s="1063"/>
      <c r="G18" s="1063"/>
    </row>
    <row r="19" spans="2:10" s="216" customFormat="1" ht="15">
      <c r="B19" s="232" t="s">
        <v>3892</v>
      </c>
      <c r="C19" s="1063" t="s">
        <v>3907</v>
      </c>
      <c r="D19" s="1063"/>
      <c r="E19" s="1063"/>
      <c r="F19" s="1063"/>
      <c r="G19" s="1063"/>
    </row>
    <row r="20" spans="2:10" s="216" customFormat="1" ht="15">
      <c r="B20" s="232" t="s">
        <v>3892</v>
      </c>
      <c r="C20" s="1063" t="s">
        <v>3908</v>
      </c>
      <c r="D20" s="1063"/>
      <c r="E20" s="1063"/>
      <c r="F20" s="1063"/>
      <c r="G20" s="1063"/>
    </row>
    <row r="21" spans="2:10" s="216" customFormat="1" ht="15">
      <c r="B21" s="232" t="s">
        <v>3892</v>
      </c>
      <c r="C21" s="1063" t="s">
        <v>3909</v>
      </c>
      <c r="D21" s="1063"/>
      <c r="E21" s="1063"/>
      <c r="F21" s="1063"/>
      <c r="G21" s="1063"/>
    </row>
    <row r="22" spans="2:10" s="216" customFormat="1" ht="15">
      <c r="B22" s="232" t="s">
        <v>3892</v>
      </c>
      <c r="C22" s="1063" t="s">
        <v>3910</v>
      </c>
      <c r="D22" s="1063"/>
      <c r="E22" s="1063"/>
      <c r="F22" s="1063"/>
      <c r="G22" s="1063"/>
    </row>
    <row r="23" spans="2:10" s="216" customFormat="1" ht="14.25">
      <c r="B23" s="1003" t="s">
        <v>3911</v>
      </c>
      <c r="C23" s="1003"/>
      <c r="D23" s="1003"/>
      <c r="E23" s="1003"/>
      <c r="F23" s="1003"/>
      <c r="G23" s="1003"/>
    </row>
    <row r="24" spans="2:10" s="216" customFormat="1" ht="56.25" customHeight="1">
      <c r="B24" s="1003" t="s">
        <v>3912</v>
      </c>
      <c r="C24" s="1003"/>
      <c r="D24" s="1003"/>
      <c r="E24" s="1003"/>
      <c r="F24" s="1003"/>
      <c r="G24" s="1003"/>
    </row>
    <row r="25" spans="2:10" s="216" customFormat="1" ht="18" customHeight="1">
      <c r="B25" s="325" t="s">
        <v>3900</v>
      </c>
      <c r="C25" s="1064" t="s">
        <v>3913</v>
      </c>
      <c r="D25" s="1064"/>
      <c r="E25" s="1064"/>
      <c r="F25" s="1064"/>
      <c r="G25" s="1064"/>
    </row>
    <row r="26" spans="2:10" s="235" customFormat="1" ht="17.25" customHeight="1">
      <c r="B26" s="1065"/>
      <c r="C26" s="1065"/>
      <c r="D26" s="1065"/>
      <c r="E26" s="1065"/>
      <c r="F26" s="1065"/>
      <c r="G26" s="1065"/>
      <c r="H26" s="234"/>
      <c r="I26" s="234"/>
      <c r="J26" s="234"/>
    </row>
    <row r="27" spans="2:10" s="216" customFormat="1" ht="15">
      <c r="B27" s="1058" t="s">
        <v>3914</v>
      </c>
      <c r="C27" s="1058"/>
      <c r="D27" s="1058"/>
      <c r="E27" s="1058"/>
      <c r="F27" s="1058"/>
      <c r="G27" s="1058"/>
    </row>
    <row r="28" spans="2:10" ht="391.5" customHeight="1">
      <c r="B28" s="1068" t="s">
        <v>3915</v>
      </c>
      <c r="C28" s="1068"/>
      <c r="D28" s="1068"/>
      <c r="E28" s="1068"/>
      <c r="F28" s="1068"/>
      <c r="G28" s="1068"/>
    </row>
    <row r="29" spans="2:10" s="216" customFormat="1" ht="14.25" customHeight="1">
      <c r="B29" s="325" t="s">
        <v>3900</v>
      </c>
      <c r="C29" s="1069" t="s">
        <v>3916</v>
      </c>
      <c r="D29" s="1069"/>
      <c r="E29" s="1069"/>
      <c r="F29" s="1069"/>
      <c r="G29" s="1069"/>
    </row>
    <row r="30" spans="2:10" s="236" customFormat="1" ht="13.5" customHeight="1">
      <c r="B30" s="1070"/>
      <c r="C30" s="1070"/>
      <c r="D30" s="1070"/>
      <c r="E30" s="1070"/>
      <c r="F30" s="1070"/>
      <c r="G30" s="1070"/>
    </row>
    <row r="31" spans="2:10" ht="15">
      <c r="B31" s="1071" t="s">
        <v>3917</v>
      </c>
      <c r="C31" s="1071"/>
      <c r="D31" s="1071"/>
      <c r="E31" s="1071"/>
      <c r="F31" s="1071"/>
      <c r="G31" s="1071"/>
    </row>
    <row r="32" spans="2:10" ht="18" customHeight="1">
      <c r="B32" s="1003" t="s">
        <v>3918</v>
      </c>
      <c r="C32" s="1003"/>
      <c r="D32" s="1003"/>
      <c r="E32" s="1003"/>
      <c r="F32" s="1003"/>
      <c r="G32" s="1003"/>
    </row>
    <row r="33" spans="2:11" ht="14.25" customHeight="1">
      <c r="B33" s="1072" t="s">
        <v>3919</v>
      </c>
      <c r="C33" s="1072"/>
      <c r="D33" s="1072"/>
      <c r="E33" s="1072"/>
      <c r="F33" s="1072"/>
      <c r="G33" s="1072"/>
    </row>
    <row r="34" spans="2:11" ht="15" customHeight="1">
      <c r="B34" s="238" t="s">
        <v>3892</v>
      </c>
      <c r="C34" s="1073" t="s">
        <v>3920</v>
      </c>
      <c r="D34" s="1073"/>
      <c r="E34" s="1073"/>
      <c r="F34" s="1073"/>
      <c r="G34" s="239" t="s">
        <v>3921</v>
      </c>
    </row>
    <row r="35" spans="2:11" ht="15" customHeight="1">
      <c r="B35" s="238" t="s">
        <v>3892</v>
      </c>
      <c r="C35" s="1067" t="s">
        <v>3922</v>
      </c>
      <c r="D35" s="1067"/>
      <c r="E35" s="1067"/>
      <c r="F35" s="1067"/>
      <c r="G35" s="239" t="s">
        <v>3923</v>
      </c>
    </row>
    <row r="36" spans="2:11" ht="28.5" customHeight="1">
      <c r="B36" s="238" t="s">
        <v>3892</v>
      </c>
      <c r="C36" s="1067" t="s">
        <v>3924</v>
      </c>
      <c r="D36" s="1067"/>
      <c r="E36" s="1067"/>
      <c r="F36" s="1067"/>
      <c r="G36" s="239" t="s">
        <v>3925</v>
      </c>
    </row>
    <row r="37" spans="2:11" ht="30" customHeight="1">
      <c r="B37" s="238" t="s">
        <v>3892</v>
      </c>
      <c r="C37" s="1067" t="s">
        <v>3926</v>
      </c>
      <c r="D37" s="1067"/>
      <c r="E37" s="1067"/>
      <c r="F37" s="1067"/>
      <c r="G37" s="239" t="s">
        <v>3927</v>
      </c>
    </row>
    <row r="38" spans="2:11" ht="30" customHeight="1">
      <c r="B38" s="238" t="s">
        <v>3892</v>
      </c>
      <c r="C38" s="1067" t="s">
        <v>2312</v>
      </c>
      <c r="D38" s="1067"/>
      <c r="E38" s="1067"/>
      <c r="F38" s="1067"/>
      <c r="G38" s="239" t="s">
        <v>3928</v>
      </c>
    </row>
    <row r="39" spans="2:11" ht="15" customHeight="1">
      <c r="B39" s="238" t="s">
        <v>3892</v>
      </c>
      <c r="C39" s="1067" t="s">
        <v>3929</v>
      </c>
      <c r="D39" s="1067"/>
      <c r="E39" s="1067"/>
      <c r="F39" s="1067"/>
      <c r="G39" s="239" t="s">
        <v>3930</v>
      </c>
    </row>
    <row r="40" spans="2:11" ht="27" customHeight="1">
      <c r="B40" s="238" t="s">
        <v>3892</v>
      </c>
      <c r="C40" s="1067" t="s">
        <v>3931</v>
      </c>
      <c r="D40" s="1067"/>
      <c r="E40" s="1067"/>
      <c r="F40" s="1067"/>
      <c r="G40" s="239" t="s">
        <v>3932</v>
      </c>
    </row>
    <row r="41" spans="2:11" ht="30" customHeight="1">
      <c r="B41" s="238" t="s">
        <v>3892</v>
      </c>
      <c r="C41" s="1067" t="s">
        <v>3933</v>
      </c>
      <c r="D41" s="1067"/>
      <c r="E41" s="1067"/>
      <c r="F41" s="1067"/>
      <c r="G41" s="239" t="s">
        <v>3934</v>
      </c>
    </row>
    <row r="42" spans="2:11" ht="15" customHeight="1">
      <c r="B42" s="238" t="s">
        <v>3892</v>
      </c>
      <c r="C42" s="1067" t="s">
        <v>3935</v>
      </c>
      <c r="D42" s="1067"/>
      <c r="E42" s="1067"/>
      <c r="F42" s="1067"/>
      <c r="G42" s="239" t="s">
        <v>3936</v>
      </c>
    </row>
    <row r="43" spans="2:11" ht="15" customHeight="1">
      <c r="B43" s="238" t="s">
        <v>3892</v>
      </c>
      <c r="C43" s="1077" t="s">
        <v>3937</v>
      </c>
      <c r="D43" s="1077"/>
      <c r="E43" s="1077"/>
      <c r="F43" s="1077"/>
      <c r="G43" s="240" t="s">
        <v>3938</v>
      </c>
    </row>
    <row r="44" spans="2:11" ht="15" customHeight="1">
      <c r="B44" s="1078" t="s">
        <v>3939</v>
      </c>
      <c r="C44" s="1078"/>
      <c r="D44" s="1078"/>
      <c r="E44" s="1078"/>
      <c r="F44" s="1069" t="s">
        <v>3940</v>
      </c>
      <c r="G44" s="1069"/>
    </row>
    <row r="45" spans="2:11" ht="15" customHeight="1">
      <c r="B45" s="1074"/>
      <c r="C45" s="1074"/>
      <c r="D45" s="1074"/>
      <c r="E45" s="1074"/>
      <c r="F45" s="1074"/>
      <c r="G45" s="1074"/>
      <c r="H45" s="241"/>
      <c r="I45" s="241"/>
      <c r="J45" s="241"/>
      <c r="K45" s="241"/>
    </row>
    <row r="46" spans="2:11" ht="15">
      <c r="B46" s="1058" t="s">
        <v>3941</v>
      </c>
      <c r="C46" s="1058"/>
      <c r="D46" s="1058"/>
      <c r="E46" s="1058"/>
      <c r="F46" s="1058"/>
      <c r="G46" s="1058"/>
    </row>
    <row r="47" spans="2:11" ht="14.25">
      <c r="B47" s="1003" t="s">
        <v>3942</v>
      </c>
      <c r="C47" s="1003"/>
      <c r="D47" s="1003"/>
      <c r="E47" s="1003"/>
      <c r="F47" s="1003"/>
      <c r="G47" s="1003"/>
    </row>
    <row r="48" spans="2:11" ht="16.5" customHeight="1">
      <c r="B48" s="242" t="s">
        <v>3892</v>
      </c>
      <c r="C48" s="1075" t="s">
        <v>3943</v>
      </c>
      <c r="D48" s="1075"/>
      <c r="E48" s="1075"/>
      <c r="F48" s="1075"/>
      <c r="G48" s="243" t="s">
        <v>3944</v>
      </c>
    </row>
    <row r="49" spans="2:8" ht="27" customHeight="1">
      <c r="B49" s="242" t="s">
        <v>3892</v>
      </c>
      <c r="C49" s="1076" t="s">
        <v>3945</v>
      </c>
      <c r="D49" s="1076"/>
      <c r="E49" s="1076"/>
      <c r="F49" s="1076"/>
      <c r="G49" s="244" t="s">
        <v>3946</v>
      </c>
    </row>
    <row r="50" spans="2:8" ht="57">
      <c r="B50" s="242" t="s">
        <v>3892</v>
      </c>
      <c r="C50" s="1076" t="s">
        <v>3947</v>
      </c>
      <c r="D50" s="1076"/>
      <c r="E50" s="1076"/>
      <c r="F50" s="1076"/>
      <c r="G50" s="244" t="s">
        <v>3948</v>
      </c>
    </row>
    <row r="51" spans="2:8" ht="28.5">
      <c r="B51" s="242" t="s">
        <v>3892</v>
      </c>
      <c r="C51" s="1075" t="s">
        <v>3949</v>
      </c>
      <c r="D51" s="1075"/>
      <c r="E51" s="1075"/>
      <c r="F51" s="1075"/>
      <c r="G51" s="244" t="s">
        <v>3950</v>
      </c>
    </row>
    <row r="52" spans="2:8" ht="28.5">
      <c r="B52" s="245"/>
      <c r="C52" s="1079" t="s">
        <v>3951</v>
      </c>
      <c r="D52" s="1079"/>
      <c r="E52" s="1079"/>
      <c r="F52" s="1079"/>
      <c r="G52" s="244" t="s">
        <v>3952</v>
      </c>
    </row>
    <row r="53" spans="2:8" ht="28.5">
      <c r="B53" s="245"/>
      <c r="C53" s="1079" t="s">
        <v>3953</v>
      </c>
      <c r="D53" s="1079"/>
      <c r="E53" s="1079"/>
      <c r="F53" s="1079"/>
      <c r="G53" s="244" t="s">
        <v>3954</v>
      </c>
    </row>
    <row r="54" spans="2:8" ht="28.5">
      <c r="B54" s="245"/>
      <c r="C54" s="1081" t="s">
        <v>3955</v>
      </c>
      <c r="D54" s="1081"/>
      <c r="E54" s="1081"/>
      <c r="F54" s="1081"/>
      <c r="G54" s="244" t="s">
        <v>3956</v>
      </c>
    </row>
    <row r="55" spans="2:8" ht="28.5">
      <c r="B55" s="245"/>
      <c r="C55" s="1079" t="s">
        <v>3957</v>
      </c>
      <c r="D55" s="1079"/>
      <c r="E55" s="1079"/>
      <c r="F55" s="1079"/>
      <c r="G55" s="244" t="s">
        <v>3958</v>
      </c>
    </row>
    <row r="56" spans="2:8" ht="28.5">
      <c r="B56" s="245"/>
      <c r="C56" s="1079" t="s">
        <v>3959</v>
      </c>
      <c r="D56" s="1079"/>
      <c r="E56" s="1079"/>
      <c r="F56" s="1079"/>
      <c r="G56" s="244" t="s">
        <v>3960</v>
      </c>
    </row>
    <row r="57" spans="2:8" ht="28.5">
      <c r="B57" s="245"/>
      <c r="C57" s="1079" t="s">
        <v>3961</v>
      </c>
      <c r="D57" s="1079"/>
      <c r="E57" s="1079"/>
      <c r="F57" s="1079"/>
      <c r="G57" s="244" t="s">
        <v>3962</v>
      </c>
    </row>
    <row r="58" spans="2:8" ht="14.25">
      <c r="B58" s="245"/>
      <c r="C58" s="1079" t="s">
        <v>3963</v>
      </c>
      <c r="D58" s="1079"/>
      <c r="E58" s="1079"/>
      <c r="F58" s="1079"/>
      <c r="G58" s="246" t="s">
        <v>3964</v>
      </c>
    </row>
    <row r="59" spans="2:8" ht="114">
      <c r="B59" s="242" t="s">
        <v>3892</v>
      </c>
      <c r="C59" s="1075" t="s">
        <v>3965</v>
      </c>
      <c r="D59" s="1075"/>
      <c r="E59" s="1075"/>
      <c r="F59" s="1075"/>
      <c r="G59" s="244" t="s">
        <v>3966</v>
      </c>
    </row>
    <row r="60" spans="2:8" ht="36" customHeight="1">
      <c r="B60" s="242" t="s">
        <v>3892</v>
      </c>
      <c r="C60" s="1080" t="s">
        <v>3967</v>
      </c>
      <c r="D60" s="1080"/>
      <c r="E60" s="1080"/>
      <c r="F60" s="1080"/>
      <c r="G60" s="244" t="s">
        <v>3968</v>
      </c>
    </row>
    <row r="61" spans="2:8" ht="14.25">
      <c r="B61" s="320" t="s">
        <v>3969</v>
      </c>
      <c r="C61" s="1069" t="s">
        <v>3970</v>
      </c>
      <c r="D61" s="1069"/>
      <c r="E61" s="1069"/>
      <c r="F61" s="1069"/>
      <c r="G61" s="1069"/>
    </row>
    <row r="62" spans="2:8" s="230" customFormat="1" ht="15">
      <c r="B62" s="1057"/>
      <c r="C62" s="1057"/>
      <c r="D62" s="1057"/>
      <c r="E62" s="1057"/>
      <c r="F62" s="1057"/>
      <c r="G62" s="1057"/>
      <c r="H62" s="229"/>
    </row>
    <row r="63" spans="2:8" ht="15">
      <c r="B63" s="1058" t="s">
        <v>1638</v>
      </c>
      <c r="C63" s="1058"/>
      <c r="D63" s="1058"/>
      <c r="E63" s="1058"/>
      <c r="F63" s="1058"/>
      <c r="G63" s="1058"/>
    </row>
    <row r="64" spans="2:8" ht="14.25">
      <c r="B64" s="1083" t="s">
        <v>3971</v>
      </c>
      <c r="C64" s="1083"/>
      <c r="D64" s="1083"/>
      <c r="E64" s="1083"/>
      <c r="F64" s="1083"/>
      <c r="G64" s="1083"/>
    </row>
    <row r="65" spans="2:7" ht="15">
      <c r="B65" s="242" t="s">
        <v>3892</v>
      </c>
      <c r="C65" s="1077" t="s">
        <v>3972</v>
      </c>
      <c r="D65" s="1077"/>
      <c r="E65" s="1077"/>
      <c r="F65" s="1077"/>
      <c r="G65" s="1077"/>
    </row>
    <row r="66" spans="2:7" ht="15">
      <c r="B66" s="242" t="s">
        <v>3892</v>
      </c>
      <c r="C66" s="1077" t="s">
        <v>1663</v>
      </c>
      <c r="D66" s="1077"/>
      <c r="E66" s="1077"/>
      <c r="F66" s="1077"/>
      <c r="G66" s="1077"/>
    </row>
    <row r="67" spans="2:7" ht="15">
      <c r="B67" s="242" t="s">
        <v>3892</v>
      </c>
      <c r="C67" s="1077" t="s">
        <v>1748</v>
      </c>
      <c r="D67" s="1077"/>
      <c r="E67" s="1077"/>
      <c r="F67" s="1077"/>
      <c r="G67" s="1077"/>
    </row>
    <row r="68" spans="2:7" ht="15">
      <c r="B68" s="242" t="s">
        <v>3892</v>
      </c>
      <c r="C68" s="1077" t="s">
        <v>1848</v>
      </c>
      <c r="D68" s="1077"/>
      <c r="E68" s="1077"/>
      <c r="F68" s="1077"/>
      <c r="G68" s="1077"/>
    </row>
    <row r="69" spans="2:7" ht="15">
      <c r="B69" s="242" t="s">
        <v>3892</v>
      </c>
      <c r="C69" s="1077" t="s">
        <v>1961</v>
      </c>
      <c r="D69" s="1077"/>
      <c r="E69" s="1077"/>
      <c r="F69" s="1077"/>
      <c r="G69" s="1077"/>
    </row>
    <row r="70" spans="2:7" ht="15">
      <c r="B70" s="242" t="s">
        <v>3892</v>
      </c>
      <c r="C70" s="1077" t="s">
        <v>1640</v>
      </c>
      <c r="D70" s="1077"/>
      <c r="E70" s="1077"/>
      <c r="F70" s="1077"/>
      <c r="G70" s="1077"/>
    </row>
    <row r="71" spans="2:7" ht="14.25">
      <c r="B71" s="1066" t="s">
        <v>3973</v>
      </c>
      <c r="C71" s="1066"/>
      <c r="D71" s="1066"/>
      <c r="E71" s="1066"/>
      <c r="F71" s="1066"/>
      <c r="G71" s="1066"/>
    </row>
    <row r="72" spans="2:7" ht="33" customHeight="1">
      <c r="B72" s="1003" t="s">
        <v>3974</v>
      </c>
      <c r="C72" s="1003"/>
      <c r="D72" s="1003"/>
      <c r="E72" s="1003"/>
      <c r="F72" s="1003"/>
      <c r="G72" s="1003"/>
    </row>
    <row r="73" spans="2:7" ht="32.25" customHeight="1">
      <c r="B73" s="1066" t="s">
        <v>3975</v>
      </c>
      <c r="C73" s="1066"/>
      <c r="D73" s="1066"/>
      <c r="E73" s="1066"/>
      <c r="F73" s="1066"/>
      <c r="G73" s="1066"/>
    </row>
    <row r="74" spans="2:7" ht="15">
      <c r="B74" s="228"/>
      <c r="C74" s="248"/>
    </row>
    <row r="121" spans="2:7" ht="14.25">
      <c r="B121" s="328" t="s">
        <v>3969</v>
      </c>
      <c r="C121" s="1082" t="s">
        <v>3976</v>
      </c>
      <c r="D121" s="1082"/>
      <c r="E121" s="1082"/>
      <c r="F121" s="1082"/>
      <c r="G121" s="1082"/>
    </row>
    <row r="122" spans="2:7">
      <c r="B122" s="1086"/>
      <c r="C122" s="1086"/>
      <c r="D122" s="1086"/>
      <c r="E122" s="1086"/>
      <c r="F122" s="1086"/>
      <c r="G122" s="1086"/>
    </row>
    <row r="123" spans="2:7" ht="15">
      <c r="B123" s="1058" t="s">
        <v>3977</v>
      </c>
      <c r="C123" s="1058"/>
      <c r="D123" s="1058"/>
      <c r="E123" s="1058"/>
      <c r="F123" s="1058"/>
      <c r="G123" s="1058"/>
    </row>
    <row r="124" spans="2:7" ht="28.5" customHeight="1">
      <c r="B124" s="1010" t="s">
        <v>3978</v>
      </c>
      <c r="C124" s="1010"/>
      <c r="D124" s="1010"/>
      <c r="E124" s="1010"/>
      <c r="F124" s="1010"/>
      <c r="G124" s="1010"/>
    </row>
    <row r="125" spans="2:7" ht="31.5" customHeight="1">
      <c r="B125" s="1010" t="s">
        <v>3979</v>
      </c>
      <c r="C125" s="1010"/>
      <c r="D125" s="1010"/>
      <c r="E125" s="1010"/>
      <c r="F125" s="1010"/>
      <c r="G125" s="1010"/>
    </row>
    <row r="126" spans="2:7" ht="30.75" customHeight="1">
      <c r="B126" s="1010" t="s">
        <v>3980</v>
      </c>
      <c r="C126" s="1010"/>
      <c r="D126" s="1010"/>
      <c r="E126" s="1010"/>
      <c r="F126" s="1010"/>
      <c r="G126" s="1010"/>
    </row>
    <row r="127" spans="2:7" ht="30.75" customHeight="1">
      <c r="B127" s="247" t="s">
        <v>3981</v>
      </c>
      <c r="C127" s="233"/>
      <c r="D127" s="233"/>
      <c r="E127" s="233"/>
      <c r="F127" s="233"/>
      <c r="G127" s="249"/>
    </row>
    <row r="128" spans="2:7" ht="48" customHeight="1">
      <c r="B128" s="250" t="s">
        <v>3982</v>
      </c>
      <c r="C128" s="1084" t="s">
        <v>3983</v>
      </c>
      <c r="D128" s="1084"/>
      <c r="E128" s="1084"/>
      <c r="F128" s="1084"/>
      <c r="G128" s="251" t="s">
        <v>3984</v>
      </c>
    </row>
    <row r="129" spans="2:7" s="216" customFormat="1" ht="42.75" customHeight="1">
      <c r="B129" s="250" t="s">
        <v>3985</v>
      </c>
      <c r="C129" s="1084" t="s">
        <v>3986</v>
      </c>
      <c r="D129" s="1084"/>
      <c r="E129" s="1084"/>
      <c r="F129" s="1084"/>
      <c r="G129" s="252" t="s">
        <v>3987</v>
      </c>
    </row>
    <row r="130" spans="2:7" s="216" customFormat="1" ht="62.25" customHeight="1">
      <c r="B130" s="250" t="s">
        <v>3988</v>
      </c>
      <c r="C130" s="1084" t="s">
        <v>3989</v>
      </c>
      <c r="D130" s="1084"/>
      <c r="E130" s="1084"/>
      <c r="F130" s="1084"/>
      <c r="G130" s="252" t="s">
        <v>3990</v>
      </c>
    </row>
    <row r="131" spans="2:7" s="216" customFormat="1" ht="57" customHeight="1">
      <c r="B131" s="250" t="s">
        <v>3991</v>
      </c>
      <c r="C131" s="1085" t="s">
        <v>3992</v>
      </c>
      <c r="D131" s="1085"/>
      <c r="E131" s="1085"/>
      <c r="F131" s="1085"/>
      <c r="G131" s="252" t="s">
        <v>3993</v>
      </c>
    </row>
    <row r="132" spans="2:7" s="216" customFormat="1" ht="46.5" customHeight="1">
      <c r="B132" s="250" t="s">
        <v>3994</v>
      </c>
      <c r="C132" s="1084" t="s">
        <v>3995</v>
      </c>
      <c r="D132" s="1084"/>
      <c r="E132" s="1084"/>
      <c r="F132" s="1084"/>
      <c r="G132" s="252" t="s">
        <v>3996</v>
      </c>
    </row>
    <row r="133" spans="2:7" s="216" customFormat="1" ht="28.5">
      <c r="B133" s="250" t="s">
        <v>3997</v>
      </c>
      <c r="C133" s="1084" t="s">
        <v>3998</v>
      </c>
      <c r="D133" s="1084"/>
      <c r="E133" s="1084"/>
      <c r="F133" s="1084"/>
      <c r="G133" s="252" t="s">
        <v>3999</v>
      </c>
    </row>
    <row r="134" spans="2:7" s="216" customFormat="1" ht="46.5" customHeight="1">
      <c r="B134" s="250" t="s">
        <v>4000</v>
      </c>
      <c r="C134" s="1084" t="s">
        <v>4001</v>
      </c>
      <c r="D134" s="1084"/>
      <c r="E134" s="1084"/>
      <c r="F134" s="1084"/>
      <c r="G134" s="252" t="s">
        <v>4002</v>
      </c>
    </row>
    <row r="135" spans="2:7" s="216" customFormat="1" ht="57">
      <c r="B135" s="250" t="s">
        <v>4003</v>
      </c>
      <c r="C135" s="1084" t="s">
        <v>4004</v>
      </c>
      <c r="D135" s="1084"/>
      <c r="E135" s="1084"/>
      <c r="F135" s="1084"/>
      <c r="G135" s="252" t="s">
        <v>4005</v>
      </c>
    </row>
    <row r="136" spans="2:7" s="216" customFormat="1" ht="28.5">
      <c r="B136" s="250" t="s">
        <v>4006</v>
      </c>
      <c r="C136" s="1084" t="s">
        <v>4007</v>
      </c>
      <c r="D136" s="1084"/>
      <c r="E136" s="1084"/>
      <c r="F136" s="1084"/>
      <c r="G136" s="252" t="s">
        <v>4008</v>
      </c>
    </row>
    <row r="137" spans="2:7" s="216" customFormat="1" ht="57.75" customHeight="1">
      <c r="B137" s="250" t="s">
        <v>4009</v>
      </c>
      <c r="C137" s="1084" t="s">
        <v>4010</v>
      </c>
      <c r="D137" s="1084"/>
      <c r="E137" s="1084"/>
      <c r="F137" s="1084"/>
      <c r="G137" s="252" t="s">
        <v>4011</v>
      </c>
    </row>
    <row r="138" spans="2:7" s="216" customFormat="1" ht="115.5" customHeight="1">
      <c r="B138" s="250" t="s">
        <v>4012</v>
      </c>
      <c r="C138" s="1085" t="s">
        <v>4013</v>
      </c>
      <c r="D138" s="1085"/>
      <c r="E138" s="1085"/>
      <c r="F138" s="1085"/>
      <c r="G138" s="252" t="s">
        <v>4014</v>
      </c>
    </row>
    <row r="139" spans="2:7" s="216" customFormat="1" ht="33.75" customHeight="1">
      <c r="B139" s="250" t="s">
        <v>4015</v>
      </c>
      <c r="C139" s="1085" t="s">
        <v>4016</v>
      </c>
      <c r="D139" s="1085"/>
      <c r="E139" s="1085"/>
      <c r="F139" s="1085"/>
      <c r="G139" s="252" t="s">
        <v>4017</v>
      </c>
    </row>
    <row r="140" spans="2:7" s="216" customFormat="1" ht="30.75" customHeight="1">
      <c r="B140" s="250" t="s">
        <v>4018</v>
      </c>
      <c r="C140" s="1085" t="s">
        <v>4019</v>
      </c>
      <c r="D140" s="1085"/>
      <c r="E140" s="1085"/>
      <c r="F140" s="1085"/>
      <c r="G140" s="252" t="s">
        <v>4020</v>
      </c>
    </row>
    <row r="141" spans="2:7" s="216" customFormat="1" ht="42" customHeight="1">
      <c r="B141" s="250" t="s">
        <v>4021</v>
      </c>
      <c r="C141" s="1087" t="s">
        <v>542</v>
      </c>
      <c r="D141" s="1087"/>
      <c r="E141" s="1087"/>
      <c r="F141" s="1087"/>
      <c r="G141" s="253" t="s">
        <v>4022</v>
      </c>
    </row>
    <row r="142" spans="2:7" s="216" customFormat="1" ht="18.75" customHeight="1">
      <c r="B142" s="329"/>
      <c r="C142" s="1088" t="s">
        <v>4023</v>
      </c>
      <c r="D142" s="1088"/>
      <c r="E142" s="1088"/>
      <c r="F142" s="1088"/>
      <c r="G142" s="321" t="s">
        <v>4024</v>
      </c>
    </row>
    <row r="143" spans="2:7" ht="29.25" customHeight="1">
      <c r="B143" s="254" t="s">
        <v>4025</v>
      </c>
      <c r="C143" s="1087" t="s">
        <v>4026</v>
      </c>
      <c r="D143" s="1087"/>
      <c r="E143" s="1087"/>
      <c r="F143" s="1087"/>
      <c r="G143" s="253" t="s">
        <v>4027</v>
      </c>
    </row>
    <row r="144" spans="2:7" ht="15">
      <c r="B144" s="1058" t="s">
        <v>4028</v>
      </c>
      <c r="C144" s="1058"/>
      <c r="D144" s="1058"/>
      <c r="E144" s="1058"/>
      <c r="F144" s="1058"/>
      <c r="G144" s="1058"/>
    </row>
    <row r="145" spans="2:7" ht="14.25">
      <c r="B145" s="1089" t="s">
        <v>4029</v>
      </c>
      <c r="C145" s="1089"/>
      <c r="D145" s="1089"/>
      <c r="E145" s="1089"/>
      <c r="F145" s="1089"/>
      <c r="G145" s="1089"/>
    </row>
    <row r="146" spans="2:7" ht="28.5">
      <c r="B146" s="228" t="s">
        <v>3892</v>
      </c>
      <c r="C146" s="1090" t="s">
        <v>233</v>
      </c>
      <c r="D146" s="1090"/>
      <c r="E146" s="1090"/>
      <c r="F146" s="1090"/>
      <c r="G146" s="255" t="s">
        <v>4030</v>
      </c>
    </row>
    <row r="147" spans="2:7" ht="12.75" customHeight="1">
      <c r="B147" s="228" t="s">
        <v>3892</v>
      </c>
      <c r="C147" s="1090" t="s">
        <v>273</v>
      </c>
      <c r="D147" s="1090"/>
      <c r="E147" s="1090"/>
      <c r="F147" s="1090"/>
      <c r="G147" s="256" t="s">
        <v>4031</v>
      </c>
    </row>
    <row r="148" spans="2:7" ht="19.5" customHeight="1">
      <c r="B148" s="228" t="s">
        <v>3892</v>
      </c>
      <c r="C148" s="1090" t="s">
        <v>4032</v>
      </c>
      <c r="D148" s="1090"/>
      <c r="E148" s="1090"/>
      <c r="F148" s="1090"/>
      <c r="G148" s="256" t="s">
        <v>4033</v>
      </c>
    </row>
    <row r="149" spans="2:7" ht="26.25" customHeight="1">
      <c r="B149" s="228" t="s">
        <v>3892</v>
      </c>
      <c r="C149" s="1090" t="s">
        <v>1172</v>
      </c>
      <c r="D149" s="1090"/>
      <c r="E149" s="1090"/>
      <c r="F149" s="1090"/>
      <c r="G149" s="257" t="s">
        <v>4034</v>
      </c>
    </row>
    <row r="150" spans="2:7" ht="28.5">
      <c r="B150" s="228" t="s">
        <v>3892</v>
      </c>
      <c r="C150" s="1090" t="s">
        <v>246</v>
      </c>
      <c r="D150" s="1090"/>
      <c r="E150" s="1090"/>
      <c r="F150" s="1090"/>
      <c r="G150" s="255" t="s">
        <v>4035</v>
      </c>
    </row>
    <row r="151" spans="2:7" ht="15">
      <c r="B151" s="228" t="s">
        <v>3892</v>
      </c>
      <c r="C151" s="1090" t="s">
        <v>249</v>
      </c>
      <c r="D151" s="1090"/>
      <c r="E151" s="1090"/>
      <c r="F151" s="1090"/>
      <c r="G151" s="256" t="s">
        <v>4036</v>
      </c>
    </row>
    <row r="152" spans="2:7" ht="14.25">
      <c r="B152" s="1093"/>
      <c r="C152" s="1093"/>
      <c r="D152" s="1093"/>
      <c r="E152" s="1093"/>
      <c r="F152" s="1093"/>
      <c r="G152" s="1093"/>
    </row>
    <row r="153" spans="2:7" ht="15.75">
      <c r="B153" s="1061" t="s">
        <v>4037</v>
      </c>
      <c r="C153" s="1061"/>
      <c r="D153" s="1061"/>
      <c r="E153" s="1061"/>
      <c r="F153" s="1061"/>
      <c r="G153" s="1061"/>
    </row>
    <row r="154" spans="2:7" ht="27.75" customHeight="1">
      <c r="B154" s="1003" t="s">
        <v>4038</v>
      </c>
      <c r="C154" s="1003"/>
      <c r="D154" s="1003"/>
      <c r="E154" s="1003"/>
      <c r="F154" s="1003"/>
      <c r="G154" s="1003"/>
    </row>
    <row r="155" spans="2:7" ht="39.75" customHeight="1">
      <c r="B155" s="216"/>
      <c r="C155" s="1091" t="s">
        <v>236</v>
      </c>
      <c r="D155" s="1091"/>
      <c r="E155" s="1091"/>
      <c r="F155" s="1091"/>
      <c r="G155" s="258" t="s">
        <v>4039</v>
      </c>
    </row>
    <row r="156" spans="2:7" ht="99.75">
      <c r="B156" s="216"/>
      <c r="C156" s="1091" t="s">
        <v>1079</v>
      </c>
      <c r="D156" s="1091"/>
      <c r="E156" s="1091"/>
      <c r="F156" s="1091"/>
      <c r="G156" s="259" t="s">
        <v>4040</v>
      </c>
    </row>
    <row r="157" spans="2:7" ht="14.25">
      <c r="B157" s="1078" t="s">
        <v>4041</v>
      </c>
      <c r="C157" s="1078"/>
      <c r="D157" s="1078"/>
      <c r="E157" s="1078"/>
      <c r="F157" s="326" t="s">
        <v>4042</v>
      </c>
      <c r="G157" s="327"/>
    </row>
    <row r="158" spans="2:7">
      <c r="B158" s="1092"/>
      <c r="C158" s="1092"/>
      <c r="D158" s="1092"/>
      <c r="E158" s="1092"/>
      <c r="F158" s="1092"/>
      <c r="G158" s="1092"/>
    </row>
    <row r="159" spans="2:7" ht="15">
      <c r="B159" s="1058" t="s">
        <v>3780</v>
      </c>
      <c r="C159" s="1058"/>
      <c r="D159" s="1058"/>
      <c r="E159" s="1058"/>
      <c r="F159" s="1058"/>
      <c r="G159" s="1058"/>
    </row>
    <row r="160" spans="2:7" ht="14.25">
      <c r="B160" s="1003" t="s">
        <v>4043</v>
      </c>
      <c r="C160" s="1003"/>
      <c r="D160" s="1003"/>
      <c r="E160" s="1003"/>
      <c r="F160" s="1003"/>
      <c r="G160" s="1003"/>
    </row>
    <row r="161" spans="2:7" ht="15" customHeight="1">
      <c r="B161" s="203"/>
      <c r="C161" s="203"/>
      <c r="D161" s="203"/>
      <c r="E161" s="203"/>
      <c r="F161" s="203"/>
      <c r="G161" s="203"/>
    </row>
    <row r="162" spans="2:7" ht="33" customHeight="1">
      <c r="B162" s="1103" t="s">
        <v>4044</v>
      </c>
      <c r="C162" s="1103"/>
      <c r="D162" s="1103"/>
      <c r="E162" s="1103"/>
      <c r="F162" s="1103"/>
      <c r="G162" s="1103"/>
    </row>
    <row r="163" spans="2:7" ht="29.25" customHeight="1">
      <c r="B163" s="1003" t="s">
        <v>4045</v>
      </c>
      <c r="C163" s="1003"/>
      <c r="D163" s="1003"/>
      <c r="E163" s="1003"/>
      <c r="F163" s="1003"/>
      <c r="G163" s="1003"/>
    </row>
    <row r="164" spans="2:7" ht="44.25" customHeight="1">
      <c r="B164" s="1003" t="s">
        <v>4046</v>
      </c>
      <c r="C164" s="1003"/>
      <c r="D164" s="1003"/>
      <c r="E164" s="1003"/>
      <c r="F164" s="1003"/>
      <c r="G164" s="1003"/>
    </row>
    <row r="165" spans="2:7" ht="15.75" customHeight="1">
      <c r="B165" s="1058" t="s">
        <v>4047</v>
      </c>
      <c r="C165" s="1058"/>
      <c r="D165" s="1058"/>
      <c r="E165" s="1058"/>
      <c r="F165" s="1058"/>
      <c r="G165" s="1058"/>
    </row>
    <row r="166" spans="2:7" ht="60.75" customHeight="1">
      <c r="B166" s="1003" t="s">
        <v>4048</v>
      </c>
      <c r="C166" s="1066"/>
      <c r="D166" s="1066"/>
      <c r="E166" s="1066"/>
      <c r="F166" s="1066"/>
      <c r="G166" s="1066"/>
    </row>
    <row r="167" spans="2:7" ht="19.5" customHeight="1">
      <c r="B167" s="1109" t="s">
        <v>4049</v>
      </c>
      <c r="C167" s="1110"/>
      <c r="D167" s="1110"/>
      <c r="E167" s="1110"/>
      <c r="F167" s="1110"/>
      <c r="G167" s="1110"/>
    </row>
    <row r="168" spans="2:7" ht="231.75" customHeight="1">
      <c r="B168" s="1107" t="s">
        <v>219</v>
      </c>
      <c r="C168" s="1107"/>
      <c r="D168" s="1107"/>
      <c r="E168" s="1108"/>
      <c r="F168" s="1104" t="s">
        <v>4050</v>
      </c>
      <c r="G168" s="1105"/>
    </row>
    <row r="169" spans="2:7" ht="262.5" customHeight="1">
      <c r="B169" s="1107" t="s">
        <v>220</v>
      </c>
      <c r="C169" s="1107"/>
      <c r="D169" s="1107"/>
      <c r="E169" s="1108"/>
      <c r="F169" s="1101" t="s">
        <v>4051</v>
      </c>
      <c r="G169" s="1106"/>
    </row>
    <row r="170" spans="2:7" ht="216" customHeight="1">
      <c r="B170" s="1107" t="s">
        <v>221</v>
      </c>
      <c r="C170" s="1107"/>
      <c r="D170" s="1107"/>
      <c r="E170" s="1108"/>
      <c r="F170" s="1101" t="s">
        <v>4052</v>
      </c>
      <c r="G170" s="1102"/>
    </row>
    <row r="171" spans="2:7" ht="231" customHeight="1">
      <c r="B171" s="1107" t="s">
        <v>222</v>
      </c>
      <c r="C171" s="1107"/>
      <c r="D171" s="1107"/>
      <c r="E171" s="1108"/>
      <c r="F171" s="1101" t="s">
        <v>4053</v>
      </c>
      <c r="G171" s="1102"/>
    </row>
    <row r="172" spans="2:7" ht="208.5" customHeight="1">
      <c r="B172" s="1107" t="s">
        <v>223</v>
      </c>
      <c r="C172" s="1107"/>
      <c r="D172" s="1107"/>
      <c r="E172" s="1108"/>
      <c r="F172" s="1101" t="s">
        <v>4054</v>
      </c>
      <c r="G172" s="1102"/>
    </row>
    <row r="173" spans="2:7" ht="33" customHeight="1">
      <c r="B173" s="1094" t="s">
        <v>4055</v>
      </c>
      <c r="C173" s="1094"/>
      <c r="D173" s="1094"/>
      <c r="E173" s="1094"/>
      <c r="F173" s="1099" t="s">
        <v>4056</v>
      </c>
      <c r="G173" s="1100"/>
    </row>
    <row r="174" spans="2:7" ht="23.25" customHeight="1">
      <c r="B174" s="1095" t="s">
        <v>4057</v>
      </c>
      <c r="C174" s="1095"/>
      <c r="D174" s="1095"/>
      <c r="E174" s="1095"/>
      <c r="F174" s="1095"/>
      <c r="G174" s="1095"/>
    </row>
    <row r="175" spans="2:7" ht="75.75" customHeight="1">
      <c r="B175" s="260"/>
      <c r="C175" s="1096" t="s">
        <v>4058</v>
      </c>
      <c r="D175" s="1096"/>
      <c r="E175" s="1096"/>
      <c r="F175" s="1096"/>
      <c r="G175" s="1096"/>
    </row>
    <row r="176" spans="2:7" ht="20.25" customHeight="1">
      <c r="B176" s="260"/>
      <c r="C176" s="1097" t="s">
        <v>4059</v>
      </c>
      <c r="D176" s="1098"/>
      <c r="E176" s="1098"/>
      <c r="F176" s="1098"/>
      <c r="G176" s="1098"/>
    </row>
    <row r="177" spans="1:65" ht="24.75" customHeight="1">
      <c r="A177" s="330"/>
      <c r="B177" s="365" t="s">
        <v>4060</v>
      </c>
      <c r="C177" s="331"/>
      <c r="D177" s="331"/>
      <c r="E177" s="331"/>
      <c r="F177" s="331"/>
      <c r="G177" s="331"/>
      <c r="H177" s="262"/>
      <c r="I177" s="262"/>
      <c r="J177" s="262"/>
      <c r="K177" s="262"/>
      <c r="L177" s="262"/>
      <c r="M177" s="262"/>
      <c r="N177" s="262"/>
      <c r="O177" s="262"/>
      <c r="P177" s="262"/>
      <c r="Q177" s="262"/>
      <c r="R177" s="263"/>
      <c r="S177" s="263"/>
      <c r="T177" s="264"/>
      <c r="U177" s="264"/>
      <c r="V177" s="262"/>
      <c r="W177" s="262"/>
      <c r="X177" s="264"/>
      <c r="Y177" s="264"/>
      <c r="Z177" s="264"/>
      <c r="AA177" s="264"/>
      <c r="AB177" s="265"/>
      <c r="AC177" s="265"/>
      <c r="AD177" s="262"/>
      <c r="AE177" s="262"/>
      <c r="AF177" s="262"/>
      <c r="AG177" s="262"/>
      <c r="AH177" s="262"/>
      <c r="AI177" s="262"/>
      <c r="AJ177" s="266"/>
      <c r="AK177" s="262"/>
      <c r="AL177" s="262"/>
      <c r="AM177" s="262"/>
      <c r="AN177" s="262"/>
      <c r="AO177" s="262"/>
      <c r="AP177" s="262"/>
      <c r="AQ177" s="262"/>
      <c r="AR177" s="262"/>
      <c r="AS177" s="262"/>
      <c r="AT177" s="262"/>
      <c r="AU177" s="262"/>
      <c r="AV177" s="262"/>
      <c r="AW177" s="262"/>
      <c r="AX177" s="262"/>
      <c r="AY177" s="262"/>
      <c r="AZ177" s="262"/>
      <c r="BA177" s="262"/>
      <c r="BB177" s="262"/>
      <c r="BC177" s="262"/>
      <c r="BD177" s="262"/>
      <c r="BE177" s="262"/>
      <c r="BF177" s="262"/>
      <c r="BG177" s="262"/>
      <c r="BH177" s="262"/>
      <c r="BI177" s="262"/>
      <c r="BJ177" s="262"/>
      <c r="BK177" s="262"/>
      <c r="BL177" s="262"/>
      <c r="BM177" s="262"/>
    </row>
    <row r="178" spans="1:65" ht="41.25" customHeight="1">
      <c r="A178" s="267"/>
      <c r="B178" s="268"/>
      <c r="C178" s="268"/>
      <c r="D178" s="268"/>
      <c r="E178" s="268"/>
      <c r="F178" s="224"/>
      <c r="G178" s="268"/>
      <c r="H178" s="269"/>
      <c r="I178" s="269"/>
      <c r="J178" s="269"/>
      <c r="K178" s="269"/>
      <c r="L178" s="269"/>
      <c r="M178" s="269"/>
      <c r="N178" s="269"/>
      <c r="O178" s="269"/>
      <c r="P178" s="269"/>
      <c r="Q178" s="269"/>
      <c r="R178" s="269"/>
      <c r="S178" s="269"/>
      <c r="T178" s="270"/>
      <c r="U178" s="270"/>
      <c r="V178" s="269"/>
      <c r="W178" s="269"/>
      <c r="X178" s="271"/>
      <c r="Y178" s="271"/>
      <c r="Z178" s="271"/>
      <c r="AA178" s="270"/>
      <c r="AB178" s="272"/>
      <c r="AC178" s="272"/>
      <c r="AD178" s="269"/>
      <c r="AE178" s="269"/>
      <c r="AF178" s="269"/>
      <c r="AG178" s="269"/>
      <c r="AH178" s="269"/>
      <c r="AI178" s="269"/>
      <c r="AJ178" s="273"/>
      <c r="AK178" s="269"/>
      <c r="AL178" s="269"/>
      <c r="AM178" s="269"/>
      <c r="AN178" s="269"/>
      <c r="AO178" s="269"/>
      <c r="AP178" s="269"/>
      <c r="AQ178" s="269"/>
      <c r="AR178" s="269"/>
      <c r="AS178" s="269"/>
      <c r="AT178" s="269"/>
      <c r="AU178" s="269"/>
      <c r="AV178" s="269"/>
      <c r="AW178" s="269"/>
      <c r="AX178" s="269"/>
      <c r="AY178" s="269"/>
      <c r="AZ178" s="269"/>
      <c r="BA178" s="269"/>
      <c r="BB178" s="269"/>
      <c r="BC178" s="269"/>
      <c r="BD178" s="269"/>
      <c r="BE178" s="269"/>
      <c r="BF178" s="269"/>
      <c r="BG178" s="269"/>
      <c r="BH178" s="269"/>
      <c r="BI178" s="269"/>
      <c r="BJ178" s="269"/>
      <c r="BK178" s="269"/>
      <c r="BL178" s="269"/>
      <c r="BM178" s="269"/>
    </row>
    <row r="179" spans="1:65" ht="15.75">
      <c r="A179" s="267"/>
      <c r="C179" s="224"/>
      <c r="D179" s="224"/>
      <c r="E179" s="224"/>
      <c r="G179" s="224"/>
      <c r="H179" s="268"/>
      <c r="I179" s="268"/>
      <c r="J179" s="268"/>
      <c r="K179" s="268"/>
      <c r="L179" s="268"/>
      <c r="M179" s="268"/>
      <c r="N179" s="268"/>
      <c r="O179" s="268"/>
      <c r="P179" s="268"/>
      <c r="Q179" s="268"/>
      <c r="R179" s="268"/>
      <c r="S179" s="268"/>
      <c r="T179" s="225"/>
      <c r="U179" s="225"/>
      <c r="V179" s="224"/>
      <c r="W179" s="224"/>
      <c r="X179" s="224"/>
      <c r="Y179" s="224"/>
      <c r="Z179" s="224"/>
      <c r="AA179" s="274"/>
      <c r="AB179" s="274"/>
      <c r="AC179" s="274"/>
      <c r="AD179" s="224"/>
      <c r="AE179" s="224"/>
      <c r="AF179" s="224"/>
      <c r="AG179" s="224"/>
      <c r="AH179" s="224"/>
      <c r="AI179" s="224"/>
      <c r="AJ179" s="224"/>
      <c r="AK179" s="224"/>
      <c r="AL179" s="224"/>
      <c r="AM179" s="224"/>
      <c r="AN179" s="224"/>
      <c r="AO179" s="224"/>
      <c r="AP179" s="224"/>
      <c r="AQ179" s="224"/>
      <c r="AR179" s="224"/>
      <c r="AS179" s="224"/>
      <c r="AT179" s="224"/>
      <c r="AU179" s="224"/>
      <c r="AV179" s="224"/>
      <c r="AW179" s="224"/>
      <c r="AX179" s="224"/>
      <c r="AY179" s="224"/>
      <c r="AZ179" s="224"/>
      <c r="BA179" s="224"/>
      <c r="BB179" s="224"/>
      <c r="BC179" s="224"/>
      <c r="BD179" s="224"/>
      <c r="BE179" s="224"/>
      <c r="BF179" s="224"/>
      <c r="BG179" s="224"/>
      <c r="BH179" s="224"/>
      <c r="BI179" s="224"/>
      <c r="BJ179" s="224"/>
      <c r="BK179" s="224"/>
      <c r="BL179" s="224"/>
      <c r="BM179" s="224"/>
    </row>
    <row r="180" spans="1:65" ht="15.75">
      <c r="A180" s="267"/>
      <c r="C180" s="225"/>
      <c r="D180" s="225"/>
      <c r="E180" s="225"/>
      <c r="F180" s="225"/>
      <c r="G180" s="225"/>
      <c r="H180" s="224"/>
      <c r="I180" s="224"/>
      <c r="J180" s="224"/>
      <c r="K180" s="224"/>
      <c r="L180" s="224"/>
      <c r="M180" s="224"/>
      <c r="N180" s="224"/>
      <c r="O180" s="224"/>
      <c r="P180" s="224"/>
      <c r="Q180" s="224"/>
      <c r="R180" s="224"/>
      <c r="S180" s="224"/>
      <c r="T180" s="225"/>
      <c r="U180" s="225"/>
      <c r="V180" s="224"/>
      <c r="W180" s="224"/>
      <c r="X180" s="224"/>
      <c r="Y180" s="224"/>
      <c r="Z180" s="224"/>
      <c r="AA180" s="224"/>
      <c r="AB180" s="275"/>
      <c r="AC180" s="274"/>
      <c r="AD180" s="224"/>
      <c r="AE180" s="224"/>
      <c r="AF180" s="224"/>
      <c r="AG180" s="224"/>
      <c r="AH180" s="224"/>
      <c r="AI180" s="224"/>
      <c r="AJ180" s="224"/>
      <c r="AK180" s="224"/>
      <c r="AL180" s="224"/>
      <c r="AM180" s="224"/>
      <c r="AN180" s="224"/>
      <c r="AO180" s="224"/>
      <c r="AP180" s="224"/>
      <c r="AQ180" s="224"/>
      <c r="AR180" s="224"/>
      <c r="AS180" s="224"/>
      <c r="AT180" s="224"/>
      <c r="AU180" s="224"/>
      <c r="AV180" s="224"/>
      <c r="AW180" s="224"/>
      <c r="AX180" s="224"/>
      <c r="AY180" s="224"/>
      <c r="AZ180" s="224"/>
      <c r="BA180" s="224"/>
      <c r="BB180" s="224"/>
      <c r="BC180" s="224"/>
      <c r="BD180" s="224"/>
      <c r="BE180" s="224"/>
      <c r="BF180" s="224"/>
      <c r="BG180" s="224"/>
      <c r="BH180" s="224"/>
      <c r="BI180" s="224"/>
      <c r="BJ180" s="224"/>
      <c r="BK180" s="224"/>
      <c r="BL180" s="224"/>
      <c r="BM180" s="224"/>
    </row>
    <row r="181" spans="1:65" ht="14.25">
      <c r="H181" s="276"/>
      <c r="I181" s="276"/>
      <c r="J181" s="276"/>
      <c r="K181" s="276"/>
      <c r="L181" s="276"/>
      <c r="M181" s="276"/>
      <c r="N181" s="276"/>
      <c r="O181" s="276"/>
      <c r="P181" s="276"/>
      <c r="Q181" s="276"/>
      <c r="R181" s="276"/>
      <c r="S181" s="276"/>
      <c r="T181" s="276"/>
      <c r="U181" s="276"/>
      <c r="V181" s="224"/>
      <c r="W181" s="224"/>
      <c r="X181" s="224"/>
      <c r="Y181" s="224"/>
      <c r="Z181" s="224"/>
      <c r="AA181" s="224"/>
      <c r="AB181" s="224"/>
      <c r="AC181" s="224"/>
      <c r="AD181" s="224"/>
      <c r="AE181" s="224"/>
      <c r="AF181" s="224"/>
      <c r="AG181" s="224"/>
      <c r="AH181" s="224"/>
      <c r="AI181" s="224"/>
      <c r="AJ181" s="224"/>
      <c r="AK181" s="224"/>
      <c r="AL181" s="224"/>
      <c r="AM181" s="224"/>
      <c r="AN181" s="224"/>
      <c r="AO181" s="224"/>
      <c r="AP181" s="224"/>
      <c r="AQ181" s="224"/>
      <c r="AR181" s="224"/>
      <c r="AS181" s="224"/>
      <c r="AT181" s="224"/>
      <c r="AU181" s="224"/>
      <c r="AV181" s="224"/>
      <c r="AW181" s="224"/>
      <c r="AX181" s="224"/>
      <c r="AY181" s="224"/>
      <c r="AZ181" s="224"/>
      <c r="BA181" s="224"/>
      <c r="BB181" s="224"/>
      <c r="BC181" s="224"/>
      <c r="BD181" s="224"/>
      <c r="BE181" s="224"/>
      <c r="BF181" s="224"/>
      <c r="BG181" s="224"/>
      <c r="BH181" s="224"/>
      <c r="BI181" s="224"/>
      <c r="BJ181" s="224"/>
      <c r="BK181" s="224"/>
      <c r="BL181" s="224"/>
      <c r="BM181" s="224"/>
    </row>
    <row r="182" spans="1:65" ht="14.25">
      <c r="B182" s="253"/>
    </row>
    <row r="183" spans="1:65" ht="14.25">
      <c r="B183" s="253"/>
    </row>
    <row r="184" spans="1:65" ht="14.25">
      <c r="B184" s="253"/>
    </row>
    <row r="185" spans="1:65" ht="14.25">
      <c r="B185" s="253"/>
    </row>
    <row r="186" spans="1:65" ht="14.25">
      <c r="B186" s="253"/>
    </row>
  </sheetData>
  <mergeCells count="132">
    <mergeCell ref="B173:E173"/>
    <mergeCell ref="B174:G174"/>
    <mergeCell ref="C175:G175"/>
    <mergeCell ref="C176:G176"/>
    <mergeCell ref="F173:G173"/>
    <mergeCell ref="B166:G166"/>
    <mergeCell ref="F172:G172"/>
    <mergeCell ref="F171:G171"/>
    <mergeCell ref="B159:G159"/>
    <mergeCell ref="B160:G160"/>
    <mergeCell ref="B162:G162"/>
    <mergeCell ref="B163:G163"/>
    <mergeCell ref="B164:G164"/>
    <mergeCell ref="B165:G165"/>
    <mergeCell ref="F168:G168"/>
    <mergeCell ref="F169:G169"/>
    <mergeCell ref="B168:E168"/>
    <mergeCell ref="B169:E169"/>
    <mergeCell ref="F170:G170"/>
    <mergeCell ref="B170:E170"/>
    <mergeCell ref="B171:E171"/>
    <mergeCell ref="B172:E172"/>
    <mergeCell ref="B167:G167"/>
    <mergeCell ref="B153:G153"/>
    <mergeCell ref="B154:G154"/>
    <mergeCell ref="C155:F155"/>
    <mergeCell ref="C156:F156"/>
    <mergeCell ref="B157:E157"/>
    <mergeCell ref="B158:G158"/>
    <mergeCell ref="C147:F147"/>
    <mergeCell ref="C148:F148"/>
    <mergeCell ref="C149:F149"/>
    <mergeCell ref="C150:F150"/>
    <mergeCell ref="C151:F151"/>
    <mergeCell ref="B152:G152"/>
    <mergeCell ref="C141:F141"/>
    <mergeCell ref="C142:F142"/>
    <mergeCell ref="C143:F143"/>
    <mergeCell ref="B144:G144"/>
    <mergeCell ref="B145:G145"/>
    <mergeCell ref="C146:F146"/>
    <mergeCell ref="C135:F135"/>
    <mergeCell ref="C136:F136"/>
    <mergeCell ref="C137:F137"/>
    <mergeCell ref="C138:F138"/>
    <mergeCell ref="C139:F139"/>
    <mergeCell ref="C140:F140"/>
    <mergeCell ref="C129:F129"/>
    <mergeCell ref="C130:F130"/>
    <mergeCell ref="C131:F131"/>
    <mergeCell ref="C132:F132"/>
    <mergeCell ref="C133:F133"/>
    <mergeCell ref="C134:F134"/>
    <mergeCell ref="B122:G122"/>
    <mergeCell ref="B123:G123"/>
    <mergeCell ref="B124:G124"/>
    <mergeCell ref="B125:G125"/>
    <mergeCell ref="B126:G126"/>
    <mergeCell ref="C128:F128"/>
    <mergeCell ref="C69:G69"/>
    <mergeCell ref="C70:G70"/>
    <mergeCell ref="B71:G71"/>
    <mergeCell ref="B72:G72"/>
    <mergeCell ref="B73:G73"/>
    <mergeCell ref="C121:G121"/>
    <mergeCell ref="B63:G63"/>
    <mergeCell ref="B64:G64"/>
    <mergeCell ref="C65:G65"/>
    <mergeCell ref="C66:G66"/>
    <mergeCell ref="C67:G67"/>
    <mergeCell ref="C68:G68"/>
    <mergeCell ref="C57:F57"/>
    <mergeCell ref="C58:F58"/>
    <mergeCell ref="C59:F59"/>
    <mergeCell ref="C60:F60"/>
    <mergeCell ref="C61:G61"/>
    <mergeCell ref="B62:G62"/>
    <mergeCell ref="C51:F51"/>
    <mergeCell ref="C52:F52"/>
    <mergeCell ref="C53:F53"/>
    <mergeCell ref="C54:F54"/>
    <mergeCell ref="C55:F55"/>
    <mergeCell ref="C56:F56"/>
    <mergeCell ref="B45:G45"/>
    <mergeCell ref="B46:G46"/>
    <mergeCell ref="B47:G47"/>
    <mergeCell ref="C48:F48"/>
    <mergeCell ref="C49:F49"/>
    <mergeCell ref="C50:F50"/>
    <mergeCell ref="C39:F39"/>
    <mergeCell ref="C40:F40"/>
    <mergeCell ref="C41:F41"/>
    <mergeCell ref="C42:F42"/>
    <mergeCell ref="C43:F43"/>
    <mergeCell ref="B44:E44"/>
    <mergeCell ref="F44:G44"/>
    <mergeCell ref="C35:F35"/>
    <mergeCell ref="C36:F36"/>
    <mergeCell ref="C37:F37"/>
    <mergeCell ref="C38:F38"/>
    <mergeCell ref="B27:G27"/>
    <mergeCell ref="B28:G28"/>
    <mergeCell ref="C29:G29"/>
    <mergeCell ref="B30:G30"/>
    <mergeCell ref="B31:G31"/>
    <mergeCell ref="B32:G32"/>
    <mergeCell ref="B33:G33"/>
    <mergeCell ref="C34:F34"/>
    <mergeCell ref="C21:G21"/>
    <mergeCell ref="C22:G22"/>
    <mergeCell ref="B23:G23"/>
    <mergeCell ref="B24:G24"/>
    <mergeCell ref="C25:G25"/>
    <mergeCell ref="B26:G26"/>
    <mergeCell ref="B15:G15"/>
    <mergeCell ref="B16:G16"/>
    <mergeCell ref="B17:G17"/>
    <mergeCell ref="C18:G18"/>
    <mergeCell ref="C19:G19"/>
    <mergeCell ref="B13:G13"/>
    <mergeCell ref="B14:G14"/>
    <mergeCell ref="B1:G1"/>
    <mergeCell ref="B3:G3"/>
    <mergeCell ref="B4:G4"/>
    <mergeCell ref="C5:G5"/>
    <mergeCell ref="C6:G6"/>
    <mergeCell ref="C7:G7"/>
    <mergeCell ref="C20:G20"/>
    <mergeCell ref="C8:G8"/>
    <mergeCell ref="C9:G9"/>
    <mergeCell ref="C10:G10"/>
    <mergeCell ref="C11:G11"/>
  </mergeCells>
  <hyperlinks>
    <hyperlink ref="C13:J13" r:id="rId1" display="UK Science Council" xr:uid="{18CF0DCC-2A84-4C51-85E2-10508DB27041}"/>
    <hyperlink ref="C25" r:id="rId2" display="https://Chapter 2 of the Frascati Manual 2015" xr:uid="{26781D04-756B-4466-B1FC-D62DAA3A9809}"/>
    <hyperlink ref="C29" r:id="rId3" xr:uid="{5C16E79B-B996-4D64-A07A-1A966BB5152A}"/>
    <hyperlink ref="C121" r:id="rId4" xr:uid="{A35A714C-A4FD-458A-B7B1-7B5923EED754}"/>
    <hyperlink ref="F157" r:id="rId5" xr:uid="{EB27C990-0BB0-4BE0-AC04-A479DD7476D3}"/>
    <hyperlink ref="G142" r:id="rId6" xr:uid="{03A10E25-0EC1-4088-A82E-889F99ABCA60}"/>
    <hyperlink ref="C176" r:id="rId7" xr:uid="{60CA9EE3-72A1-4390-A0EF-935BC37E0D0F}"/>
    <hyperlink ref="C25:G25" r:id="rId8" display="Chapter 2 of the Frascati Manual 2015" xr:uid="{1527DA28-C86A-41A3-A1B4-4D311A0BA38E}"/>
    <hyperlink ref="C29:G29" r:id="rId9" display="Oslo Manual 2018" xr:uid="{598899FB-570F-4AF0-99BA-F89547C08D54}"/>
    <hyperlink ref="C61:G61" r:id="rId10" display="Innovation and Science Australia (ISA) Performance Review of the Australian Science and Research System 2016" xr:uid="{FEA40AF3-F8C4-4B76-B25B-4D79F2B04FC3}"/>
    <hyperlink ref="C121:G121" r:id="rId11" display="Frascati Manual 2015 " xr:uid="{5C05A7F5-EEBA-4269-B7E5-64558E700EB6}"/>
    <hyperlink ref="C12" r:id="rId12" xr:uid="{08B4492A-4C19-43CC-8DB1-6120F168EE44}"/>
    <hyperlink ref="B177" r:id="rId13" xr:uid="{68ACAB8B-1C86-4A80-90D2-1F801DF75768}"/>
    <hyperlink ref="F44" r:id="rId14" display="https://www.oecd.org/en/publications/commercialising-public-research-new-trends-and-strategies_9789264193321-en.html" xr:uid="{AC0EDAC3-90FB-49B9-9B27-746E734E649A}"/>
    <hyperlink ref="F44:G44" r:id="rId15" display="Commercialising Public Research: New Trends and Strategies, OECD 2013" xr:uid="{B4A32A94-273A-4007-A001-DF546012AE86}"/>
    <hyperlink ref="F173" r:id="rId16" xr:uid="{6D275B19-3A1B-43B7-8590-48E8C640450F}"/>
    <hyperlink ref="B167" r:id="rId17" xr:uid="{56F4B619-F3FD-499A-ADE8-2872F8C1FACF}"/>
  </hyperlinks>
  <pageMargins left="0.25" right="0.25" top="0.75" bottom="0.75" header="0.3" footer="0.3"/>
  <pageSetup paperSize="8" scale="87" fitToHeight="0" orientation="landscape" horizontalDpi="300" verticalDpi="300" r:id="rId18"/>
  <headerFooter>
    <oddHeader>&amp;C&amp;"Calibri"&amp;12&amp;KC00000 OFFICIAL&amp;1#_x000D_</oddHeader>
    <oddFooter>&amp;C_x000D_&amp;1#&amp;"Calibri"&amp;12&amp;KC00000 OFFICIAL</oddFooter>
  </headerFooter>
  <drawing r:id="rId1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C6BC6-624E-4549-BC01-655AB18EE0A8}">
  <sheetPr>
    <tabColor rgb="FF005677"/>
  </sheetPr>
  <dimension ref="A1:G509"/>
  <sheetViews>
    <sheetView zoomScale="90" zoomScaleNormal="90" workbookViewId="0"/>
  </sheetViews>
  <sheetFormatPr defaultColWidth="0" defaultRowHeight="14.25"/>
  <cols>
    <col min="1" max="1" width="2.7109375" style="1" customWidth="1"/>
    <col min="2" max="2" width="129.5703125" style="216" customWidth="1"/>
    <col min="3" max="3" width="85.85546875" style="216" customWidth="1"/>
    <col min="4" max="4" width="37.28515625" style="216" customWidth="1"/>
    <col min="5" max="5" width="60.28515625" style="216" customWidth="1"/>
    <col min="6" max="6" width="53" style="1" customWidth="1"/>
    <col min="7" max="7" width="29.42578125" style="1" customWidth="1"/>
    <col min="8" max="16384" width="9.28515625" style="1" hidden="1"/>
  </cols>
  <sheetData>
    <row r="1" spans="1:7" ht="30" customHeight="1">
      <c r="A1" s="277"/>
      <c r="B1" s="312" t="s">
        <v>4061</v>
      </c>
      <c r="C1" s="277"/>
      <c r="D1" s="277"/>
      <c r="E1" s="277"/>
      <c r="F1" s="278"/>
      <c r="G1" s="278"/>
    </row>
    <row r="2" spans="1:7" ht="15.75">
      <c r="A2" s="277"/>
      <c r="B2" s="279"/>
      <c r="C2" s="277"/>
      <c r="D2" s="277"/>
      <c r="E2" s="277"/>
      <c r="F2" s="278"/>
      <c r="G2" s="278"/>
    </row>
    <row r="3" spans="1:7" ht="15.75">
      <c r="A3" s="277"/>
      <c r="B3" s="313" t="s">
        <v>4062</v>
      </c>
      <c r="C3" s="277"/>
      <c r="D3" s="277"/>
      <c r="E3" s="277"/>
      <c r="F3" s="278"/>
      <c r="G3" s="278"/>
    </row>
    <row r="4" spans="1:7" ht="15">
      <c r="A4" s="277"/>
      <c r="B4" s="314" t="s">
        <v>4063</v>
      </c>
      <c r="C4" s="277"/>
      <c r="D4" s="277"/>
      <c r="E4" s="277"/>
      <c r="F4" s="278"/>
      <c r="G4" s="278"/>
    </row>
    <row r="5" spans="1:7" ht="28.5">
      <c r="A5" s="277"/>
      <c r="B5" s="205" t="s">
        <v>4064</v>
      </c>
      <c r="C5" s="277"/>
      <c r="D5" s="277"/>
      <c r="E5" s="277"/>
      <c r="F5" s="278"/>
      <c r="G5" s="278"/>
    </row>
    <row r="6" spans="1:7" ht="15">
      <c r="A6" s="277"/>
      <c r="B6" s="777" t="s">
        <v>4065</v>
      </c>
      <c r="C6" s="280"/>
      <c r="D6" s="277"/>
      <c r="E6" s="277"/>
      <c r="F6" s="278"/>
      <c r="G6" s="278"/>
    </row>
    <row r="7" spans="1:7" ht="15">
      <c r="A7" s="277"/>
      <c r="B7" s="281"/>
      <c r="C7" s="277"/>
      <c r="D7" s="277"/>
      <c r="E7" s="277"/>
      <c r="F7" s="278"/>
      <c r="G7" s="278"/>
    </row>
    <row r="8" spans="1:7" ht="15.75">
      <c r="A8" s="277"/>
      <c r="B8" s="313" t="s">
        <v>4066</v>
      </c>
      <c r="C8" s="277"/>
      <c r="D8" s="277"/>
      <c r="E8" s="277"/>
      <c r="F8" s="278"/>
      <c r="G8" s="278"/>
    </row>
    <row r="9" spans="1:7" ht="15">
      <c r="A9" s="277"/>
      <c r="B9" s="314" t="s">
        <v>4067</v>
      </c>
      <c r="C9" s="277"/>
      <c r="D9" s="277"/>
      <c r="E9" s="277"/>
      <c r="F9" s="278"/>
      <c r="G9" s="278"/>
    </row>
    <row r="10" spans="1:7" ht="33" customHeight="1">
      <c r="A10" s="277"/>
      <c r="B10" s="205" t="s">
        <v>4068</v>
      </c>
      <c r="C10" s="277"/>
      <c r="D10" s="277"/>
      <c r="E10" s="277"/>
      <c r="F10" s="278"/>
      <c r="G10" s="278"/>
    </row>
    <row r="11" spans="1:7" ht="13.5" customHeight="1">
      <c r="A11" s="277"/>
      <c r="B11" s="777" t="s">
        <v>4069</v>
      </c>
      <c r="C11" s="282"/>
      <c r="D11" s="282"/>
      <c r="E11" s="282"/>
      <c r="F11" s="278"/>
      <c r="G11" s="278"/>
    </row>
    <row r="12" spans="1:7" ht="43.5">
      <c r="A12" s="277"/>
      <c r="B12" s="237" t="s">
        <v>4070</v>
      </c>
      <c r="C12" s="282"/>
      <c r="D12" s="282"/>
      <c r="E12" s="282"/>
      <c r="F12" s="278"/>
      <c r="G12" s="278"/>
    </row>
    <row r="13" spans="1:7" ht="15">
      <c r="A13" s="277"/>
      <c r="B13" s="778" t="s">
        <v>4071</v>
      </c>
      <c r="C13" s="282"/>
      <c r="D13" s="282"/>
      <c r="E13" s="282"/>
      <c r="F13" s="278"/>
      <c r="G13" s="278"/>
    </row>
    <row r="14" spans="1:7" ht="43.5">
      <c r="A14" s="277"/>
      <c r="B14" s="237" t="s">
        <v>4072</v>
      </c>
      <c r="C14" s="282"/>
      <c r="D14" s="282"/>
      <c r="E14" s="282"/>
      <c r="F14" s="278"/>
      <c r="G14" s="278"/>
    </row>
    <row r="15" spans="1:7" ht="21.75" customHeight="1">
      <c r="A15" s="277"/>
      <c r="B15" s="237" t="s">
        <v>4073</v>
      </c>
      <c r="C15" s="282"/>
      <c r="D15" s="282"/>
      <c r="E15" s="282"/>
      <c r="F15" s="278"/>
      <c r="G15" s="278"/>
    </row>
    <row r="16" spans="1:7" ht="30">
      <c r="A16" s="277"/>
      <c r="B16" s="237" t="s">
        <v>4074</v>
      </c>
      <c r="C16" s="282"/>
      <c r="D16" s="282"/>
      <c r="E16" s="282"/>
      <c r="F16" s="278"/>
      <c r="G16" s="278"/>
    </row>
    <row r="17" spans="1:7" ht="21.75" customHeight="1">
      <c r="A17" s="277"/>
      <c r="B17" s="203" t="s">
        <v>4075</v>
      </c>
      <c r="C17" s="282"/>
      <c r="D17" s="282"/>
      <c r="E17" s="282"/>
      <c r="F17" s="278"/>
      <c r="G17" s="278"/>
    </row>
    <row r="18" spans="1:7" ht="42.75">
      <c r="A18" s="277"/>
      <c r="B18" s="205" t="s">
        <v>4076</v>
      </c>
      <c r="C18" s="282"/>
      <c r="D18" s="282"/>
      <c r="E18" s="282"/>
      <c r="F18" s="278"/>
      <c r="G18" s="278"/>
    </row>
    <row r="19" spans="1:7" ht="20.25" customHeight="1">
      <c r="A19" s="277"/>
      <c r="B19" s="205" t="s">
        <v>4077</v>
      </c>
      <c r="C19" s="282"/>
      <c r="D19" s="282"/>
      <c r="E19" s="282"/>
      <c r="F19" s="278"/>
      <c r="G19" s="278"/>
    </row>
    <row r="20" spans="1:7" ht="18.75" customHeight="1">
      <c r="A20" s="277"/>
      <c r="B20" s="779" t="s">
        <v>4078</v>
      </c>
      <c r="C20" s="282"/>
      <c r="D20" s="282"/>
      <c r="E20" s="282"/>
      <c r="F20" s="278"/>
      <c r="G20" s="278"/>
    </row>
    <row r="21" spans="1:7" ht="15">
      <c r="A21" s="277"/>
      <c r="B21" s="779" t="s">
        <v>4079</v>
      </c>
      <c r="C21" s="282"/>
      <c r="D21" s="282"/>
      <c r="E21" s="282"/>
      <c r="F21" s="278"/>
      <c r="G21" s="278"/>
    </row>
    <row r="22" spans="1:7" ht="15">
      <c r="A22" s="277"/>
      <c r="B22" s="779" t="s">
        <v>4080</v>
      </c>
      <c r="C22" s="282"/>
      <c r="D22" s="282"/>
      <c r="E22" s="282"/>
      <c r="F22" s="278"/>
      <c r="G22" s="278"/>
    </row>
    <row r="23" spans="1:7" ht="45.75" customHeight="1">
      <c r="A23" s="277"/>
      <c r="B23" s="237" t="s">
        <v>4081</v>
      </c>
      <c r="C23" s="282"/>
      <c r="D23" s="282"/>
      <c r="E23" s="282"/>
      <c r="F23" s="278"/>
      <c r="G23" s="278"/>
    </row>
    <row r="24" spans="1:7" ht="72">
      <c r="A24" s="277"/>
      <c r="B24" s="237" t="s">
        <v>4082</v>
      </c>
      <c r="C24" s="282"/>
      <c r="D24" s="282"/>
      <c r="E24" s="282"/>
      <c r="F24" s="278"/>
      <c r="G24" s="278"/>
    </row>
    <row r="25" spans="1:7" ht="57.75">
      <c r="A25" s="277"/>
      <c r="B25" s="237" t="s">
        <v>4083</v>
      </c>
      <c r="C25" s="282"/>
      <c r="D25" s="282"/>
      <c r="E25" s="282"/>
      <c r="F25" s="278"/>
      <c r="G25" s="278"/>
    </row>
    <row r="26" spans="1:7" ht="43.5">
      <c r="A26" s="277"/>
      <c r="B26" s="283" t="s">
        <v>4084</v>
      </c>
      <c r="C26" s="282"/>
      <c r="D26" s="282"/>
      <c r="E26" s="282"/>
      <c r="F26" s="278"/>
      <c r="G26" s="278"/>
    </row>
    <row r="27" spans="1:7" ht="57">
      <c r="A27" s="277"/>
      <c r="B27" s="203" t="s">
        <v>4085</v>
      </c>
      <c r="C27" s="282"/>
      <c r="D27" s="282"/>
      <c r="E27" s="282"/>
      <c r="F27" s="278"/>
      <c r="G27" s="278"/>
    </row>
    <row r="28" spans="1:7" ht="64.5" customHeight="1">
      <c r="A28" s="277"/>
      <c r="B28" s="237" t="s">
        <v>4086</v>
      </c>
      <c r="C28" s="282"/>
      <c r="D28" s="282"/>
      <c r="E28" s="282"/>
      <c r="F28" s="278"/>
      <c r="G28" s="278"/>
    </row>
    <row r="29" spans="1:7" ht="15">
      <c r="A29" s="277"/>
      <c r="B29" s="237"/>
      <c r="C29" s="282"/>
      <c r="D29" s="282"/>
      <c r="E29" s="282"/>
      <c r="F29" s="278"/>
      <c r="G29" s="278"/>
    </row>
    <row r="30" spans="1:7" ht="22.5" customHeight="1">
      <c r="A30" s="277"/>
      <c r="B30" s="314" t="s">
        <v>4087</v>
      </c>
      <c r="C30" s="282"/>
      <c r="D30" s="282"/>
      <c r="E30" s="282"/>
      <c r="F30" s="278"/>
      <c r="G30" s="278"/>
    </row>
    <row r="31" spans="1:7" ht="18.75" customHeight="1">
      <c r="A31" s="277"/>
      <c r="B31" s="205" t="s">
        <v>4088</v>
      </c>
      <c r="C31" s="282"/>
      <c r="D31" s="282"/>
      <c r="E31" s="282"/>
      <c r="F31" s="278"/>
      <c r="G31" s="278"/>
    </row>
    <row r="32" spans="1:7" ht="15">
      <c r="A32" s="277"/>
      <c r="B32" s="205" t="s">
        <v>4089</v>
      </c>
      <c r="C32" s="282"/>
      <c r="D32" s="282"/>
      <c r="E32" s="282"/>
      <c r="F32" s="278"/>
      <c r="G32" s="278"/>
    </row>
    <row r="33" spans="1:7" ht="15">
      <c r="A33" s="277"/>
      <c r="B33" s="237" t="s">
        <v>4090</v>
      </c>
      <c r="C33" s="282"/>
      <c r="D33" s="282"/>
      <c r="E33" s="282"/>
      <c r="F33" s="278"/>
      <c r="G33" s="278"/>
    </row>
    <row r="34" spans="1:7" ht="15">
      <c r="A34" s="277"/>
      <c r="B34" s="205" t="s">
        <v>4091</v>
      </c>
      <c r="C34" s="282"/>
      <c r="D34" s="282"/>
      <c r="E34" s="282"/>
      <c r="F34" s="278"/>
      <c r="G34" s="278"/>
    </row>
    <row r="35" spans="1:7" ht="71.25">
      <c r="A35" s="277"/>
      <c r="B35" s="205" t="s">
        <v>4092</v>
      </c>
      <c r="C35" s="282"/>
      <c r="D35" s="282"/>
      <c r="E35" s="282"/>
      <c r="F35" s="278"/>
      <c r="G35" s="278"/>
    </row>
    <row r="36" spans="1:7" ht="17.25" customHeight="1">
      <c r="A36" s="277"/>
      <c r="B36" s="313" t="s">
        <v>4093</v>
      </c>
      <c r="C36" s="282"/>
      <c r="D36" s="284"/>
      <c r="E36" s="282"/>
      <c r="F36" s="278"/>
      <c r="G36" s="278"/>
    </row>
    <row r="37" spans="1:7" ht="57.75">
      <c r="A37" s="277"/>
      <c r="B37" s="285" t="s">
        <v>4094</v>
      </c>
      <c r="C37" s="282"/>
      <c r="D37" s="284"/>
      <c r="E37" s="282"/>
      <c r="F37" s="278"/>
      <c r="G37" s="278"/>
    </row>
    <row r="38" spans="1:7" ht="15">
      <c r="A38" s="277"/>
      <c r="B38" s="285" t="s">
        <v>4095</v>
      </c>
      <c r="C38" s="282"/>
      <c r="D38" s="284"/>
      <c r="E38" s="282"/>
      <c r="F38" s="278"/>
      <c r="G38" s="278"/>
    </row>
    <row r="39" spans="1:7" ht="15">
      <c r="A39" s="277"/>
      <c r="B39" s="205" t="s">
        <v>4096</v>
      </c>
      <c r="C39" s="282"/>
      <c r="D39" s="284"/>
      <c r="E39" s="282"/>
      <c r="F39" s="278"/>
      <c r="G39" s="278"/>
    </row>
    <row r="40" spans="1:7" ht="42.75">
      <c r="A40" s="277"/>
      <c r="B40" s="205" t="s">
        <v>4097</v>
      </c>
      <c r="C40" s="282"/>
      <c r="D40" s="284"/>
      <c r="E40" s="282"/>
      <c r="F40" s="278"/>
      <c r="G40" s="278"/>
    </row>
    <row r="41" spans="1:7" ht="33.75" customHeight="1">
      <c r="A41" s="277"/>
      <c r="B41" s="205" t="s">
        <v>4098</v>
      </c>
      <c r="C41" s="282"/>
      <c r="D41" s="284"/>
      <c r="E41" s="282"/>
      <c r="F41" s="278"/>
      <c r="G41" s="278"/>
    </row>
    <row r="42" spans="1:7" ht="15">
      <c r="A42" s="277"/>
      <c r="B42" s="205" t="s">
        <v>4099</v>
      </c>
      <c r="C42" s="282"/>
      <c r="D42" s="284"/>
      <c r="E42" s="282"/>
      <c r="F42" s="278"/>
      <c r="G42" s="278"/>
    </row>
    <row r="43" spans="1:7" ht="15">
      <c r="A43" s="277"/>
      <c r="B43" s="205"/>
      <c r="C43" s="282"/>
      <c r="D43" s="284"/>
      <c r="E43" s="282"/>
      <c r="F43" s="278"/>
      <c r="G43" s="278"/>
    </row>
    <row r="44" spans="1:7" ht="15.75">
      <c r="A44" s="277"/>
      <c r="B44" s="313" t="s">
        <v>4100</v>
      </c>
      <c r="C44" s="282"/>
      <c r="D44" s="284"/>
      <c r="E44" s="282"/>
      <c r="F44" s="278"/>
      <c r="G44" s="278"/>
    </row>
    <row r="45" spans="1:7" ht="15">
      <c r="A45" s="277"/>
      <c r="B45" s="205" t="s">
        <v>4101</v>
      </c>
      <c r="C45" s="282"/>
      <c r="D45" s="284"/>
      <c r="E45" s="282"/>
      <c r="F45" s="278"/>
      <c r="G45" s="278"/>
    </row>
    <row r="46" spans="1:7" ht="28.5">
      <c r="A46" s="277"/>
      <c r="B46" s="205" t="s">
        <v>4102</v>
      </c>
      <c r="C46" s="282"/>
      <c r="D46" s="284"/>
      <c r="E46" s="282"/>
      <c r="F46" s="278"/>
      <c r="G46" s="278"/>
    </row>
    <row r="47" spans="1:7" ht="28.5">
      <c r="A47" s="277"/>
      <c r="B47" s="205" t="s">
        <v>4103</v>
      </c>
      <c r="C47" s="282"/>
      <c r="D47" s="284"/>
      <c r="E47" s="282"/>
      <c r="F47" s="278"/>
      <c r="G47" s="278"/>
    </row>
    <row r="48" spans="1:7" ht="15">
      <c r="A48" s="277"/>
      <c r="B48" s="205"/>
      <c r="C48" s="282"/>
      <c r="D48" s="284"/>
      <c r="E48" s="282"/>
      <c r="F48" s="278"/>
      <c r="G48" s="278"/>
    </row>
    <row r="49" spans="1:7" ht="18.75" customHeight="1">
      <c r="A49" s="277"/>
      <c r="B49" s="313" t="s">
        <v>4104</v>
      </c>
      <c r="C49" s="282"/>
      <c r="D49" s="284"/>
      <c r="E49" s="282"/>
      <c r="F49" s="278"/>
      <c r="G49" s="278"/>
    </row>
    <row r="50" spans="1:7" ht="18.75" customHeight="1">
      <c r="A50" s="277"/>
      <c r="B50" s="205" t="s">
        <v>4105</v>
      </c>
      <c r="C50" s="282"/>
      <c r="D50" s="284"/>
      <c r="E50" s="282"/>
      <c r="F50" s="278"/>
      <c r="G50" s="278"/>
    </row>
    <row r="51" spans="1:7" ht="33" customHeight="1">
      <c r="A51" s="277"/>
      <c r="B51" s="286" t="s">
        <v>4059</v>
      </c>
      <c r="C51" s="282"/>
      <c r="D51" s="284"/>
      <c r="E51" s="282"/>
      <c r="F51" s="278"/>
      <c r="G51" s="278"/>
    </row>
    <row r="52" spans="1:7" ht="15">
      <c r="A52" s="277"/>
      <c r="B52" s="205" t="s">
        <v>4106</v>
      </c>
      <c r="C52" s="282"/>
      <c r="D52" s="284"/>
      <c r="E52" s="282"/>
      <c r="F52" s="278"/>
      <c r="G52" s="278"/>
    </row>
    <row r="53" spans="1:7" ht="15">
      <c r="A53" s="277"/>
      <c r="B53" s="205" t="s">
        <v>4107</v>
      </c>
      <c r="C53" s="282"/>
      <c r="D53" s="284"/>
      <c r="E53" s="282"/>
      <c r="F53" s="278"/>
      <c r="G53" s="278"/>
    </row>
    <row r="54" spans="1:7" ht="29.25">
      <c r="A54" s="277"/>
      <c r="B54" s="205" t="s">
        <v>4108</v>
      </c>
      <c r="C54" s="282"/>
      <c r="D54" s="284"/>
      <c r="E54" s="282"/>
      <c r="F54" s="278"/>
      <c r="G54" s="278"/>
    </row>
    <row r="55" spans="1:7" ht="29.25">
      <c r="A55" s="277"/>
      <c r="B55" s="205" t="s">
        <v>4109</v>
      </c>
      <c r="C55" s="282"/>
      <c r="D55" s="284"/>
      <c r="E55" s="282"/>
      <c r="F55" s="278"/>
      <c r="G55" s="278"/>
    </row>
    <row r="56" spans="1:7" ht="15">
      <c r="A56" s="277"/>
      <c r="B56" s="205" t="s">
        <v>4110</v>
      </c>
      <c r="C56" s="282"/>
      <c r="D56" s="284"/>
      <c r="E56" s="282"/>
      <c r="F56" s="278"/>
      <c r="G56" s="278"/>
    </row>
    <row r="57" spans="1:7" ht="15">
      <c r="A57" s="277"/>
      <c r="B57" s="205"/>
      <c r="C57" s="282"/>
      <c r="D57" s="284"/>
      <c r="E57" s="282"/>
      <c r="F57" s="278"/>
      <c r="G57" s="278"/>
    </row>
    <row r="58" spans="1:7" ht="15" customHeight="1">
      <c r="A58" s="277"/>
      <c r="B58" s="313" t="s">
        <v>4111</v>
      </c>
      <c r="C58" s="282"/>
      <c r="D58" s="284"/>
      <c r="E58" s="282"/>
      <c r="F58" s="278"/>
      <c r="G58" s="278"/>
    </row>
    <row r="59" spans="1:7" ht="18" customHeight="1">
      <c r="A59" s="277"/>
      <c r="B59" s="283" t="s">
        <v>4112</v>
      </c>
      <c r="C59" s="282"/>
      <c r="D59" s="284"/>
      <c r="E59" s="282"/>
      <c r="F59" s="278"/>
      <c r="G59" s="278"/>
    </row>
    <row r="60" spans="1:7" ht="12" customHeight="1">
      <c r="A60" s="277"/>
      <c r="B60" s="283"/>
      <c r="C60" s="282"/>
      <c r="D60" s="284"/>
      <c r="E60" s="282"/>
      <c r="F60" s="278"/>
      <c r="G60" s="278"/>
    </row>
    <row r="61" spans="1:7" ht="15" customHeight="1">
      <c r="A61" s="277"/>
      <c r="B61" s="314" t="s">
        <v>205</v>
      </c>
      <c r="C61" s="282"/>
      <c r="D61" s="284"/>
      <c r="E61" s="282"/>
      <c r="F61" s="278"/>
      <c r="G61" s="278"/>
    </row>
    <row r="62" spans="1:7" ht="57.75">
      <c r="A62" s="277"/>
      <c r="B62" s="283" t="s">
        <v>4113</v>
      </c>
      <c r="C62" s="282"/>
      <c r="D62" s="284"/>
      <c r="E62" s="282"/>
      <c r="F62" s="278"/>
      <c r="G62" s="278"/>
    </row>
    <row r="63" spans="1:7" ht="15">
      <c r="A63" s="277"/>
      <c r="B63" s="283"/>
      <c r="C63" s="282"/>
      <c r="D63" s="284"/>
      <c r="E63" s="282"/>
      <c r="F63" s="278"/>
      <c r="G63" s="278"/>
    </row>
    <row r="64" spans="1:7" ht="16.5" customHeight="1">
      <c r="A64" s="277"/>
      <c r="B64" s="314" t="s">
        <v>4114</v>
      </c>
      <c r="C64" s="282"/>
      <c r="D64" s="284"/>
      <c r="E64" s="282"/>
      <c r="F64" s="278"/>
      <c r="G64" s="278"/>
    </row>
    <row r="65" spans="1:7" ht="15">
      <c r="A65" s="277"/>
      <c r="B65" s="283" t="s">
        <v>4115</v>
      </c>
      <c r="C65" s="282"/>
      <c r="D65" s="284"/>
      <c r="E65" s="282"/>
      <c r="F65" s="278"/>
      <c r="G65" s="278"/>
    </row>
    <row r="66" spans="1:7" ht="21.75" customHeight="1">
      <c r="A66" s="277"/>
      <c r="B66" s="283"/>
      <c r="C66" s="282"/>
      <c r="D66" s="284"/>
      <c r="E66" s="282"/>
      <c r="F66" s="278"/>
      <c r="G66" s="278"/>
    </row>
    <row r="67" spans="1:7" ht="16.5" customHeight="1">
      <c r="A67" s="277"/>
      <c r="B67" s="314" t="s">
        <v>4116</v>
      </c>
      <c r="C67" s="282"/>
      <c r="D67" s="284"/>
      <c r="E67" s="282"/>
      <c r="F67" s="278"/>
      <c r="G67" s="278"/>
    </row>
    <row r="68" spans="1:7" ht="28.5">
      <c r="A68" s="277"/>
      <c r="B68" s="205" t="s">
        <v>4117</v>
      </c>
      <c r="C68" s="282"/>
      <c r="D68" s="284"/>
      <c r="E68" s="282"/>
      <c r="F68" s="278"/>
      <c r="G68" s="278"/>
    </row>
    <row r="69" spans="1:7" ht="15">
      <c r="A69" s="277"/>
      <c r="B69" s="205" t="s">
        <v>4118</v>
      </c>
      <c r="C69" s="282"/>
      <c r="D69" s="284"/>
      <c r="E69" s="282"/>
      <c r="F69" s="278"/>
      <c r="G69" s="278"/>
    </row>
    <row r="70" spans="1:7" ht="15">
      <c r="A70" s="277"/>
      <c r="B70" s="205" t="s">
        <v>4119</v>
      </c>
      <c r="C70" s="282"/>
      <c r="D70" s="284"/>
      <c r="E70" s="282"/>
      <c r="F70" s="278"/>
      <c r="G70" s="278"/>
    </row>
    <row r="71" spans="1:7" ht="28.5">
      <c r="A71" s="277"/>
      <c r="B71" s="205" t="s">
        <v>4120</v>
      </c>
      <c r="C71" s="282"/>
      <c r="D71" s="284"/>
      <c r="E71" s="282"/>
      <c r="F71" s="278"/>
      <c r="G71" s="278"/>
    </row>
    <row r="72" spans="1:7" ht="28.5">
      <c r="A72" s="277"/>
      <c r="B72" s="205" t="s">
        <v>4121</v>
      </c>
      <c r="C72" s="282"/>
      <c r="D72" s="284"/>
      <c r="E72" s="282"/>
      <c r="F72" s="278"/>
      <c r="G72" s="278"/>
    </row>
    <row r="73" spans="1:7" ht="28.5">
      <c r="A73" s="277"/>
      <c r="B73" s="205" t="s">
        <v>4122</v>
      </c>
      <c r="C73" s="282"/>
      <c r="D73" s="284"/>
      <c r="E73" s="282"/>
      <c r="F73" s="278"/>
      <c r="G73" s="278"/>
    </row>
    <row r="74" spans="1:7" ht="20.25" customHeight="1">
      <c r="A74" s="277"/>
      <c r="B74" s="314" t="s">
        <v>203</v>
      </c>
      <c r="C74" s="282"/>
      <c r="D74" s="284"/>
      <c r="E74" s="282"/>
      <c r="F74" s="278"/>
      <c r="G74" s="278"/>
    </row>
    <row r="75" spans="1:7" ht="43.5">
      <c r="A75" s="277"/>
      <c r="B75" s="283" t="s">
        <v>4123</v>
      </c>
      <c r="C75" s="282"/>
      <c r="D75" s="284"/>
      <c r="E75" s="282"/>
      <c r="F75" s="278"/>
      <c r="G75" s="278"/>
    </row>
    <row r="76" spans="1:7" ht="29.25">
      <c r="A76" s="277"/>
      <c r="B76" s="283" t="s">
        <v>4124</v>
      </c>
      <c r="C76" s="282"/>
      <c r="D76" s="287"/>
      <c r="E76" s="282"/>
      <c r="F76" s="278"/>
      <c r="G76" s="278"/>
    </row>
    <row r="77" spans="1:7" ht="28.5">
      <c r="A77" s="277"/>
      <c r="B77" s="205" t="s">
        <v>4125</v>
      </c>
      <c r="C77" s="282"/>
      <c r="D77" s="287"/>
      <c r="E77" s="282"/>
      <c r="F77" s="278"/>
      <c r="G77" s="278"/>
    </row>
    <row r="78" spans="1:7" ht="15">
      <c r="A78" s="277"/>
      <c r="B78" s="286" t="s">
        <v>4126</v>
      </c>
      <c r="C78" s="282"/>
      <c r="D78" s="284"/>
      <c r="E78" s="282"/>
      <c r="F78" s="278"/>
      <c r="G78" s="278"/>
    </row>
    <row r="79" spans="1:7" ht="15">
      <c r="A79" s="277"/>
      <c r="B79" s="288"/>
      <c r="C79" s="282"/>
      <c r="D79" s="284"/>
      <c r="E79" s="282"/>
      <c r="F79" s="278"/>
      <c r="G79" s="278"/>
    </row>
    <row r="80" spans="1:7" ht="15">
      <c r="A80" s="277"/>
      <c r="B80" s="314" t="s">
        <v>212</v>
      </c>
      <c r="C80" s="282"/>
      <c r="D80" s="284"/>
      <c r="E80" s="282"/>
      <c r="F80" s="278"/>
      <c r="G80" s="278"/>
    </row>
    <row r="81" spans="1:7" ht="15">
      <c r="A81" s="277"/>
      <c r="B81" s="283" t="s">
        <v>4127</v>
      </c>
      <c r="C81" s="282"/>
      <c r="D81" s="284"/>
      <c r="E81" s="282"/>
      <c r="F81" s="278"/>
      <c r="G81" s="278"/>
    </row>
    <row r="82" spans="1:7" ht="15">
      <c r="A82" s="277"/>
      <c r="B82" s="283"/>
      <c r="C82" s="282"/>
      <c r="D82" s="284"/>
      <c r="E82" s="282"/>
      <c r="F82" s="278"/>
      <c r="G82" s="278"/>
    </row>
    <row r="83" spans="1:7" ht="15">
      <c r="A83" s="277"/>
      <c r="B83" s="314" t="s">
        <v>4128</v>
      </c>
      <c r="C83" s="282"/>
      <c r="D83" s="284"/>
      <c r="E83" s="282"/>
      <c r="F83" s="278"/>
      <c r="G83" s="278"/>
    </row>
    <row r="84" spans="1:7" ht="15">
      <c r="A84" s="277"/>
      <c r="B84" s="283" t="s">
        <v>4129</v>
      </c>
      <c r="C84" s="282"/>
      <c r="D84" s="284"/>
      <c r="E84" s="282"/>
      <c r="F84" s="278"/>
      <c r="G84" s="278"/>
    </row>
    <row r="85" spans="1:7" ht="15">
      <c r="A85" s="277"/>
      <c r="B85" s="283"/>
      <c r="C85" s="282"/>
      <c r="D85" s="284"/>
      <c r="E85" s="282"/>
      <c r="F85" s="278"/>
      <c r="G85" s="278"/>
    </row>
    <row r="86" spans="1:7" ht="15">
      <c r="A86" s="277"/>
      <c r="B86" s="314" t="s">
        <v>4130</v>
      </c>
      <c r="C86" s="282"/>
      <c r="D86" s="284"/>
      <c r="E86" s="282"/>
      <c r="F86" s="278"/>
      <c r="G86" s="278"/>
    </row>
    <row r="87" spans="1:7" ht="71.25">
      <c r="A87" s="277"/>
      <c r="B87" s="205" t="s">
        <v>4131</v>
      </c>
      <c r="C87" s="282"/>
      <c r="D87" s="284"/>
      <c r="E87" s="282"/>
      <c r="F87" s="278"/>
      <c r="G87" s="278"/>
    </row>
    <row r="88" spans="1:7" ht="15">
      <c r="A88" s="277"/>
      <c r="B88" s="205"/>
      <c r="C88" s="282"/>
      <c r="D88" s="284"/>
      <c r="E88" s="282"/>
      <c r="F88" s="278"/>
      <c r="G88" s="278"/>
    </row>
    <row r="89" spans="1:7" ht="15">
      <c r="A89" s="277"/>
      <c r="B89" s="314" t="s">
        <v>215</v>
      </c>
      <c r="C89" s="282"/>
      <c r="D89" s="284"/>
      <c r="E89" s="282"/>
      <c r="F89" s="278"/>
      <c r="G89" s="278"/>
    </row>
    <row r="90" spans="1:7" ht="28.5">
      <c r="A90" s="277"/>
      <c r="B90" s="205" t="s">
        <v>4132</v>
      </c>
      <c r="C90" s="282"/>
      <c r="D90" s="284"/>
      <c r="E90" s="282"/>
      <c r="F90" s="278"/>
      <c r="G90" s="278"/>
    </row>
    <row r="91" spans="1:7" ht="15">
      <c r="A91" s="277"/>
      <c r="B91" s="205"/>
      <c r="C91" s="282"/>
      <c r="D91" s="284"/>
      <c r="E91" s="282"/>
      <c r="F91" s="278"/>
      <c r="G91" s="278"/>
    </row>
    <row r="92" spans="1:7" ht="15">
      <c r="A92" s="277"/>
      <c r="B92" s="314" t="s">
        <v>4133</v>
      </c>
      <c r="C92" s="282"/>
      <c r="D92" s="284"/>
      <c r="E92" s="282"/>
      <c r="F92" s="278"/>
      <c r="G92" s="278"/>
    </row>
    <row r="93" spans="1:7" ht="15">
      <c r="A93" s="277"/>
      <c r="B93" s="283" t="s">
        <v>4134</v>
      </c>
      <c r="C93" s="282"/>
      <c r="D93" s="284"/>
      <c r="E93" s="282"/>
      <c r="F93" s="278"/>
      <c r="G93" s="278"/>
    </row>
    <row r="94" spans="1:7" ht="15">
      <c r="A94" s="277"/>
      <c r="B94" s="283"/>
      <c r="C94" s="282"/>
      <c r="D94" s="284"/>
      <c r="E94" s="282"/>
      <c r="F94" s="278"/>
      <c r="G94" s="278"/>
    </row>
    <row r="95" spans="1:7" ht="15">
      <c r="A95" s="277"/>
      <c r="B95" s="314" t="s">
        <v>4135</v>
      </c>
      <c r="C95" s="282"/>
      <c r="D95" s="284"/>
      <c r="E95" s="282"/>
      <c r="F95" s="278"/>
      <c r="G95" s="278"/>
    </row>
    <row r="96" spans="1:7" ht="15">
      <c r="A96" s="277"/>
      <c r="B96" s="283" t="s">
        <v>4136</v>
      </c>
      <c r="C96" s="282"/>
      <c r="D96" s="284"/>
      <c r="E96" s="282"/>
      <c r="F96" s="278"/>
      <c r="G96" s="278"/>
    </row>
    <row r="97" spans="1:7" ht="15">
      <c r="A97" s="277"/>
      <c r="B97" s="283"/>
      <c r="C97" s="282"/>
      <c r="D97" s="284"/>
      <c r="E97" s="282"/>
      <c r="F97" s="278"/>
      <c r="G97" s="278"/>
    </row>
    <row r="98" spans="1:7" ht="15">
      <c r="A98" s="277"/>
      <c r="B98" s="314" t="s">
        <v>4137</v>
      </c>
      <c r="C98" s="282"/>
      <c r="D98" s="284"/>
      <c r="E98" s="282"/>
      <c r="F98" s="278"/>
      <c r="G98" s="278"/>
    </row>
    <row r="99" spans="1:7" ht="28.5">
      <c r="A99" s="277"/>
      <c r="B99" s="205" t="s">
        <v>4138</v>
      </c>
      <c r="C99" s="282"/>
      <c r="D99" s="284"/>
      <c r="E99" s="282"/>
      <c r="F99" s="278"/>
      <c r="G99" s="278"/>
    </row>
    <row r="100" spans="1:7" ht="28.5">
      <c r="A100" s="277"/>
      <c r="B100" s="205" t="s">
        <v>4139</v>
      </c>
      <c r="C100" s="282"/>
      <c r="D100" s="284"/>
      <c r="E100" s="282"/>
      <c r="F100" s="278"/>
      <c r="G100" s="278"/>
    </row>
    <row r="101" spans="1:7" ht="42.75">
      <c r="A101" s="277"/>
      <c r="B101" s="205" t="s">
        <v>4140</v>
      </c>
      <c r="C101" s="282"/>
      <c r="D101" s="284"/>
      <c r="E101" s="282"/>
      <c r="F101" s="278"/>
      <c r="G101" s="278"/>
    </row>
    <row r="102" spans="1:7" ht="15">
      <c r="A102" s="277"/>
      <c r="B102" s="205" t="s">
        <v>4141</v>
      </c>
      <c r="C102" s="282"/>
      <c r="D102" s="284"/>
      <c r="E102" s="282"/>
      <c r="F102" s="278"/>
      <c r="G102" s="278"/>
    </row>
    <row r="103" spans="1:7" ht="15">
      <c r="A103" s="277"/>
      <c r="B103" s="286" t="s">
        <v>4042</v>
      </c>
      <c r="C103" s="282"/>
      <c r="D103" s="284"/>
      <c r="E103" s="282"/>
      <c r="F103" s="278"/>
      <c r="G103" s="278"/>
    </row>
    <row r="104" spans="1:7" ht="15">
      <c r="A104" s="277"/>
      <c r="B104" s="288"/>
      <c r="C104" s="282"/>
      <c r="D104" s="284"/>
      <c r="E104" s="282"/>
      <c r="F104" s="278"/>
      <c r="G104" s="278"/>
    </row>
    <row r="105" spans="1:7" ht="15">
      <c r="A105" s="277"/>
      <c r="B105" s="314" t="s">
        <v>226</v>
      </c>
      <c r="C105" s="282"/>
      <c r="D105" s="284"/>
      <c r="E105" s="282"/>
      <c r="F105" s="278"/>
      <c r="G105" s="278"/>
    </row>
    <row r="106" spans="1:7" ht="15">
      <c r="A106" s="277"/>
      <c r="B106" s="283" t="s">
        <v>4142</v>
      </c>
      <c r="C106" s="282"/>
      <c r="D106" s="284"/>
      <c r="E106" s="282"/>
      <c r="F106" s="278"/>
      <c r="G106" s="278"/>
    </row>
    <row r="107" spans="1:7" ht="15">
      <c r="A107" s="277"/>
      <c r="B107" s="283"/>
      <c r="C107" s="282"/>
      <c r="D107" s="284"/>
      <c r="E107" s="282"/>
      <c r="F107" s="278"/>
      <c r="G107" s="278"/>
    </row>
    <row r="108" spans="1:7" ht="15">
      <c r="A108" s="277"/>
      <c r="B108" s="314" t="s">
        <v>227</v>
      </c>
      <c r="C108" s="282"/>
      <c r="D108" s="284"/>
      <c r="E108" s="282"/>
      <c r="F108" s="278"/>
      <c r="G108" s="278"/>
    </row>
    <row r="109" spans="1:7" ht="15">
      <c r="A109" s="277"/>
      <c r="B109" s="205" t="s">
        <v>4143</v>
      </c>
      <c r="C109" s="282"/>
      <c r="D109" s="284"/>
      <c r="E109" s="282"/>
      <c r="F109" s="278"/>
      <c r="G109" s="278"/>
    </row>
    <row r="110" spans="1:7" ht="15">
      <c r="A110" s="277"/>
      <c r="B110" s="205" t="s">
        <v>4144</v>
      </c>
      <c r="C110" s="282"/>
      <c r="D110" s="284"/>
      <c r="E110" s="282"/>
      <c r="F110" s="278"/>
      <c r="G110" s="278"/>
    </row>
    <row r="111" spans="1:7" ht="15">
      <c r="A111" s="277"/>
      <c r="B111" s="205" t="s">
        <v>4145</v>
      </c>
      <c r="C111" s="282"/>
      <c r="D111" s="284"/>
      <c r="E111" s="282"/>
      <c r="F111" s="278"/>
      <c r="G111" s="278"/>
    </row>
    <row r="112" spans="1:7" ht="15">
      <c r="A112" s="277"/>
      <c r="B112" s="205" t="s">
        <v>4146</v>
      </c>
      <c r="C112" s="282"/>
      <c r="D112" s="284"/>
      <c r="E112" s="282"/>
      <c r="F112" s="278"/>
      <c r="G112" s="278"/>
    </row>
    <row r="113" spans="1:7" ht="15">
      <c r="A113" s="277"/>
      <c r="B113" s="205" t="s">
        <v>4147</v>
      </c>
      <c r="C113" s="282"/>
      <c r="D113" s="284"/>
      <c r="E113" s="282"/>
      <c r="F113" s="278"/>
      <c r="G113" s="278"/>
    </row>
    <row r="114" spans="1:7" ht="15">
      <c r="A114" s="277"/>
      <c r="B114" s="205" t="s">
        <v>4148</v>
      </c>
      <c r="C114" s="282"/>
      <c r="D114" s="284"/>
      <c r="E114" s="282"/>
      <c r="F114" s="278"/>
      <c r="G114" s="278"/>
    </row>
    <row r="115" spans="1:7" ht="15">
      <c r="A115" s="277"/>
      <c r="B115" s="205"/>
      <c r="C115" s="282"/>
      <c r="D115" s="284"/>
      <c r="E115" s="282"/>
      <c r="F115" s="278"/>
      <c r="G115" s="278"/>
    </row>
    <row r="116" spans="1:7" ht="15">
      <c r="A116" s="277"/>
      <c r="B116" s="314" t="s">
        <v>228</v>
      </c>
      <c r="C116" s="282"/>
      <c r="D116" s="284"/>
      <c r="E116" s="282"/>
      <c r="F116" s="278"/>
      <c r="G116" s="278"/>
    </row>
    <row r="117" spans="1:7" ht="15">
      <c r="A117" s="277"/>
      <c r="B117" s="205" t="s">
        <v>4149</v>
      </c>
      <c r="C117" s="282"/>
      <c r="D117" s="284"/>
      <c r="E117" s="282"/>
      <c r="F117" s="278"/>
      <c r="G117" s="278"/>
    </row>
    <row r="118" spans="1:7" ht="15">
      <c r="A118" s="277"/>
      <c r="B118" s="205"/>
      <c r="C118" s="282"/>
      <c r="D118" s="284"/>
      <c r="E118" s="282"/>
      <c r="F118" s="278"/>
      <c r="G118" s="278"/>
    </row>
    <row r="119" spans="1:7" ht="15">
      <c r="A119" s="277"/>
      <c r="B119" s="314" t="s">
        <v>229</v>
      </c>
      <c r="C119" s="282"/>
      <c r="D119" s="284"/>
      <c r="E119" s="282"/>
      <c r="F119" s="278"/>
      <c r="G119" s="278"/>
    </row>
    <row r="120" spans="1:7" ht="28.5">
      <c r="A120" s="277"/>
      <c r="B120" s="205" t="s">
        <v>4150</v>
      </c>
      <c r="C120" s="282"/>
      <c r="D120" s="284"/>
      <c r="E120" s="282"/>
      <c r="F120" s="278"/>
      <c r="G120" s="278"/>
    </row>
    <row r="121" spans="1:7" ht="15">
      <c r="A121" s="277"/>
      <c r="B121" s="205"/>
      <c r="C121" s="282"/>
      <c r="D121" s="284"/>
      <c r="E121" s="282"/>
      <c r="F121" s="278"/>
      <c r="G121" s="278"/>
    </row>
    <row r="122" spans="1:7" ht="15">
      <c r="A122" s="277"/>
      <c r="B122" s="314" t="s">
        <v>4151</v>
      </c>
      <c r="C122" s="282"/>
      <c r="D122" s="284"/>
      <c r="E122" s="282"/>
      <c r="F122" s="278"/>
      <c r="G122" s="278"/>
    </row>
    <row r="123" spans="1:7" ht="28.5">
      <c r="A123" s="277"/>
      <c r="B123" s="205" t="s">
        <v>4152</v>
      </c>
      <c r="C123" s="282"/>
      <c r="D123" s="284"/>
      <c r="E123" s="282"/>
      <c r="F123" s="278"/>
      <c r="G123" s="278"/>
    </row>
    <row r="124" spans="1:7" ht="15">
      <c r="A124" s="277"/>
      <c r="B124" s="205"/>
      <c r="C124" s="282"/>
      <c r="D124" s="284"/>
      <c r="E124" s="282"/>
      <c r="F124" s="278"/>
      <c r="G124" s="278"/>
    </row>
    <row r="125" spans="1:7" ht="15.75">
      <c r="A125" s="277"/>
      <c r="B125" s="313" t="s">
        <v>4153</v>
      </c>
      <c r="C125" s="282"/>
      <c r="D125" s="284"/>
      <c r="E125" s="282"/>
      <c r="F125" s="278"/>
      <c r="G125" s="278"/>
    </row>
    <row r="126" spans="1:7" ht="15">
      <c r="A126" s="277"/>
      <c r="B126" s="289"/>
      <c r="C126" s="282"/>
      <c r="D126" s="284"/>
      <c r="E126" s="282"/>
      <c r="F126" s="278"/>
      <c r="G126" s="278"/>
    </row>
    <row r="127" spans="1:7" ht="15" customHeight="1">
      <c r="A127" s="290"/>
      <c r="B127" s="314" t="s">
        <v>4154</v>
      </c>
      <c r="C127" s="291"/>
      <c r="D127" s="233"/>
      <c r="E127" s="291"/>
    </row>
    <row r="128" spans="1:7" ht="43.5">
      <c r="A128" s="277"/>
      <c r="B128" s="292" t="s">
        <v>4155</v>
      </c>
      <c r="C128" s="282"/>
      <c r="D128" s="282"/>
      <c r="E128" s="282"/>
      <c r="F128" s="278"/>
      <c r="G128" s="278"/>
    </row>
    <row r="129" spans="1:7" ht="15">
      <c r="A129" s="277"/>
      <c r="B129" s="292"/>
      <c r="C129" s="282"/>
      <c r="D129" s="282"/>
      <c r="E129" s="282"/>
      <c r="F129" s="278"/>
      <c r="G129" s="278"/>
    </row>
    <row r="130" spans="1:7" ht="15">
      <c r="A130" s="277"/>
      <c r="B130" s="314" t="s">
        <v>4156</v>
      </c>
      <c r="C130" s="282"/>
      <c r="D130" s="282"/>
      <c r="E130" s="282"/>
      <c r="F130" s="278"/>
      <c r="G130" s="278"/>
    </row>
    <row r="131" spans="1:7" ht="29.25">
      <c r="A131" s="277"/>
      <c r="B131" s="292" t="s">
        <v>4157</v>
      </c>
      <c r="C131" s="282"/>
      <c r="D131" s="282"/>
      <c r="E131" s="282"/>
      <c r="F131" s="278"/>
      <c r="G131" s="278"/>
    </row>
    <row r="132" spans="1:7" s="14" customFormat="1" ht="15">
      <c r="A132" s="293"/>
      <c r="B132" s="292" t="s">
        <v>4158</v>
      </c>
      <c r="C132" s="294"/>
      <c r="D132" s="294"/>
      <c r="E132" s="294"/>
      <c r="F132" s="295"/>
      <c r="G132" s="295"/>
    </row>
    <row r="133" spans="1:7" s="14" customFormat="1" ht="15">
      <c r="A133" s="293"/>
      <c r="B133" s="292" t="s">
        <v>4159</v>
      </c>
      <c r="C133" s="294"/>
      <c r="D133" s="294"/>
      <c r="E133" s="294"/>
      <c r="F133" s="295"/>
      <c r="G133" s="295"/>
    </row>
    <row r="134" spans="1:7" s="14" customFormat="1" ht="15">
      <c r="A134" s="293"/>
      <c r="B134" s="292" t="s">
        <v>4160</v>
      </c>
      <c r="C134" s="294"/>
      <c r="D134" s="294"/>
      <c r="E134" s="294"/>
      <c r="F134" s="295"/>
      <c r="G134" s="295"/>
    </row>
    <row r="135" spans="1:7" s="14" customFormat="1" ht="15">
      <c r="A135" s="293"/>
      <c r="B135" s="292" t="s">
        <v>4161</v>
      </c>
      <c r="C135" s="294"/>
      <c r="D135" s="294"/>
      <c r="E135" s="294"/>
      <c r="F135" s="295"/>
      <c r="G135" s="295"/>
    </row>
    <row r="136" spans="1:7" s="14" customFormat="1" ht="15">
      <c r="A136" s="293"/>
      <c r="B136" s="292" t="s">
        <v>4162</v>
      </c>
      <c r="C136" s="294"/>
      <c r="D136" s="294"/>
      <c r="E136" s="294"/>
      <c r="F136" s="295"/>
      <c r="G136" s="295"/>
    </row>
    <row r="137" spans="1:7" s="14" customFormat="1" ht="15">
      <c r="A137" s="293"/>
      <c r="B137" s="292" t="s">
        <v>4163</v>
      </c>
      <c r="C137" s="294"/>
      <c r="D137" s="294"/>
      <c r="E137" s="294"/>
      <c r="F137" s="295"/>
      <c r="G137" s="295"/>
    </row>
    <row r="138" spans="1:7" s="14" customFormat="1" ht="15">
      <c r="A138" s="293"/>
      <c r="B138" s="292" t="s">
        <v>4164</v>
      </c>
      <c r="C138" s="294"/>
      <c r="D138" s="294"/>
      <c r="E138" s="294"/>
      <c r="F138" s="295"/>
      <c r="G138" s="295"/>
    </row>
    <row r="139" spans="1:7" s="14" customFormat="1" ht="29.25">
      <c r="A139" s="293"/>
      <c r="B139" s="292" t="s">
        <v>4165</v>
      </c>
      <c r="C139" s="294"/>
      <c r="D139" s="294"/>
      <c r="E139" s="294"/>
      <c r="F139" s="295"/>
      <c r="G139" s="295"/>
    </row>
    <row r="140" spans="1:7" s="14" customFormat="1" ht="15">
      <c r="A140" s="293"/>
      <c r="B140" s="292" t="s">
        <v>4166</v>
      </c>
      <c r="C140" s="294"/>
      <c r="D140" s="294"/>
      <c r="E140" s="294"/>
      <c r="F140" s="295"/>
      <c r="G140" s="295"/>
    </row>
    <row r="141" spans="1:7" s="14" customFormat="1" ht="15">
      <c r="A141" s="293"/>
      <c r="B141" s="292" t="s">
        <v>4167</v>
      </c>
      <c r="C141" s="294"/>
      <c r="D141" s="294"/>
      <c r="E141" s="294"/>
      <c r="F141" s="295"/>
      <c r="G141" s="295"/>
    </row>
    <row r="142" spans="1:7" s="14" customFormat="1" ht="15">
      <c r="A142" s="293"/>
      <c r="B142" s="292" t="s">
        <v>4168</v>
      </c>
      <c r="C142" s="294"/>
      <c r="D142" s="294"/>
      <c r="E142" s="294"/>
      <c r="F142" s="295"/>
      <c r="G142" s="295"/>
    </row>
    <row r="143" spans="1:7" s="14" customFormat="1" ht="15">
      <c r="A143" s="293"/>
      <c r="B143" s="292" t="s">
        <v>4169</v>
      </c>
      <c r="C143" s="294"/>
      <c r="D143" s="294"/>
      <c r="E143" s="294"/>
      <c r="F143" s="295"/>
      <c r="G143" s="295"/>
    </row>
    <row r="144" spans="1:7" s="14" customFormat="1" ht="15">
      <c r="A144" s="293"/>
      <c r="B144" s="292" t="s">
        <v>4170</v>
      </c>
      <c r="C144" s="294"/>
      <c r="D144" s="294"/>
      <c r="E144" s="294"/>
      <c r="F144" s="295"/>
      <c r="G144" s="295"/>
    </row>
    <row r="145" spans="1:7" s="14" customFormat="1" ht="29.25">
      <c r="A145" s="293"/>
      <c r="B145" s="292" t="s">
        <v>4171</v>
      </c>
      <c r="C145" s="294"/>
      <c r="D145" s="294"/>
      <c r="E145" s="294"/>
      <c r="F145" s="295"/>
      <c r="G145" s="295"/>
    </row>
    <row r="146" spans="1:7" s="14" customFormat="1" ht="29.25" customHeight="1">
      <c r="A146" s="293"/>
      <c r="B146" s="292" t="s">
        <v>4172</v>
      </c>
      <c r="C146" s="294"/>
      <c r="D146" s="294"/>
      <c r="E146" s="294"/>
      <c r="F146" s="295"/>
      <c r="G146" s="295"/>
    </row>
    <row r="147" spans="1:7" s="14" customFormat="1" ht="15">
      <c r="A147" s="293"/>
      <c r="B147" s="296" t="s">
        <v>4173</v>
      </c>
      <c r="C147" s="294"/>
      <c r="D147" s="294"/>
      <c r="E147" s="294"/>
      <c r="F147" s="295"/>
      <c r="G147" s="295"/>
    </row>
    <row r="148" spans="1:7" s="14" customFormat="1" ht="15">
      <c r="A148" s="293"/>
      <c r="B148" s="296" t="s">
        <v>4174</v>
      </c>
      <c r="C148" s="294"/>
      <c r="D148" s="294"/>
      <c r="E148" s="294"/>
      <c r="F148" s="295"/>
      <c r="G148" s="295"/>
    </row>
    <row r="149" spans="1:7" s="14" customFormat="1" ht="15">
      <c r="A149" s="293"/>
      <c r="B149" s="296" t="s">
        <v>4175</v>
      </c>
      <c r="C149" s="294"/>
      <c r="D149" s="294"/>
      <c r="E149" s="294"/>
      <c r="F149" s="295"/>
      <c r="G149" s="295"/>
    </row>
    <row r="150" spans="1:7" s="14" customFormat="1" ht="15">
      <c r="A150" s="293"/>
      <c r="B150" s="292" t="s">
        <v>4176</v>
      </c>
      <c r="C150" s="294"/>
      <c r="D150" s="294"/>
      <c r="E150" s="294"/>
      <c r="F150" s="295"/>
      <c r="G150" s="295"/>
    </row>
    <row r="151" spans="1:7" s="14" customFormat="1" ht="15">
      <c r="A151" s="293"/>
      <c r="B151" s="292"/>
      <c r="C151" s="294"/>
      <c r="D151" s="294"/>
      <c r="E151" s="294"/>
      <c r="F151" s="295"/>
      <c r="G151" s="295"/>
    </row>
    <row r="152" spans="1:7" s="14" customFormat="1" ht="15">
      <c r="A152" s="293"/>
      <c r="B152" s="314" t="s">
        <v>4177</v>
      </c>
      <c r="C152" s="294"/>
      <c r="D152" s="294"/>
      <c r="E152" s="294"/>
      <c r="F152" s="295"/>
      <c r="G152" s="295"/>
    </row>
    <row r="153" spans="1:7" ht="71.25">
      <c r="A153" s="277"/>
      <c r="B153" s="240" t="s">
        <v>4178</v>
      </c>
      <c r="C153" s="282"/>
      <c r="D153" s="282"/>
      <c r="E153" s="282"/>
      <c r="F153" s="278"/>
      <c r="G153" s="278"/>
    </row>
    <row r="154" spans="1:7" ht="21" customHeight="1">
      <c r="A154" s="277"/>
      <c r="B154" s="240" t="s">
        <v>4179</v>
      </c>
      <c r="C154" s="282"/>
      <c r="D154" s="282"/>
      <c r="E154" s="282"/>
      <c r="F154" s="278"/>
      <c r="G154" s="278"/>
    </row>
    <row r="155" spans="1:7" ht="15">
      <c r="A155" s="277"/>
      <c r="B155" s="314" t="s">
        <v>4180</v>
      </c>
      <c r="C155" s="282"/>
      <c r="D155" s="282"/>
      <c r="E155" s="282"/>
      <c r="F155" s="278"/>
      <c r="G155" s="278"/>
    </row>
    <row r="156" spans="1:7" ht="57">
      <c r="A156" s="277"/>
      <c r="B156" s="240" t="s">
        <v>4181</v>
      </c>
      <c r="C156" s="282"/>
      <c r="D156" s="282"/>
      <c r="E156" s="282"/>
      <c r="F156" s="278"/>
      <c r="G156" s="278"/>
    </row>
    <row r="157" spans="1:7" ht="18" customHeight="1">
      <c r="A157" s="277"/>
      <c r="B157" s="297" t="s">
        <v>4182</v>
      </c>
      <c r="C157" s="282"/>
      <c r="D157" s="282"/>
      <c r="E157" s="282"/>
      <c r="F157" s="278"/>
      <c r="G157" s="278"/>
    </row>
    <row r="158" spans="1:7" ht="15">
      <c r="A158" s="277"/>
      <c r="B158" s="240" t="s">
        <v>4183</v>
      </c>
      <c r="C158" s="282"/>
      <c r="D158" s="282"/>
      <c r="E158" s="282"/>
      <c r="F158" s="278"/>
      <c r="G158" s="278"/>
    </row>
    <row r="159" spans="1:7" ht="15">
      <c r="A159" s="277"/>
      <c r="B159" s="297" t="s">
        <v>4184</v>
      </c>
      <c r="C159" s="282"/>
      <c r="D159" s="282"/>
      <c r="E159" s="282"/>
      <c r="F159" s="278"/>
      <c r="G159" s="278"/>
    </row>
    <row r="160" spans="1:7" ht="63" customHeight="1">
      <c r="A160" s="277"/>
      <c r="B160" s="240" t="s">
        <v>4185</v>
      </c>
      <c r="C160" s="282"/>
      <c r="D160" s="282"/>
      <c r="E160" s="282"/>
      <c r="F160" s="278"/>
      <c r="G160" s="278"/>
    </row>
    <row r="161" spans="1:7" ht="41.25" customHeight="1">
      <c r="A161" s="277"/>
      <c r="B161" s="240" t="s">
        <v>4186</v>
      </c>
      <c r="C161" s="282"/>
      <c r="D161" s="282"/>
      <c r="E161" s="282"/>
      <c r="F161" s="278"/>
      <c r="G161" s="278"/>
    </row>
    <row r="162" spans="1:7" ht="30" customHeight="1">
      <c r="A162" s="277"/>
      <c r="B162" s="240" t="s">
        <v>4187</v>
      </c>
      <c r="C162" s="282"/>
      <c r="D162" s="282"/>
      <c r="E162" s="282"/>
      <c r="F162" s="278"/>
      <c r="G162" s="278"/>
    </row>
    <row r="163" spans="1:7" ht="15">
      <c r="A163" s="277"/>
      <c r="B163" s="780" t="s">
        <v>4188</v>
      </c>
      <c r="C163" s="282"/>
      <c r="D163" s="282"/>
      <c r="E163" s="282"/>
      <c r="F163" s="278"/>
      <c r="G163" s="278"/>
    </row>
    <row r="164" spans="1:7" ht="15">
      <c r="A164" s="277"/>
      <c r="B164" s="240" t="s">
        <v>4189</v>
      </c>
      <c r="C164" s="282"/>
      <c r="D164" s="282"/>
      <c r="E164" s="282"/>
      <c r="F164" s="278"/>
      <c r="G164" s="278"/>
    </row>
    <row r="165" spans="1:7" ht="15">
      <c r="A165" s="277"/>
      <c r="B165" s="240" t="s">
        <v>4190</v>
      </c>
      <c r="C165" s="282"/>
      <c r="D165" s="282"/>
      <c r="E165" s="282"/>
      <c r="F165" s="278"/>
      <c r="G165" s="278"/>
    </row>
    <row r="166" spans="1:7" ht="29.25">
      <c r="A166" s="277"/>
      <c r="B166" s="203" t="s">
        <v>4191</v>
      </c>
      <c r="C166" s="282"/>
      <c r="D166" s="282"/>
      <c r="E166" s="282"/>
      <c r="F166" s="278"/>
      <c r="G166" s="278"/>
    </row>
    <row r="167" spans="1:7" ht="46.5" customHeight="1">
      <c r="A167" s="277"/>
      <c r="B167" s="240" t="s">
        <v>4192</v>
      </c>
      <c r="C167" s="282"/>
      <c r="D167" s="282"/>
      <c r="E167" s="282"/>
      <c r="F167" s="278"/>
      <c r="G167" s="278"/>
    </row>
    <row r="168" spans="1:7" ht="29.25">
      <c r="A168" s="277"/>
      <c r="B168" s="240" t="s">
        <v>4193</v>
      </c>
      <c r="C168" s="282"/>
      <c r="D168" s="282"/>
      <c r="E168" s="282"/>
      <c r="F168" s="278"/>
      <c r="G168" s="278"/>
    </row>
    <row r="169" spans="1:7" ht="29.25">
      <c r="A169" s="277"/>
      <c r="B169" s="240" t="s">
        <v>4194</v>
      </c>
      <c r="C169" s="282"/>
      <c r="D169" s="282"/>
      <c r="E169" s="282"/>
      <c r="F169" s="278"/>
      <c r="G169" s="278"/>
    </row>
    <row r="170" spans="1:7" ht="15">
      <c r="A170" s="277"/>
      <c r="B170" s="240" t="s">
        <v>4195</v>
      </c>
      <c r="C170" s="282"/>
      <c r="D170" s="282"/>
      <c r="E170" s="282"/>
      <c r="F170" s="278"/>
      <c r="G170" s="278"/>
    </row>
    <row r="171" spans="1:7" ht="15">
      <c r="A171" s="277"/>
      <c r="B171" s="240" t="s">
        <v>4196</v>
      </c>
      <c r="C171" s="282"/>
      <c r="D171" s="282"/>
      <c r="E171" s="282"/>
      <c r="F171" s="278"/>
      <c r="G171" s="278"/>
    </row>
    <row r="172" spans="1:7" ht="15">
      <c r="A172" s="277"/>
      <c r="B172" s="240" t="s">
        <v>4197</v>
      </c>
      <c r="C172" s="282"/>
      <c r="D172" s="282"/>
      <c r="E172" s="282"/>
      <c r="F172" s="278"/>
      <c r="G172" s="278"/>
    </row>
    <row r="173" spans="1:7" ht="62.1" customHeight="1">
      <c r="A173" s="277"/>
      <c r="B173" s="240" t="s">
        <v>4198</v>
      </c>
      <c r="C173" s="282"/>
      <c r="D173" s="282"/>
      <c r="E173" s="282"/>
      <c r="F173" s="278"/>
      <c r="G173" s="278"/>
    </row>
    <row r="174" spans="1:7" ht="15">
      <c r="A174" s="277"/>
      <c r="B174" s="297" t="s">
        <v>4199</v>
      </c>
      <c r="C174" s="282"/>
      <c r="D174" s="282"/>
      <c r="E174" s="282"/>
      <c r="F174" s="278"/>
      <c r="G174" s="278"/>
    </row>
    <row r="175" spans="1:7" ht="15">
      <c r="A175" s="277"/>
      <c r="B175" s="240" t="s">
        <v>4200</v>
      </c>
      <c r="C175" s="282"/>
      <c r="D175" s="282"/>
      <c r="E175" s="282"/>
      <c r="F175" s="278"/>
      <c r="G175" s="278"/>
    </row>
    <row r="176" spans="1:7" ht="15">
      <c r="A176" s="277"/>
      <c r="B176" s="240" t="s">
        <v>4201</v>
      </c>
      <c r="C176" s="282"/>
      <c r="D176" s="282"/>
      <c r="E176" s="282"/>
      <c r="F176" s="278"/>
      <c r="G176" s="278"/>
    </row>
    <row r="177" spans="1:7" ht="28.5">
      <c r="A177" s="277"/>
      <c r="B177" s="240" t="s">
        <v>4202</v>
      </c>
      <c r="C177" s="282"/>
      <c r="D177" s="282"/>
      <c r="E177" s="282"/>
      <c r="F177" s="278"/>
      <c r="G177" s="278"/>
    </row>
    <row r="178" spans="1:7" ht="29.25">
      <c r="A178" s="277"/>
      <c r="B178" s="240" t="s">
        <v>4203</v>
      </c>
      <c r="C178" s="282"/>
      <c r="D178" s="282"/>
      <c r="E178" s="282"/>
      <c r="F178" s="278"/>
      <c r="G178" s="278"/>
    </row>
    <row r="179" spans="1:7" ht="42.75">
      <c r="A179" s="277"/>
      <c r="B179" s="240" t="s">
        <v>4204</v>
      </c>
      <c r="C179" s="282"/>
      <c r="D179" s="282"/>
      <c r="E179" s="282"/>
      <c r="F179" s="278"/>
      <c r="G179" s="278"/>
    </row>
    <row r="180" spans="1:7" ht="15">
      <c r="A180" s="277"/>
      <c r="B180" s="240" t="s">
        <v>4205</v>
      </c>
      <c r="C180" s="282"/>
      <c r="D180" s="282"/>
      <c r="E180" s="282"/>
      <c r="F180" s="278"/>
      <c r="G180" s="278"/>
    </row>
    <row r="181" spans="1:7" ht="15">
      <c r="A181" s="277"/>
      <c r="B181" s="297" t="s">
        <v>4206</v>
      </c>
      <c r="C181" s="282"/>
      <c r="D181" s="282"/>
      <c r="E181" s="282"/>
      <c r="F181" s="278"/>
      <c r="G181" s="278"/>
    </row>
    <row r="182" spans="1:7" ht="15">
      <c r="A182" s="277"/>
      <c r="B182" s="298"/>
      <c r="C182" s="282"/>
      <c r="D182" s="282"/>
      <c r="E182" s="282"/>
      <c r="F182" s="278"/>
      <c r="G182" s="278"/>
    </row>
    <row r="183" spans="1:7" ht="15">
      <c r="A183" s="277"/>
      <c r="B183" s="314" t="s">
        <v>4207</v>
      </c>
      <c r="C183" s="282"/>
      <c r="D183" s="282"/>
      <c r="E183" s="282"/>
      <c r="F183" s="278"/>
      <c r="G183" s="278"/>
    </row>
    <row r="184" spans="1:7" ht="57">
      <c r="A184" s="277"/>
      <c r="B184" s="240" t="s">
        <v>4208</v>
      </c>
      <c r="C184" s="282"/>
      <c r="D184" s="282"/>
      <c r="E184" s="282"/>
      <c r="F184" s="278"/>
      <c r="G184" s="278"/>
    </row>
    <row r="185" spans="1:7" ht="15">
      <c r="A185" s="277"/>
      <c r="B185" s="299"/>
      <c r="C185" s="282"/>
      <c r="D185" s="282"/>
      <c r="E185" s="282"/>
      <c r="F185" s="278"/>
      <c r="G185" s="278"/>
    </row>
    <row r="186" spans="1:7" ht="15">
      <c r="A186" s="277"/>
      <c r="B186" s="314" t="s">
        <v>4209</v>
      </c>
      <c r="C186" s="282"/>
      <c r="D186" s="282"/>
      <c r="E186" s="282"/>
      <c r="F186" s="278"/>
      <c r="G186" s="278"/>
    </row>
    <row r="187" spans="1:7" ht="42.75">
      <c r="A187" s="277"/>
      <c r="B187" s="240" t="s">
        <v>4210</v>
      </c>
      <c r="C187" s="282"/>
      <c r="D187" s="282"/>
      <c r="E187" s="282"/>
      <c r="F187" s="278"/>
      <c r="G187" s="278"/>
    </row>
    <row r="188" spans="1:7" ht="15">
      <c r="A188" s="277"/>
      <c r="B188" s="240" t="s">
        <v>4211</v>
      </c>
      <c r="C188" s="282"/>
      <c r="D188" s="282"/>
      <c r="E188" s="282"/>
      <c r="F188" s="278"/>
      <c r="G188" s="278"/>
    </row>
    <row r="189" spans="1:7" ht="15">
      <c r="A189" s="277"/>
      <c r="B189" s="240" t="s">
        <v>4212</v>
      </c>
      <c r="C189" s="282"/>
      <c r="D189" s="282"/>
      <c r="E189" s="282"/>
      <c r="F189" s="278"/>
      <c r="G189" s="278"/>
    </row>
    <row r="190" spans="1:7" ht="15">
      <c r="A190" s="277"/>
      <c r="B190" s="297" t="s">
        <v>4213</v>
      </c>
      <c r="C190" s="282"/>
      <c r="D190" s="282"/>
      <c r="E190" s="282"/>
      <c r="F190" s="278"/>
      <c r="G190" s="278"/>
    </row>
    <row r="191" spans="1:7" ht="15">
      <c r="A191" s="277"/>
      <c r="B191" s="240" t="s">
        <v>4214</v>
      </c>
      <c r="C191" s="282"/>
      <c r="D191" s="282"/>
      <c r="E191" s="282"/>
      <c r="F191" s="278"/>
      <c r="G191" s="278"/>
    </row>
    <row r="192" spans="1:7" ht="15">
      <c r="A192" s="277"/>
      <c r="B192" s="240" t="s">
        <v>4215</v>
      </c>
      <c r="C192" s="282"/>
      <c r="D192" s="282"/>
      <c r="E192" s="282"/>
      <c r="F192" s="278"/>
      <c r="G192" s="278"/>
    </row>
    <row r="193" spans="1:7" ht="15">
      <c r="A193" s="277"/>
      <c r="B193" s="240" t="s">
        <v>4216</v>
      </c>
      <c r="C193" s="282"/>
      <c r="D193" s="282"/>
      <c r="E193" s="282"/>
      <c r="F193" s="278"/>
      <c r="G193" s="278"/>
    </row>
    <row r="194" spans="1:7" ht="29.25">
      <c r="A194" s="277"/>
      <c r="B194" s="240" t="s">
        <v>4217</v>
      </c>
      <c r="C194" s="282"/>
      <c r="D194" s="282"/>
      <c r="E194" s="282"/>
      <c r="F194" s="278"/>
      <c r="G194" s="278"/>
    </row>
    <row r="195" spans="1:7" ht="15">
      <c r="A195" s="277"/>
      <c r="B195" s="240" t="s">
        <v>4218</v>
      </c>
      <c r="C195" s="282"/>
      <c r="D195" s="282"/>
      <c r="E195" s="282"/>
      <c r="F195" s="278"/>
      <c r="G195" s="278"/>
    </row>
    <row r="196" spans="1:7" ht="99" customHeight="1">
      <c r="A196" s="277"/>
      <c r="B196" s="240" t="s">
        <v>4219</v>
      </c>
      <c r="C196" s="282"/>
      <c r="D196" s="282"/>
      <c r="E196" s="282"/>
      <c r="F196" s="278"/>
      <c r="G196" s="278"/>
    </row>
    <row r="197" spans="1:7" ht="15">
      <c r="A197" s="277"/>
      <c r="B197" s="240"/>
      <c r="C197" s="282"/>
      <c r="D197" s="282"/>
      <c r="E197" s="282"/>
      <c r="F197" s="278"/>
      <c r="G197" s="278"/>
    </row>
    <row r="198" spans="1:7" ht="15">
      <c r="A198" s="277"/>
      <c r="B198" s="314" t="s">
        <v>4220</v>
      </c>
      <c r="C198" s="282"/>
      <c r="D198" s="282"/>
      <c r="E198" s="282"/>
      <c r="F198" s="278"/>
      <c r="G198" s="278"/>
    </row>
    <row r="199" spans="1:7" ht="29.25">
      <c r="A199" s="277"/>
      <c r="B199" s="292" t="s">
        <v>4221</v>
      </c>
      <c r="C199" s="282"/>
      <c r="D199" s="282"/>
      <c r="E199" s="282"/>
      <c r="F199" s="278"/>
      <c r="G199" s="278"/>
    </row>
    <row r="200" spans="1:7" ht="99.75">
      <c r="A200" s="277"/>
      <c r="B200" s="300" t="s">
        <v>4222</v>
      </c>
      <c r="C200" s="282"/>
      <c r="D200" s="282"/>
      <c r="E200" s="282"/>
      <c r="F200" s="278"/>
      <c r="G200" s="278"/>
    </row>
    <row r="201" spans="1:7" ht="21.75" customHeight="1">
      <c r="A201" s="277"/>
      <c r="B201" s="205" t="s">
        <v>4223</v>
      </c>
      <c r="C201" s="282"/>
      <c r="D201" s="282"/>
      <c r="E201" s="282"/>
      <c r="F201" s="278"/>
      <c r="G201" s="278"/>
    </row>
    <row r="202" spans="1:7" ht="15">
      <c r="A202" s="277"/>
      <c r="B202" s="205" t="s">
        <v>4224</v>
      </c>
      <c r="C202" s="282"/>
      <c r="D202" s="282"/>
      <c r="E202" s="282"/>
      <c r="F202" s="278"/>
      <c r="G202" s="278"/>
    </row>
    <row r="203" spans="1:7" ht="15">
      <c r="A203" s="277"/>
      <c r="B203" s="205" t="s">
        <v>4225</v>
      </c>
      <c r="C203" s="282"/>
      <c r="D203" s="282"/>
      <c r="E203" s="282"/>
      <c r="F203" s="278"/>
      <c r="G203" s="278"/>
    </row>
    <row r="204" spans="1:7" ht="15">
      <c r="A204" s="277"/>
      <c r="B204" s="205" t="s">
        <v>4226</v>
      </c>
      <c r="C204" s="282"/>
      <c r="D204" s="282"/>
      <c r="E204" s="282"/>
      <c r="F204" s="278"/>
      <c r="G204" s="278"/>
    </row>
    <row r="205" spans="1:7" ht="15">
      <c r="A205" s="277"/>
      <c r="B205" s="205" t="s">
        <v>4227</v>
      </c>
      <c r="C205" s="282"/>
      <c r="D205" s="282"/>
      <c r="E205" s="282"/>
      <c r="F205" s="278"/>
      <c r="G205" s="278"/>
    </row>
    <row r="206" spans="1:7" ht="15">
      <c r="A206" s="277"/>
      <c r="B206" s="205" t="s">
        <v>4228</v>
      </c>
      <c r="C206" s="282"/>
      <c r="D206" s="282"/>
      <c r="E206" s="282"/>
      <c r="F206" s="278"/>
      <c r="G206" s="278"/>
    </row>
    <row r="207" spans="1:7" ht="15">
      <c r="A207" s="277"/>
      <c r="B207" s="205" t="s">
        <v>4229</v>
      </c>
      <c r="C207" s="282"/>
      <c r="D207" s="282"/>
      <c r="E207" s="282"/>
      <c r="F207" s="278"/>
      <c r="G207" s="278"/>
    </row>
    <row r="208" spans="1:7" ht="15">
      <c r="A208" s="277"/>
      <c r="B208" s="205" t="s">
        <v>4230</v>
      </c>
      <c r="C208" s="282"/>
      <c r="D208" s="282"/>
      <c r="E208" s="282"/>
      <c r="F208" s="278"/>
      <c r="G208" s="278"/>
    </row>
    <row r="209" spans="1:7" ht="15">
      <c r="A209" s="277"/>
      <c r="B209" s="205" t="s">
        <v>4231</v>
      </c>
      <c r="C209" s="282"/>
      <c r="D209" s="282"/>
      <c r="E209" s="282"/>
      <c r="F209" s="278"/>
      <c r="G209" s="278"/>
    </row>
    <row r="210" spans="1:7" ht="15">
      <c r="A210" s="277"/>
      <c r="B210" s="205" t="s">
        <v>4232</v>
      </c>
      <c r="C210" s="282"/>
      <c r="D210" s="282"/>
      <c r="E210" s="282"/>
      <c r="F210" s="278"/>
      <c r="G210" s="278"/>
    </row>
    <row r="211" spans="1:7" ht="15">
      <c r="A211" s="277"/>
      <c r="B211" s="301" t="s">
        <v>4233</v>
      </c>
      <c r="C211" s="282"/>
      <c r="D211" s="282"/>
      <c r="E211" s="282"/>
      <c r="F211" s="278"/>
      <c r="G211" s="278"/>
    </row>
    <row r="212" spans="1:7" ht="43.5">
      <c r="A212" s="277"/>
      <c r="B212" s="301" t="s">
        <v>4234</v>
      </c>
      <c r="C212" s="282"/>
      <c r="D212" s="282"/>
      <c r="E212" s="282"/>
      <c r="F212" s="278"/>
      <c r="G212" s="278"/>
    </row>
    <row r="213" spans="1:7" ht="15">
      <c r="A213" s="277"/>
      <c r="B213" s="781" t="s">
        <v>4080</v>
      </c>
      <c r="C213" s="284"/>
      <c r="D213" s="302"/>
      <c r="E213" s="302"/>
      <c r="F213" s="278"/>
      <c r="G213" s="278"/>
    </row>
    <row r="214" spans="1:7" ht="28.5">
      <c r="A214" s="277"/>
      <c r="B214" s="300" t="s">
        <v>4235</v>
      </c>
      <c r="C214" s="284"/>
      <c r="D214" s="302"/>
      <c r="E214" s="302"/>
      <c r="F214" s="278"/>
      <c r="G214" s="278"/>
    </row>
    <row r="215" spans="1:7" ht="30">
      <c r="A215" s="277"/>
      <c r="B215" s="301" t="s">
        <v>4236</v>
      </c>
      <c r="C215" s="302"/>
      <c r="D215" s="302"/>
      <c r="E215" s="302"/>
      <c r="F215" s="278"/>
      <c r="G215" s="278"/>
    </row>
    <row r="216" spans="1:7" ht="15">
      <c r="A216" s="277"/>
      <c r="B216" s="781" t="s">
        <v>4237</v>
      </c>
      <c r="C216" s="284"/>
      <c r="D216" s="302"/>
      <c r="E216" s="302"/>
      <c r="F216" s="278"/>
      <c r="G216" s="278"/>
    </row>
    <row r="217" spans="1:7" ht="29.25">
      <c r="A217" s="277"/>
      <c r="B217" s="301" t="s">
        <v>4238</v>
      </c>
      <c r="C217" s="302"/>
      <c r="D217" s="302"/>
      <c r="E217" s="302"/>
      <c r="F217" s="278"/>
      <c r="G217" s="278"/>
    </row>
    <row r="218" spans="1:7" ht="29.25">
      <c r="A218" s="277"/>
      <c r="B218" s="301" t="s">
        <v>4239</v>
      </c>
      <c r="C218" s="282"/>
      <c r="D218" s="282"/>
      <c r="E218" s="282"/>
      <c r="F218" s="278"/>
      <c r="G218" s="278"/>
    </row>
    <row r="219" spans="1:7" ht="15">
      <c r="A219" s="277"/>
      <c r="B219" s="301"/>
      <c r="C219" s="282"/>
      <c r="D219" s="282"/>
      <c r="E219" s="282"/>
      <c r="F219" s="278"/>
      <c r="G219" s="278"/>
    </row>
    <row r="220" spans="1:7" ht="15">
      <c r="A220" s="277"/>
      <c r="B220" s="315" t="s">
        <v>4240</v>
      </c>
      <c r="C220" s="316"/>
      <c r="D220" s="317"/>
      <c r="E220" s="282"/>
      <c r="F220" s="278"/>
      <c r="G220" s="278"/>
    </row>
    <row r="221" spans="1:7" ht="15">
      <c r="A221" s="277"/>
      <c r="B221" s="303" t="s">
        <v>4241</v>
      </c>
      <c r="C221" s="304" t="s">
        <v>4242</v>
      </c>
      <c r="D221" s="318"/>
      <c r="E221" s="284"/>
      <c r="F221" s="278"/>
      <c r="G221" s="278"/>
    </row>
    <row r="222" spans="1:7" ht="15">
      <c r="A222" s="277"/>
      <c r="B222" s="211" t="s">
        <v>4243</v>
      </c>
      <c r="C222" s="305" t="s">
        <v>4244</v>
      </c>
      <c r="D222" s="284"/>
      <c r="E222" s="284"/>
      <c r="F222" s="278"/>
      <c r="G222" s="278"/>
    </row>
    <row r="223" spans="1:7" ht="15">
      <c r="A223" s="277"/>
      <c r="B223" s="211" t="s">
        <v>4245</v>
      </c>
      <c r="C223" s="305" t="s">
        <v>4246</v>
      </c>
      <c r="D223" s="284"/>
      <c r="E223" s="284"/>
      <c r="F223" s="278"/>
      <c r="G223" s="278"/>
    </row>
    <row r="224" spans="1:7" ht="15">
      <c r="A224" s="277"/>
      <c r="B224" s="211" t="s">
        <v>4247</v>
      </c>
      <c r="C224" s="305" t="s">
        <v>4246</v>
      </c>
      <c r="D224" s="284"/>
      <c r="E224" s="284"/>
      <c r="F224" s="278"/>
      <c r="G224" s="278"/>
    </row>
    <row r="225" spans="1:7" ht="15">
      <c r="A225" s="277"/>
      <c r="B225" s="211" t="s">
        <v>4248</v>
      </c>
      <c r="C225" s="305" t="s">
        <v>4249</v>
      </c>
      <c r="D225" s="284"/>
      <c r="E225" s="284"/>
      <c r="F225" s="278"/>
      <c r="G225" s="278"/>
    </row>
    <row r="226" spans="1:7" ht="15">
      <c r="A226" s="277"/>
      <c r="B226" s="211" t="s">
        <v>4250</v>
      </c>
      <c r="C226" s="305" t="s">
        <v>4251</v>
      </c>
      <c r="D226" s="284"/>
      <c r="E226" s="284"/>
      <c r="F226" s="278"/>
      <c r="G226" s="278"/>
    </row>
    <row r="227" spans="1:7" ht="15">
      <c r="A227" s="277"/>
      <c r="B227" s="211" t="s">
        <v>4252</v>
      </c>
      <c r="C227" s="305" t="s">
        <v>4249</v>
      </c>
      <c r="D227" s="284"/>
      <c r="E227" s="284"/>
      <c r="F227" s="278"/>
      <c r="G227" s="278"/>
    </row>
    <row r="228" spans="1:7" ht="15">
      <c r="A228" s="277"/>
      <c r="B228" s="211" t="s">
        <v>4253</v>
      </c>
      <c r="C228" s="305" t="s">
        <v>4254</v>
      </c>
      <c r="D228" s="284"/>
      <c r="E228" s="284"/>
      <c r="F228" s="278"/>
      <c r="G228" s="278"/>
    </row>
    <row r="229" spans="1:7" ht="15">
      <c r="A229" s="277"/>
      <c r="B229" s="211" t="s">
        <v>4255</v>
      </c>
      <c r="C229" s="305" t="s">
        <v>4256</v>
      </c>
      <c r="D229" s="284"/>
      <c r="E229" s="284"/>
      <c r="F229" s="278"/>
      <c r="G229" s="278"/>
    </row>
    <row r="230" spans="1:7" ht="15">
      <c r="A230" s="277"/>
      <c r="B230" s="211" t="s">
        <v>4257</v>
      </c>
      <c r="C230" s="305" t="s">
        <v>4249</v>
      </c>
      <c r="D230" s="284"/>
      <c r="E230" s="284"/>
      <c r="F230" s="278"/>
      <c r="G230" s="278"/>
    </row>
    <row r="231" spans="1:7" ht="15">
      <c r="A231" s="277"/>
      <c r="B231" s="211" t="s">
        <v>4258</v>
      </c>
      <c r="C231" s="305" t="s">
        <v>4259</v>
      </c>
      <c r="D231" s="284"/>
      <c r="E231" s="284"/>
      <c r="F231" s="278"/>
      <c r="G231" s="278"/>
    </row>
    <row r="232" spans="1:7" ht="15">
      <c r="A232" s="277"/>
      <c r="B232" s="211" t="s">
        <v>4260</v>
      </c>
      <c r="C232" s="305" t="s">
        <v>4259</v>
      </c>
      <c r="D232" s="284"/>
      <c r="E232" s="284"/>
      <c r="F232" s="278"/>
      <c r="G232" s="278"/>
    </row>
    <row r="233" spans="1:7" ht="15">
      <c r="A233" s="277"/>
      <c r="B233" s="211" t="s">
        <v>4261</v>
      </c>
      <c r="C233" s="211" t="s">
        <v>4262</v>
      </c>
      <c r="D233" s="284"/>
      <c r="E233" s="284"/>
      <c r="F233" s="278"/>
      <c r="G233" s="278"/>
    </row>
    <row r="234" spans="1:7" ht="15">
      <c r="A234" s="277"/>
      <c r="B234" s="211" t="s">
        <v>4263</v>
      </c>
      <c r="C234" s="211" t="s">
        <v>4264</v>
      </c>
      <c r="D234" s="284"/>
      <c r="E234" s="284"/>
      <c r="F234" s="278"/>
      <c r="G234" s="278"/>
    </row>
    <row r="235" spans="1:7" ht="15">
      <c r="A235" s="277"/>
      <c r="B235" s="211" t="s">
        <v>4265</v>
      </c>
      <c r="C235" s="211" t="s">
        <v>4259</v>
      </c>
      <c r="D235" s="284"/>
      <c r="E235" s="284"/>
      <c r="F235" s="278"/>
      <c r="G235" s="278"/>
    </row>
    <row r="236" spans="1:7" ht="15">
      <c r="A236" s="277"/>
      <c r="B236" s="211" t="s">
        <v>4266</v>
      </c>
      <c r="C236" s="211" t="s">
        <v>4267</v>
      </c>
      <c r="D236" s="284"/>
      <c r="E236" s="284"/>
      <c r="F236" s="278"/>
      <c r="G236" s="278"/>
    </row>
    <row r="237" spans="1:7" ht="15">
      <c r="A237" s="277"/>
      <c r="B237" s="211" t="s">
        <v>4268</v>
      </c>
      <c r="C237" s="211" t="s">
        <v>4269</v>
      </c>
      <c r="D237" s="284"/>
      <c r="E237" s="284"/>
      <c r="F237" s="278"/>
      <c r="G237" s="278"/>
    </row>
    <row r="238" spans="1:7" ht="15">
      <c r="A238" s="277"/>
      <c r="B238" s="211" t="s">
        <v>4270</v>
      </c>
      <c r="C238" s="211" t="s">
        <v>4271</v>
      </c>
      <c r="D238" s="284"/>
      <c r="E238" s="284"/>
      <c r="F238" s="278"/>
      <c r="G238" s="278"/>
    </row>
    <row r="239" spans="1:7" ht="15">
      <c r="A239" s="277"/>
      <c r="B239" s="291" t="s">
        <v>4272</v>
      </c>
      <c r="C239" s="211" t="s">
        <v>4273</v>
      </c>
      <c r="D239" s="284"/>
      <c r="E239" s="284"/>
      <c r="F239" s="278"/>
      <c r="G239" s="278"/>
    </row>
    <row r="240" spans="1:7" ht="15">
      <c r="A240" s="277"/>
      <c r="B240" s="291" t="s">
        <v>4272</v>
      </c>
      <c r="C240" s="211" t="s">
        <v>4274</v>
      </c>
      <c r="D240" s="284"/>
      <c r="E240" s="284"/>
      <c r="F240" s="278"/>
      <c r="G240" s="278"/>
    </row>
    <row r="241" spans="1:7" ht="15">
      <c r="A241" s="277"/>
      <c r="B241" s="291" t="s">
        <v>4275</v>
      </c>
      <c r="C241" s="211" t="s">
        <v>4276</v>
      </c>
      <c r="D241" s="284"/>
      <c r="E241" s="284"/>
      <c r="F241" s="278"/>
      <c r="G241" s="278"/>
    </row>
    <row r="242" spans="1:7" ht="15">
      <c r="A242" s="277"/>
      <c r="B242" s="301"/>
      <c r="C242" s="282"/>
      <c r="D242" s="282"/>
      <c r="E242" s="284"/>
      <c r="F242" s="278"/>
      <c r="G242" s="278"/>
    </row>
    <row r="243" spans="1:7" ht="15">
      <c r="A243" s="277"/>
      <c r="B243" s="314" t="s">
        <v>4277</v>
      </c>
      <c r="C243" s="282"/>
      <c r="D243" s="282"/>
      <c r="E243" s="282"/>
      <c r="F243" s="278"/>
      <c r="G243" s="278"/>
    </row>
    <row r="244" spans="1:7" ht="15">
      <c r="A244" s="277"/>
      <c r="B244" s="283" t="s">
        <v>4278</v>
      </c>
      <c r="C244" s="282"/>
      <c r="D244" s="282"/>
      <c r="E244" s="282"/>
      <c r="F244" s="278"/>
      <c r="G244" s="278"/>
    </row>
    <row r="245" spans="1:7" ht="29.25">
      <c r="A245" s="277"/>
      <c r="B245" s="283" t="s">
        <v>4279</v>
      </c>
      <c r="C245" s="282"/>
      <c r="D245" s="282"/>
      <c r="E245" s="282"/>
      <c r="F245" s="278"/>
      <c r="G245" s="278"/>
    </row>
    <row r="246" spans="1:7" ht="29.25" customHeight="1">
      <c r="A246" s="277"/>
      <c r="B246" s="211" t="s">
        <v>4280</v>
      </c>
      <c r="C246" s="282"/>
      <c r="D246" s="282"/>
      <c r="E246" s="282"/>
      <c r="F246" s="278"/>
      <c r="G246" s="278"/>
    </row>
    <row r="247" spans="1:7" s="230" customFormat="1" ht="15" customHeight="1">
      <c r="B247" s="306" t="s">
        <v>4281</v>
      </c>
      <c r="C247" s="282"/>
      <c r="D247" s="282"/>
      <c r="E247" s="282"/>
      <c r="F247" s="307"/>
      <c r="G247" s="307"/>
    </row>
    <row r="248" spans="1:7" s="216" customFormat="1" ht="15" customHeight="1">
      <c r="A248" s="277"/>
      <c r="B248" s="306" t="s">
        <v>4282</v>
      </c>
      <c r="C248" s="282"/>
      <c r="D248" s="282"/>
      <c r="E248" s="282"/>
      <c r="F248" s="280"/>
      <c r="G248" s="280"/>
    </row>
    <row r="249" spans="1:7" s="216" customFormat="1" ht="30" customHeight="1">
      <c r="A249" s="277"/>
      <c r="B249" s="306" t="s">
        <v>4283</v>
      </c>
      <c r="C249" s="282"/>
      <c r="D249" s="282"/>
      <c r="E249" s="282"/>
      <c r="F249" s="280"/>
      <c r="G249" s="280"/>
    </row>
    <row r="250" spans="1:7" s="216" customFormat="1" ht="30" customHeight="1">
      <c r="A250" s="277"/>
      <c r="B250" s="306" t="s">
        <v>4284</v>
      </c>
      <c r="C250" s="282"/>
      <c r="D250" s="282"/>
      <c r="E250" s="282"/>
      <c r="F250" s="280"/>
      <c r="G250" s="280"/>
    </row>
    <row r="251" spans="1:7" s="216" customFormat="1" ht="30" customHeight="1">
      <c r="A251" s="277"/>
      <c r="B251" s="308" t="s">
        <v>4285</v>
      </c>
      <c r="C251" s="282"/>
      <c r="D251" s="282"/>
      <c r="E251" s="282"/>
      <c r="F251" s="280"/>
      <c r="G251" s="280"/>
    </row>
    <row r="252" spans="1:7" s="216" customFormat="1" ht="15" customHeight="1">
      <c r="A252" s="277"/>
      <c r="B252" s="780" t="s">
        <v>4286</v>
      </c>
      <c r="C252" s="282"/>
      <c r="D252" s="282"/>
      <c r="E252" s="282"/>
      <c r="F252" s="280"/>
      <c r="G252" s="280"/>
    </row>
    <row r="253" spans="1:7" s="216" customFormat="1" ht="15" customHeight="1">
      <c r="A253" s="277"/>
      <c r="B253" s="319"/>
      <c r="C253" s="277"/>
      <c r="D253" s="280"/>
      <c r="E253" s="282"/>
      <c r="F253" s="280"/>
      <c r="G253" s="280"/>
    </row>
    <row r="254" spans="1:7" ht="15">
      <c r="A254" s="277"/>
      <c r="B254" s="280"/>
      <c r="C254" s="280"/>
      <c r="D254" s="280"/>
      <c r="E254" s="277"/>
      <c r="F254" s="278"/>
      <c r="G254" s="278"/>
    </row>
    <row r="255" spans="1:7" ht="15">
      <c r="A255" s="277"/>
      <c r="B255" s="280"/>
      <c r="C255" s="280"/>
      <c r="D255" s="280"/>
      <c r="E255" s="280"/>
      <c r="F255" s="278"/>
      <c r="G255" s="278"/>
    </row>
    <row r="256" spans="1:7">
      <c r="A256" s="278"/>
      <c r="B256" s="280"/>
      <c r="C256" s="280"/>
      <c r="D256" s="280"/>
      <c r="E256" s="280"/>
      <c r="F256" s="278"/>
      <c r="G256" s="278"/>
    </row>
    <row r="257" spans="1:7">
      <c r="A257" s="278"/>
      <c r="B257" s="280"/>
      <c r="C257" s="280"/>
      <c r="D257" s="280"/>
      <c r="E257" s="280"/>
      <c r="F257" s="278"/>
      <c r="G257" s="278"/>
    </row>
    <row r="258" spans="1:7">
      <c r="A258" s="278"/>
      <c r="B258" s="280"/>
      <c r="C258" s="280"/>
      <c r="D258" s="280"/>
      <c r="E258" s="280"/>
      <c r="F258" s="278"/>
      <c r="G258" s="278"/>
    </row>
    <row r="259" spans="1:7">
      <c r="A259" s="278"/>
      <c r="B259" s="280"/>
      <c r="C259" s="280"/>
      <c r="D259" s="280"/>
      <c r="E259" s="280"/>
      <c r="F259" s="278"/>
      <c r="G259" s="278"/>
    </row>
    <row r="260" spans="1:7">
      <c r="A260" s="278"/>
      <c r="B260" s="280"/>
      <c r="C260" s="280"/>
      <c r="D260" s="280"/>
      <c r="E260" s="280"/>
      <c r="F260" s="278"/>
      <c r="G260" s="278"/>
    </row>
    <row r="261" spans="1:7">
      <c r="A261" s="278"/>
      <c r="B261" s="280"/>
      <c r="C261" s="280"/>
      <c r="D261" s="280"/>
      <c r="E261" s="280"/>
      <c r="F261" s="278"/>
      <c r="G261" s="278"/>
    </row>
    <row r="262" spans="1:7">
      <c r="A262" s="278"/>
      <c r="B262" s="280"/>
      <c r="C262" s="280"/>
      <c r="D262" s="280"/>
      <c r="E262" s="280"/>
      <c r="F262" s="278"/>
      <c r="G262" s="278"/>
    </row>
    <row r="263" spans="1:7">
      <c r="A263" s="278"/>
      <c r="B263" s="280"/>
      <c r="C263" s="280"/>
      <c r="D263" s="280"/>
      <c r="E263" s="280"/>
      <c r="F263" s="278"/>
      <c r="G263" s="278"/>
    </row>
    <row r="264" spans="1:7">
      <c r="A264" s="278"/>
      <c r="B264" s="280"/>
      <c r="C264" s="280"/>
      <c r="D264" s="280"/>
      <c r="E264" s="280"/>
      <c r="F264" s="278"/>
      <c r="G264" s="278"/>
    </row>
    <row r="265" spans="1:7">
      <c r="A265" s="278"/>
      <c r="B265" s="280"/>
      <c r="C265" s="280"/>
      <c r="D265" s="280"/>
      <c r="E265" s="280"/>
      <c r="F265" s="278"/>
      <c r="G265" s="278"/>
    </row>
    <row r="266" spans="1:7">
      <c r="A266" s="278"/>
      <c r="B266" s="280"/>
      <c r="C266" s="280"/>
      <c r="D266" s="280"/>
      <c r="E266" s="280"/>
      <c r="F266" s="278"/>
      <c r="G266" s="278"/>
    </row>
    <row r="267" spans="1:7">
      <c r="A267" s="278"/>
      <c r="B267" s="280"/>
      <c r="C267" s="280"/>
      <c r="D267" s="280"/>
      <c r="E267" s="280"/>
      <c r="F267" s="278"/>
      <c r="G267" s="278"/>
    </row>
    <row r="268" spans="1:7">
      <c r="A268" s="278"/>
      <c r="B268" s="280"/>
      <c r="C268" s="280"/>
      <c r="D268" s="280"/>
      <c r="E268" s="280"/>
      <c r="F268" s="278"/>
      <c r="G268" s="278"/>
    </row>
    <row r="269" spans="1:7">
      <c r="A269" s="278"/>
      <c r="B269" s="280"/>
      <c r="C269" s="280"/>
      <c r="D269" s="280"/>
      <c r="E269" s="280"/>
      <c r="F269" s="278"/>
      <c r="G269" s="278"/>
    </row>
    <row r="270" spans="1:7">
      <c r="A270" s="278"/>
      <c r="B270" s="280"/>
      <c r="C270" s="280"/>
      <c r="D270" s="280"/>
      <c r="E270" s="280"/>
      <c r="F270" s="278"/>
      <c r="G270" s="278"/>
    </row>
    <row r="271" spans="1:7">
      <c r="A271" s="278"/>
      <c r="B271" s="280"/>
      <c r="C271" s="280"/>
      <c r="D271" s="280"/>
      <c r="E271" s="280"/>
      <c r="F271" s="278"/>
      <c r="G271" s="278"/>
    </row>
    <row r="272" spans="1:7">
      <c r="A272" s="278"/>
      <c r="B272" s="280"/>
      <c r="C272" s="280"/>
      <c r="D272" s="280"/>
      <c r="E272" s="280"/>
      <c r="F272" s="278"/>
      <c r="G272" s="278"/>
    </row>
    <row r="273" spans="1:7">
      <c r="A273" s="278"/>
      <c r="B273" s="280"/>
      <c r="C273" s="280"/>
      <c r="D273" s="280"/>
      <c r="E273" s="280"/>
      <c r="F273" s="278"/>
      <c r="G273" s="278"/>
    </row>
    <row r="274" spans="1:7">
      <c r="A274" s="278"/>
      <c r="B274" s="280"/>
      <c r="C274" s="280"/>
      <c r="D274" s="280"/>
      <c r="E274" s="280"/>
      <c r="F274" s="278"/>
      <c r="G274" s="278"/>
    </row>
    <row r="275" spans="1:7">
      <c r="A275" s="278"/>
      <c r="B275" s="280"/>
      <c r="C275" s="280"/>
      <c r="D275" s="280"/>
      <c r="E275" s="280"/>
      <c r="F275" s="278"/>
      <c r="G275" s="278"/>
    </row>
    <row r="276" spans="1:7">
      <c r="A276" s="278"/>
      <c r="B276" s="280"/>
      <c r="C276" s="280"/>
      <c r="D276" s="280"/>
      <c r="E276" s="280"/>
      <c r="F276" s="278"/>
      <c r="G276" s="278"/>
    </row>
    <row r="277" spans="1:7">
      <c r="A277" s="278"/>
      <c r="B277" s="280"/>
      <c r="C277" s="280"/>
      <c r="D277" s="280"/>
      <c r="E277" s="280"/>
      <c r="F277" s="278"/>
      <c r="G277" s="278"/>
    </row>
    <row r="278" spans="1:7" ht="15">
      <c r="A278" s="277"/>
      <c r="B278" s="280"/>
      <c r="C278" s="280"/>
      <c r="D278" s="280"/>
      <c r="E278" s="280"/>
      <c r="F278" s="278"/>
      <c r="G278" s="278"/>
    </row>
    <row r="279" spans="1:7" ht="15">
      <c r="A279" s="277"/>
      <c r="B279" s="280"/>
      <c r="C279" s="280"/>
      <c r="D279" s="280"/>
      <c r="E279" s="280"/>
      <c r="F279" s="278"/>
      <c r="G279" s="278"/>
    </row>
    <row r="280" spans="1:7" ht="15">
      <c r="A280" s="277"/>
      <c r="B280" s="280"/>
      <c r="C280" s="280"/>
      <c r="D280" s="280"/>
      <c r="E280" s="280"/>
      <c r="F280" s="278"/>
      <c r="G280" s="278"/>
    </row>
    <row r="281" spans="1:7" ht="15">
      <c r="A281" s="277"/>
      <c r="B281" s="280"/>
      <c r="C281" s="280"/>
      <c r="D281" s="280"/>
      <c r="E281" s="280"/>
      <c r="F281" s="278"/>
      <c r="G281" s="278"/>
    </row>
    <row r="282" spans="1:7" ht="15">
      <c r="A282" s="277"/>
      <c r="B282" s="280"/>
      <c r="C282" s="280"/>
      <c r="D282" s="280"/>
      <c r="E282" s="280"/>
      <c r="F282" s="278"/>
      <c r="G282" s="278"/>
    </row>
    <row r="283" spans="1:7" ht="15">
      <c r="A283" s="277"/>
      <c r="B283" s="278"/>
      <c r="C283" s="278"/>
      <c r="D283" s="278"/>
      <c r="E283" s="280"/>
      <c r="F283" s="278"/>
      <c r="G283" s="278"/>
    </row>
    <row r="284" spans="1:7" ht="15">
      <c r="A284" s="277"/>
      <c r="B284" s="278"/>
      <c r="C284" s="278"/>
      <c r="D284" s="278"/>
      <c r="E284" s="278"/>
      <c r="F284" s="278"/>
      <c r="G284" s="278"/>
    </row>
    <row r="285" spans="1:7" ht="15">
      <c r="A285" s="277"/>
      <c r="B285" s="278"/>
      <c r="C285" s="278"/>
      <c r="D285" s="278"/>
      <c r="E285" s="278"/>
      <c r="F285" s="278"/>
      <c r="G285" s="278"/>
    </row>
    <row r="286" spans="1:7" ht="15">
      <c r="A286" s="277"/>
      <c r="B286" s="278"/>
      <c r="C286" s="278"/>
      <c r="D286" s="278"/>
      <c r="E286" s="278"/>
      <c r="F286" s="278"/>
      <c r="G286" s="278"/>
    </row>
    <row r="287" spans="1:7" ht="15">
      <c r="A287" s="277"/>
      <c r="B287" s="278"/>
      <c r="C287" s="278"/>
      <c r="D287" s="278"/>
      <c r="E287" s="278"/>
      <c r="F287" s="278"/>
      <c r="G287" s="278"/>
    </row>
    <row r="288" spans="1:7" ht="15">
      <c r="A288" s="277"/>
      <c r="B288" s="278"/>
      <c r="C288" s="278"/>
      <c r="D288" s="278"/>
      <c r="E288" s="278"/>
      <c r="F288" s="278"/>
      <c r="G288" s="278"/>
    </row>
    <row r="289" spans="1:7" ht="15">
      <c r="A289" s="277"/>
      <c r="B289" s="278"/>
      <c r="C289" s="278"/>
      <c r="D289" s="278"/>
      <c r="E289" s="278"/>
      <c r="F289" s="278"/>
      <c r="G289" s="278"/>
    </row>
    <row r="290" spans="1:7" ht="15">
      <c r="A290" s="277"/>
      <c r="B290" s="278"/>
      <c r="C290" s="278"/>
      <c r="D290" s="278"/>
      <c r="E290" s="278"/>
      <c r="F290" s="278"/>
      <c r="G290" s="278"/>
    </row>
    <row r="291" spans="1:7" ht="15">
      <c r="A291" s="277"/>
      <c r="B291" s="278"/>
      <c r="C291" s="278"/>
      <c r="D291" s="278"/>
      <c r="E291" s="278"/>
      <c r="F291" s="278"/>
      <c r="G291" s="278"/>
    </row>
    <row r="292" spans="1:7" ht="15">
      <c r="A292" s="277"/>
      <c r="B292" s="278"/>
      <c r="C292" s="278"/>
      <c r="D292" s="278"/>
      <c r="E292" s="278"/>
      <c r="F292" s="278"/>
      <c r="G292" s="278"/>
    </row>
    <row r="293" spans="1:7" ht="15">
      <c r="A293" s="277"/>
      <c r="B293" s="278"/>
      <c r="C293" s="278"/>
      <c r="D293" s="278"/>
      <c r="E293" s="278"/>
      <c r="F293" s="278"/>
      <c r="G293" s="278"/>
    </row>
    <row r="294" spans="1:7" ht="15">
      <c r="A294" s="277"/>
      <c r="B294" s="278"/>
      <c r="C294" s="278"/>
      <c r="D294" s="278"/>
      <c r="E294" s="278"/>
      <c r="F294" s="278"/>
      <c r="G294" s="278"/>
    </row>
    <row r="295" spans="1:7" ht="15">
      <c r="A295" s="277"/>
      <c r="B295" s="278"/>
      <c r="C295" s="278"/>
      <c r="D295" s="278"/>
      <c r="E295" s="278"/>
      <c r="F295" s="278"/>
      <c r="G295" s="278"/>
    </row>
    <row r="296" spans="1:7" ht="15">
      <c r="A296" s="277"/>
      <c r="B296" s="278"/>
      <c r="C296" s="278"/>
      <c r="D296" s="278"/>
      <c r="E296" s="278"/>
      <c r="F296" s="278"/>
      <c r="G296" s="278"/>
    </row>
    <row r="297" spans="1:7" ht="15">
      <c r="A297" s="277"/>
      <c r="B297" s="278"/>
      <c r="C297" s="278"/>
      <c r="D297" s="278"/>
      <c r="E297" s="278"/>
      <c r="F297" s="278"/>
      <c r="G297" s="278"/>
    </row>
    <row r="298" spans="1:7" ht="15">
      <c r="A298" s="277"/>
      <c r="B298" s="278"/>
      <c r="C298" s="278"/>
      <c r="D298" s="278"/>
      <c r="E298" s="278"/>
      <c r="F298" s="278"/>
      <c r="G298" s="278"/>
    </row>
    <row r="299" spans="1:7" ht="15">
      <c r="A299" s="277"/>
      <c r="B299" s="278"/>
      <c r="C299" s="278"/>
      <c r="D299" s="278"/>
      <c r="E299" s="278"/>
      <c r="F299" s="278"/>
      <c r="G299" s="278"/>
    </row>
    <row r="300" spans="1:7" ht="15">
      <c r="A300" s="277"/>
      <c r="B300" s="278"/>
      <c r="C300" s="278"/>
      <c r="D300" s="278"/>
      <c r="E300" s="278"/>
      <c r="F300" s="278"/>
      <c r="G300" s="278"/>
    </row>
    <row r="301" spans="1:7" ht="15">
      <c r="A301" s="277"/>
      <c r="B301" s="278"/>
      <c r="C301" s="278"/>
      <c r="D301" s="278"/>
      <c r="E301" s="278"/>
      <c r="F301" s="278"/>
      <c r="G301" s="278"/>
    </row>
    <row r="302" spans="1:7" ht="15">
      <c r="A302" s="277"/>
      <c r="B302" s="278"/>
      <c r="C302" s="278"/>
      <c r="D302" s="278"/>
      <c r="E302" s="278"/>
      <c r="F302" s="278"/>
      <c r="G302" s="278"/>
    </row>
    <row r="303" spans="1:7" ht="15">
      <c r="A303" s="277"/>
      <c r="B303" s="278"/>
      <c r="C303" s="278"/>
      <c r="D303" s="278"/>
      <c r="E303" s="278"/>
      <c r="F303" s="278"/>
      <c r="G303" s="278"/>
    </row>
    <row r="304" spans="1:7" ht="15">
      <c r="A304" s="277"/>
      <c r="B304" s="278"/>
      <c r="C304" s="278"/>
      <c r="D304" s="278"/>
      <c r="E304" s="278"/>
      <c r="F304" s="278"/>
      <c r="G304" s="278"/>
    </row>
    <row r="305" spans="1:7" ht="15">
      <c r="A305" s="277"/>
      <c r="B305" s="278"/>
      <c r="C305" s="278"/>
      <c r="D305" s="278"/>
      <c r="E305" s="278"/>
      <c r="F305" s="278"/>
      <c r="G305" s="278"/>
    </row>
    <row r="306" spans="1:7" ht="15">
      <c r="A306" s="277"/>
      <c r="B306" s="278"/>
      <c r="C306" s="278"/>
      <c r="D306" s="278"/>
      <c r="E306" s="278"/>
      <c r="F306" s="278"/>
      <c r="G306" s="278"/>
    </row>
    <row r="307" spans="1:7" ht="15">
      <c r="A307" s="277"/>
      <c r="B307" s="278"/>
      <c r="C307" s="278"/>
      <c r="D307" s="278"/>
      <c r="E307" s="278"/>
      <c r="F307" s="278"/>
      <c r="G307" s="278"/>
    </row>
    <row r="308" spans="1:7" ht="15">
      <c r="A308" s="277"/>
      <c r="B308" s="278"/>
      <c r="C308" s="278"/>
      <c r="D308" s="278"/>
      <c r="E308" s="278"/>
      <c r="F308" s="278"/>
      <c r="G308" s="278"/>
    </row>
    <row r="309" spans="1:7" ht="15">
      <c r="A309" s="277"/>
      <c r="B309" s="278"/>
      <c r="C309" s="278"/>
      <c r="D309" s="278"/>
      <c r="E309" s="278"/>
      <c r="F309" s="278"/>
      <c r="G309" s="278"/>
    </row>
    <row r="310" spans="1:7" ht="15">
      <c r="A310" s="277"/>
      <c r="B310" s="278"/>
      <c r="C310" s="278"/>
      <c r="D310" s="278"/>
      <c r="E310" s="278"/>
      <c r="F310" s="278"/>
      <c r="G310" s="278"/>
    </row>
    <row r="311" spans="1:7" ht="15">
      <c r="A311" s="277"/>
      <c r="B311" s="278"/>
      <c r="C311" s="278"/>
      <c r="D311" s="278"/>
      <c r="E311" s="278"/>
      <c r="F311" s="278"/>
      <c r="G311" s="278"/>
    </row>
    <row r="312" spans="1:7" ht="15">
      <c r="A312" s="277"/>
      <c r="B312" s="278"/>
      <c r="C312" s="278"/>
      <c r="D312" s="278"/>
      <c r="E312" s="278"/>
      <c r="F312" s="278"/>
      <c r="G312" s="278"/>
    </row>
    <row r="313" spans="1:7" ht="15">
      <c r="A313" s="277"/>
      <c r="B313" s="278"/>
      <c r="C313" s="278"/>
      <c r="D313" s="278"/>
      <c r="E313" s="278"/>
      <c r="F313" s="278"/>
      <c r="G313" s="278"/>
    </row>
    <row r="314" spans="1:7" ht="15">
      <c r="A314" s="277"/>
      <c r="B314" s="278"/>
      <c r="C314" s="278"/>
      <c r="D314" s="278"/>
      <c r="E314" s="278"/>
      <c r="F314" s="278"/>
      <c r="G314" s="278"/>
    </row>
    <row r="315" spans="1:7" ht="15">
      <c r="A315" s="277"/>
      <c r="B315" s="278"/>
      <c r="C315" s="278"/>
      <c r="D315" s="278"/>
      <c r="E315" s="278"/>
      <c r="F315" s="278"/>
      <c r="G315" s="278"/>
    </row>
    <row r="316" spans="1:7" ht="15">
      <c r="A316" s="277"/>
      <c r="B316" s="1"/>
      <c r="C316" s="1"/>
      <c r="D316" s="1"/>
      <c r="E316" s="1"/>
    </row>
    <row r="317" spans="1:7" ht="15">
      <c r="A317" s="277"/>
      <c r="B317" s="1"/>
      <c r="C317" s="1"/>
      <c r="D317" s="1"/>
      <c r="E317" s="1"/>
    </row>
    <row r="318" spans="1:7" ht="15">
      <c r="A318" s="277"/>
      <c r="B318" s="1"/>
      <c r="C318" s="1"/>
      <c r="D318" s="1"/>
      <c r="E318" s="1"/>
    </row>
    <row r="319" spans="1:7" ht="15">
      <c r="A319" s="277"/>
      <c r="B319" s="1"/>
      <c r="C319" s="1"/>
      <c r="D319" s="1"/>
      <c r="E319" s="1"/>
    </row>
    <row r="320" spans="1:7" ht="15">
      <c r="A320" s="277"/>
      <c r="B320" s="1"/>
      <c r="C320" s="1"/>
      <c r="D320" s="1"/>
      <c r="E320" s="1"/>
    </row>
    <row r="321" spans="1:5" ht="15">
      <c r="A321" s="277"/>
      <c r="B321" s="1"/>
      <c r="C321" s="1"/>
      <c r="D321" s="1"/>
      <c r="E321" s="1"/>
    </row>
    <row r="322" spans="1:5" ht="15">
      <c r="A322" s="277"/>
      <c r="B322" s="1"/>
      <c r="C322" s="1"/>
      <c r="D322" s="1"/>
      <c r="E322" s="1"/>
    </row>
    <row r="323" spans="1:5" ht="15">
      <c r="A323" s="277"/>
      <c r="B323" s="1"/>
      <c r="C323" s="1"/>
      <c r="D323" s="1"/>
      <c r="E323" s="1"/>
    </row>
    <row r="324" spans="1:5" ht="15">
      <c r="A324" s="277"/>
      <c r="B324" s="1"/>
      <c r="C324" s="1"/>
      <c r="D324" s="1"/>
      <c r="E324" s="1"/>
    </row>
    <row r="325" spans="1:5" ht="15">
      <c r="A325" s="277"/>
      <c r="B325" s="1"/>
      <c r="C325" s="1"/>
      <c r="D325" s="1"/>
      <c r="E325" s="1"/>
    </row>
    <row r="326" spans="1:5" ht="15">
      <c r="A326" s="277"/>
      <c r="B326" s="1"/>
      <c r="C326" s="1"/>
      <c r="D326" s="1"/>
      <c r="E326" s="1"/>
    </row>
    <row r="327" spans="1:5" ht="15">
      <c r="A327" s="277"/>
      <c r="B327" s="1"/>
      <c r="C327" s="1"/>
      <c r="D327" s="1"/>
      <c r="E327" s="1"/>
    </row>
    <row r="328" spans="1:5" ht="15">
      <c r="A328" s="277"/>
      <c r="B328" s="1"/>
      <c r="C328" s="1"/>
      <c r="D328" s="1"/>
      <c r="E328" s="1"/>
    </row>
    <row r="329" spans="1:5" ht="15">
      <c r="A329" s="277"/>
      <c r="B329" s="1"/>
      <c r="C329" s="1"/>
      <c r="D329" s="1"/>
      <c r="E329" s="1"/>
    </row>
    <row r="330" spans="1:5" ht="15">
      <c r="A330" s="277"/>
      <c r="B330" s="1"/>
      <c r="C330" s="1"/>
      <c r="D330" s="1"/>
      <c r="E330" s="1"/>
    </row>
    <row r="331" spans="1:5" ht="15">
      <c r="A331" s="277"/>
      <c r="B331" s="1"/>
      <c r="C331" s="1"/>
      <c r="D331" s="1"/>
      <c r="E331" s="1"/>
    </row>
    <row r="332" spans="1:5" ht="15">
      <c r="A332" s="277"/>
      <c r="B332" s="1"/>
      <c r="C332" s="1"/>
      <c r="D332" s="1"/>
      <c r="E332" s="1"/>
    </row>
    <row r="333" spans="1:5" ht="15">
      <c r="A333" s="277"/>
      <c r="B333" s="1"/>
      <c r="C333" s="1"/>
      <c r="D333" s="1"/>
      <c r="E333" s="1"/>
    </row>
    <row r="334" spans="1:5" ht="15">
      <c r="A334" s="277"/>
      <c r="B334" s="1"/>
      <c r="C334" s="1"/>
      <c r="D334" s="1"/>
      <c r="E334" s="1"/>
    </row>
    <row r="335" spans="1:5" ht="15">
      <c r="A335" s="277"/>
      <c r="B335" s="1"/>
      <c r="C335" s="1"/>
      <c r="D335" s="1"/>
      <c r="E335" s="1"/>
    </row>
    <row r="336" spans="1:5" ht="15">
      <c r="A336" s="277"/>
      <c r="B336" s="1"/>
      <c r="C336" s="1"/>
      <c r="D336" s="1"/>
      <c r="E336" s="1"/>
    </row>
    <row r="337" spans="1:5" ht="15">
      <c r="A337" s="277"/>
      <c r="B337" s="1"/>
      <c r="C337" s="1"/>
      <c r="D337" s="1"/>
      <c r="E337" s="1"/>
    </row>
    <row r="338" spans="1:5" ht="15">
      <c r="A338" s="277"/>
      <c r="B338" s="1"/>
      <c r="C338" s="1"/>
      <c r="D338" s="1"/>
      <c r="E338" s="1"/>
    </row>
    <row r="339" spans="1:5" ht="15">
      <c r="A339" s="277"/>
      <c r="B339" s="1"/>
      <c r="C339" s="1"/>
      <c r="D339" s="1"/>
      <c r="E339" s="1"/>
    </row>
    <row r="340" spans="1:5" ht="15">
      <c r="A340" s="277"/>
      <c r="B340" s="1"/>
      <c r="C340" s="1"/>
      <c r="D340" s="1"/>
      <c r="E340" s="1"/>
    </row>
    <row r="341" spans="1:5" ht="15">
      <c r="A341" s="277"/>
      <c r="B341" s="1"/>
      <c r="C341" s="1"/>
      <c r="D341" s="1"/>
      <c r="E341" s="1"/>
    </row>
    <row r="342" spans="1:5" ht="15">
      <c r="A342" s="277"/>
      <c r="B342" s="1"/>
      <c r="C342" s="1"/>
      <c r="D342" s="1"/>
      <c r="E342" s="1"/>
    </row>
    <row r="343" spans="1:5" ht="15">
      <c r="A343" s="277"/>
      <c r="B343" s="1"/>
      <c r="C343" s="1"/>
      <c r="D343" s="1"/>
      <c r="E343" s="1"/>
    </row>
    <row r="344" spans="1:5" ht="15">
      <c r="A344" s="277"/>
      <c r="B344" s="1"/>
      <c r="C344" s="1"/>
      <c r="D344" s="1"/>
      <c r="E344" s="1"/>
    </row>
    <row r="345" spans="1:5" ht="15">
      <c r="A345" s="277"/>
      <c r="B345" s="1"/>
      <c r="C345" s="1"/>
      <c r="D345" s="1"/>
      <c r="E345" s="1"/>
    </row>
    <row r="346" spans="1:5" ht="15">
      <c r="A346" s="277"/>
      <c r="B346" s="1"/>
      <c r="C346" s="1"/>
      <c r="D346" s="1"/>
      <c r="E346" s="1"/>
    </row>
    <row r="347" spans="1:5" ht="15">
      <c r="A347" s="277"/>
      <c r="B347" s="1"/>
      <c r="C347" s="1"/>
      <c r="D347" s="1"/>
      <c r="E347" s="1"/>
    </row>
    <row r="348" spans="1:5" ht="15">
      <c r="A348" s="277"/>
      <c r="B348" s="1"/>
      <c r="C348" s="1"/>
      <c r="D348" s="1"/>
      <c r="E348" s="1"/>
    </row>
    <row r="349" spans="1:5" ht="15">
      <c r="A349" s="277"/>
      <c r="B349" s="1"/>
      <c r="C349" s="1"/>
      <c r="D349" s="1"/>
      <c r="E349" s="1"/>
    </row>
    <row r="350" spans="1:5" ht="15">
      <c r="A350" s="277"/>
      <c r="B350" s="1"/>
      <c r="C350" s="1"/>
      <c r="D350" s="1"/>
      <c r="E350" s="1"/>
    </row>
    <row r="351" spans="1:5" ht="15">
      <c r="A351" s="277"/>
      <c r="B351" s="1"/>
      <c r="C351" s="1"/>
      <c r="D351" s="1"/>
      <c r="E351" s="1"/>
    </row>
    <row r="352" spans="1:5" ht="15">
      <c r="A352" s="277"/>
      <c r="B352" s="1"/>
      <c r="C352" s="1"/>
      <c r="D352" s="1"/>
      <c r="E352" s="1"/>
    </row>
    <row r="353" spans="1:5" ht="15">
      <c r="A353" s="277"/>
      <c r="B353" s="1"/>
      <c r="C353" s="1"/>
      <c r="D353" s="1"/>
      <c r="E353" s="1"/>
    </row>
    <row r="354" spans="1:5" ht="15">
      <c r="A354" s="277"/>
      <c r="B354" s="1"/>
      <c r="C354" s="1"/>
      <c r="D354" s="1"/>
      <c r="E354" s="1"/>
    </row>
    <row r="355" spans="1:5" ht="15">
      <c r="A355" s="277"/>
      <c r="B355" s="1"/>
      <c r="C355" s="1"/>
      <c r="D355" s="1"/>
      <c r="E355" s="1"/>
    </row>
    <row r="356" spans="1:5" ht="15">
      <c r="A356" s="277"/>
      <c r="B356" s="1"/>
      <c r="C356" s="1"/>
      <c r="D356" s="1"/>
      <c r="E356" s="1"/>
    </row>
    <row r="357" spans="1:5" ht="15">
      <c r="A357" s="277"/>
      <c r="B357" s="1"/>
      <c r="C357" s="1"/>
      <c r="D357" s="1"/>
      <c r="E357" s="1"/>
    </row>
    <row r="358" spans="1:5" ht="15">
      <c r="A358" s="277"/>
      <c r="B358" s="1"/>
      <c r="C358" s="1"/>
      <c r="D358" s="1"/>
      <c r="E358" s="1"/>
    </row>
    <row r="359" spans="1:5" ht="15">
      <c r="A359" s="277"/>
      <c r="B359" s="1"/>
      <c r="C359" s="1"/>
      <c r="D359" s="1"/>
      <c r="E359" s="1"/>
    </row>
    <row r="360" spans="1:5" ht="15">
      <c r="A360" s="277"/>
      <c r="B360" s="1"/>
      <c r="C360" s="1"/>
      <c r="D360" s="1"/>
      <c r="E360" s="1"/>
    </row>
    <row r="361" spans="1:5" ht="15">
      <c r="A361" s="277"/>
      <c r="B361" s="1"/>
      <c r="C361" s="1"/>
      <c r="D361" s="1"/>
      <c r="E361" s="1"/>
    </row>
    <row r="362" spans="1:5" ht="15">
      <c r="A362" s="277"/>
      <c r="B362" s="1"/>
      <c r="C362" s="1"/>
      <c r="D362" s="1"/>
      <c r="E362" s="1"/>
    </row>
    <row r="363" spans="1:5" ht="15">
      <c r="A363" s="277"/>
      <c r="B363" s="1"/>
      <c r="C363" s="1"/>
      <c r="D363" s="1"/>
      <c r="E363" s="1"/>
    </row>
    <row r="364" spans="1:5" ht="15">
      <c r="A364" s="277"/>
      <c r="B364" s="1"/>
      <c r="C364" s="1"/>
      <c r="D364" s="1"/>
      <c r="E364" s="1"/>
    </row>
    <row r="365" spans="1:5" ht="15">
      <c r="A365" s="277"/>
      <c r="B365" s="1"/>
      <c r="C365" s="1"/>
      <c r="D365" s="1"/>
      <c r="E365" s="1"/>
    </row>
    <row r="366" spans="1:5" ht="15">
      <c r="A366" s="277"/>
      <c r="B366" s="1"/>
      <c r="C366" s="1"/>
      <c r="D366" s="1"/>
      <c r="E366" s="1"/>
    </row>
    <row r="367" spans="1:5" ht="15">
      <c r="A367" s="277"/>
      <c r="B367" s="1"/>
      <c r="C367" s="1"/>
      <c r="D367" s="1"/>
      <c r="E367" s="1"/>
    </row>
    <row r="368" spans="1:5" ht="15">
      <c r="A368" s="277"/>
      <c r="B368" s="1"/>
      <c r="C368" s="1"/>
      <c r="D368" s="1"/>
      <c r="E368" s="1"/>
    </row>
    <row r="369" spans="1:5" ht="15">
      <c r="A369" s="277"/>
      <c r="B369" s="1"/>
      <c r="C369" s="1"/>
      <c r="D369" s="1"/>
      <c r="E369" s="1"/>
    </row>
    <row r="370" spans="1:5" ht="15">
      <c r="A370" s="277"/>
      <c r="B370" s="1"/>
      <c r="C370" s="1"/>
      <c r="D370" s="1"/>
      <c r="E370" s="1"/>
    </row>
    <row r="371" spans="1:5" ht="15">
      <c r="A371" s="277"/>
      <c r="B371" s="1"/>
      <c r="C371" s="1"/>
      <c r="D371" s="1"/>
      <c r="E371" s="1"/>
    </row>
    <row r="372" spans="1:5" ht="15">
      <c r="A372" s="277"/>
      <c r="B372" s="1"/>
      <c r="C372" s="1"/>
      <c r="D372" s="1"/>
      <c r="E372" s="1"/>
    </row>
    <row r="373" spans="1:5" ht="15">
      <c r="A373" s="277"/>
      <c r="B373" s="1"/>
      <c r="C373" s="1"/>
      <c r="D373" s="1"/>
      <c r="E373" s="1"/>
    </row>
    <row r="374" spans="1:5" ht="15">
      <c r="A374" s="277"/>
      <c r="B374" s="1"/>
      <c r="C374" s="1"/>
      <c r="D374" s="1"/>
      <c r="E374" s="1"/>
    </row>
    <row r="375" spans="1:5" ht="15">
      <c r="A375" s="277"/>
      <c r="B375" s="1"/>
      <c r="C375" s="1"/>
      <c r="D375" s="1"/>
      <c r="E375" s="1"/>
    </row>
    <row r="376" spans="1:5" ht="15">
      <c r="A376" s="277"/>
      <c r="B376" s="1"/>
      <c r="C376" s="1"/>
      <c r="D376" s="1"/>
      <c r="E376" s="1"/>
    </row>
    <row r="377" spans="1:5" ht="15">
      <c r="A377" s="277"/>
      <c r="B377" s="1"/>
      <c r="C377" s="1"/>
      <c r="D377" s="1"/>
      <c r="E377" s="1"/>
    </row>
    <row r="378" spans="1:5" ht="15">
      <c r="A378" s="277"/>
      <c r="B378" s="1"/>
      <c r="C378" s="1"/>
      <c r="D378" s="1"/>
      <c r="E378" s="1"/>
    </row>
    <row r="379" spans="1:5" ht="15">
      <c r="A379" s="277"/>
      <c r="B379" s="1"/>
      <c r="C379" s="1"/>
      <c r="D379" s="1"/>
      <c r="E379" s="1"/>
    </row>
    <row r="380" spans="1:5" ht="15">
      <c r="A380" s="277"/>
      <c r="B380" s="1"/>
      <c r="C380" s="1"/>
      <c r="D380" s="1"/>
      <c r="E380" s="1"/>
    </row>
    <row r="381" spans="1:5" ht="15">
      <c r="A381" s="277"/>
      <c r="B381" s="1"/>
      <c r="C381" s="1"/>
      <c r="D381" s="1"/>
      <c r="E381" s="1"/>
    </row>
    <row r="382" spans="1:5" ht="15">
      <c r="A382" s="277"/>
      <c r="B382" s="1"/>
      <c r="C382" s="1"/>
      <c r="D382" s="1"/>
      <c r="E382" s="1"/>
    </row>
    <row r="383" spans="1:5" ht="15">
      <c r="A383" s="277"/>
      <c r="B383" s="1"/>
      <c r="C383" s="1"/>
      <c r="D383" s="1"/>
      <c r="E383" s="1"/>
    </row>
    <row r="384" spans="1:5" ht="15">
      <c r="A384" s="277"/>
      <c r="B384" s="1"/>
      <c r="C384" s="1"/>
      <c r="D384" s="1"/>
      <c r="E384" s="1"/>
    </row>
    <row r="385" spans="1:5" ht="15">
      <c r="A385" s="277"/>
      <c r="B385" s="1"/>
      <c r="C385" s="1"/>
      <c r="D385" s="1"/>
      <c r="E385" s="1"/>
    </row>
    <row r="386" spans="1:5" ht="15">
      <c r="A386" s="277"/>
      <c r="B386" s="1"/>
      <c r="C386" s="1"/>
      <c r="D386" s="1"/>
      <c r="E386" s="1"/>
    </row>
    <row r="387" spans="1:5" ht="15">
      <c r="A387" s="277"/>
      <c r="B387" s="1"/>
      <c r="C387" s="1"/>
      <c r="D387" s="1"/>
      <c r="E387" s="1"/>
    </row>
    <row r="388" spans="1:5" ht="15">
      <c r="A388" s="277"/>
      <c r="B388" s="1"/>
      <c r="C388" s="1"/>
      <c r="D388" s="1"/>
      <c r="E388" s="1"/>
    </row>
    <row r="389" spans="1:5" ht="15">
      <c r="A389" s="277"/>
      <c r="B389" s="1"/>
      <c r="C389" s="1"/>
      <c r="D389" s="1"/>
      <c r="E389" s="1"/>
    </row>
    <row r="390" spans="1:5" ht="15">
      <c r="A390" s="277"/>
      <c r="B390" s="1"/>
      <c r="C390" s="1"/>
      <c r="D390" s="1"/>
      <c r="E390" s="1"/>
    </row>
    <row r="391" spans="1:5" ht="15">
      <c r="A391" s="277"/>
      <c r="B391" s="1"/>
      <c r="C391" s="1"/>
      <c r="D391" s="1"/>
      <c r="E391" s="1"/>
    </row>
    <row r="392" spans="1:5" ht="15">
      <c r="A392" s="277"/>
      <c r="B392" s="1"/>
      <c r="C392" s="1"/>
      <c r="D392" s="1"/>
      <c r="E392" s="1"/>
    </row>
    <row r="393" spans="1:5" ht="15">
      <c r="A393" s="277"/>
      <c r="B393" s="1"/>
      <c r="C393" s="1"/>
      <c r="D393" s="1"/>
      <c r="E393" s="1"/>
    </row>
    <row r="394" spans="1:5" ht="15">
      <c r="A394" s="277"/>
      <c r="B394" s="1"/>
      <c r="C394" s="1"/>
      <c r="D394" s="1"/>
      <c r="E394" s="1"/>
    </row>
    <row r="395" spans="1:5" ht="15">
      <c r="A395" s="277"/>
      <c r="B395" s="1"/>
      <c r="C395" s="1"/>
      <c r="D395" s="1"/>
      <c r="E395" s="1"/>
    </row>
    <row r="396" spans="1:5" ht="15">
      <c r="A396" s="277"/>
      <c r="B396" s="1"/>
      <c r="C396" s="1"/>
      <c r="D396" s="1"/>
      <c r="E396" s="1"/>
    </row>
    <row r="397" spans="1:5" ht="15">
      <c r="A397" s="277"/>
      <c r="B397" s="1"/>
      <c r="C397" s="1"/>
      <c r="D397" s="1"/>
      <c r="E397" s="1"/>
    </row>
    <row r="398" spans="1:5" ht="15">
      <c r="A398" s="277"/>
      <c r="B398" s="1"/>
      <c r="C398" s="1"/>
      <c r="D398" s="1"/>
      <c r="E398" s="1"/>
    </row>
    <row r="399" spans="1:5" ht="15">
      <c r="A399" s="277"/>
      <c r="B399" s="1"/>
      <c r="C399" s="1"/>
      <c r="D399" s="1"/>
      <c r="E399" s="1"/>
    </row>
    <row r="400" spans="1:5" ht="15">
      <c r="A400" s="277"/>
      <c r="B400" s="1"/>
      <c r="C400" s="1"/>
      <c r="D400" s="1"/>
      <c r="E400" s="1"/>
    </row>
    <row r="401" spans="1:5" ht="15">
      <c r="A401" s="277"/>
      <c r="B401" s="1"/>
      <c r="C401" s="1"/>
      <c r="D401" s="1"/>
      <c r="E401" s="1"/>
    </row>
    <row r="402" spans="1:5" ht="15">
      <c r="A402" s="277"/>
      <c r="B402" s="1"/>
      <c r="C402" s="1"/>
      <c r="D402" s="1"/>
      <c r="E402" s="1"/>
    </row>
    <row r="403" spans="1:5" ht="15">
      <c r="A403" s="277"/>
      <c r="B403" s="1"/>
      <c r="C403" s="1"/>
      <c r="D403" s="1"/>
      <c r="E403" s="1"/>
    </row>
    <row r="404" spans="1:5" ht="15">
      <c r="A404" s="277"/>
      <c r="B404" s="1"/>
      <c r="C404" s="1"/>
      <c r="D404" s="1"/>
      <c r="E404" s="1"/>
    </row>
    <row r="405" spans="1:5" ht="15">
      <c r="A405" s="277"/>
      <c r="B405" s="1"/>
      <c r="C405" s="1"/>
      <c r="D405" s="1"/>
      <c r="E405" s="1"/>
    </row>
    <row r="406" spans="1:5" ht="15">
      <c r="A406" s="277"/>
      <c r="B406" s="1"/>
      <c r="C406" s="1"/>
      <c r="D406" s="1"/>
      <c r="E406" s="1"/>
    </row>
    <row r="407" spans="1:5" ht="15">
      <c r="A407" s="277"/>
      <c r="B407" s="1"/>
      <c r="C407" s="1"/>
      <c r="D407" s="1"/>
      <c r="E407" s="1"/>
    </row>
    <row r="408" spans="1:5" ht="15">
      <c r="A408" s="277"/>
      <c r="B408" s="1"/>
      <c r="C408" s="1"/>
      <c r="D408" s="1"/>
      <c r="E408" s="1"/>
    </row>
    <row r="409" spans="1:5" ht="15">
      <c r="A409" s="277"/>
      <c r="B409" s="1"/>
      <c r="C409" s="1"/>
      <c r="D409" s="1"/>
      <c r="E409" s="1"/>
    </row>
    <row r="410" spans="1:5" ht="15">
      <c r="A410" s="277"/>
      <c r="B410" s="1"/>
      <c r="C410" s="1"/>
      <c r="D410" s="1"/>
      <c r="E410" s="1"/>
    </row>
    <row r="411" spans="1:5" ht="15">
      <c r="A411" s="277"/>
      <c r="C411" s="1"/>
      <c r="D411" s="1"/>
      <c r="E411" s="1"/>
    </row>
    <row r="412" spans="1:5" ht="15">
      <c r="A412" s="277"/>
      <c r="C412" s="1"/>
      <c r="D412" s="1"/>
      <c r="E412" s="1"/>
    </row>
    <row r="413" spans="1:5" ht="15">
      <c r="A413" s="277"/>
      <c r="C413" s="1"/>
      <c r="D413" s="1"/>
      <c r="E413" s="1"/>
    </row>
    <row r="414" spans="1:5" ht="15">
      <c r="A414" s="277"/>
      <c r="C414" s="1"/>
      <c r="D414" s="1"/>
      <c r="E414" s="1"/>
    </row>
    <row r="415" spans="1:5" ht="15">
      <c r="A415" s="277"/>
      <c r="C415" s="1"/>
      <c r="D415" s="1"/>
      <c r="E415" s="1"/>
    </row>
    <row r="416" spans="1:5" ht="15">
      <c r="A416" s="277"/>
      <c r="C416" s="1"/>
      <c r="D416" s="1"/>
      <c r="E416" s="1"/>
    </row>
    <row r="417" spans="1:5" ht="15">
      <c r="A417" s="277"/>
      <c r="C417" s="1"/>
      <c r="D417" s="1"/>
      <c r="E417" s="1"/>
    </row>
    <row r="418" spans="1:5" ht="15">
      <c r="A418" s="277"/>
      <c r="C418" s="1"/>
      <c r="D418" s="1"/>
      <c r="E418" s="1"/>
    </row>
    <row r="419" spans="1:5" ht="15">
      <c r="A419" s="277"/>
      <c r="C419" s="1"/>
      <c r="D419" s="1"/>
      <c r="E419" s="1"/>
    </row>
    <row r="420" spans="1:5" ht="15">
      <c r="A420" s="277"/>
      <c r="C420" s="1"/>
      <c r="D420" s="1"/>
      <c r="E420" s="1"/>
    </row>
    <row r="421" spans="1:5" ht="15">
      <c r="A421" s="277"/>
      <c r="C421" s="1"/>
      <c r="D421" s="1"/>
      <c r="E421" s="1"/>
    </row>
    <row r="422" spans="1:5" ht="15">
      <c r="A422" s="277"/>
      <c r="C422" s="1"/>
      <c r="D422" s="1"/>
      <c r="E422" s="1"/>
    </row>
    <row r="423" spans="1:5" ht="15">
      <c r="A423" s="277"/>
      <c r="C423" s="1"/>
      <c r="D423" s="1"/>
      <c r="E423" s="1"/>
    </row>
    <row r="424" spans="1:5" ht="15">
      <c r="A424" s="277"/>
      <c r="C424" s="1"/>
      <c r="D424" s="1"/>
      <c r="E424" s="1"/>
    </row>
    <row r="425" spans="1:5" ht="15">
      <c r="A425" s="277"/>
      <c r="C425" s="1"/>
      <c r="D425" s="1"/>
      <c r="E425" s="1"/>
    </row>
    <row r="426" spans="1:5" ht="15">
      <c r="A426" s="277"/>
      <c r="C426" s="1"/>
      <c r="D426" s="1"/>
      <c r="E426" s="1"/>
    </row>
    <row r="427" spans="1:5" ht="15">
      <c r="A427" s="277"/>
      <c r="B427" s="1"/>
      <c r="C427" s="1"/>
      <c r="D427" s="1"/>
      <c r="E427" s="1"/>
    </row>
    <row r="428" spans="1:5" ht="15">
      <c r="A428" s="277"/>
      <c r="B428" s="1"/>
      <c r="C428" s="1"/>
      <c r="D428" s="1"/>
      <c r="E428" s="1"/>
    </row>
    <row r="429" spans="1:5" ht="15">
      <c r="A429" s="277"/>
      <c r="B429" s="1"/>
      <c r="C429" s="1"/>
      <c r="D429" s="1"/>
      <c r="E429" s="1"/>
    </row>
    <row r="430" spans="1:5" ht="15">
      <c r="A430" s="277"/>
      <c r="B430" s="1"/>
      <c r="C430" s="1"/>
      <c r="D430" s="1"/>
      <c r="E430" s="1"/>
    </row>
    <row r="431" spans="1:5" ht="15">
      <c r="A431" s="277"/>
      <c r="B431" s="1"/>
      <c r="C431" s="1"/>
      <c r="D431" s="1"/>
      <c r="E431" s="1"/>
    </row>
    <row r="432" spans="1:5" ht="15">
      <c r="A432" s="277"/>
      <c r="B432" s="1"/>
      <c r="C432" s="1"/>
      <c r="D432" s="1"/>
      <c r="E432" s="1"/>
    </row>
    <row r="433" spans="1:5" ht="15">
      <c r="A433" s="277"/>
      <c r="B433" s="1"/>
      <c r="C433" s="1"/>
      <c r="D433" s="1"/>
      <c r="E433" s="1"/>
    </row>
    <row r="434" spans="1:5" ht="15">
      <c r="A434" s="277"/>
      <c r="B434" s="1"/>
      <c r="C434" s="1"/>
      <c r="D434" s="1"/>
      <c r="E434" s="1"/>
    </row>
    <row r="435" spans="1:5" ht="15">
      <c r="A435" s="277"/>
      <c r="B435" s="1"/>
      <c r="C435" s="1"/>
      <c r="D435" s="1"/>
      <c r="E435" s="1"/>
    </row>
    <row r="436" spans="1:5" ht="15">
      <c r="A436" s="277"/>
      <c r="B436" s="1"/>
      <c r="C436" s="1"/>
      <c r="D436" s="1"/>
      <c r="E436" s="1"/>
    </row>
    <row r="437" spans="1:5" ht="15">
      <c r="A437" s="277"/>
      <c r="B437" s="1"/>
      <c r="C437" s="1"/>
      <c r="D437" s="1"/>
      <c r="E437" s="1"/>
    </row>
    <row r="438" spans="1:5" ht="15">
      <c r="A438" s="277"/>
      <c r="B438" s="1"/>
      <c r="C438" s="1"/>
      <c r="D438" s="1"/>
      <c r="E438" s="1"/>
    </row>
    <row r="439" spans="1:5" ht="15">
      <c r="A439" s="277"/>
      <c r="B439" s="1"/>
      <c r="C439" s="1"/>
      <c r="D439" s="1"/>
      <c r="E439" s="1"/>
    </row>
    <row r="440" spans="1:5" ht="15">
      <c r="A440" s="277"/>
      <c r="B440" s="1"/>
      <c r="C440" s="1"/>
      <c r="D440" s="1"/>
      <c r="E440" s="1"/>
    </row>
    <row r="441" spans="1:5" ht="15">
      <c r="A441" s="277"/>
      <c r="B441" s="1"/>
      <c r="C441" s="1"/>
      <c r="D441" s="1"/>
      <c r="E441" s="1"/>
    </row>
    <row r="442" spans="1:5" ht="15">
      <c r="A442" s="277"/>
      <c r="B442" s="1"/>
      <c r="C442" s="1"/>
      <c r="D442" s="1"/>
      <c r="E442" s="1"/>
    </row>
    <row r="443" spans="1:5" ht="15">
      <c r="A443" s="277"/>
      <c r="B443" s="1"/>
      <c r="C443" s="1"/>
      <c r="D443" s="1"/>
      <c r="E443" s="1"/>
    </row>
    <row r="444" spans="1:5" ht="15">
      <c r="A444" s="277"/>
      <c r="B444" s="1"/>
      <c r="C444" s="1"/>
      <c r="D444" s="1"/>
      <c r="E444" s="1"/>
    </row>
    <row r="445" spans="1:5" ht="15">
      <c r="A445" s="277"/>
      <c r="B445" s="1"/>
      <c r="C445" s="1"/>
      <c r="D445" s="1"/>
      <c r="E445" s="1"/>
    </row>
    <row r="446" spans="1:5" ht="15">
      <c r="A446" s="277"/>
      <c r="B446" s="1"/>
      <c r="C446" s="1"/>
      <c r="D446" s="1"/>
      <c r="E446" s="1"/>
    </row>
    <row r="447" spans="1:5" ht="15">
      <c r="A447" s="277"/>
      <c r="B447" s="1"/>
      <c r="C447" s="1"/>
      <c r="D447" s="1"/>
      <c r="E447" s="1"/>
    </row>
    <row r="448" spans="1:5" ht="15">
      <c r="A448" s="277"/>
      <c r="B448" s="1"/>
      <c r="C448" s="1"/>
      <c r="D448" s="1"/>
      <c r="E448" s="1"/>
    </row>
    <row r="449" spans="1:5" ht="15">
      <c r="A449" s="277"/>
      <c r="B449" s="1"/>
      <c r="C449" s="1"/>
      <c r="D449" s="1"/>
      <c r="E449" s="1"/>
    </row>
    <row r="450" spans="1:5" ht="15">
      <c r="A450" s="277"/>
      <c r="B450" s="1"/>
      <c r="C450" s="1"/>
      <c r="D450" s="1"/>
      <c r="E450" s="1"/>
    </row>
    <row r="451" spans="1:5" ht="15">
      <c r="A451" s="277"/>
      <c r="B451" s="1"/>
      <c r="C451" s="1"/>
      <c r="D451" s="1"/>
      <c r="E451" s="1"/>
    </row>
    <row r="452" spans="1:5" ht="15">
      <c r="A452" s="277"/>
      <c r="B452" s="1"/>
      <c r="C452" s="1"/>
      <c r="D452" s="1"/>
      <c r="E452" s="1"/>
    </row>
    <row r="453" spans="1:5" ht="15">
      <c r="A453" s="277"/>
      <c r="B453" s="1"/>
      <c r="C453" s="1"/>
      <c r="D453" s="1"/>
      <c r="E453" s="1"/>
    </row>
    <row r="454" spans="1:5" ht="15">
      <c r="A454" s="277"/>
      <c r="B454" s="1"/>
      <c r="C454" s="1"/>
      <c r="D454" s="1"/>
      <c r="E454" s="1"/>
    </row>
    <row r="455" spans="1:5" ht="15">
      <c r="A455" s="277"/>
      <c r="B455" s="1"/>
      <c r="C455" s="1"/>
      <c r="D455" s="1"/>
      <c r="E455" s="1"/>
    </row>
    <row r="456" spans="1:5" ht="15">
      <c r="A456" s="277"/>
      <c r="B456" s="1"/>
      <c r="C456" s="1"/>
      <c r="D456" s="1"/>
      <c r="E456" s="1"/>
    </row>
    <row r="457" spans="1:5" ht="15">
      <c r="A457" s="277"/>
      <c r="B457" s="1"/>
      <c r="C457" s="1"/>
      <c r="D457" s="1"/>
      <c r="E457" s="1"/>
    </row>
    <row r="458" spans="1:5" ht="15">
      <c r="A458" s="277"/>
      <c r="B458" s="1"/>
      <c r="C458" s="1"/>
      <c r="D458" s="1"/>
      <c r="E458" s="1"/>
    </row>
    <row r="459" spans="1:5" ht="15">
      <c r="A459" s="277"/>
      <c r="C459" s="1"/>
      <c r="D459" s="1"/>
      <c r="E459" s="1"/>
    </row>
    <row r="460" spans="1:5" ht="15">
      <c r="A460" s="277"/>
      <c r="C460" s="1"/>
      <c r="D460" s="1"/>
      <c r="E460" s="1"/>
    </row>
    <row r="461" spans="1:5" ht="15">
      <c r="A461" s="277"/>
      <c r="C461" s="1"/>
      <c r="D461" s="1"/>
      <c r="E461" s="1"/>
    </row>
    <row r="462" spans="1:5" ht="15">
      <c r="A462" s="277"/>
      <c r="C462" s="1"/>
      <c r="D462" s="1"/>
      <c r="E462" s="1"/>
    </row>
    <row r="463" spans="1:5" ht="15">
      <c r="A463" s="277"/>
      <c r="C463" s="1"/>
      <c r="D463" s="1"/>
      <c r="E463" s="1"/>
    </row>
    <row r="464" spans="1:5" ht="15">
      <c r="A464" s="277"/>
      <c r="C464" s="1"/>
      <c r="D464" s="1"/>
      <c r="E464" s="1"/>
    </row>
    <row r="465" spans="1:5" ht="15">
      <c r="A465" s="277"/>
      <c r="C465" s="1"/>
      <c r="D465" s="1"/>
      <c r="E465" s="1"/>
    </row>
    <row r="466" spans="1:5" ht="15">
      <c r="A466" s="277"/>
      <c r="C466" s="1"/>
      <c r="D466" s="1"/>
      <c r="E466" s="1"/>
    </row>
    <row r="467" spans="1:5" ht="15">
      <c r="A467" s="277"/>
      <c r="C467" s="1"/>
      <c r="D467" s="1"/>
      <c r="E467" s="1"/>
    </row>
    <row r="468" spans="1:5" ht="15">
      <c r="A468" s="277"/>
      <c r="C468" s="1"/>
      <c r="D468" s="1"/>
      <c r="E468" s="1"/>
    </row>
    <row r="469" spans="1:5" ht="15">
      <c r="A469" s="277"/>
      <c r="C469" s="1"/>
      <c r="D469" s="1"/>
      <c r="E469" s="1"/>
    </row>
    <row r="470" spans="1:5" ht="15">
      <c r="A470" s="277"/>
      <c r="C470" s="1"/>
      <c r="D470" s="1"/>
      <c r="E470" s="1"/>
    </row>
    <row r="471" spans="1:5" ht="15">
      <c r="A471" s="277"/>
      <c r="C471" s="1"/>
      <c r="D471" s="1"/>
      <c r="E471" s="1"/>
    </row>
    <row r="472" spans="1:5" ht="15">
      <c r="A472" s="277"/>
      <c r="C472" s="1"/>
      <c r="D472" s="1"/>
      <c r="E472" s="1"/>
    </row>
    <row r="473" spans="1:5" ht="15">
      <c r="A473" s="277"/>
      <c r="C473" s="1"/>
      <c r="D473" s="1"/>
      <c r="E473" s="1"/>
    </row>
    <row r="474" spans="1:5" ht="15">
      <c r="A474" s="277"/>
      <c r="C474" s="1"/>
      <c r="D474" s="1"/>
      <c r="E474" s="1"/>
    </row>
    <row r="475" spans="1:5" ht="15">
      <c r="A475" s="290"/>
      <c r="B475" s="1"/>
      <c r="C475" s="1"/>
      <c r="D475" s="1"/>
      <c r="E475" s="1"/>
    </row>
    <row r="476" spans="1:5" ht="15">
      <c r="A476" s="290"/>
      <c r="B476" s="1"/>
      <c r="C476" s="1"/>
      <c r="D476" s="1"/>
      <c r="E476" s="1"/>
    </row>
    <row r="477" spans="1:5" ht="15">
      <c r="A477" s="290"/>
      <c r="B477" s="1"/>
      <c r="C477" s="1"/>
      <c r="D477" s="1"/>
      <c r="E477" s="1"/>
    </row>
    <row r="478" spans="1:5" ht="15">
      <c r="A478" s="290"/>
      <c r="B478" s="1"/>
      <c r="C478" s="1"/>
      <c r="D478" s="1"/>
      <c r="E478" s="1"/>
    </row>
    <row r="479" spans="1:5" ht="15">
      <c r="A479" s="290"/>
      <c r="B479" s="1"/>
      <c r="C479" s="1"/>
      <c r="D479" s="1"/>
      <c r="E479" s="1"/>
    </row>
    <row r="480" spans="1:5" ht="15">
      <c r="A480" s="290"/>
      <c r="B480" s="1"/>
      <c r="C480" s="1"/>
      <c r="D480" s="1"/>
      <c r="E480" s="1"/>
    </row>
    <row r="481" spans="1:5" ht="15">
      <c r="A481" s="290"/>
      <c r="B481" s="1"/>
      <c r="C481" s="1"/>
      <c r="D481" s="1"/>
      <c r="E481" s="1"/>
    </row>
    <row r="482" spans="1:5" ht="15">
      <c r="A482" s="290"/>
      <c r="B482" s="1"/>
      <c r="C482" s="1"/>
      <c r="D482" s="1"/>
      <c r="E482" s="1"/>
    </row>
    <row r="483" spans="1:5" ht="15">
      <c r="A483" s="290"/>
      <c r="B483" s="1"/>
      <c r="C483" s="1"/>
      <c r="D483" s="1"/>
      <c r="E483" s="1"/>
    </row>
    <row r="484" spans="1:5" ht="15">
      <c r="A484" s="290"/>
      <c r="B484" s="1"/>
      <c r="C484" s="1"/>
      <c r="D484" s="1"/>
      <c r="E484" s="1"/>
    </row>
    <row r="485" spans="1:5" ht="15">
      <c r="A485" s="290"/>
      <c r="B485" s="1"/>
      <c r="C485" s="1"/>
      <c r="D485" s="1"/>
      <c r="E485" s="1"/>
    </row>
    <row r="486" spans="1:5" ht="15">
      <c r="A486" s="290"/>
      <c r="B486" s="1"/>
      <c r="C486" s="1"/>
      <c r="D486" s="1"/>
      <c r="E486" s="1"/>
    </row>
    <row r="487" spans="1:5" ht="15">
      <c r="A487" s="290"/>
      <c r="B487" s="1"/>
      <c r="C487" s="1"/>
      <c r="D487" s="1"/>
      <c r="E487" s="1"/>
    </row>
    <row r="488" spans="1:5" ht="15">
      <c r="A488" s="290"/>
      <c r="B488" s="1"/>
      <c r="C488" s="1"/>
      <c r="D488" s="1"/>
      <c r="E488" s="1"/>
    </row>
    <row r="489" spans="1:5" ht="15">
      <c r="A489" s="290"/>
      <c r="B489" s="1"/>
      <c r="C489" s="1"/>
      <c r="D489" s="1"/>
      <c r="E489" s="1"/>
    </row>
    <row r="490" spans="1:5" ht="15">
      <c r="A490" s="290"/>
      <c r="B490" s="1"/>
      <c r="C490" s="1"/>
      <c r="D490" s="1"/>
      <c r="E490" s="1"/>
    </row>
    <row r="491" spans="1:5" ht="15">
      <c r="A491" s="290"/>
      <c r="B491" s="1"/>
      <c r="C491" s="1"/>
      <c r="D491" s="1"/>
      <c r="E491" s="1"/>
    </row>
    <row r="492" spans="1:5" ht="15">
      <c r="A492" s="290"/>
      <c r="B492" s="1"/>
      <c r="C492" s="1"/>
      <c r="D492" s="1"/>
      <c r="E492" s="1"/>
    </row>
    <row r="493" spans="1:5" ht="15">
      <c r="A493" s="290"/>
      <c r="B493" s="1"/>
      <c r="C493" s="1"/>
      <c r="D493" s="1"/>
      <c r="E493" s="1"/>
    </row>
    <row r="494" spans="1:5" ht="15">
      <c r="A494" s="290"/>
      <c r="B494" s="1"/>
      <c r="C494" s="1"/>
      <c r="D494" s="1"/>
      <c r="E494" s="1"/>
    </row>
    <row r="495" spans="1:5" ht="15">
      <c r="A495" s="290"/>
      <c r="B495" s="1"/>
      <c r="C495" s="1"/>
      <c r="D495" s="1"/>
      <c r="E495" s="1"/>
    </row>
    <row r="496" spans="1:5" ht="15">
      <c r="A496" s="290"/>
      <c r="B496" s="1"/>
      <c r="C496" s="1"/>
      <c r="D496" s="1"/>
      <c r="E496" s="1"/>
    </row>
    <row r="497" spans="1:5" ht="15">
      <c r="A497" s="290"/>
      <c r="B497" s="1"/>
      <c r="C497" s="1"/>
      <c r="D497" s="1"/>
      <c r="E497" s="1"/>
    </row>
    <row r="498" spans="1:5" ht="15">
      <c r="A498" s="290"/>
      <c r="B498" s="1"/>
      <c r="C498" s="1"/>
      <c r="D498" s="1"/>
      <c r="E498" s="1"/>
    </row>
    <row r="499" spans="1:5" ht="15">
      <c r="A499" s="290"/>
      <c r="B499" s="1"/>
      <c r="C499" s="1"/>
      <c r="D499" s="1"/>
      <c r="E499" s="1"/>
    </row>
    <row r="500" spans="1:5" ht="15">
      <c r="A500" s="290"/>
      <c r="B500" s="1"/>
      <c r="C500" s="1"/>
      <c r="D500" s="1"/>
      <c r="E500" s="1"/>
    </row>
    <row r="501" spans="1:5" ht="15">
      <c r="A501" s="290"/>
      <c r="E501" s="1"/>
    </row>
    <row r="508" spans="1:5">
      <c r="C508" s="1"/>
      <c r="D508" s="1"/>
    </row>
    <row r="509" spans="1:5">
      <c r="E509" s="1"/>
    </row>
  </sheetData>
  <hyperlinks>
    <hyperlink ref="B6" r:id="rId1" xr:uid="{05A5A4B9-0518-4AF0-AC27-3159BAC0D16E}"/>
    <hyperlink ref="B11" r:id="rId2" xr:uid="{83217BB2-7BD0-4D91-AB41-2B11B9DBC2CB}"/>
    <hyperlink ref="B20" r:id="rId3" tooltip="ABS 8109" xr:uid="{35E588A8-20E0-430A-ACAC-C133B5CC58A6}"/>
    <hyperlink ref="B21" r:id="rId4" tooltip="ABS 8111" xr:uid="{C22D3E31-0C81-40F5-B02D-E4A48B720260}"/>
    <hyperlink ref="B22" r:id="rId5" tooltip="ABS 8104" xr:uid="{C270C65F-EB68-4984-A755-67B7C598C8F6}"/>
    <hyperlink ref="B216" r:id="rId6" xr:uid="{6622CC93-7845-44D4-A014-E48DEC869E4B}"/>
    <hyperlink ref="B213" r:id="rId7" xr:uid="{6130E3E9-B303-4D60-8D3F-190CE80F9255}"/>
    <hyperlink ref="B190" r:id="rId8" xr:uid="{3D0799D3-E502-41B2-AAA8-322897611CB0}"/>
    <hyperlink ref="B157" r:id="rId9" xr:uid="{E0740E6A-A5F2-4263-A43E-DA1D2BD5CECA}"/>
    <hyperlink ref="B163" r:id="rId10" xr:uid="{B7EE3FCD-75C3-405C-9C4E-A872BED76121}"/>
    <hyperlink ref="B13" r:id="rId11" xr:uid="{16A70025-1F3B-4510-A157-F4DC7A1364B0}"/>
    <hyperlink ref="B51" r:id="rId12" xr:uid="{E588A18B-EC66-480C-9266-0140E2021845}"/>
    <hyperlink ref="B103" r:id="rId13" xr:uid="{9A69624D-12B4-4FEB-BACC-E2E016124EF6}"/>
    <hyperlink ref="B181" r:id="rId14" xr:uid="{60B45C9E-EB35-4638-8D02-A3676C05D10A}"/>
    <hyperlink ref="B159" r:id="rId15" xr:uid="{ABB2DC30-1E4F-4377-8F5D-2D1EDCB969AF}"/>
    <hyperlink ref="B252" r:id="rId16" xr:uid="{F0542400-7CC3-4562-9EDA-DF4997BF4A79}"/>
    <hyperlink ref="B78" r:id="rId17" xr:uid="{E9CC998A-0A96-4444-A6CF-4A44B0C14CB1}"/>
    <hyperlink ref="B174" r:id="rId18" xr:uid="{8E0AAA63-A509-4A16-BD59-E27BA82AE2B9}"/>
  </hyperlinks>
  <pageMargins left="0.7" right="0.7" top="0.75" bottom="0.75" header="0.3" footer="0.3"/>
  <pageSetup paperSize="9" orientation="portrait" horizontalDpi="300" verticalDpi="300" r:id="rId19"/>
  <headerFooter>
    <oddHeader>&amp;C&amp;"Calibri"&amp;12&amp;KC00000 OFFICIAL&amp;1#_x000D_</oddHeader>
    <oddFooter>&amp;C_x000D_&amp;1#&amp;"Calibri"&amp;12&amp;KC00000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142B7-EA22-4F3D-BFF3-7A70CC570B05}">
  <sheetPr>
    <tabColor rgb="FF005677"/>
  </sheetPr>
  <dimension ref="B1:B15"/>
  <sheetViews>
    <sheetView zoomScale="90" zoomScaleNormal="90" workbookViewId="0"/>
  </sheetViews>
  <sheetFormatPr defaultColWidth="9.140625" defaultRowHeight="12.75"/>
  <cols>
    <col min="1" max="1" width="3.5703125" style="278" customWidth="1"/>
    <col min="2" max="2" width="151.28515625" style="278" customWidth="1"/>
    <col min="3" max="3" width="30.7109375" style="278" customWidth="1"/>
    <col min="4" max="16384" width="9.140625" style="278"/>
  </cols>
  <sheetData>
    <row r="1" spans="2:2" ht="30" customHeight="1">
      <c r="B1" s="486" t="s">
        <v>4</v>
      </c>
    </row>
    <row r="2" spans="2:2" ht="10.5" customHeight="1">
      <c r="B2" s="332"/>
    </row>
    <row r="3" spans="2:2" ht="15">
      <c r="B3" s="333" t="s">
        <v>5</v>
      </c>
    </row>
    <row r="4" spans="2:2" ht="15">
      <c r="B4" s="359" t="s">
        <v>6</v>
      </c>
    </row>
    <row r="5" spans="2:2" ht="15">
      <c r="B5" s="333" t="s">
        <v>7</v>
      </c>
    </row>
    <row r="6" spans="2:2" ht="21" customHeight="1">
      <c r="B6" s="334" t="s">
        <v>8</v>
      </c>
    </row>
    <row r="7" spans="2:2" ht="15">
      <c r="B7" s="333" t="s">
        <v>9</v>
      </c>
    </row>
    <row r="8" spans="2:2" ht="15">
      <c r="B8" s="333" t="s">
        <v>10</v>
      </c>
    </row>
    <row r="9" spans="2:2" ht="23.25" customHeight="1">
      <c r="B9" s="333" t="s">
        <v>11</v>
      </c>
    </row>
    <row r="10" spans="2:2" ht="28.5">
      <c r="B10" s="334" t="s">
        <v>12</v>
      </c>
    </row>
    <row r="11" spans="2:2" ht="25.5">
      <c r="B11" s="335" t="s">
        <v>13</v>
      </c>
    </row>
    <row r="12" spans="2:2">
      <c r="B12" s="335" t="s">
        <v>14</v>
      </c>
    </row>
    <row r="13" spans="2:2" ht="14.25">
      <c r="B13" s="392" t="s">
        <v>15</v>
      </c>
    </row>
    <row r="14" spans="2:2" ht="15">
      <c r="B14" s="336" t="s">
        <v>16</v>
      </c>
    </row>
    <row r="15" spans="2:2" ht="92.25" customHeight="1">
      <c r="B15" s="337" t="s">
        <v>17</v>
      </c>
    </row>
  </sheetData>
  <hyperlinks>
    <hyperlink ref="B11" r:id="rId1" display="Creative Commons Attribution 4.0 International Licence is a standard form licence agreement that allows you to copy, distribute, transmit and adapt this publication provided you attribute the work. A summary of the licence terms is available from https://creativecommons.org/licenses/by/4.0/" xr:uid="{A2C267FE-A68F-483B-B39A-AF43C410525A}"/>
    <hyperlink ref="B12" r:id="rId2" xr:uid="{AE884385-5301-4FF2-8E21-ADB6F7C88E0D}"/>
  </hyperlinks>
  <pageMargins left="0.7" right="0.7" top="0.75" bottom="0.75" header="0.3" footer="0.3"/>
  <pageSetup paperSize="9" orientation="portrait" horizontalDpi="300" verticalDpi="300" r:id="rId3"/>
  <headerFooter>
    <oddHeader>&amp;C&amp;"Calibri"&amp;12&amp;KC00000 OFFICIAL&amp;1#_x000D_</oddHeader>
    <oddFooter>&amp;C_x000D_&amp;1#&amp;"Calibri"&amp;12&amp;KC00000 OFFICIAL</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D7613-898A-43D9-9277-9EDFA177AB74}">
  <sheetPr>
    <tabColor theme="0" tint="-0.499984740745262"/>
  </sheetPr>
  <dimension ref="B1:XEQ76"/>
  <sheetViews>
    <sheetView zoomScale="90" zoomScaleNormal="90" workbookViewId="0"/>
  </sheetViews>
  <sheetFormatPr defaultColWidth="9.140625" defaultRowHeight="12.75"/>
  <cols>
    <col min="1" max="1" width="3.28515625" style="1" customWidth="1"/>
    <col min="2" max="2" width="89.5703125" style="1" customWidth="1"/>
    <col min="3" max="3" width="20.28515625" style="1" customWidth="1"/>
    <col min="4" max="4" width="38.28515625" style="1" customWidth="1"/>
    <col min="5" max="5" width="124.28515625" style="1" customWidth="1"/>
    <col min="6" max="6" width="81.42578125" style="1" bestFit="1" customWidth="1"/>
    <col min="7" max="16384" width="9.140625" style="1"/>
  </cols>
  <sheetData>
    <row r="1" spans="2:16371" s="197" customFormat="1" ht="30" customHeight="1">
      <c r="B1" s="1004" t="s">
        <v>18</v>
      </c>
      <c r="C1" s="1004"/>
      <c r="D1" s="1004"/>
      <c r="E1" s="1004"/>
      <c r="F1" s="198"/>
      <c r="G1" s="198"/>
      <c r="H1" s="198"/>
      <c r="I1" s="198"/>
      <c r="J1" s="198"/>
      <c r="K1" s="198"/>
      <c r="L1" s="198"/>
      <c r="M1" s="198"/>
      <c r="N1" s="198"/>
      <c r="O1" s="198"/>
      <c r="P1" s="198"/>
      <c r="Q1" s="198"/>
      <c r="R1" s="198"/>
      <c r="S1" s="198"/>
      <c r="T1" s="198"/>
      <c r="U1" s="198"/>
      <c r="V1" s="199"/>
      <c r="W1" s="199"/>
      <c r="X1" s="200"/>
      <c r="Y1" s="200"/>
      <c r="Z1" s="200"/>
      <c r="AA1" s="200"/>
      <c r="AB1" s="200"/>
      <c r="AC1" s="200"/>
      <c r="AD1" s="200"/>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9"/>
      <c r="BE1" s="199"/>
      <c r="BF1" s="200"/>
      <c r="BG1" s="200"/>
      <c r="BH1" s="200"/>
      <c r="BI1" s="200"/>
      <c r="BJ1" s="200"/>
      <c r="BK1" s="200"/>
      <c r="BL1" s="200"/>
      <c r="BM1" s="198"/>
      <c r="BN1" s="198"/>
      <c r="BO1" s="198"/>
      <c r="BP1" s="198"/>
      <c r="BQ1" s="198"/>
      <c r="BR1" s="198"/>
      <c r="BS1" s="198"/>
      <c r="BT1" s="198"/>
      <c r="BU1" s="198"/>
      <c r="BV1" s="198"/>
      <c r="BW1" s="198"/>
      <c r="BX1" s="198"/>
      <c r="BY1" s="198"/>
      <c r="BZ1" s="198"/>
      <c r="CA1" s="198"/>
      <c r="CB1" s="198"/>
      <c r="CC1" s="198"/>
      <c r="CD1" s="198"/>
      <c r="CE1" s="198"/>
      <c r="CF1" s="198"/>
      <c r="CG1" s="198"/>
      <c r="CH1" s="198"/>
      <c r="CI1" s="198"/>
      <c r="CJ1" s="198"/>
      <c r="CK1" s="198"/>
      <c r="CL1" s="199"/>
      <c r="CM1" s="199"/>
      <c r="CN1" s="200"/>
      <c r="CO1" s="200"/>
      <c r="CP1" s="200"/>
      <c r="CQ1" s="200"/>
      <c r="CR1" s="200"/>
      <c r="CS1" s="200"/>
      <c r="CT1" s="200"/>
      <c r="CU1" s="198"/>
      <c r="CV1" s="198"/>
      <c r="CW1" s="198"/>
      <c r="CX1" s="198"/>
      <c r="CY1" s="198"/>
      <c r="CZ1" s="198"/>
      <c r="DA1" s="198"/>
      <c r="DB1" s="198"/>
      <c r="DC1" s="198"/>
      <c r="DD1" s="198"/>
      <c r="DE1" s="198"/>
      <c r="DF1" s="198"/>
      <c r="DG1" s="198"/>
      <c r="DH1" s="198"/>
      <c r="DI1" s="198"/>
      <c r="DJ1" s="198"/>
      <c r="DK1" s="198"/>
      <c r="DL1" s="198"/>
      <c r="DM1" s="198"/>
      <c r="DN1" s="198"/>
      <c r="DO1" s="198"/>
      <c r="DP1" s="198"/>
      <c r="DQ1" s="198"/>
      <c r="DR1" s="198"/>
      <c r="DS1" s="198"/>
      <c r="DT1" s="199"/>
      <c r="DU1" s="199"/>
      <c r="DV1" s="200"/>
      <c r="DW1" s="200"/>
      <c r="DX1" s="200"/>
      <c r="DY1" s="200"/>
      <c r="DZ1" s="200"/>
      <c r="EA1" s="200"/>
      <c r="EB1" s="200"/>
      <c r="EC1" s="198"/>
      <c r="ED1" s="198"/>
      <c r="EE1" s="198"/>
      <c r="EF1" s="198"/>
      <c r="EG1" s="198"/>
      <c r="EH1" s="198"/>
      <c r="EI1" s="198"/>
      <c r="EJ1" s="198"/>
      <c r="EK1" s="198"/>
      <c r="EL1" s="198"/>
      <c r="EM1" s="198"/>
      <c r="EN1" s="198"/>
      <c r="EO1" s="198"/>
      <c r="EP1" s="198"/>
      <c r="EQ1" s="198"/>
      <c r="ER1" s="198"/>
      <c r="ES1" s="198"/>
      <c r="ET1" s="198"/>
      <c r="EU1" s="198"/>
      <c r="EV1" s="198"/>
      <c r="EW1" s="198"/>
      <c r="EX1" s="198"/>
      <c r="EY1" s="198"/>
      <c r="EZ1" s="198"/>
      <c r="FA1" s="198"/>
      <c r="FB1" s="199"/>
      <c r="FC1" s="199"/>
      <c r="FD1" s="200"/>
      <c r="FE1" s="200"/>
      <c r="FF1" s="200"/>
      <c r="FG1" s="200"/>
      <c r="FH1" s="200"/>
      <c r="FI1" s="200"/>
      <c r="FJ1" s="200"/>
      <c r="FK1" s="198"/>
      <c r="FL1" s="198"/>
      <c r="FM1" s="198"/>
      <c r="FN1" s="198"/>
      <c r="FO1" s="198"/>
      <c r="FP1" s="198"/>
      <c r="FQ1" s="198"/>
      <c r="FR1" s="198"/>
      <c r="FS1" s="198"/>
      <c r="FT1" s="198"/>
      <c r="FU1" s="198"/>
      <c r="FV1" s="198"/>
      <c r="FW1" s="198"/>
      <c r="FX1" s="198"/>
      <c r="FY1" s="198"/>
      <c r="FZ1" s="198"/>
      <c r="GA1" s="198"/>
      <c r="GB1" s="198"/>
      <c r="GC1" s="198"/>
      <c r="GD1" s="198"/>
      <c r="GE1" s="198"/>
      <c r="GF1" s="198"/>
      <c r="GG1" s="198"/>
      <c r="GH1" s="198"/>
      <c r="GI1" s="198"/>
      <c r="GJ1" s="199"/>
      <c r="GK1" s="199"/>
      <c r="GL1" s="200"/>
      <c r="GM1" s="200"/>
      <c r="GN1" s="200"/>
      <c r="GO1" s="200"/>
      <c r="GP1" s="200"/>
      <c r="GQ1" s="200"/>
      <c r="GR1" s="200"/>
      <c r="GS1" s="198"/>
      <c r="GT1" s="198"/>
      <c r="GU1" s="198"/>
      <c r="GV1" s="198"/>
      <c r="GW1" s="198"/>
      <c r="GX1" s="198"/>
      <c r="GY1" s="198"/>
      <c r="GZ1" s="198"/>
      <c r="HA1" s="198"/>
      <c r="HB1" s="198"/>
      <c r="HC1" s="198"/>
      <c r="HD1" s="198"/>
      <c r="HE1" s="198"/>
      <c r="HF1" s="198"/>
      <c r="HG1" s="198"/>
      <c r="HH1" s="198"/>
      <c r="HI1" s="198"/>
      <c r="HJ1" s="198"/>
      <c r="HK1" s="198"/>
      <c r="HL1" s="198"/>
      <c r="HM1" s="198"/>
      <c r="HN1" s="198"/>
      <c r="HO1" s="198"/>
      <c r="HP1" s="198"/>
      <c r="HQ1" s="198"/>
      <c r="HR1" s="199"/>
      <c r="HS1" s="199"/>
      <c r="HT1" s="200"/>
      <c r="HU1" s="200"/>
      <c r="HV1" s="200"/>
      <c r="HW1" s="200"/>
      <c r="HX1" s="200"/>
      <c r="HY1" s="200"/>
      <c r="HZ1" s="200"/>
      <c r="IA1" s="198"/>
      <c r="IB1" s="198"/>
      <c r="IC1" s="198"/>
      <c r="ID1" s="198"/>
      <c r="IE1" s="198"/>
      <c r="IF1" s="198"/>
      <c r="IG1" s="198"/>
      <c r="IH1" s="198"/>
      <c r="II1" s="198"/>
      <c r="IJ1" s="198"/>
      <c r="IK1" s="198"/>
      <c r="IL1" s="198"/>
      <c r="IM1" s="198"/>
      <c r="IN1" s="198"/>
      <c r="IO1" s="198"/>
      <c r="IP1" s="198"/>
      <c r="IQ1" s="198"/>
      <c r="IR1" s="198"/>
      <c r="IS1" s="198"/>
      <c r="IT1" s="198"/>
      <c r="IU1" s="198"/>
      <c r="IV1" s="198"/>
      <c r="IW1" s="198"/>
      <c r="IX1" s="198"/>
      <c r="IY1" s="198"/>
      <c r="IZ1" s="199"/>
      <c r="JA1" s="199"/>
      <c r="JB1" s="200"/>
      <c r="JC1" s="200"/>
      <c r="JD1" s="200"/>
      <c r="JE1" s="200"/>
      <c r="JF1" s="200"/>
      <c r="JG1" s="200"/>
      <c r="JH1" s="200"/>
      <c r="JI1" s="198"/>
      <c r="JJ1" s="198"/>
      <c r="JK1" s="198"/>
      <c r="JL1" s="198"/>
      <c r="JM1" s="198"/>
      <c r="JN1" s="198"/>
      <c r="JO1" s="198"/>
      <c r="JP1" s="198"/>
      <c r="JQ1" s="198"/>
      <c r="JR1" s="198"/>
      <c r="JS1" s="198"/>
      <c r="JT1" s="198"/>
      <c r="JU1" s="198"/>
      <c r="JV1" s="198"/>
      <c r="JW1" s="198"/>
      <c r="JX1" s="198"/>
      <c r="JY1" s="198"/>
      <c r="JZ1" s="198"/>
      <c r="KA1" s="198"/>
      <c r="KB1" s="198"/>
      <c r="KC1" s="198"/>
      <c r="KD1" s="198"/>
      <c r="KE1" s="198"/>
      <c r="KF1" s="198"/>
      <c r="KG1" s="198"/>
      <c r="KH1" s="199"/>
      <c r="KI1" s="199"/>
      <c r="KJ1" s="200"/>
      <c r="KK1" s="200"/>
      <c r="KL1" s="200"/>
      <c r="KM1" s="200"/>
      <c r="KN1" s="200"/>
      <c r="KO1" s="200"/>
      <c r="KP1" s="200"/>
      <c r="KQ1" s="198"/>
      <c r="KR1" s="198"/>
      <c r="KS1" s="198"/>
      <c r="KT1" s="198"/>
      <c r="KU1" s="198"/>
      <c r="KV1" s="198"/>
      <c r="KW1" s="198"/>
      <c r="KX1" s="198"/>
      <c r="KY1" s="198"/>
      <c r="KZ1" s="198"/>
      <c r="LA1" s="198"/>
      <c r="LB1" s="198"/>
      <c r="LC1" s="198"/>
      <c r="LD1" s="198"/>
      <c r="LE1" s="198"/>
      <c r="LF1" s="198"/>
      <c r="LG1" s="198"/>
      <c r="LH1" s="198"/>
      <c r="LI1" s="198"/>
      <c r="LJ1" s="198"/>
      <c r="LK1" s="198"/>
      <c r="LL1" s="198"/>
      <c r="LM1" s="198"/>
      <c r="LN1" s="198"/>
      <c r="LO1" s="198"/>
      <c r="LP1" s="199"/>
      <c r="LQ1" s="199"/>
      <c r="LR1" s="200"/>
      <c r="LS1" s="200"/>
      <c r="LT1" s="200"/>
      <c r="LU1" s="200"/>
      <c r="LV1" s="200"/>
      <c r="LW1" s="200"/>
      <c r="LX1" s="200"/>
      <c r="LY1" s="198"/>
      <c r="LZ1" s="198"/>
      <c r="MA1" s="198"/>
      <c r="MB1" s="198"/>
      <c r="MC1" s="198"/>
      <c r="MD1" s="198"/>
      <c r="ME1" s="198"/>
      <c r="MF1" s="198"/>
      <c r="MG1" s="198"/>
      <c r="MH1" s="198"/>
      <c r="MI1" s="198"/>
      <c r="MJ1" s="198"/>
      <c r="MK1" s="198"/>
      <c r="ML1" s="198"/>
      <c r="MM1" s="198"/>
      <c r="MN1" s="198"/>
      <c r="MO1" s="198"/>
      <c r="MP1" s="198"/>
      <c r="MQ1" s="198"/>
      <c r="MR1" s="198"/>
      <c r="MS1" s="198"/>
      <c r="MT1" s="198"/>
      <c r="MU1" s="198"/>
      <c r="MV1" s="198"/>
      <c r="MW1" s="198"/>
      <c r="MX1" s="199"/>
      <c r="MY1" s="199"/>
      <c r="MZ1" s="200"/>
      <c r="NA1" s="200"/>
      <c r="NB1" s="200"/>
      <c r="NC1" s="200"/>
      <c r="ND1" s="200"/>
      <c r="NE1" s="200"/>
      <c r="NF1" s="200"/>
      <c r="NG1" s="198"/>
      <c r="NH1" s="198"/>
      <c r="NI1" s="198"/>
      <c r="NJ1" s="198"/>
      <c r="NK1" s="198"/>
      <c r="NL1" s="198"/>
      <c r="NM1" s="198"/>
      <c r="NN1" s="198"/>
      <c r="NO1" s="198"/>
      <c r="NP1" s="198"/>
      <c r="NQ1" s="198"/>
      <c r="NR1" s="198"/>
      <c r="NS1" s="198"/>
      <c r="NT1" s="198"/>
      <c r="NU1" s="198"/>
      <c r="NV1" s="198"/>
      <c r="NW1" s="198"/>
      <c r="NX1" s="198"/>
      <c r="NY1" s="198"/>
      <c r="NZ1" s="198"/>
      <c r="OA1" s="198"/>
      <c r="OB1" s="198"/>
      <c r="OC1" s="198"/>
      <c r="OD1" s="198"/>
      <c r="OE1" s="198"/>
      <c r="OF1" s="199"/>
      <c r="OG1" s="199"/>
      <c r="OH1" s="200"/>
      <c r="OI1" s="200"/>
      <c r="OJ1" s="200"/>
      <c r="OK1" s="200"/>
      <c r="OL1" s="200"/>
      <c r="OM1" s="200"/>
      <c r="ON1" s="200"/>
      <c r="OO1" s="198"/>
      <c r="OP1" s="198"/>
      <c r="OQ1" s="198"/>
      <c r="OR1" s="198"/>
      <c r="OS1" s="198"/>
      <c r="OT1" s="198"/>
      <c r="OU1" s="198"/>
      <c r="OV1" s="198"/>
      <c r="OW1" s="198"/>
      <c r="OX1" s="198"/>
      <c r="OY1" s="198"/>
      <c r="OZ1" s="198"/>
      <c r="PA1" s="198"/>
      <c r="PB1" s="198"/>
      <c r="PC1" s="198"/>
      <c r="PD1" s="198"/>
      <c r="PE1" s="198"/>
      <c r="PF1" s="198"/>
      <c r="PG1" s="198"/>
      <c r="PH1" s="198"/>
      <c r="PI1" s="198"/>
      <c r="PJ1" s="198"/>
      <c r="PK1" s="198"/>
      <c r="PL1" s="198"/>
      <c r="PM1" s="198"/>
      <c r="PN1" s="199"/>
      <c r="PO1" s="199"/>
      <c r="PP1" s="200"/>
      <c r="PQ1" s="200"/>
      <c r="PR1" s="200"/>
      <c r="PS1" s="200"/>
      <c r="PT1" s="200"/>
      <c r="PU1" s="200"/>
      <c r="PV1" s="200"/>
      <c r="PW1" s="198"/>
      <c r="PX1" s="198"/>
      <c r="PY1" s="198"/>
      <c r="PZ1" s="198"/>
      <c r="QA1" s="198"/>
      <c r="QB1" s="198"/>
      <c r="QC1" s="198"/>
      <c r="QD1" s="198"/>
      <c r="QE1" s="198"/>
      <c r="QF1" s="198"/>
      <c r="QG1" s="198"/>
      <c r="QH1" s="198"/>
      <c r="QI1" s="198"/>
      <c r="QJ1" s="198"/>
      <c r="QK1" s="198"/>
      <c r="QL1" s="198"/>
      <c r="QM1" s="198"/>
      <c r="QN1" s="198"/>
      <c r="QO1" s="198"/>
      <c r="QP1" s="198"/>
      <c r="QQ1" s="198"/>
      <c r="QR1" s="198"/>
      <c r="QS1" s="198"/>
      <c r="QT1" s="198"/>
      <c r="QU1" s="198"/>
      <c r="QV1" s="199"/>
      <c r="QW1" s="199"/>
      <c r="QX1" s="200"/>
      <c r="QY1" s="200"/>
      <c r="QZ1" s="200"/>
      <c r="RA1" s="200"/>
      <c r="RB1" s="200"/>
      <c r="RC1" s="200"/>
      <c r="RD1" s="200"/>
      <c r="RE1" s="198"/>
      <c r="RF1" s="198"/>
      <c r="RG1" s="198"/>
      <c r="RH1" s="198"/>
      <c r="RI1" s="198"/>
      <c r="RJ1" s="198"/>
      <c r="RK1" s="198"/>
      <c r="RL1" s="198"/>
      <c r="RM1" s="198"/>
      <c r="RN1" s="198"/>
      <c r="RO1" s="198"/>
      <c r="RP1" s="198"/>
      <c r="RQ1" s="198"/>
      <c r="RR1" s="198"/>
      <c r="RS1" s="198"/>
      <c r="RT1" s="198"/>
      <c r="RU1" s="198"/>
      <c r="RV1" s="198"/>
      <c r="RW1" s="198"/>
      <c r="RX1" s="198"/>
      <c r="RY1" s="198"/>
      <c r="RZ1" s="198"/>
      <c r="SA1" s="198"/>
      <c r="SB1" s="198"/>
      <c r="SC1" s="198"/>
      <c r="SD1" s="199"/>
      <c r="SE1" s="199"/>
      <c r="SF1" s="200"/>
      <c r="SG1" s="200"/>
      <c r="SH1" s="200"/>
      <c r="SI1" s="200"/>
      <c r="SJ1" s="200"/>
      <c r="SK1" s="200"/>
      <c r="SL1" s="200"/>
      <c r="SM1" s="198"/>
      <c r="SN1" s="198"/>
      <c r="SO1" s="198"/>
      <c r="SP1" s="198"/>
      <c r="SQ1" s="198"/>
      <c r="SR1" s="198"/>
      <c r="SS1" s="198"/>
      <c r="ST1" s="198"/>
      <c r="SU1" s="198"/>
      <c r="SV1" s="198"/>
      <c r="SW1" s="198"/>
      <c r="SX1" s="198"/>
      <c r="SY1" s="198"/>
      <c r="SZ1" s="198"/>
      <c r="TA1" s="198"/>
      <c r="TB1" s="198"/>
      <c r="TC1" s="198"/>
      <c r="TD1" s="198"/>
      <c r="TE1" s="198"/>
      <c r="TF1" s="198"/>
      <c r="TG1" s="198"/>
      <c r="TH1" s="198"/>
      <c r="TI1" s="198"/>
      <c r="TJ1" s="198"/>
      <c r="TK1" s="198"/>
      <c r="TL1" s="199"/>
      <c r="TM1" s="199"/>
      <c r="TN1" s="200"/>
      <c r="TO1" s="200"/>
      <c r="TP1" s="200"/>
      <c r="TQ1" s="200"/>
      <c r="TR1" s="200"/>
      <c r="TS1" s="200"/>
      <c r="TT1" s="200"/>
      <c r="TU1" s="198"/>
      <c r="TV1" s="198"/>
      <c r="TW1" s="198"/>
      <c r="TX1" s="198"/>
      <c r="TY1" s="198"/>
      <c r="TZ1" s="198"/>
      <c r="UA1" s="198"/>
      <c r="UB1" s="198"/>
      <c r="UC1" s="198"/>
      <c r="UD1" s="198"/>
      <c r="UE1" s="198"/>
      <c r="UF1" s="198"/>
      <c r="UG1" s="198"/>
      <c r="UH1" s="198"/>
      <c r="UI1" s="198"/>
      <c r="UJ1" s="198"/>
      <c r="UK1" s="198"/>
      <c r="UL1" s="198"/>
      <c r="UM1" s="198"/>
      <c r="UN1" s="198"/>
      <c r="UO1" s="198"/>
      <c r="UP1" s="198"/>
      <c r="UQ1" s="198"/>
      <c r="UR1" s="198"/>
      <c r="US1" s="198"/>
      <c r="UT1" s="199"/>
      <c r="UU1" s="199"/>
      <c r="UV1" s="200"/>
      <c r="UW1" s="200"/>
      <c r="UX1" s="200"/>
      <c r="UY1" s="200"/>
      <c r="UZ1" s="200"/>
      <c r="VA1" s="200"/>
      <c r="VB1" s="200"/>
      <c r="VC1" s="198"/>
      <c r="VD1" s="198"/>
      <c r="VE1" s="198"/>
      <c r="VF1" s="198"/>
      <c r="VG1" s="198"/>
      <c r="VH1" s="198"/>
      <c r="VI1" s="198"/>
      <c r="VJ1" s="198"/>
      <c r="VK1" s="198"/>
      <c r="VL1" s="198"/>
      <c r="VM1" s="198"/>
      <c r="VN1" s="198"/>
      <c r="VO1" s="198"/>
      <c r="VP1" s="198"/>
      <c r="VQ1" s="198"/>
      <c r="VR1" s="198"/>
      <c r="VS1" s="198"/>
      <c r="VT1" s="198"/>
      <c r="VU1" s="198"/>
      <c r="VV1" s="198"/>
      <c r="VW1" s="198"/>
      <c r="VX1" s="198"/>
      <c r="VY1" s="198"/>
      <c r="VZ1" s="198"/>
      <c r="WA1" s="198"/>
      <c r="WB1" s="199"/>
      <c r="WC1" s="199"/>
      <c r="WD1" s="200"/>
      <c r="WE1" s="200"/>
      <c r="WF1" s="200"/>
      <c r="WG1" s="200"/>
      <c r="WH1" s="200"/>
      <c r="WI1" s="200"/>
      <c r="WJ1" s="200"/>
      <c r="WK1" s="198"/>
      <c r="WL1" s="198"/>
      <c r="WM1" s="198"/>
      <c r="WN1" s="198"/>
      <c r="WO1" s="198"/>
      <c r="WP1" s="198"/>
      <c r="WQ1" s="198"/>
      <c r="WR1" s="198"/>
      <c r="WS1" s="198"/>
      <c r="WT1" s="198"/>
      <c r="WU1" s="198"/>
      <c r="WV1" s="198"/>
      <c r="WW1" s="198"/>
      <c r="WX1" s="198"/>
      <c r="WY1" s="198"/>
      <c r="WZ1" s="198"/>
      <c r="XA1" s="198"/>
      <c r="XB1" s="198"/>
      <c r="XC1" s="198"/>
      <c r="XD1" s="198"/>
      <c r="XE1" s="198"/>
      <c r="XF1" s="198"/>
      <c r="XG1" s="198"/>
      <c r="XH1" s="198"/>
      <c r="XI1" s="198"/>
      <c r="XJ1" s="199"/>
      <c r="XK1" s="199"/>
      <c r="XL1" s="200"/>
      <c r="XM1" s="200"/>
      <c r="XN1" s="200"/>
      <c r="XO1" s="200"/>
      <c r="XP1" s="200"/>
      <c r="XQ1" s="200"/>
      <c r="XR1" s="200"/>
      <c r="XS1" s="198"/>
      <c r="XT1" s="198"/>
      <c r="XU1" s="198"/>
      <c r="XV1" s="198"/>
      <c r="XW1" s="198"/>
      <c r="XX1" s="198"/>
      <c r="XY1" s="198"/>
      <c r="XZ1" s="198"/>
      <c r="YA1" s="198"/>
      <c r="YB1" s="198"/>
      <c r="YC1" s="198"/>
      <c r="YD1" s="198"/>
      <c r="YE1" s="198"/>
      <c r="YF1" s="198"/>
      <c r="YG1" s="198"/>
      <c r="YH1" s="198"/>
      <c r="YI1" s="198"/>
      <c r="YJ1" s="198"/>
      <c r="YK1" s="198"/>
      <c r="YL1" s="198"/>
      <c r="YM1" s="198"/>
      <c r="YN1" s="198"/>
      <c r="YO1" s="198"/>
      <c r="YP1" s="198"/>
      <c r="YQ1" s="198"/>
      <c r="YR1" s="199"/>
      <c r="YS1" s="199"/>
      <c r="YT1" s="200"/>
      <c r="YU1" s="200"/>
      <c r="YV1" s="200"/>
      <c r="YW1" s="200"/>
      <c r="YX1" s="200"/>
      <c r="YY1" s="200"/>
      <c r="YZ1" s="200"/>
      <c r="ZA1" s="198"/>
      <c r="ZB1" s="198"/>
      <c r="ZC1" s="198"/>
      <c r="ZD1" s="198"/>
      <c r="ZE1" s="198"/>
      <c r="ZF1" s="198"/>
      <c r="ZG1" s="198"/>
      <c r="ZH1" s="198"/>
      <c r="ZI1" s="198"/>
      <c r="ZJ1" s="198"/>
      <c r="ZK1" s="198"/>
      <c r="ZL1" s="198"/>
      <c r="ZM1" s="198"/>
      <c r="ZN1" s="198"/>
      <c r="ZO1" s="198"/>
      <c r="ZP1" s="198"/>
      <c r="ZQ1" s="198"/>
      <c r="ZR1" s="198"/>
      <c r="ZS1" s="198"/>
      <c r="ZT1" s="198"/>
      <c r="ZU1" s="198"/>
      <c r="ZV1" s="198"/>
      <c r="ZW1" s="198"/>
      <c r="ZX1" s="198"/>
      <c r="ZY1" s="198"/>
      <c r="ZZ1" s="199"/>
      <c r="AAA1" s="199"/>
      <c r="AAB1" s="200"/>
      <c r="AAC1" s="200"/>
      <c r="AAD1" s="200"/>
      <c r="AAE1" s="200"/>
      <c r="AAF1" s="200"/>
      <c r="AAG1" s="200"/>
      <c r="AAH1" s="200"/>
      <c r="AAI1" s="198"/>
      <c r="AAJ1" s="198"/>
      <c r="AAK1" s="198"/>
      <c r="AAL1" s="198"/>
      <c r="AAM1" s="198"/>
      <c r="AAN1" s="198"/>
      <c r="AAO1" s="198"/>
      <c r="AAP1" s="198"/>
      <c r="AAQ1" s="198"/>
      <c r="AAR1" s="198"/>
      <c r="AAS1" s="198"/>
      <c r="AAT1" s="198"/>
      <c r="AAU1" s="198"/>
      <c r="AAV1" s="198"/>
      <c r="AAW1" s="198"/>
      <c r="AAX1" s="198"/>
      <c r="AAY1" s="198"/>
      <c r="AAZ1" s="198"/>
      <c r="ABA1" s="198"/>
      <c r="ABB1" s="198"/>
      <c r="ABC1" s="198"/>
      <c r="ABD1" s="198"/>
      <c r="ABE1" s="198"/>
      <c r="ABF1" s="198"/>
      <c r="ABG1" s="198"/>
      <c r="ABH1" s="199"/>
      <c r="ABI1" s="199"/>
      <c r="ABJ1" s="200"/>
      <c r="ABK1" s="200"/>
      <c r="ABL1" s="200"/>
      <c r="ABM1" s="200"/>
      <c r="ABN1" s="200"/>
      <c r="ABO1" s="200"/>
      <c r="ABP1" s="200"/>
      <c r="ABQ1" s="198"/>
      <c r="ABR1" s="198"/>
      <c r="ABS1" s="198"/>
      <c r="ABT1" s="198"/>
      <c r="ABU1" s="198"/>
      <c r="ABV1" s="198"/>
      <c r="ABW1" s="198"/>
      <c r="ABX1" s="198"/>
      <c r="ABY1" s="198"/>
      <c r="ABZ1" s="198"/>
      <c r="ACA1" s="198"/>
      <c r="ACB1" s="198"/>
      <c r="ACC1" s="198"/>
      <c r="ACD1" s="198"/>
      <c r="ACE1" s="198"/>
      <c r="ACF1" s="198"/>
      <c r="ACG1" s="198"/>
      <c r="ACH1" s="198"/>
      <c r="ACI1" s="198"/>
      <c r="ACJ1" s="198"/>
      <c r="ACK1" s="198"/>
      <c r="ACL1" s="198"/>
      <c r="ACM1" s="198"/>
      <c r="ACN1" s="198"/>
      <c r="ACO1" s="198"/>
      <c r="ACP1" s="199"/>
      <c r="ACQ1" s="199"/>
      <c r="ACR1" s="200"/>
      <c r="ACS1" s="200"/>
      <c r="ACT1" s="200"/>
      <c r="ACU1" s="200"/>
      <c r="ACV1" s="200"/>
      <c r="ACW1" s="200"/>
      <c r="ACX1" s="200"/>
      <c r="ACY1" s="198"/>
      <c r="ACZ1" s="198"/>
      <c r="ADA1" s="198"/>
      <c r="ADB1" s="198"/>
      <c r="ADC1" s="198"/>
      <c r="ADD1" s="198"/>
      <c r="ADE1" s="198"/>
      <c r="ADF1" s="198"/>
      <c r="ADG1" s="198"/>
      <c r="ADH1" s="198"/>
      <c r="ADI1" s="198"/>
      <c r="ADJ1" s="198"/>
      <c r="ADK1" s="198"/>
      <c r="ADL1" s="198"/>
      <c r="ADM1" s="198"/>
      <c r="ADN1" s="198"/>
      <c r="ADO1" s="198"/>
      <c r="ADP1" s="198"/>
      <c r="ADQ1" s="198"/>
      <c r="ADR1" s="198"/>
      <c r="ADS1" s="198"/>
      <c r="ADT1" s="198"/>
      <c r="ADU1" s="198"/>
      <c r="ADV1" s="198"/>
      <c r="ADW1" s="198"/>
      <c r="ADX1" s="199"/>
      <c r="ADY1" s="199"/>
      <c r="ADZ1" s="200"/>
      <c r="AEA1" s="200"/>
      <c r="AEB1" s="200"/>
      <c r="AEC1" s="200"/>
      <c r="AED1" s="200"/>
      <c r="AEE1" s="200"/>
      <c r="AEF1" s="200"/>
      <c r="AEG1" s="198"/>
      <c r="AEH1" s="198"/>
      <c r="AEI1" s="198"/>
      <c r="AEJ1" s="198"/>
      <c r="AEK1" s="198"/>
      <c r="AEL1" s="198"/>
      <c r="AEM1" s="198"/>
      <c r="AEN1" s="198"/>
      <c r="AEO1" s="198"/>
      <c r="AEP1" s="198"/>
      <c r="AEQ1" s="198"/>
      <c r="AER1" s="198"/>
      <c r="AES1" s="198"/>
      <c r="AET1" s="198"/>
      <c r="AEU1" s="198"/>
      <c r="AEV1" s="198"/>
      <c r="AEW1" s="198"/>
      <c r="AEX1" s="198"/>
      <c r="AEY1" s="198"/>
      <c r="AEZ1" s="198"/>
      <c r="AFA1" s="198"/>
      <c r="AFB1" s="198"/>
      <c r="AFC1" s="198"/>
      <c r="AFD1" s="198"/>
      <c r="AFE1" s="198"/>
      <c r="AFF1" s="199"/>
      <c r="AFG1" s="199"/>
      <c r="AFH1" s="200"/>
      <c r="AFI1" s="200"/>
      <c r="AFJ1" s="200"/>
      <c r="AFK1" s="200"/>
      <c r="AFL1" s="200"/>
      <c r="AFM1" s="200"/>
      <c r="AFN1" s="200"/>
      <c r="AFO1" s="198"/>
      <c r="AFP1" s="198"/>
      <c r="AFQ1" s="198"/>
      <c r="AFR1" s="198"/>
      <c r="AFS1" s="198"/>
      <c r="AFT1" s="198"/>
      <c r="AFU1" s="198"/>
      <c r="AFV1" s="198"/>
      <c r="AFW1" s="198"/>
      <c r="AFX1" s="198"/>
      <c r="AFY1" s="198"/>
      <c r="AFZ1" s="198"/>
      <c r="AGA1" s="198"/>
      <c r="AGB1" s="198"/>
      <c r="AGC1" s="198"/>
      <c r="AGD1" s="198"/>
      <c r="AGE1" s="198"/>
      <c r="AGF1" s="198"/>
      <c r="AGG1" s="198"/>
      <c r="AGH1" s="198"/>
      <c r="AGI1" s="198"/>
      <c r="AGJ1" s="198"/>
      <c r="AGK1" s="198"/>
      <c r="AGL1" s="198"/>
      <c r="AGM1" s="198"/>
      <c r="AGN1" s="199"/>
      <c r="AGO1" s="199"/>
      <c r="AGP1" s="200"/>
      <c r="AGQ1" s="200"/>
      <c r="AGR1" s="200"/>
      <c r="AGS1" s="200"/>
      <c r="AGT1" s="200"/>
      <c r="AGU1" s="200"/>
      <c r="AGV1" s="200"/>
      <c r="AGW1" s="198"/>
      <c r="AGX1" s="198"/>
      <c r="AGY1" s="198"/>
      <c r="AGZ1" s="198"/>
      <c r="AHA1" s="198"/>
      <c r="AHB1" s="198"/>
      <c r="AHC1" s="198"/>
      <c r="AHD1" s="198"/>
      <c r="AHE1" s="198"/>
      <c r="AHF1" s="198"/>
      <c r="AHG1" s="198"/>
      <c r="AHH1" s="198"/>
      <c r="AHI1" s="198"/>
      <c r="AHJ1" s="198"/>
      <c r="AHK1" s="198"/>
      <c r="AHL1" s="198"/>
      <c r="AHM1" s="198"/>
      <c r="AHN1" s="198"/>
      <c r="AHO1" s="198"/>
      <c r="AHP1" s="198"/>
      <c r="AHQ1" s="198"/>
      <c r="AHR1" s="198"/>
      <c r="AHS1" s="198"/>
      <c r="AHT1" s="198"/>
      <c r="AHU1" s="198"/>
      <c r="AHV1" s="199"/>
      <c r="AHW1" s="199"/>
      <c r="AHX1" s="200"/>
      <c r="AHY1" s="200"/>
      <c r="AHZ1" s="200"/>
      <c r="AIA1" s="200"/>
      <c r="AIB1" s="200"/>
      <c r="AIC1" s="200"/>
      <c r="AID1" s="200"/>
      <c r="AIE1" s="198"/>
      <c r="AIF1" s="198"/>
      <c r="AIG1" s="198"/>
      <c r="AIH1" s="198"/>
      <c r="AII1" s="198"/>
      <c r="AIJ1" s="198"/>
      <c r="AIK1" s="198"/>
      <c r="AIL1" s="198"/>
      <c r="AIM1" s="198"/>
      <c r="AIN1" s="198"/>
      <c r="AIO1" s="198"/>
      <c r="AIP1" s="198"/>
      <c r="AIQ1" s="198"/>
      <c r="AIR1" s="198"/>
      <c r="AIS1" s="198"/>
      <c r="AIT1" s="198"/>
      <c r="AIU1" s="198"/>
      <c r="AIV1" s="198"/>
      <c r="AIW1" s="198"/>
      <c r="AIX1" s="198"/>
      <c r="AIY1" s="198"/>
      <c r="AIZ1" s="198"/>
      <c r="AJA1" s="198"/>
      <c r="AJB1" s="198"/>
      <c r="AJC1" s="198"/>
      <c r="AJD1" s="199"/>
      <c r="AJE1" s="199"/>
      <c r="AJF1" s="200"/>
      <c r="AJG1" s="200"/>
      <c r="AJH1" s="200"/>
      <c r="AJI1" s="200"/>
      <c r="AJJ1" s="200"/>
      <c r="AJK1" s="200"/>
      <c r="AJL1" s="200"/>
      <c r="AJM1" s="198"/>
      <c r="AJN1" s="198"/>
      <c r="AJO1" s="198"/>
      <c r="AJP1" s="198"/>
      <c r="AJQ1" s="198"/>
      <c r="AJR1" s="198"/>
      <c r="AJS1" s="198"/>
      <c r="AJT1" s="198"/>
      <c r="AJU1" s="198"/>
      <c r="AJV1" s="198"/>
      <c r="AJW1" s="198"/>
      <c r="AJX1" s="198"/>
      <c r="AJY1" s="198"/>
      <c r="AJZ1" s="198"/>
      <c r="AKA1" s="198"/>
      <c r="AKB1" s="198"/>
      <c r="AKC1" s="198"/>
      <c r="AKD1" s="198"/>
      <c r="AKE1" s="198"/>
      <c r="AKF1" s="198"/>
      <c r="AKG1" s="198"/>
      <c r="AKH1" s="198"/>
      <c r="AKI1" s="198"/>
      <c r="AKJ1" s="198"/>
      <c r="AKK1" s="198"/>
      <c r="AKL1" s="199"/>
      <c r="AKM1" s="199"/>
      <c r="AKN1" s="200"/>
      <c r="AKO1" s="200"/>
      <c r="AKP1" s="200"/>
      <c r="AKQ1" s="200"/>
      <c r="AKR1" s="200"/>
      <c r="AKS1" s="200"/>
      <c r="AKT1" s="200"/>
      <c r="AKU1" s="198"/>
      <c r="AKV1" s="198"/>
      <c r="AKW1" s="198"/>
      <c r="AKX1" s="198"/>
      <c r="AKY1" s="198"/>
      <c r="AKZ1" s="198"/>
      <c r="ALA1" s="198"/>
      <c r="ALB1" s="198"/>
      <c r="ALC1" s="198"/>
      <c r="ALD1" s="198"/>
      <c r="ALE1" s="198"/>
      <c r="ALF1" s="198"/>
      <c r="ALG1" s="198"/>
      <c r="ALH1" s="198"/>
      <c r="ALI1" s="198"/>
      <c r="ALJ1" s="198"/>
      <c r="ALK1" s="198"/>
      <c r="ALL1" s="198"/>
      <c r="ALM1" s="198"/>
      <c r="ALN1" s="198"/>
      <c r="ALO1" s="198"/>
      <c r="ALP1" s="198"/>
      <c r="ALQ1" s="198"/>
      <c r="ALR1" s="198"/>
      <c r="ALS1" s="198"/>
      <c r="ALT1" s="199"/>
      <c r="ALU1" s="199"/>
      <c r="ALV1" s="200"/>
      <c r="ALW1" s="200"/>
      <c r="ALX1" s="200"/>
      <c r="ALY1" s="200"/>
      <c r="ALZ1" s="200"/>
      <c r="AMA1" s="200"/>
      <c r="AMB1" s="200"/>
      <c r="AMC1" s="198"/>
      <c r="AMD1" s="198"/>
      <c r="AME1" s="198"/>
      <c r="AMF1" s="198"/>
      <c r="AMG1" s="198"/>
      <c r="AMH1" s="198"/>
      <c r="AMI1" s="198"/>
      <c r="AMJ1" s="198"/>
      <c r="AMK1" s="198"/>
      <c r="AML1" s="198"/>
      <c r="AMM1" s="198"/>
      <c r="AMN1" s="198"/>
      <c r="AMO1" s="198"/>
      <c r="AMP1" s="198"/>
      <c r="AMQ1" s="198"/>
      <c r="AMR1" s="198"/>
      <c r="AMS1" s="198"/>
      <c r="AMT1" s="198"/>
      <c r="AMU1" s="198"/>
      <c r="AMV1" s="198"/>
      <c r="AMW1" s="198"/>
      <c r="AMX1" s="198"/>
      <c r="AMY1" s="198"/>
      <c r="AMZ1" s="198"/>
      <c r="ANA1" s="198"/>
      <c r="ANB1" s="199"/>
      <c r="ANC1" s="199"/>
      <c r="AND1" s="200"/>
      <c r="ANE1" s="200"/>
      <c r="ANF1" s="200"/>
      <c r="ANG1" s="200"/>
      <c r="ANH1" s="200"/>
      <c r="ANI1" s="200"/>
      <c r="ANJ1" s="200"/>
      <c r="ANK1" s="198"/>
      <c r="ANL1" s="198"/>
      <c r="ANM1" s="198"/>
      <c r="ANN1" s="198"/>
      <c r="ANO1" s="198"/>
      <c r="ANP1" s="198"/>
      <c r="ANQ1" s="198"/>
      <c r="ANR1" s="198"/>
      <c r="ANS1" s="198"/>
      <c r="ANT1" s="198"/>
      <c r="ANU1" s="198"/>
      <c r="ANV1" s="198"/>
      <c r="ANW1" s="198"/>
      <c r="ANX1" s="198"/>
      <c r="ANY1" s="198"/>
      <c r="ANZ1" s="198"/>
      <c r="AOA1" s="198"/>
      <c r="AOB1" s="198"/>
      <c r="AOC1" s="198"/>
      <c r="AOD1" s="198"/>
      <c r="AOE1" s="198"/>
      <c r="AOF1" s="198"/>
      <c r="AOG1" s="198"/>
      <c r="AOH1" s="198"/>
      <c r="AOI1" s="198"/>
      <c r="AOJ1" s="199"/>
      <c r="AOK1" s="199"/>
      <c r="AOL1" s="200"/>
      <c r="AOM1" s="200"/>
      <c r="AON1" s="200"/>
      <c r="AOO1" s="200"/>
      <c r="AOP1" s="200"/>
      <c r="AOQ1" s="200"/>
      <c r="AOR1" s="200"/>
      <c r="AOS1" s="198"/>
      <c r="AOT1" s="198"/>
      <c r="AOU1" s="198"/>
      <c r="AOV1" s="198"/>
      <c r="AOW1" s="198"/>
      <c r="AOX1" s="198"/>
      <c r="AOY1" s="198"/>
      <c r="AOZ1" s="198"/>
      <c r="APA1" s="198"/>
      <c r="APB1" s="198"/>
      <c r="APC1" s="198"/>
      <c r="APD1" s="198"/>
      <c r="APE1" s="198"/>
      <c r="APF1" s="198"/>
      <c r="APG1" s="198"/>
      <c r="APH1" s="198"/>
      <c r="API1" s="198"/>
      <c r="APJ1" s="198"/>
      <c r="APK1" s="198"/>
      <c r="APL1" s="198"/>
      <c r="APM1" s="198"/>
      <c r="APN1" s="198"/>
      <c r="APO1" s="198"/>
      <c r="APP1" s="198"/>
      <c r="APQ1" s="198"/>
      <c r="APR1" s="199"/>
      <c r="APS1" s="199"/>
      <c r="APT1" s="200"/>
      <c r="APU1" s="200"/>
      <c r="APV1" s="200"/>
      <c r="APW1" s="200"/>
      <c r="APX1" s="200"/>
      <c r="APY1" s="200"/>
      <c r="APZ1" s="200"/>
      <c r="AQA1" s="198"/>
      <c r="AQB1" s="198"/>
      <c r="AQC1" s="198"/>
      <c r="AQD1" s="198"/>
      <c r="AQE1" s="198"/>
      <c r="AQF1" s="198"/>
      <c r="AQG1" s="198"/>
      <c r="AQH1" s="198"/>
      <c r="AQI1" s="198"/>
      <c r="AQJ1" s="198"/>
      <c r="AQK1" s="198"/>
      <c r="AQL1" s="198"/>
      <c r="AQM1" s="198"/>
      <c r="AQN1" s="198"/>
      <c r="AQO1" s="198"/>
      <c r="AQP1" s="198"/>
      <c r="AQQ1" s="198"/>
      <c r="AQR1" s="198"/>
      <c r="AQS1" s="198"/>
      <c r="AQT1" s="198"/>
      <c r="AQU1" s="198"/>
      <c r="AQV1" s="198"/>
      <c r="AQW1" s="198"/>
      <c r="AQX1" s="198"/>
      <c r="AQY1" s="198"/>
      <c r="AQZ1" s="199"/>
      <c r="ARA1" s="199"/>
      <c r="ARB1" s="200"/>
      <c r="ARC1" s="200"/>
      <c r="ARD1" s="200"/>
      <c r="ARE1" s="200"/>
      <c r="ARF1" s="200"/>
      <c r="ARG1" s="200"/>
      <c r="ARH1" s="200"/>
      <c r="ARI1" s="198"/>
      <c r="ARJ1" s="198"/>
      <c r="ARK1" s="198"/>
      <c r="ARL1" s="198"/>
      <c r="ARM1" s="198"/>
      <c r="ARN1" s="198"/>
      <c r="ARO1" s="198"/>
      <c r="ARP1" s="198"/>
      <c r="ARQ1" s="198"/>
      <c r="ARR1" s="198"/>
      <c r="ARS1" s="198"/>
      <c r="ART1" s="198"/>
      <c r="ARU1" s="198"/>
      <c r="ARV1" s="198"/>
      <c r="ARW1" s="198"/>
      <c r="ARX1" s="198"/>
      <c r="ARY1" s="198"/>
      <c r="ARZ1" s="198"/>
      <c r="ASA1" s="198"/>
      <c r="ASB1" s="198"/>
      <c r="ASC1" s="198"/>
      <c r="ASD1" s="198"/>
      <c r="ASE1" s="198"/>
      <c r="ASF1" s="198"/>
      <c r="ASG1" s="198"/>
      <c r="ASH1" s="199"/>
      <c r="ASI1" s="199"/>
      <c r="ASJ1" s="200"/>
      <c r="ASK1" s="200"/>
      <c r="ASL1" s="200"/>
      <c r="ASM1" s="200"/>
      <c r="ASN1" s="200"/>
      <c r="ASO1" s="200"/>
      <c r="ASP1" s="200"/>
      <c r="ASQ1" s="198"/>
      <c r="ASR1" s="198"/>
      <c r="ASS1" s="198"/>
      <c r="AST1" s="198"/>
      <c r="ASU1" s="198"/>
      <c r="ASV1" s="198"/>
      <c r="ASW1" s="198"/>
      <c r="ASX1" s="198"/>
      <c r="ASY1" s="198"/>
      <c r="ASZ1" s="198"/>
      <c r="ATA1" s="198"/>
      <c r="ATB1" s="198"/>
      <c r="ATC1" s="198"/>
      <c r="ATD1" s="198"/>
      <c r="ATE1" s="198"/>
      <c r="ATF1" s="198"/>
      <c r="ATG1" s="198"/>
      <c r="ATH1" s="198"/>
      <c r="ATI1" s="198"/>
      <c r="ATJ1" s="198"/>
      <c r="ATK1" s="198"/>
      <c r="ATL1" s="198"/>
      <c r="ATM1" s="198"/>
      <c r="ATN1" s="198"/>
      <c r="ATO1" s="198"/>
      <c r="ATP1" s="199"/>
      <c r="ATQ1" s="199"/>
      <c r="ATR1" s="200"/>
      <c r="ATS1" s="200"/>
      <c r="ATT1" s="200"/>
      <c r="ATU1" s="200"/>
      <c r="ATV1" s="200"/>
      <c r="ATW1" s="200"/>
      <c r="ATX1" s="200"/>
      <c r="ATY1" s="198"/>
      <c r="ATZ1" s="198"/>
      <c r="AUA1" s="198"/>
      <c r="AUB1" s="198"/>
      <c r="AUC1" s="198"/>
      <c r="AUD1" s="198"/>
      <c r="AUE1" s="198"/>
      <c r="AUF1" s="198"/>
      <c r="AUG1" s="198"/>
      <c r="AUH1" s="198"/>
      <c r="AUI1" s="198"/>
      <c r="AUJ1" s="198"/>
      <c r="AUK1" s="198"/>
      <c r="AUL1" s="198"/>
      <c r="AUM1" s="198"/>
      <c r="AUN1" s="198"/>
      <c r="AUO1" s="198"/>
      <c r="AUP1" s="198"/>
      <c r="AUQ1" s="198"/>
      <c r="AUR1" s="198"/>
      <c r="AUS1" s="198"/>
      <c r="AUT1" s="198"/>
      <c r="AUU1" s="198"/>
      <c r="AUV1" s="198"/>
      <c r="AUW1" s="198"/>
      <c r="AUX1" s="199"/>
      <c r="AUY1" s="199"/>
      <c r="AUZ1" s="200"/>
      <c r="AVA1" s="200"/>
      <c r="AVB1" s="200"/>
      <c r="AVC1" s="200"/>
      <c r="AVD1" s="200"/>
      <c r="AVE1" s="200"/>
      <c r="AVF1" s="200"/>
      <c r="AVG1" s="198"/>
      <c r="AVH1" s="198"/>
      <c r="AVI1" s="198"/>
      <c r="AVJ1" s="198"/>
      <c r="AVK1" s="198"/>
      <c r="AVL1" s="198"/>
      <c r="AVM1" s="198"/>
      <c r="AVN1" s="198"/>
      <c r="AVO1" s="198"/>
      <c r="AVP1" s="198"/>
      <c r="AVQ1" s="198"/>
      <c r="AVR1" s="198"/>
      <c r="AVS1" s="198"/>
      <c r="AVT1" s="198"/>
      <c r="AVU1" s="198"/>
      <c r="AVV1" s="198"/>
      <c r="AVW1" s="198"/>
      <c r="AVX1" s="198"/>
      <c r="AVY1" s="198"/>
      <c r="AVZ1" s="198"/>
      <c r="AWA1" s="198"/>
      <c r="AWB1" s="198"/>
      <c r="AWC1" s="198"/>
      <c r="AWD1" s="198"/>
      <c r="AWE1" s="198"/>
      <c r="AWF1" s="199"/>
      <c r="AWG1" s="199"/>
      <c r="AWH1" s="200"/>
      <c r="AWI1" s="200"/>
      <c r="AWJ1" s="200"/>
      <c r="AWK1" s="200"/>
      <c r="AWL1" s="200"/>
      <c r="AWM1" s="200"/>
      <c r="AWN1" s="200"/>
      <c r="AWO1" s="198"/>
      <c r="AWP1" s="198"/>
      <c r="AWQ1" s="198"/>
      <c r="AWR1" s="198"/>
      <c r="AWS1" s="198"/>
      <c r="AWT1" s="198"/>
      <c r="AWU1" s="198"/>
      <c r="AWV1" s="198"/>
      <c r="AWW1" s="198"/>
      <c r="AWX1" s="198"/>
      <c r="AWY1" s="198"/>
      <c r="AWZ1" s="198"/>
      <c r="AXA1" s="198"/>
      <c r="AXB1" s="198"/>
      <c r="AXC1" s="198"/>
      <c r="AXD1" s="198"/>
      <c r="AXE1" s="198"/>
      <c r="AXF1" s="198"/>
      <c r="AXG1" s="198"/>
      <c r="AXH1" s="198"/>
      <c r="AXI1" s="198"/>
      <c r="AXJ1" s="198"/>
      <c r="AXK1" s="198"/>
      <c r="AXL1" s="198"/>
      <c r="AXM1" s="198"/>
      <c r="AXN1" s="199"/>
      <c r="AXO1" s="199"/>
      <c r="AXP1" s="200"/>
      <c r="AXQ1" s="200"/>
      <c r="AXR1" s="200"/>
      <c r="AXS1" s="200"/>
      <c r="AXT1" s="200"/>
      <c r="AXU1" s="200"/>
      <c r="AXV1" s="200"/>
      <c r="AXW1" s="198"/>
      <c r="AXX1" s="198"/>
      <c r="AXY1" s="198"/>
      <c r="AXZ1" s="198"/>
      <c r="AYA1" s="198"/>
      <c r="AYB1" s="198"/>
      <c r="AYC1" s="198"/>
      <c r="AYD1" s="198"/>
      <c r="AYE1" s="198"/>
      <c r="AYF1" s="198"/>
      <c r="AYG1" s="198"/>
      <c r="AYH1" s="198"/>
      <c r="AYI1" s="198"/>
      <c r="AYJ1" s="198"/>
      <c r="AYK1" s="198"/>
      <c r="AYL1" s="198"/>
      <c r="AYM1" s="198"/>
      <c r="AYN1" s="198"/>
      <c r="AYO1" s="198"/>
      <c r="AYP1" s="198"/>
      <c r="AYQ1" s="198"/>
      <c r="AYR1" s="198"/>
      <c r="AYS1" s="198"/>
      <c r="AYT1" s="198"/>
      <c r="AYU1" s="198"/>
      <c r="AYV1" s="199"/>
      <c r="AYW1" s="199"/>
      <c r="AYX1" s="200"/>
      <c r="AYY1" s="200"/>
      <c r="AYZ1" s="200"/>
      <c r="AZA1" s="200"/>
      <c r="AZB1" s="200"/>
      <c r="AZC1" s="200"/>
      <c r="AZD1" s="200"/>
      <c r="AZE1" s="198"/>
      <c r="AZF1" s="198"/>
      <c r="AZG1" s="198"/>
      <c r="AZH1" s="198"/>
      <c r="AZI1" s="198"/>
      <c r="AZJ1" s="198"/>
      <c r="AZK1" s="198"/>
      <c r="AZL1" s="198"/>
      <c r="AZM1" s="198"/>
      <c r="AZN1" s="198"/>
      <c r="AZO1" s="198"/>
      <c r="AZP1" s="198"/>
      <c r="AZQ1" s="198"/>
      <c r="AZR1" s="198"/>
      <c r="AZS1" s="198"/>
      <c r="AZT1" s="198"/>
      <c r="AZU1" s="198"/>
      <c r="AZV1" s="198"/>
      <c r="AZW1" s="198"/>
      <c r="AZX1" s="198"/>
      <c r="AZY1" s="198"/>
      <c r="AZZ1" s="198"/>
      <c r="BAA1" s="198"/>
      <c r="BAB1" s="198"/>
      <c r="BAC1" s="198"/>
      <c r="BAD1" s="199"/>
      <c r="BAE1" s="199"/>
      <c r="BAF1" s="200"/>
      <c r="BAG1" s="200"/>
      <c r="BAH1" s="200"/>
      <c r="BAI1" s="200"/>
      <c r="BAJ1" s="200"/>
      <c r="BAK1" s="200"/>
      <c r="BAL1" s="200"/>
      <c r="BAM1" s="198"/>
      <c r="BAN1" s="198"/>
      <c r="BAO1" s="198"/>
      <c r="BAP1" s="198"/>
      <c r="BAQ1" s="198"/>
      <c r="BAR1" s="198"/>
      <c r="BAS1" s="198"/>
      <c r="BAT1" s="198"/>
      <c r="BAU1" s="198"/>
      <c r="BAV1" s="198"/>
      <c r="BAW1" s="198"/>
      <c r="BAX1" s="198"/>
      <c r="BAY1" s="198"/>
      <c r="BAZ1" s="198"/>
      <c r="BBA1" s="198"/>
      <c r="BBB1" s="198"/>
      <c r="BBC1" s="198"/>
      <c r="BBD1" s="198"/>
      <c r="BBE1" s="198"/>
      <c r="BBF1" s="198"/>
      <c r="BBG1" s="198"/>
      <c r="BBH1" s="198"/>
      <c r="BBI1" s="198"/>
      <c r="BBJ1" s="198"/>
      <c r="BBK1" s="198"/>
      <c r="BBL1" s="199"/>
      <c r="BBM1" s="199"/>
      <c r="BBN1" s="200"/>
      <c r="BBO1" s="200"/>
      <c r="BBP1" s="200"/>
      <c r="BBQ1" s="200"/>
      <c r="BBR1" s="200"/>
      <c r="BBS1" s="200"/>
      <c r="BBT1" s="200"/>
      <c r="BBU1" s="198"/>
      <c r="BBV1" s="198"/>
      <c r="BBW1" s="198"/>
      <c r="BBX1" s="198"/>
      <c r="BBY1" s="198"/>
      <c r="BBZ1" s="198"/>
      <c r="BCA1" s="198"/>
      <c r="BCB1" s="198"/>
      <c r="BCC1" s="198"/>
      <c r="BCD1" s="198"/>
      <c r="BCE1" s="198"/>
      <c r="BCF1" s="198"/>
      <c r="BCG1" s="198"/>
      <c r="BCH1" s="198"/>
      <c r="BCI1" s="198"/>
      <c r="BCJ1" s="198"/>
      <c r="BCK1" s="198"/>
      <c r="BCL1" s="198"/>
      <c r="BCM1" s="198"/>
      <c r="BCN1" s="198"/>
      <c r="BCO1" s="198"/>
      <c r="BCP1" s="198"/>
      <c r="BCQ1" s="198"/>
      <c r="BCR1" s="198"/>
      <c r="BCS1" s="198"/>
      <c r="BCT1" s="199"/>
      <c r="BCU1" s="199"/>
      <c r="BCV1" s="200"/>
      <c r="BCW1" s="200"/>
      <c r="BCX1" s="200"/>
      <c r="BCY1" s="200"/>
      <c r="BCZ1" s="200"/>
      <c r="BDA1" s="200"/>
      <c r="BDB1" s="200"/>
      <c r="BDC1" s="198"/>
      <c r="BDD1" s="198"/>
      <c r="BDE1" s="198"/>
      <c r="BDF1" s="198"/>
      <c r="BDG1" s="198"/>
      <c r="BDH1" s="198"/>
      <c r="BDI1" s="198"/>
      <c r="BDJ1" s="198"/>
      <c r="BDK1" s="198"/>
      <c r="BDL1" s="198"/>
      <c r="BDM1" s="198"/>
      <c r="BDN1" s="198"/>
      <c r="BDO1" s="198"/>
      <c r="BDP1" s="198"/>
      <c r="BDQ1" s="198"/>
      <c r="BDR1" s="198"/>
      <c r="BDS1" s="198"/>
      <c r="BDT1" s="198"/>
      <c r="BDU1" s="198"/>
      <c r="BDV1" s="198"/>
      <c r="BDW1" s="198"/>
      <c r="BDX1" s="198"/>
      <c r="BDY1" s="198"/>
      <c r="BDZ1" s="198"/>
      <c r="BEA1" s="198"/>
      <c r="BEB1" s="199"/>
      <c r="BEC1" s="199"/>
      <c r="BED1" s="200"/>
      <c r="BEE1" s="200"/>
      <c r="BEF1" s="200"/>
      <c r="BEG1" s="200"/>
      <c r="BEH1" s="200"/>
      <c r="BEI1" s="200"/>
      <c r="BEJ1" s="200"/>
      <c r="BEK1" s="198"/>
      <c r="BEL1" s="198"/>
      <c r="BEM1" s="198"/>
      <c r="BEN1" s="198"/>
      <c r="BEO1" s="198"/>
      <c r="BEP1" s="198"/>
      <c r="BEQ1" s="198"/>
      <c r="BER1" s="198"/>
      <c r="BES1" s="198"/>
      <c r="BET1" s="198"/>
      <c r="BEU1" s="198"/>
      <c r="BEV1" s="198"/>
      <c r="BEW1" s="198"/>
      <c r="BEX1" s="198"/>
      <c r="BEY1" s="198"/>
      <c r="BEZ1" s="198"/>
      <c r="BFA1" s="198"/>
      <c r="BFB1" s="198"/>
      <c r="BFC1" s="198"/>
      <c r="BFD1" s="198"/>
      <c r="BFE1" s="198"/>
      <c r="BFF1" s="198"/>
      <c r="BFG1" s="198"/>
      <c r="BFH1" s="198"/>
      <c r="BFI1" s="198"/>
      <c r="BFJ1" s="199"/>
      <c r="BFK1" s="199"/>
      <c r="BFL1" s="200"/>
      <c r="BFM1" s="200"/>
      <c r="BFN1" s="200"/>
      <c r="BFO1" s="200"/>
      <c r="BFP1" s="200"/>
      <c r="BFQ1" s="200"/>
      <c r="BFR1" s="200"/>
      <c r="BFS1" s="198"/>
      <c r="BFT1" s="198"/>
      <c r="BFU1" s="198"/>
      <c r="BFV1" s="198"/>
      <c r="BFW1" s="198"/>
      <c r="BFX1" s="198"/>
      <c r="BFY1" s="198"/>
      <c r="BFZ1" s="198"/>
      <c r="BGA1" s="198"/>
      <c r="BGB1" s="198"/>
      <c r="BGC1" s="198"/>
      <c r="BGD1" s="198"/>
      <c r="BGE1" s="198"/>
      <c r="BGF1" s="198"/>
      <c r="BGG1" s="198"/>
      <c r="BGH1" s="198"/>
      <c r="BGI1" s="198"/>
      <c r="BGJ1" s="198"/>
      <c r="BGK1" s="198"/>
      <c r="BGL1" s="198"/>
      <c r="BGM1" s="198"/>
      <c r="BGN1" s="198"/>
      <c r="BGO1" s="198"/>
      <c r="BGP1" s="198"/>
      <c r="BGQ1" s="198"/>
      <c r="BGR1" s="199"/>
      <c r="BGS1" s="199"/>
      <c r="BGT1" s="200"/>
      <c r="BGU1" s="200"/>
      <c r="BGV1" s="200"/>
      <c r="BGW1" s="200"/>
      <c r="BGX1" s="200"/>
      <c r="BGY1" s="200"/>
      <c r="BGZ1" s="200"/>
      <c r="BHA1" s="198"/>
      <c r="BHB1" s="198"/>
      <c r="BHC1" s="198"/>
      <c r="BHD1" s="198"/>
      <c r="BHE1" s="198"/>
      <c r="BHF1" s="198"/>
      <c r="BHG1" s="198"/>
      <c r="BHH1" s="198"/>
      <c r="BHI1" s="198"/>
      <c r="BHJ1" s="198"/>
      <c r="BHK1" s="198"/>
      <c r="BHL1" s="198"/>
      <c r="BHM1" s="198"/>
      <c r="BHN1" s="198"/>
      <c r="BHO1" s="198"/>
      <c r="BHP1" s="198"/>
      <c r="BHQ1" s="198"/>
      <c r="BHR1" s="198"/>
      <c r="BHS1" s="198"/>
      <c r="BHT1" s="198"/>
      <c r="BHU1" s="198"/>
      <c r="BHV1" s="198"/>
      <c r="BHW1" s="198"/>
      <c r="BHX1" s="198"/>
      <c r="BHY1" s="198"/>
      <c r="BHZ1" s="199"/>
      <c r="BIA1" s="199"/>
      <c r="BIB1" s="200"/>
      <c r="BIC1" s="200"/>
      <c r="BID1" s="200"/>
      <c r="BIE1" s="200"/>
      <c r="BIF1" s="200"/>
      <c r="BIG1" s="200"/>
      <c r="BIH1" s="200"/>
      <c r="BII1" s="198"/>
      <c r="BIJ1" s="198"/>
      <c r="BIK1" s="198"/>
      <c r="BIL1" s="198"/>
      <c r="BIM1" s="198"/>
      <c r="BIN1" s="198"/>
      <c r="BIO1" s="198"/>
      <c r="BIP1" s="198"/>
      <c r="BIQ1" s="198"/>
      <c r="BIR1" s="198"/>
      <c r="BIS1" s="198"/>
      <c r="BIT1" s="198"/>
      <c r="BIU1" s="198"/>
      <c r="BIV1" s="198"/>
      <c r="BIW1" s="198"/>
      <c r="BIX1" s="198"/>
      <c r="BIY1" s="198"/>
      <c r="BIZ1" s="198"/>
      <c r="BJA1" s="198"/>
      <c r="BJB1" s="198"/>
      <c r="BJC1" s="198"/>
      <c r="BJD1" s="198"/>
      <c r="BJE1" s="198"/>
      <c r="BJF1" s="198"/>
      <c r="BJG1" s="198"/>
      <c r="BJH1" s="199"/>
      <c r="BJI1" s="199"/>
      <c r="BJJ1" s="200"/>
      <c r="BJK1" s="200"/>
      <c r="BJL1" s="200"/>
      <c r="BJM1" s="200"/>
      <c r="BJN1" s="200"/>
      <c r="BJO1" s="200"/>
      <c r="BJP1" s="200"/>
      <c r="BJQ1" s="198"/>
      <c r="BJR1" s="198"/>
      <c r="BJS1" s="198"/>
      <c r="BJT1" s="198"/>
      <c r="BJU1" s="198"/>
      <c r="BJV1" s="198"/>
      <c r="BJW1" s="198"/>
      <c r="BJX1" s="198"/>
      <c r="BJY1" s="198"/>
      <c r="BJZ1" s="198"/>
      <c r="BKA1" s="198"/>
      <c r="BKB1" s="198"/>
      <c r="BKC1" s="198"/>
      <c r="BKD1" s="198"/>
      <c r="BKE1" s="198"/>
      <c r="BKF1" s="198"/>
      <c r="BKG1" s="198"/>
      <c r="BKH1" s="198"/>
      <c r="BKI1" s="198"/>
      <c r="BKJ1" s="198"/>
      <c r="BKK1" s="198"/>
      <c r="BKL1" s="198"/>
      <c r="BKM1" s="198"/>
      <c r="BKN1" s="198"/>
      <c r="BKO1" s="198"/>
      <c r="BKP1" s="199"/>
      <c r="BKQ1" s="199"/>
      <c r="BKR1" s="200"/>
      <c r="BKS1" s="200"/>
      <c r="BKT1" s="200"/>
      <c r="BKU1" s="200"/>
      <c r="BKV1" s="200"/>
      <c r="BKW1" s="200"/>
      <c r="BKX1" s="200"/>
      <c r="BKY1" s="198"/>
      <c r="BKZ1" s="198"/>
      <c r="BLA1" s="198"/>
      <c r="BLB1" s="198"/>
      <c r="BLC1" s="198"/>
      <c r="BLD1" s="198"/>
      <c r="BLE1" s="198"/>
      <c r="BLF1" s="198"/>
      <c r="BLG1" s="198"/>
      <c r="BLH1" s="198"/>
      <c r="BLI1" s="198"/>
      <c r="BLJ1" s="198"/>
      <c r="BLK1" s="198"/>
      <c r="BLL1" s="198"/>
      <c r="BLM1" s="198"/>
      <c r="BLN1" s="198"/>
      <c r="BLO1" s="198"/>
      <c r="BLP1" s="198"/>
      <c r="BLQ1" s="198"/>
      <c r="BLR1" s="198"/>
      <c r="BLS1" s="198"/>
      <c r="BLT1" s="198"/>
      <c r="BLU1" s="198"/>
      <c r="BLV1" s="198"/>
      <c r="BLW1" s="198"/>
      <c r="BLX1" s="199"/>
      <c r="BLY1" s="199"/>
      <c r="BLZ1" s="200"/>
      <c r="BMA1" s="200"/>
      <c r="BMB1" s="200"/>
      <c r="BMC1" s="200"/>
      <c r="BMD1" s="200"/>
      <c r="BME1" s="200"/>
      <c r="BMF1" s="200"/>
      <c r="BMG1" s="198"/>
      <c r="BMH1" s="198"/>
      <c r="BMI1" s="198"/>
      <c r="BMJ1" s="198"/>
      <c r="BMK1" s="198"/>
      <c r="BML1" s="198"/>
      <c r="BMM1" s="198"/>
      <c r="BMN1" s="198"/>
      <c r="BMO1" s="198"/>
      <c r="BMP1" s="198"/>
      <c r="BMQ1" s="198"/>
      <c r="BMR1" s="198"/>
      <c r="BMS1" s="198"/>
      <c r="BMT1" s="198"/>
      <c r="BMU1" s="198"/>
      <c r="BMV1" s="198"/>
      <c r="BMW1" s="198"/>
      <c r="BMX1" s="198"/>
      <c r="BMY1" s="198"/>
      <c r="BMZ1" s="198"/>
      <c r="BNA1" s="198"/>
      <c r="BNB1" s="198"/>
      <c r="BNC1" s="198"/>
      <c r="BND1" s="198"/>
      <c r="BNE1" s="198"/>
      <c r="BNF1" s="199"/>
      <c r="BNG1" s="199"/>
      <c r="BNH1" s="200"/>
      <c r="BNI1" s="200"/>
      <c r="BNJ1" s="200"/>
      <c r="BNK1" s="200"/>
      <c r="BNL1" s="200"/>
      <c r="BNM1" s="200"/>
      <c r="BNN1" s="200"/>
      <c r="BNO1" s="198"/>
      <c r="BNP1" s="198"/>
      <c r="BNQ1" s="198"/>
      <c r="BNR1" s="198"/>
      <c r="BNS1" s="198"/>
      <c r="BNT1" s="198"/>
      <c r="BNU1" s="198"/>
      <c r="BNV1" s="198"/>
      <c r="BNW1" s="198"/>
      <c r="BNX1" s="198"/>
      <c r="BNY1" s="198"/>
      <c r="BNZ1" s="198"/>
      <c r="BOA1" s="198"/>
      <c r="BOB1" s="198"/>
      <c r="BOC1" s="198"/>
      <c r="BOD1" s="198"/>
      <c r="BOE1" s="198"/>
      <c r="BOF1" s="198"/>
      <c r="BOG1" s="198"/>
      <c r="BOH1" s="198"/>
      <c r="BOI1" s="198"/>
      <c r="BOJ1" s="198"/>
      <c r="BOK1" s="198"/>
      <c r="BOL1" s="198"/>
      <c r="BOM1" s="198"/>
      <c r="BON1" s="199"/>
      <c r="BOO1" s="199"/>
      <c r="BOP1" s="200"/>
      <c r="BOQ1" s="200"/>
      <c r="BOR1" s="200"/>
      <c r="BOS1" s="200"/>
      <c r="BOT1" s="200"/>
      <c r="BOU1" s="200"/>
      <c r="BOV1" s="200"/>
      <c r="BOW1" s="198"/>
      <c r="BOX1" s="198"/>
      <c r="BOY1" s="198"/>
      <c r="BOZ1" s="198"/>
      <c r="BPA1" s="198"/>
      <c r="BPB1" s="198"/>
      <c r="BPC1" s="198"/>
      <c r="BPD1" s="198"/>
      <c r="BPE1" s="198"/>
      <c r="BPF1" s="198"/>
      <c r="BPG1" s="198"/>
      <c r="BPH1" s="198"/>
      <c r="BPI1" s="198"/>
      <c r="BPJ1" s="198"/>
      <c r="BPK1" s="198"/>
      <c r="BPL1" s="198"/>
      <c r="BPM1" s="198"/>
      <c r="BPN1" s="198"/>
      <c r="BPO1" s="198"/>
      <c r="BPP1" s="198"/>
      <c r="BPQ1" s="198"/>
      <c r="BPR1" s="198"/>
      <c r="BPS1" s="198"/>
      <c r="BPT1" s="198"/>
      <c r="BPU1" s="198"/>
      <c r="BPV1" s="199"/>
      <c r="BPW1" s="199"/>
      <c r="BPX1" s="200"/>
      <c r="BPY1" s="200"/>
      <c r="BPZ1" s="200"/>
      <c r="BQA1" s="200"/>
      <c r="BQB1" s="200"/>
      <c r="BQC1" s="200"/>
      <c r="BQD1" s="200"/>
      <c r="BQE1" s="198"/>
      <c r="BQF1" s="198"/>
      <c r="BQG1" s="198"/>
      <c r="BQH1" s="198"/>
      <c r="BQI1" s="198"/>
      <c r="BQJ1" s="198"/>
      <c r="BQK1" s="198"/>
      <c r="BQL1" s="198"/>
      <c r="BQM1" s="198"/>
      <c r="BQN1" s="198"/>
      <c r="BQO1" s="198"/>
      <c r="BQP1" s="198"/>
      <c r="BQQ1" s="198"/>
      <c r="BQR1" s="198"/>
      <c r="BQS1" s="198"/>
      <c r="BQT1" s="198"/>
      <c r="BQU1" s="198"/>
      <c r="BQV1" s="198"/>
      <c r="BQW1" s="198"/>
      <c r="BQX1" s="198"/>
      <c r="BQY1" s="198"/>
      <c r="BQZ1" s="198"/>
      <c r="BRA1" s="198"/>
      <c r="BRB1" s="198"/>
      <c r="BRC1" s="198"/>
      <c r="BRD1" s="199"/>
      <c r="BRE1" s="199"/>
      <c r="BRF1" s="200"/>
      <c r="BRG1" s="200"/>
      <c r="BRH1" s="200"/>
      <c r="BRI1" s="200"/>
      <c r="BRJ1" s="200"/>
      <c r="BRK1" s="200"/>
      <c r="BRL1" s="200"/>
      <c r="BRM1" s="198"/>
      <c r="BRN1" s="198"/>
      <c r="BRO1" s="198"/>
      <c r="BRP1" s="198"/>
      <c r="BRQ1" s="198"/>
      <c r="BRR1" s="198"/>
      <c r="BRS1" s="198"/>
      <c r="BRT1" s="198"/>
      <c r="BRU1" s="198"/>
      <c r="BRV1" s="198"/>
      <c r="BRW1" s="198"/>
      <c r="BRX1" s="198"/>
      <c r="BRY1" s="198"/>
      <c r="BRZ1" s="198"/>
      <c r="BSA1" s="198"/>
      <c r="BSB1" s="198"/>
      <c r="BSC1" s="198"/>
      <c r="BSD1" s="198"/>
      <c r="BSE1" s="198"/>
      <c r="BSF1" s="198"/>
      <c r="BSG1" s="198"/>
      <c r="BSH1" s="198"/>
      <c r="BSI1" s="198"/>
      <c r="BSJ1" s="198"/>
      <c r="BSK1" s="198"/>
      <c r="BSL1" s="199"/>
      <c r="BSM1" s="199"/>
      <c r="BSN1" s="200"/>
      <c r="BSO1" s="200"/>
      <c r="BSP1" s="200"/>
      <c r="BSQ1" s="200"/>
      <c r="BSR1" s="200"/>
      <c r="BSS1" s="200"/>
      <c r="BST1" s="200"/>
      <c r="BSU1" s="198"/>
      <c r="BSV1" s="198"/>
      <c r="BSW1" s="198"/>
      <c r="BSX1" s="198"/>
      <c r="BSY1" s="198"/>
      <c r="BSZ1" s="198"/>
      <c r="BTA1" s="198"/>
      <c r="BTB1" s="198"/>
      <c r="BTC1" s="198"/>
      <c r="BTD1" s="198"/>
      <c r="BTE1" s="198"/>
      <c r="BTF1" s="198"/>
      <c r="BTG1" s="198"/>
      <c r="BTH1" s="198"/>
      <c r="BTI1" s="198"/>
      <c r="BTJ1" s="198"/>
      <c r="BTK1" s="198"/>
      <c r="BTL1" s="198"/>
      <c r="BTM1" s="198"/>
      <c r="BTN1" s="198"/>
      <c r="BTO1" s="198"/>
      <c r="BTP1" s="198"/>
      <c r="BTQ1" s="198"/>
      <c r="BTR1" s="198"/>
      <c r="BTS1" s="198"/>
      <c r="BTT1" s="199"/>
      <c r="BTU1" s="199"/>
      <c r="BTV1" s="200"/>
      <c r="BTW1" s="200"/>
      <c r="BTX1" s="200"/>
      <c r="BTY1" s="200"/>
      <c r="BTZ1" s="200"/>
      <c r="BUA1" s="200"/>
      <c r="BUB1" s="200"/>
      <c r="BUC1" s="198"/>
      <c r="BUD1" s="198"/>
      <c r="BUE1" s="198"/>
      <c r="BUF1" s="198"/>
      <c r="BUG1" s="198"/>
      <c r="BUH1" s="198"/>
      <c r="BUI1" s="198"/>
      <c r="BUJ1" s="198"/>
      <c r="BUK1" s="198"/>
      <c r="BUL1" s="198"/>
      <c r="BUM1" s="198"/>
      <c r="BUN1" s="198"/>
      <c r="BUO1" s="198"/>
      <c r="BUP1" s="198"/>
      <c r="BUQ1" s="198"/>
      <c r="BUR1" s="198"/>
      <c r="BUS1" s="198"/>
      <c r="BUT1" s="198"/>
      <c r="BUU1" s="198"/>
      <c r="BUV1" s="198"/>
      <c r="BUW1" s="198"/>
      <c r="BUX1" s="198"/>
      <c r="BUY1" s="198"/>
      <c r="BUZ1" s="198"/>
      <c r="BVA1" s="198"/>
      <c r="BVB1" s="199"/>
      <c r="BVC1" s="199"/>
      <c r="BVD1" s="200"/>
      <c r="BVE1" s="200"/>
      <c r="BVF1" s="200"/>
      <c r="BVG1" s="200"/>
      <c r="BVH1" s="200"/>
      <c r="BVI1" s="200"/>
      <c r="BVJ1" s="200"/>
      <c r="BVK1" s="198"/>
      <c r="BVL1" s="198"/>
      <c r="BVM1" s="198"/>
      <c r="BVN1" s="198"/>
      <c r="BVO1" s="198"/>
      <c r="BVP1" s="198"/>
      <c r="BVQ1" s="198"/>
      <c r="BVR1" s="198"/>
      <c r="BVS1" s="198"/>
      <c r="BVT1" s="198"/>
      <c r="BVU1" s="198"/>
      <c r="BVV1" s="198"/>
      <c r="BVW1" s="198"/>
      <c r="BVX1" s="198"/>
      <c r="BVY1" s="198"/>
      <c r="BVZ1" s="198"/>
      <c r="BWA1" s="198"/>
      <c r="BWB1" s="198"/>
      <c r="BWC1" s="198"/>
      <c r="BWD1" s="198"/>
      <c r="BWE1" s="198"/>
      <c r="BWF1" s="198"/>
      <c r="BWG1" s="198"/>
      <c r="BWH1" s="198"/>
      <c r="BWI1" s="198"/>
      <c r="BWJ1" s="199"/>
      <c r="BWK1" s="199"/>
      <c r="BWL1" s="200"/>
      <c r="BWM1" s="200"/>
      <c r="BWN1" s="200"/>
      <c r="BWO1" s="200"/>
      <c r="BWP1" s="200"/>
      <c r="BWQ1" s="200"/>
      <c r="BWR1" s="200"/>
      <c r="BWS1" s="198"/>
      <c r="BWT1" s="198"/>
      <c r="BWU1" s="198"/>
      <c r="BWV1" s="198"/>
      <c r="BWW1" s="198"/>
      <c r="BWX1" s="198"/>
      <c r="BWY1" s="198"/>
      <c r="BWZ1" s="198"/>
      <c r="BXA1" s="198"/>
      <c r="BXB1" s="198"/>
      <c r="BXC1" s="198"/>
      <c r="BXD1" s="198"/>
      <c r="BXE1" s="198"/>
      <c r="BXF1" s="198"/>
      <c r="BXG1" s="198"/>
      <c r="BXH1" s="198"/>
      <c r="BXI1" s="198"/>
      <c r="BXJ1" s="198"/>
      <c r="BXK1" s="198"/>
      <c r="BXL1" s="198"/>
      <c r="BXM1" s="198"/>
      <c r="BXN1" s="198"/>
      <c r="BXO1" s="198"/>
      <c r="BXP1" s="198"/>
      <c r="BXQ1" s="198"/>
      <c r="BXR1" s="199"/>
      <c r="BXS1" s="199"/>
      <c r="BXT1" s="200"/>
      <c r="BXU1" s="200"/>
      <c r="BXV1" s="200"/>
      <c r="BXW1" s="200"/>
      <c r="BXX1" s="200"/>
      <c r="BXY1" s="200"/>
      <c r="BXZ1" s="200"/>
      <c r="BYA1" s="198"/>
      <c r="BYB1" s="198"/>
      <c r="BYC1" s="198"/>
      <c r="BYD1" s="198"/>
      <c r="BYE1" s="198"/>
      <c r="BYF1" s="198"/>
      <c r="BYG1" s="198"/>
      <c r="BYH1" s="198"/>
      <c r="BYI1" s="198"/>
      <c r="BYJ1" s="198"/>
      <c r="BYK1" s="198"/>
      <c r="BYL1" s="198"/>
      <c r="BYM1" s="198"/>
      <c r="BYN1" s="198"/>
      <c r="BYO1" s="198"/>
      <c r="BYP1" s="198"/>
      <c r="BYQ1" s="198"/>
      <c r="BYR1" s="198"/>
      <c r="BYS1" s="198"/>
      <c r="BYT1" s="198"/>
      <c r="BYU1" s="198"/>
      <c r="BYV1" s="198"/>
      <c r="BYW1" s="198"/>
      <c r="BYX1" s="198"/>
      <c r="BYY1" s="198"/>
      <c r="BYZ1" s="199"/>
      <c r="BZA1" s="199"/>
      <c r="BZB1" s="200"/>
      <c r="BZC1" s="200"/>
      <c r="BZD1" s="200"/>
      <c r="BZE1" s="200"/>
      <c r="BZF1" s="200"/>
      <c r="BZG1" s="200"/>
      <c r="BZH1" s="200"/>
      <c r="BZI1" s="198"/>
      <c r="BZJ1" s="198"/>
      <c r="BZK1" s="198"/>
      <c r="BZL1" s="198"/>
      <c r="BZM1" s="198"/>
      <c r="BZN1" s="198"/>
      <c r="BZO1" s="198"/>
      <c r="BZP1" s="198"/>
      <c r="BZQ1" s="198"/>
      <c r="BZR1" s="198"/>
      <c r="BZS1" s="198"/>
      <c r="BZT1" s="198"/>
      <c r="BZU1" s="198"/>
      <c r="BZV1" s="198"/>
      <c r="BZW1" s="198"/>
      <c r="BZX1" s="198"/>
      <c r="BZY1" s="198"/>
      <c r="BZZ1" s="198"/>
      <c r="CAA1" s="198"/>
      <c r="CAB1" s="198"/>
      <c r="CAC1" s="198"/>
      <c r="CAD1" s="198"/>
      <c r="CAE1" s="198"/>
      <c r="CAF1" s="198"/>
      <c r="CAG1" s="198"/>
      <c r="CAH1" s="199"/>
      <c r="CAI1" s="199"/>
      <c r="CAJ1" s="200"/>
      <c r="CAK1" s="200"/>
      <c r="CAL1" s="200"/>
      <c r="CAM1" s="200"/>
      <c r="CAN1" s="200"/>
      <c r="CAO1" s="200"/>
      <c r="CAP1" s="200"/>
      <c r="CAQ1" s="198"/>
      <c r="CAR1" s="198"/>
      <c r="CAS1" s="198"/>
      <c r="CAT1" s="198"/>
      <c r="CAU1" s="198"/>
      <c r="CAV1" s="198"/>
      <c r="CAW1" s="198"/>
      <c r="CAX1" s="198"/>
      <c r="CAY1" s="198"/>
      <c r="CAZ1" s="198"/>
      <c r="CBA1" s="198"/>
      <c r="CBB1" s="198"/>
      <c r="CBC1" s="198"/>
      <c r="CBD1" s="198"/>
      <c r="CBE1" s="198"/>
      <c r="CBF1" s="198"/>
      <c r="CBG1" s="198"/>
      <c r="CBH1" s="198"/>
      <c r="CBI1" s="198"/>
      <c r="CBJ1" s="198"/>
      <c r="CBK1" s="198"/>
      <c r="CBL1" s="198"/>
      <c r="CBM1" s="198"/>
      <c r="CBN1" s="198"/>
      <c r="CBO1" s="198"/>
      <c r="CBP1" s="199"/>
      <c r="CBQ1" s="199"/>
      <c r="CBR1" s="200"/>
      <c r="CBS1" s="200"/>
      <c r="CBT1" s="200"/>
      <c r="CBU1" s="200"/>
      <c r="CBV1" s="200"/>
      <c r="CBW1" s="200"/>
      <c r="CBX1" s="200"/>
      <c r="CBY1" s="198"/>
      <c r="CBZ1" s="198"/>
      <c r="CCA1" s="198"/>
      <c r="CCB1" s="198"/>
      <c r="CCC1" s="198"/>
      <c r="CCD1" s="198"/>
      <c r="CCE1" s="198"/>
      <c r="CCF1" s="198"/>
      <c r="CCG1" s="198"/>
      <c r="CCH1" s="198"/>
      <c r="CCI1" s="198"/>
      <c r="CCJ1" s="198"/>
      <c r="CCK1" s="198"/>
      <c r="CCL1" s="198"/>
      <c r="CCM1" s="198"/>
      <c r="CCN1" s="198"/>
      <c r="CCO1" s="198"/>
      <c r="CCP1" s="198"/>
      <c r="CCQ1" s="198"/>
      <c r="CCR1" s="198"/>
      <c r="CCS1" s="198"/>
      <c r="CCT1" s="198"/>
      <c r="CCU1" s="198"/>
      <c r="CCV1" s="198"/>
      <c r="CCW1" s="198"/>
      <c r="CCX1" s="199"/>
      <c r="CCY1" s="199"/>
      <c r="CCZ1" s="200"/>
      <c r="CDA1" s="200"/>
      <c r="CDB1" s="200"/>
      <c r="CDC1" s="200"/>
      <c r="CDD1" s="200"/>
      <c r="CDE1" s="200"/>
      <c r="CDF1" s="200"/>
      <c r="CDG1" s="198"/>
      <c r="CDH1" s="198"/>
      <c r="CDI1" s="198"/>
      <c r="CDJ1" s="198"/>
      <c r="CDK1" s="198"/>
      <c r="CDL1" s="198"/>
      <c r="CDM1" s="198"/>
      <c r="CDN1" s="198"/>
      <c r="CDO1" s="198"/>
      <c r="CDP1" s="198"/>
      <c r="CDQ1" s="198"/>
      <c r="CDR1" s="198"/>
      <c r="CDS1" s="198"/>
      <c r="CDT1" s="198"/>
      <c r="CDU1" s="198"/>
      <c r="CDV1" s="198"/>
      <c r="CDW1" s="198"/>
      <c r="CDX1" s="198"/>
      <c r="CDY1" s="198"/>
      <c r="CDZ1" s="198"/>
      <c r="CEA1" s="198"/>
      <c r="CEB1" s="198"/>
      <c r="CEC1" s="198"/>
      <c r="CED1" s="198"/>
      <c r="CEE1" s="198"/>
      <c r="CEF1" s="199"/>
      <c r="CEG1" s="199"/>
      <c r="CEH1" s="200"/>
      <c r="CEI1" s="200"/>
      <c r="CEJ1" s="200"/>
      <c r="CEK1" s="200"/>
      <c r="CEL1" s="200"/>
      <c r="CEM1" s="200"/>
      <c r="CEN1" s="200"/>
      <c r="CEO1" s="198"/>
      <c r="CEP1" s="198"/>
      <c r="CEQ1" s="198"/>
      <c r="CER1" s="198"/>
      <c r="CES1" s="198"/>
      <c r="CET1" s="198"/>
      <c r="CEU1" s="198"/>
      <c r="CEV1" s="198"/>
      <c r="CEW1" s="198"/>
      <c r="CEX1" s="198"/>
      <c r="CEY1" s="198"/>
      <c r="CEZ1" s="198"/>
      <c r="CFA1" s="198"/>
      <c r="CFB1" s="198"/>
      <c r="CFC1" s="198"/>
      <c r="CFD1" s="198"/>
      <c r="CFE1" s="198"/>
      <c r="CFF1" s="198"/>
      <c r="CFG1" s="198"/>
      <c r="CFH1" s="198"/>
      <c r="CFI1" s="198"/>
      <c r="CFJ1" s="198"/>
      <c r="CFK1" s="198"/>
      <c r="CFL1" s="198"/>
      <c r="CFM1" s="198"/>
      <c r="CFN1" s="199"/>
      <c r="CFO1" s="199"/>
      <c r="CFP1" s="200"/>
      <c r="CFQ1" s="200"/>
      <c r="CFR1" s="200"/>
      <c r="CFS1" s="200"/>
      <c r="CFT1" s="200"/>
      <c r="CFU1" s="200"/>
      <c r="CFV1" s="200"/>
      <c r="CFW1" s="198"/>
      <c r="CFX1" s="198"/>
      <c r="CFY1" s="198"/>
      <c r="CFZ1" s="198"/>
      <c r="CGA1" s="198"/>
      <c r="CGB1" s="198"/>
      <c r="CGC1" s="198"/>
      <c r="CGD1" s="198"/>
      <c r="CGE1" s="198"/>
      <c r="CGF1" s="198"/>
      <c r="CGG1" s="198"/>
      <c r="CGH1" s="198"/>
      <c r="CGI1" s="198"/>
      <c r="CGJ1" s="198"/>
      <c r="CGK1" s="198"/>
      <c r="CGL1" s="198"/>
      <c r="CGM1" s="198"/>
      <c r="CGN1" s="198"/>
      <c r="CGO1" s="198"/>
      <c r="CGP1" s="198"/>
      <c r="CGQ1" s="198"/>
      <c r="CGR1" s="198"/>
      <c r="CGS1" s="198"/>
      <c r="CGT1" s="198"/>
      <c r="CGU1" s="198"/>
      <c r="CGV1" s="199"/>
      <c r="CGW1" s="199"/>
      <c r="CGX1" s="200"/>
      <c r="CGY1" s="200"/>
      <c r="CGZ1" s="200"/>
      <c r="CHA1" s="200"/>
      <c r="CHB1" s="200"/>
      <c r="CHC1" s="200"/>
      <c r="CHD1" s="200"/>
      <c r="CHE1" s="198"/>
      <c r="CHF1" s="198"/>
      <c r="CHG1" s="198"/>
      <c r="CHH1" s="198"/>
      <c r="CHI1" s="198"/>
      <c r="CHJ1" s="198"/>
      <c r="CHK1" s="198"/>
      <c r="CHL1" s="198"/>
      <c r="CHM1" s="198"/>
      <c r="CHN1" s="198"/>
      <c r="CHO1" s="198"/>
      <c r="CHP1" s="198"/>
      <c r="CHQ1" s="198"/>
      <c r="CHR1" s="198"/>
      <c r="CHS1" s="198"/>
      <c r="CHT1" s="198"/>
      <c r="CHU1" s="198"/>
      <c r="CHV1" s="198"/>
      <c r="CHW1" s="198"/>
      <c r="CHX1" s="198"/>
      <c r="CHY1" s="198"/>
      <c r="CHZ1" s="198"/>
      <c r="CIA1" s="198"/>
      <c r="CIB1" s="198"/>
      <c r="CIC1" s="198"/>
      <c r="CID1" s="199"/>
      <c r="CIE1" s="199"/>
      <c r="CIF1" s="200"/>
      <c r="CIG1" s="200"/>
      <c r="CIH1" s="200"/>
      <c r="CII1" s="200"/>
      <c r="CIJ1" s="200"/>
      <c r="CIK1" s="200"/>
      <c r="CIL1" s="200"/>
      <c r="CIM1" s="198"/>
      <c r="CIN1" s="198"/>
      <c r="CIO1" s="198"/>
      <c r="CIP1" s="198"/>
      <c r="CIQ1" s="198"/>
      <c r="CIR1" s="198"/>
      <c r="CIS1" s="198"/>
      <c r="CIT1" s="198"/>
      <c r="CIU1" s="198"/>
      <c r="CIV1" s="198"/>
      <c r="CIW1" s="198"/>
      <c r="CIX1" s="198"/>
      <c r="CIY1" s="198"/>
      <c r="CIZ1" s="198"/>
      <c r="CJA1" s="198"/>
      <c r="CJB1" s="198"/>
      <c r="CJC1" s="198"/>
      <c r="CJD1" s="198"/>
      <c r="CJE1" s="198"/>
      <c r="CJF1" s="198"/>
      <c r="CJG1" s="198"/>
      <c r="CJH1" s="198"/>
      <c r="CJI1" s="198"/>
      <c r="CJJ1" s="198"/>
      <c r="CJK1" s="198"/>
      <c r="CJL1" s="199"/>
      <c r="CJM1" s="199"/>
      <c r="CJN1" s="200"/>
      <c r="CJO1" s="200"/>
      <c r="CJP1" s="200"/>
      <c r="CJQ1" s="200"/>
      <c r="CJR1" s="200"/>
      <c r="CJS1" s="200"/>
      <c r="CJT1" s="200"/>
      <c r="CJU1" s="198"/>
      <c r="CJV1" s="198"/>
      <c r="CJW1" s="198"/>
      <c r="CJX1" s="198"/>
      <c r="CJY1" s="198"/>
      <c r="CJZ1" s="198"/>
      <c r="CKA1" s="198"/>
      <c r="CKB1" s="198"/>
      <c r="CKC1" s="198"/>
      <c r="CKD1" s="198"/>
      <c r="CKE1" s="198"/>
      <c r="CKF1" s="198"/>
      <c r="CKG1" s="198"/>
      <c r="CKH1" s="198"/>
      <c r="CKI1" s="198"/>
      <c r="CKJ1" s="198"/>
      <c r="CKK1" s="198"/>
      <c r="CKL1" s="198"/>
      <c r="CKM1" s="198"/>
      <c r="CKN1" s="198"/>
      <c r="CKO1" s="198"/>
      <c r="CKP1" s="198"/>
      <c r="CKQ1" s="198"/>
      <c r="CKR1" s="198"/>
      <c r="CKS1" s="198"/>
      <c r="CKT1" s="199"/>
      <c r="CKU1" s="199"/>
      <c r="CKV1" s="200"/>
      <c r="CKW1" s="200"/>
      <c r="CKX1" s="200"/>
      <c r="CKY1" s="200"/>
      <c r="CKZ1" s="200"/>
      <c r="CLA1" s="200"/>
      <c r="CLB1" s="200"/>
      <c r="CLC1" s="198"/>
      <c r="CLD1" s="198"/>
      <c r="CLE1" s="198"/>
      <c r="CLF1" s="198"/>
      <c r="CLG1" s="198"/>
      <c r="CLH1" s="198"/>
      <c r="CLI1" s="198"/>
      <c r="CLJ1" s="198"/>
      <c r="CLK1" s="198"/>
      <c r="CLL1" s="198"/>
      <c r="CLM1" s="198"/>
      <c r="CLN1" s="198"/>
      <c r="CLO1" s="198"/>
      <c r="CLP1" s="198"/>
      <c r="CLQ1" s="198"/>
      <c r="CLR1" s="198"/>
      <c r="CLS1" s="198"/>
      <c r="CLT1" s="198"/>
      <c r="CLU1" s="198"/>
      <c r="CLV1" s="198"/>
      <c r="CLW1" s="198"/>
      <c r="CLX1" s="198"/>
      <c r="CLY1" s="198"/>
      <c r="CLZ1" s="198"/>
      <c r="CMA1" s="198"/>
      <c r="CMB1" s="199"/>
      <c r="CMC1" s="199"/>
      <c r="CMD1" s="200"/>
      <c r="CME1" s="200"/>
      <c r="CMF1" s="200"/>
      <c r="CMG1" s="200"/>
      <c r="CMH1" s="200"/>
      <c r="CMI1" s="200"/>
      <c r="CMJ1" s="200"/>
      <c r="CMK1" s="198"/>
      <c r="CML1" s="198"/>
      <c r="CMM1" s="198"/>
      <c r="CMN1" s="198"/>
      <c r="CMO1" s="198"/>
      <c r="CMP1" s="198"/>
      <c r="CMQ1" s="198"/>
      <c r="CMR1" s="198"/>
      <c r="CMS1" s="198"/>
      <c r="CMT1" s="198"/>
      <c r="CMU1" s="198"/>
      <c r="CMV1" s="198"/>
      <c r="CMW1" s="198"/>
      <c r="CMX1" s="198"/>
      <c r="CMY1" s="198"/>
      <c r="CMZ1" s="198"/>
      <c r="CNA1" s="198"/>
      <c r="CNB1" s="198"/>
      <c r="CNC1" s="198"/>
      <c r="CND1" s="198"/>
      <c r="CNE1" s="198"/>
      <c r="CNF1" s="198"/>
      <c r="CNG1" s="198"/>
      <c r="CNH1" s="198"/>
      <c r="CNI1" s="198"/>
      <c r="CNJ1" s="199"/>
      <c r="CNK1" s="199"/>
      <c r="CNL1" s="200"/>
      <c r="CNM1" s="200"/>
      <c r="CNN1" s="200"/>
      <c r="CNO1" s="200"/>
      <c r="CNP1" s="200"/>
      <c r="CNQ1" s="200"/>
      <c r="CNR1" s="200"/>
      <c r="CNS1" s="198"/>
      <c r="CNT1" s="198"/>
      <c r="CNU1" s="198"/>
      <c r="CNV1" s="198"/>
      <c r="CNW1" s="198"/>
      <c r="CNX1" s="198"/>
      <c r="CNY1" s="198"/>
      <c r="CNZ1" s="198"/>
      <c r="COA1" s="198"/>
      <c r="COB1" s="198"/>
      <c r="COC1" s="198"/>
      <c r="COD1" s="198"/>
      <c r="COE1" s="198"/>
      <c r="COF1" s="198"/>
      <c r="COG1" s="198"/>
      <c r="COH1" s="198"/>
      <c r="COI1" s="198"/>
      <c r="COJ1" s="198"/>
      <c r="COK1" s="198"/>
      <c r="COL1" s="198"/>
      <c r="COM1" s="198"/>
      <c r="CON1" s="198"/>
      <c r="COO1" s="198"/>
      <c r="COP1" s="198"/>
      <c r="COQ1" s="198"/>
      <c r="COR1" s="199"/>
      <c r="COS1" s="199"/>
      <c r="COT1" s="200"/>
      <c r="COU1" s="200"/>
      <c r="COV1" s="200"/>
      <c r="COW1" s="200"/>
      <c r="COX1" s="200"/>
      <c r="COY1" s="200"/>
      <c r="COZ1" s="200"/>
      <c r="CPA1" s="198"/>
      <c r="CPB1" s="198"/>
      <c r="CPC1" s="198"/>
      <c r="CPD1" s="198"/>
      <c r="CPE1" s="198"/>
      <c r="CPF1" s="198"/>
      <c r="CPG1" s="198"/>
      <c r="CPH1" s="198"/>
      <c r="CPI1" s="198"/>
      <c r="CPJ1" s="198"/>
      <c r="CPK1" s="198"/>
      <c r="CPL1" s="198"/>
      <c r="CPM1" s="198"/>
      <c r="CPN1" s="198"/>
      <c r="CPO1" s="198"/>
      <c r="CPP1" s="198"/>
      <c r="CPQ1" s="198"/>
      <c r="CPR1" s="198"/>
      <c r="CPS1" s="198"/>
      <c r="CPT1" s="198"/>
      <c r="CPU1" s="198"/>
      <c r="CPV1" s="198"/>
      <c r="CPW1" s="198"/>
      <c r="CPX1" s="198"/>
      <c r="CPY1" s="198"/>
      <c r="CPZ1" s="199"/>
      <c r="CQA1" s="199"/>
      <c r="CQB1" s="200"/>
      <c r="CQC1" s="200"/>
      <c r="CQD1" s="200"/>
      <c r="CQE1" s="200"/>
      <c r="CQF1" s="200"/>
      <c r="CQG1" s="200"/>
      <c r="CQH1" s="200"/>
      <c r="CQI1" s="198"/>
      <c r="CQJ1" s="198"/>
      <c r="CQK1" s="198"/>
      <c r="CQL1" s="198"/>
      <c r="CQM1" s="198"/>
      <c r="CQN1" s="198"/>
      <c r="CQO1" s="198"/>
      <c r="CQP1" s="198"/>
      <c r="CQQ1" s="198"/>
      <c r="CQR1" s="198"/>
      <c r="CQS1" s="198"/>
      <c r="CQT1" s="198"/>
      <c r="CQU1" s="198"/>
      <c r="CQV1" s="198"/>
      <c r="CQW1" s="198"/>
      <c r="CQX1" s="198"/>
      <c r="CQY1" s="198"/>
      <c r="CQZ1" s="198"/>
      <c r="CRA1" s="198"/>
      <c r="CRB1" s="198"/>
      <c r="CRC1" s="198"/>
      <c r="CRD1" s="198"/>
      <c r="CRE1" s="198"/>
      <c r="CRF1" s="198"/>
      <c r="CRG1" s="198"/>
      <c r="CRH1" s="199"/>
      <c r="CRI1" s="199"/>
      <c r="CRJ1" s="200"/>
      <c r="CRK1" s="200"/>
      <c r="CRL1" s="200"/>
      <c r="CRM1" s="200"/>
      <c r="CRN1" s="200"/>
      <c r="CRO1" s="200"/>
      <c r="CRP1" s="200"/>
      <c r="CRQ1" s="198"/>
      <c r="CRR1" s="198"/>
      <c r="CRS1" s="198"/>
      <c r="CRT1" s="198"/>
      <c r="CRU1" s="198"/>
      <c r="CRV1" s="198"/>
      <c r="CRW1" s="198"/>
      <c r="CRX1" s="198"/>
      <c r="CRY1" s="198"/>
      <c r="CRZ1" s="198"/>
      <c r="CSA1" s="198"/>
      <c r="CSB1" s="198"/>
      <c r="CSC1" s="198"/>
      <c r="CSD1" s="198"/>
      <c r="CSE1" s="198"/>
      <c r="CSF1" s="198"/>
      <c r="CSG1" s="198"/>
      <c r="CSH1" s="198"/>
      <c r="CSI1" s="198"/>
      <c r="CSJ1" s="198"/>
      <c r="CSK1" s="198"/>
      <c r="CSL1" s="198"/>
      <c r="CSM1" s="198"/>
      <c r="CSN1" s="198"/>
      <c r="CSO1" s="198"/>
      <c r="CSP1" s="199"/>
      <c r="CSQ1" s="199"/>
      <c r="CSR1" s="200"/>
      <c r="CSS1" s="200"/>
      <c r="CST1" s="200"/>
      <c r="CSU1" s="200"/>
      <c r="CSV1" s="200"/>
      <c r="CSW1" s="200"/>
      <c r="CSX1" s="200"/>
      <c r="CSY1" s="198"/>
      <c r="CSZ1" s="198"/>
      <c r="CTA1" s="198"/>
      <c r="CTB1" s="198"/>
      <c r="CTC1" s="198"/>
      <c r="CTD1" s="198"/>
      <c r="CTE1" s="198"/>
      <c r="CTF1" s="198"/>
      <c r="CTG1" s="198"/>
      <c r="CTH1" s="198"/>
      <c r="CTI1" s="198"/>
      <c r="CTJ1" s="198"/>
      <c r="CTK1" s="198"/>
      <c r="CTL1" s="198"/>
      <c r="CTM1" s="198"/>
      <c r="CTN1" s="198"/>
      <c r="CTO1" s="198"/>
      <c r="CTP1" s="198"/>
      <c r="CTQ1" s="198"/>
      <c r="CTR1" s="198"/>
      <c r="CTS1" s="198"/>
      <c r="CTT1" s="198"/>
      <c r="CTU1" s="198"/>
      <c r="CTV1" s="198"/>
      <c r="CTW1" s="198"/>
      <c r="CTX1" s="199"/>
      <c r="CTY1" s="199"/>
      <c r="CTZ1" s="200"/>
      <c r="CUA1" s="200"/>
      <c r="CUB1" s="200"/>
      <c r="CUC1" s="200"/>
      <c r="CUD1" s="200"/>
      <c r="CUE1" s="200"/>
      <c r="CUF1" s="200"/>
      <c r="CUG1" s="198"/>
      <c r="CUH1" s="198"/>
      <c r="CUI1" s="198"/>
      <c r="CUJ1" s="198"/>
      <c r="CUK1" s="198"/>
      <c r="CUL1" s="198"/>
      <c r="CUM1" s="198"/>
      <c r="CUN1" s="198"/>
      <c r="CUO1" s="198"/>
      <c r="CUP1" s="198"/>
      <c r="CUQ1" s="198"/>
      <c r="CUR1" s="198"/>
      <c r="CUS1" s="198"/>
      <c r="CUT1" s="198"/>
      <c r="CUU1" s="198"/>
      <c r="CUV1" s="198"/>
      <c r="CUW1" s="198"/>
      <c r="CUX1" s="198"/>
      <c r="CUY1" s="198"/>
      <c r="CUZ1" s="198"/>
      <c r="CVA1" s="198"/>
      <c r="CVB1" s="198"/>
      <c r="CVC1" s="198"/>
      <c r="CVD1" s="198"/>
      <c r="CVE1" s="198"/>
      <c r="CVF1" s="199"/>
      <c r="CVG1" s="199"/>
      <c r="CVH1" s="200"/>
      <c r="CVI1" s="200"/>
      <c r="CVJ1" s="200"/>
      <c r="CVK1" s="200"/>
      <c r="CVL1" s="200"/>
      <c r="CVM1" s="200"/>
      <c r="CVN1" s="200"/>
      <c r="CVO1" s="198"/>
      <c r="CVP1" s="198"/>
      <c r="CVQ1" s="198"/>
      <c r="CVR1" s="198"/>
      <c r="CVS1" s="198"/>
      <c r="CVT1" s="198"/>
      <c r="CVU1" s="198"/>
      <c r="CVV1" s="198"/>
      <c r="CVW1" s="198"/>
      <c r="CVX1" s="198"/>
      <c r="CVY1" s="198"/>
      <c r="CVZ1" s="198"/>
      <c r="CWA1" s="198"/>
      <c r="CWB1" s="198"/>
      <c r="CWC1" s="198"/>
      <c r="CWD1" s="198"/>
      <c r="CWE1" s="198"/>
      <c r="CWF1" s="198"/>
      <c r="CWG1" s="198"/>
      <c r="CWH1" s="198"/>
      <c r="CWI1" s="198"/>
      <c r="CWJ1" s="198"/>
      <c r="CWK1" s="198"/>
      <c r="CWL1" s="198"/>
      <c r="CWM1" s="198"/>
      <c r="CWN1" s="199"/>
      <c r="CWO1" s="199"/>
      <c r="CWP1" s="200"/>
      <c r="CWQ1" s="200"/>
      <c r="CWR1" s="200"/>
      <c r="CWS1" s="200"/>
      <c r="CWT1" s="200"/>
      <c r="CWU1" s="200"/>
      <c r="CWV1" s="200"/>
      <c r="CWW1" s="198"/>
      <c r="CWX1" s="198"/>
      <c r="CWY1" s="198"/>
      <c r="CWZ1" s="198"/>
      <c r="CXA1" s="198"/>
      <c r="CXB1" s="198"/>
      <c r="CXC1" s="198"/>
      <c r="CXD1" s="198"/>
      <c r="CXE1" s="198"/>
      <c r="CXF1" s="198"/>
      <c r="CXG1" s="198"/>
      <c r="CXH1" s="198"/>
      <c r="CXI1" s="198"/>
      <c r="CXJ1" s="198"/>
      <c r="CXK1" s="198"/>
      <c r="CXL1" s="198"/>
      <c r="CXM1" s="198"/>
      <c r="CXN1" s="198"/>
      <c r="CXO1" s="198"/>
      <c r="CXP1" s="198"/>
      <c r="CXQ1" s="198"/>
      <c r="CXR1" s="198"/>
      <c r="CXS1" s="198"/>
      <c r="CXT1" s="198"/>
      <c r="CXU1" s="198"/>
      <c r="CXV1" s="199"/>
      <c r="CXW1" s="199"/>
      <c r="CXX1" s="200"/>
      <c r="CXY1" s="200"/>
      <c r="CXZ1" s="200"/>
      <c r="CYA1" s="200"/>
      <c r="CYB1" s="200"/>
      <c r="CYC1" s="200"/>
      <c r="CYD1" s="200"/>
      <c r="CYE1" s="198"/>
      <c r="CYF1" s="198"/>
      <c r="CYG1" s="198"/>
      <c r="CYH1" s="198"/>
      <c r="CYI1" s="198"/>
      <c r="CYJ1" s="198"/>
      <c r="CYK1" s="198"/>
      <c r="CYL1" s="198"/>
      <c r="CYM1" s="198"/>
      <c r="CYN1" s="198"/>
      <c r="CYO1" s="198"/>
      <c r="CYP1" s="198"/>
      <c r="CYQ1" s="198"/>
      <c r="CYR1" s="198"/>
      <c r="CYS1" s="198"/>
      <c r="CYT1" s="198"/>
      <c r="CYU1" s="198"/>
      <c r="CYV1" s="198"/>
      <c r="CYW1" s="198"/>
      <c r="CYX1" s="198"/>
      <c r="CYY1" s="198"/>
      <c r="CYZ1" s="198"/>
      <c r="CZA1" s="198"/>
      <c r="CZB1" s="198"/>
      <c r="CZC1" s="198"/>
      <c r="CZD1" s="199"/>
      <c r="CZE1" s="199"/>
      <c r="CZF1" s="200"/>
      <c r="CZG1" s="200"/>
      <c r="CZH1" s="200"/>
      <c r="CZI1" s="200"/>
      <c r="CZJ1" s="200"/>
      <c r="CZK1" s="200"/>
      <c r="CZL1" s="200"/>
      <c r="CZM1" s="198"/>
      <c r="CZN1" s="198"/>
      <c r="CZO1" s="198"/>
      <c r="CZP1" s="198"/>
      <c r="CZQ1" s="198"/>
      <c r="CZR1" s="198"/>
      <c r="CZS1" s="198"/>
      <c r="CZT1" s="198"/>
      <c r="CZU1" s="198"/>
      <c r="CZV1" s="198"/>
      <c r="CZW1" s="198"/>
      <c r="CZX1" s="198"/>
      <c r="CZY1" s="198"/>
      <c r="CZZ1" s="198"/>
      <c r="DAA1" s="198"/>
      <c r="DAB1" s="198"/>
      <c r="DAC1" s="198"/>
      <c r="DAD1" s="198"/>
      <c r="DAE1" s="198"/>
      <c r="DAF1" s="198"/>
      <c r="DAG1" s="198"/>
      <c r="DAH1" s="198"/>
      <c r="DAI1" s="198"/>
      <c r="DAJ1" s="198"/>
      <c r="DAK1" s="198"/>
      <c r="DAL1" s="199"/>
      <c r="DAM1" s="199"/>
      <c r="DAN1" s="200"/>
      <c r="DAO1" s="200"/>
      <c r="DAP1" s="200"/>
      <c r="DAQ1" s="200"/>
      <c r="DAR1" s="200"/>
      <c r="DAS1" s="200"/>
      <c r="DAT1" s="200"/>
      <c r="DAU1" s="198"/>
      <c r="DAV1" s="198"/>
      <c r="DAW1" s="198"/>
      <c r="DAX1" s="198"/>
      <c r="DAY1" s="198"/>
      <c r="DAZ1" s="198"/>
      <c r="DBA1" s="198"/>
      <c r="DBB1" s="198"/>
      <c r="DBC1" s="198"/>
      <c r="DBD1" s="198"/>
      <c r="DBE1" s="198"/>
      <c r="DBF1" s="198"/>
      <c r="DBG1" s="198"/>
      <c r="DBH1" s="198"/>
      <c r="DBI1" s="198"/>
      <c r="DBJ1" s="198"/>
      <c r="DBK1" s="198"/>
      <c r="DBL1" s="198"/>
      <c r="DBM1" s="198"/>
      <c r="DBN1" s="198"/>
      <c r="DBO1" s="198"/>
      <c r="DBP1" s="198"/>
      <c r="DBQ1" s="198"/>
      <c r="DBR1" s="198"/>
      <c r="DBS1" s="198"/>
      <c r="DBT1" s="199"/>
      <c r="DBU1" s="199"/>
      <c r="DBV1" s="200"/>
      <c r="DBW1" s="200"/>
      <c r="DBX1" s="200"/>
      <c r="DBY1" s="200"/>
      <c r="DBZ1" s="200"/>
      <c r="DCA1" s="200"/>
      <c r="DCB1" s="200"/>
      <c r="DCC1" s="198"/>
      <c r="DCD1" s="198"/>
      <c r="DCE1" s="198"/>
      <c r="DCF1" s="198"/>
      <c r="DCG1" s="198"/>
      <c r="DCH1" s="198"/>
      <c r="DCI1" s="198"/>
      <c r="DCJ1" s="198"/>
      <c r="DCK1" s="198"/>
      <c r="DCL1" s="198"/>
      <c r="DCM1" s="198"/>
      <c r="DCN1" s="198"/>
      <c r="DCO1" s="198"/>
      <c r="DCP1" s="198"/>
      <c r="DCQ1" s="198"/>
      <c r="DCR1" s="198"/>
      <c r="DCS1" s="198"/>
      <c r="DCT1" s="198"/>
      <c r="DCU1" s="198"/>
      <c r="DCV1" s="198"/>
      <c r="DCW1" s="198"/>
      <c r="DCX1" s="198"/>
      <c r="DCY1" s="198"/>
      <c r="DCZ1" s="198"/>
      <c r="DDA1" s="198"/>
      <c r="DDB1" s="199"/>
      <c r="DDC1" s="199"/>
      <c r="DDD1" s="200"/>
      <c r="DDE1" s="200"/>
      <c r="DDF1" s="200"/>
      <c r="DDG1" s="200"/>
      <c r="DDH1" s="200"/>
      <c r="DDI1" s="200"/>
      <c r="DDJ1" s="200"/>
      <c r="DDK1" s="198"/>
      <c r="DDL1" s="198"/>
      <c r="DDM1" s="198"/>
      <c r="DDN1" s="198"/>
      <c r="DDO1" s="198"/>
      <c r="DDP1" s="198"/>
      <c r="DDQ1" s="198"/>
      <c r="DDR1" s="198"/>
      <c r="DDS1" s="198"/>
      <c r="DDT1" s="198"/>
      <c r="DDU1" s="198"/>
      <c r="DDV1" s="198"/>
      <c r="DDW1" s="198"/>
      <c r="DDX1" s="198"/>
      <c r="DDY1" s="198"/>
      <c r="DDZ1" s="198"/>
      <c r="DEA1" s="198"/>
      <c r="DEB1" s="198"/>
      <c r="DEC1" s="198"/>
      <c r="DED1" s="198"/>
      <c r="DEE1" s="198"/>
      <c r="DEF1" s="198"/>
      <c r="DEG1" s="198"/>
      <c r="DEH1" s="198"/>
      <c r="DEI1" s="198"/>
      <c r="DEJ1" s="199"/>
      <c r="DEK1" s="199"/>
      <c r="DEL1" s="200"/>
      <c r="DEM1" s="200"/>
      <c r="DEN1" s="200"/>
      <c r="DEO1" s="200"/>
      <c r="DEP1" s="200"/>
      <c r="DEQ1" s="200"/>
      <c r="DER1" s="200"/>
      <c r="DES1" s="198"/>
      <c r="DET1" s="198"/>
      <c r="DEU1" s="198"/>
      <c r="DEV1" s="198"/>
      <c r="DEW1" s="198"/>
      <c r="DEX1" s="198"/>
      <c r="DEY1" s="198"/>
      <c r="DEZ1" s="198"/>
      <c r="DFA1" s="198"/>
      <c r="DFB1" s="198"/>
      <c r="DFC1" s="198"/>
      <c r="DFD1" s="198"/>
      <c r="DFE1" s="198"/>
      <c r="DFF1" s="198"/>
      <c r="DFG1" s="198"/>
      <c r="DFH1" s="198"/>
      <c r="DFI1" s="198"/>
      <c r="DFJ1" s="198"/>
      <c r="DFK1" s="198"/>
      <c r="DFL1" s="198"/>
      <c r="DFM1" s="198"/>
      <c r="DFN1" s="198"/>
      <c r="DFO1" s="198"/>
      <c r="DFP1" s="198"/>
      <c r="DFQ1" s="198"/>
      <c r="DFR1" s="199"/>
      <c r="DFS1" s="199"/>
      <c r="DFT1" s="200"/>
      <c r="DFU1" s="200"/>
      <c r="DFV1" s="200"/>
      <c r="DFW1" s="200"/>
      <c r="DFX1" s="200"/>
      <c r="DFY1" s="200"/>
      <c r="DFZ1" s="200"/>
      <c r="DGA1" s="198"/>
      <c r="DGB1" s="198"/>
      <c r="DGC1" s="198"/>
      <c r="DGD1" s="198"/>
      <c r="DGE1" s="198"/>
      <c r="DGF1" s="198"/>
      <c r="DGG1" s="198"/>
      <c r="DGH1" s="198"/>
      <c r="DGI1" s="198"/>
      <c r="DGJ1" s="198"/>
      <c r="DGK1" s="198"/>
      <c r="DGL1" s="198"/>
      <c r="DGM1" s="198"/>
      <c r="DGN1" s="198"/>
      <c r="DGO1" s="198"/>
      <c r="DGP1" s="198"/>
      <c r="DGQ1" s="198"/>
      <c r="DGR1" s="198"/>
      <c r="DGS1" s="198"/>
      <c r="DGT1" s="198"/>
      <c r="DGU1" s="198"/>
      <c r="DGV1" s="198"/>
      <c r="DGW1" s="198"/>
      <c r="DGX1" s="198"/>
      <c r="DGY1" s="198"/>
      <c r="DGZ1" s="199"/>
      <c r="DHA1" s="199"/>
      <c r="DHB1" s="200"/>
      <c r="DHC1" s="200"/>
      <c r="DHD1" s="200"/>
      <c r="DHE1" s="200"/>
      <c r="DHF1" s="200"/>
      <c r="DHG1" s="200"/>
      <c r="DHH1" s="200"/>
      <c r="DHI1" s="198"/>
      <c r="DHJ1" s="198"/>
      <c r="DHK1" s="198"/>
      <c r="DHL1" s="198"/>
      <c r="DHM1" s="198"/>
      <c r="DHN1" s="198"/>
      <c r="DHO1" s="198"/>
      <c r="DHP1" s="198"/>
      <c r="DHQ1" s="198"/>
      <c r="DHR1" s="198"/>
      <c r="DHS1" s="198"/>
      <c r="DHT1" s="198"/>
      <c r="DHU1" s="198"/>
      <c r="DHV1" s="198"/>
      <c r="DHW1" s="198"/>
      <c r="DHX1" s="198"/>
      <c r="DHY1" s="198"/>
      <c r="DHZ1" s="198"/>
      <c r="DIA1" s="198"/>
      <c r="DIB1" s="198"/>
      <c r="DIC1" s="198"/>
      <c r="DID1" s="198"/>
      <c r="DIE1" s="198"/>
      <c r="DIF1" s="198"/>
      <c r="DIG1" s="198"/>
      <c r="DIH1" s="199"/>
      <c r="DII1" s="199"/>
      <c r="DIJ1" s="200"/>
      <c r="DIK1" s="200"/>
      <c r="DIL1" s="200"/>
      <c r="DIM1" s="200"/>
      <c r="DIN1" s="200"/>
      <c r="DIO1" s="200"/>
      <c r="DIP1" s="200"/>
      <c r="DIQ1" s="198"/>
      <c r="DIR1" s="198"/>
      <c r="DIS1" s="198"/>
      <c r="DIT1" s="198"/>
      <c r="DIU1" s="198"/>
      <c r="DIV1" s="198"/>
      <c r="DIW1" s="198"/>
      <c r="DIX1" s="198"/>
      <c r="DIY1" s="198"/>
      <c r="DIZ1" s="198"/>
      <c r="DJA1" s="198"/>
      <c r="DJB1" s="198"/>
      <c r="DJC1" s="198"/>
      <c r="DJD1" s="198"/>
      <c r="DJE1" s="198"/>
      <c r="DJF1" s="198"/>
      <c r="DJG1" s="198"/>
      <c r="DJH1" s="198"/>
      <c r="DJI1" s="198"/>
      <c r="DJJ1" s="198"/>
      <c r="DJK1" s="198"/>
      <c r="DJL1" s="198"/>
      <c r="DJM1" s="198"/>
      <c r="DJN1" s="198"/>
      <c r="DJO1" s="198"/>
      <c r="DJP1" s="199"/>
      <c r="DJQ1" s="199"/>
      <c r="DJR1" s="200"/>
      <c r="DJS1" s="200"/>
      <c r="DJT1" s="200"/>
      <c r="DJU1" s="200"/>
      <c r="DJV1" s="200"/>
      <c r="DJW1" s="200"/>
      <c r="DJX1" s="200"/>
      <c r="DJY1" s="198"/>
      <c r="DJZ1" s="198"/>
      <c r="DKA1" s="198"/>
      <c r="DKB1" s="198"/>
      <c r="DKC1" s="198"/>
      <c r="DKD1" s="198"/>
      <c r="DKE1" s="198"/>
      <c r="DKF1" s="198"/>
      <c r="DKG1" s="198"/>
      <c r="DKH1" s="198"/>
      <c r="DKI1" s="198"/>
      <c r="DKJ1" s="198"/>
      <c r="DKK1" s="198"/>
      <c r="DKL1" s="198"/>
      <c r="DKM1" s="198"/>
      <c r="DKN1" s="198"/>
      <c r="DKO1" s="198"/>
      <c r="DKP1" s="198"/>
      <c r="DKQ1" s="198"/>
      <c r="DKR1" s="198"/>
      <c r="DKS1" s="198"/>
      <c r="DKT1" s="198"/>
      <c r="DKU1" s="198"/>
      <c r="DKV1" s="198"/>
      <c r="DKW1" s="198"/>
      <c r="DKX1" s="199"/>
      <c r="DKY1" s="199"/>
      <c r="DKZ1" s="200"/>
      <c r="DLA1" s="200"/>
      <c r="DLB1" s="200"/>
      <c r="DLC1" s="200"/>
      <c r="DLD1" s="200"/>
      <c r="DLE1" s="200"/>
      <c r="DLF1" s="200"/>
      <c r="DLG1" s="198"/>
      <c r="DLH1" s="198"/>
      <c r="DLI1" s="198"/>
      <c r="DLJ1" s="198"/>
      <c r="DLK1" s="198"/>
      <c r="DLL1" s="198"/>
      <c r="DLM1" s="198"/>
      <c r="DLN1" s="198"/>
      <c r="DLO1" s="198"/>
      <c r="DLP1" s="198"/>
      <c r="DLQ1" s="198"/>
      <c r="DLR1" s="198"/>
      <c r="DLS1" s="198"/>
      <c r="DLT1" s="198"/>
      <c r="DLU1" s="198"/>
      <c r="DLV1" s="198"/>
      <c r="DLW1" s="198"/>
      <c r="DLX1" s="198"/>
      <c r="DLY1" s="198"/>
      <c r="DLZ1" s="198"/>
      <c r="DMA1" s="198"/>
      <c r="DMB1" s="198"/>
      <c r="DMC1" s="198"/>
      <c r="DMD1" s="198"/>
      <c r="DME1" s="198"/>
      <c r="DMF1" s="199"/>
      <c r="DMG1" s="199"/>
      <c r="DMH1" s="200"/>
      <c r="DMI1" s="200"/>
      <c r="DMJ1" s="200"/>
      <c r="DMK1" s="200"/>
      <c r="DML1" s="200"/>
      <c r="DMM1" s="200"/>
      <c r="DMN1" s="200"/>
      <c r="DMO1" s="198"/>
      <c r="DMP1" s="198"/>
      <c r="DMQ1" s="198"/>
      <c r="DMR1" s="198"/>
      <c r="DMS1" s="198"/>
      <c r="DMT1" s="198"/>
      <c r="DMU1" s="198"/>
      <c r="DMV1" s="198"/>
      <c r="DMW1" s="198"/>
      <c r="DMX1" s="198"/>
      <c r="DMY1" s="198"/>
      <c r="DMZ1" s="198"/>
      <c r="DNA1" s="198"/>
      <c r="DNB1" s="198"/>
      <c r="DNC1" s="198"/>
      <c r="DND1" s="198"/>
      <c r="DNE1" s="198"/>
      <c r="DNF1" s="198"/>
      <c r="DNG1" s="198"/>
      <c r="DNH1" s="198"/>
      <c r="DNI1" s="198"/>
      <c r="DNJ1" s="198"/>
      <c r="DNK1" s="198"/>
      <c r="DNL1" s="198"/>
      <c r="DNM1" s="198"/>
      <c r="DNN1" s="199"/>
      <c r="DNO1" s="199"/>
      <c r="DNP1" s="200"/>
      <c r="DNQ1" s="200"/>
      <c r="DNR1" s="200"/>
      <c r="DNS1" s="200"/>
      <c r="DNT1" s="200"/>
      <c r="DNU1" s="200"/>
      <c r="DNV1" s="200"/>
      <c r="DNW1" s="198"/>
      <c r="DNX1" s="198"/>
      <c r="DNY1" s="198"/>
      <c r="DNZ1" s="198"/>
      <c r="DOA1" s="198"/>
      <c r="DOB1" s="198"/>
      <c r="DOC1" s="198"/>
      <c r="DOD1" s="198"/>
      <c r="DOE1" s="198"/>
      <c r="DOF1" s="198"/>
      <c r="DOG1" s="198"/>
      <c r="DOH1" s="198"/>
      <c r="DOI1" s="198"/>
      <c r="DOJ1" s="198"/>
      <c r="DOK1" s="198"/>
      <c r="DOL1" s="198"/>
      <c r="DOM1" s="198"/>
      <c r="DON1" s="198"/>
      <c r="DOO1" s="198"/>
      <c r="DOP1" s="198"/>
      <c r="DOQ1" s="198"/>
      <c r="DOR1" s="198"/>
      <c r="DOS1" s="198"/>
      <c r="DOT1" s="198"/>
      <c r="DOU1" s="198"/>
      <c r="DOV1" s="199"/>
      <c r="DOW1" s="199"/>
      <c r="DOX1" s="200"/>
      <c r="DOY1" s="200"/>
      <c r="DOZ1" s="200"/>
      <c r="DPA1" s="200"/>
      <c r="DPB1" s="200"/>
      <c r="DPC1" s="200"/>
      <c r="DPD1" s="200"/>
      <c r="DPE1" s="198"/>
      <c r="DPF1" s="198"/>
      <c r="DPG1" s="198"/>
      <c r="DPH1" s="198"/>
      <c r="DPI1" s="198"/>
      <c r="DPJ1" s="198"/>
      <c r="DPK1" s="198"/>
      <c r="DPL1" s="198"/>
      <c r="DPM1" s="198"/>
      <c r="DPN1" s="198"/>
      <c r="DPO1" s="198"/>
      <c r="DPP1" s="198"/>
      <c r="DPQ1" s="198"/>
      <c r="DPR1" s="198"/>
      <c r="DPS1" s="198"/>
      <c r="DPT1" s="198"/>
      <c r="DPU1" s="198"/>
      <c r="DPV1" s="198"/>
      <c r="DPW1" s="198"/>
      <c r="DPX1" s="198"/>
      <c r="DPY1" s="198"/>
      <c r="DPZ1" s="198"/>
      <c r="DQA1" s="198"/>
      <c r="DQB1" s="198"/>
      <c r="DQC1" s="198"/>
      <c r="DQD1" s="199"/>
      <c r="DQE1" s="199"/>
      <c r="DQF1" s="200"/>
      <c r="DQG1" s="200"/>
      <c r="DQH1" s="200"/>
      <c r="DQI1" s="200"/>
      <c r="DQJ1" s="200"/>
      <c r="DQK1" s="200"/>
      <c r="DQL1" s="200"/>
      <c r="DQM1" s="198"/>
      <c r="DQN1" s="198"/>
      <c r="DQO1" s="198"/>
      <c r="DQP1" s="198"/>
      <c r="DQQ1" s="198"/>
      <c r="DQR1" s="198"/>
      <c r="DQS1" s="198"/>
      <c r="DQT1" s="198"/>
      <c r="DQU1" s="198"/>
      <c r="DQV1" s="198"/>
      <c r="DQW1" s="198"/>
      <c r="DQX1" s="198"/>
      <c r="DQY1" s="198"/>
      <c r="DQZ1" s="198"/>
      <c r="DRA1" s="198"/>
      <c r="DRB1" s="198"/>
      <c r="DRC1" s="198"/>
      <c r="DRD1" s="198"/>
      <c r="DRE1" s="198"/>
      <c r="DRF1" s="198"/>
      <c r="DRG1" s="198"/>
      <c r="DRH1" s="198"/>
      <c r="DRI1" s="198"/>
      <c r="DRJ1" s="198"/>
      <c r="DRK1" s="198"/>
      <c r="DRL1" s="199"/>
      <c r="DRM1" s="199"/>
      <c r="DRN1" s="200"/>
      <c r="DRO1" s="200"/>
      <c r="DRP1" s="200"/>
      <c r="DRQ1" s="200"/>
      <c r="DRR1" s="200"/>
      <c r="DRS1" s="200"/>
      <c r="DRT1" s="200"/>
      <c r="DRU1" s="198"/>
      <c r="DRV1" s="198"/>
      <c r="DRW1" s="198"/>
      <c r="DRX1" s="198"/>
      <c r="DRY1" s="198"/>
      <c r="DRZ1" s="198"/>
      <c r="DSA1" s="198"/>
      <c r="DSB1" s="198"/>
      <c r="DSC1" s="198"/>
      <c r="DSD1" s="198"/>
      <c r="DSE1" s="198"/>
      <c r="DSF1" s="198"/>
      <c r="DSG1" s="198"/>
      <c r="DSH1" s="198"/>
      <c r="DSI1" s="198"/>
      <c r="DSJ1" s="198"/>
      <c r="DSK1" s="198"/>
      <c r="DSL1" s="198"/>
      <c r="DSM1" s="198"/>
      <c r="DSN1" s="198"/>
      <c r="DSO1" s="198"/>
      <c r="DSP1" s="198"/>
      <c r="DSQ1" s="198"/>
      <c r="DSR1" s="198"/>
      <c r="DSS1" s="198"/>
      <c r="DST1" s="199"/>
      <c r="DSU1" s="199"/>
      <c r="DSV1" s="200"/>
      <c r="DSW1" s="200"/>
      <c r="DSX1" s="200"/>
      <c r="DSY1" s="200"/>
      <c r="DSZ1" s="200"/>
      <c r="DTA1" s="200"/>
      <c r="DTB1" s="200"/>
      <c r="DTC1" s="198"/>
      <c r="DTD1" s="198"/>
      <c r="DTE1" s="198"/>
      <c r="DTF1" s="198"/>
      <c r="DTG1" s="198"/>
      <c r="DTH1" s="198"/>
      <c r="DTI1" s="198"/>
      <c r="DTJ1" s="198"/>
      <c r="DTK1" s="198"/>
      <c r="DTL1" s="198"/>
      <c r="DTM1" s="198"/>
      <c r="DTN1" s="198"/>
      <c r="DTO1" s="198"/>
      <c r="DTP1" s="198"/>
      <c r="DTQ1" s="198"/>
      <c r="DTR1" s="198"/>
      <c r="DTS1" s="198"/>
      <c r="DTT1" s="198"/>
      <c r="DTU1" s="198"/>
      <c r="DTV1" s="198"/>
      <c r="DTW1" s="198"/>
      <c r="DTX1" s="198"/>
      <c r="DTY1" s="198"/>
      <c r="DTZ1" s="198"/>
      <c r="DUA1" s="198"/>
      <c r="DUB1" s="199"/>
      <c r="DUC1" s="199"/>
      <c r="DUD1" s="200"/>
      <c r="DUE1" s="200"/>
      <c r="DUF1" s="200"/>
      <c r="DUG1" s="200"/>
      <c r="DUH1" s="200"/>
      <c r="DUI1" s="200"/>
      <c r="DUJ1" s="200"/>
      <c r="DUK1" s="198"/>
      <c r="DUL1" s="198"/>
      <c r="DUM1" s="198"/>
      <c r="DUN1" s="198"/>
      <c r="DUO1" s="198"/>
      <c r="DUP1" s="198"/>
      <c r="DUQ1" s="198"/>
      <c r="DUR1" s="198"/>
      <c r="DUS1" s="198"/>
      <c r="DUT1" s="198"/>
      <c r="DUU1" s="198"/>
      <c r="DUV1" s="198"/>
      <c r="DUW1" s="198"/>
      <c r="DUX1" s="198"/>
      <c r="DUY1" s="198"/>
      <c r="DUZ1" s="198"/>
      <c r="DVA1" s="198"/>
      <c r="DVB1" s="198"/>
      <c r="DVC1" s="198"/>
      <c r="DVD1" s="198"/>
      <c r="DVE1" s="198"/>
      <c r="DVF1" s="198"/>
      <c r="DVG1" s="198"/>
      <c r="DVH1" s="198"/>
      <c r="DVI1" s="198"/>
      <c r="DVJ1" s="199"/>
      <c r="DVK1" s="199"/>
      <c r="DVL1" s="200"/>
      <c r="DVM1" s="200"/>
      <c r="DVN1" s="200"/>
      <c r="DVO1" s="200"/>
      <c r="DVP1" s="200"/>
      <c r="DVQ1" s="200"/>
      <c r="DVR1" s="200"/>
      <c r="DVS1" s="198"/>
      <c r="DVT1" s="198"/>
      <c r="DVU1" s="198"/>
      <c r="DVV1" s="198"/>
      <c r="DVW1" s="198"/>
      <c r="DVX1" s="198"/>
      <c r="DVY1" s="198"/>
      <c r="DVZ1" s="198"/>
      <c r="DWA1" s="198"/>
      <c r="DWB1" s="198"/>
      <c r="DWC1" s="198"/>
      <c r="DWD1" s="198"/>
      <c r="DWE1" s="198"/>
      <c r="DWF1" s="198"/>
      <c r="DWG1" s="198"/>
      <c r="DWH1" s="198"/>
      <c r="DWI1" s="198"/>
      <c r="DWJ1" s="198"/>
      <c r="DWK1" s="198"/>
      <c r="DWL1" s="198"/>
      <c r="DWM1" s="198"/>
      <c r="DWN1" s="198"/>
      <c r="DWO1" s="198"/>
      <c r="DWP1" s="198"/>
      <c r="DWQ1" s="198"/>
      <c r="DWR1" s="199"/>
      <c r="DWS1" s="199"/>
      <c r="DWT1" s="200"/>
      <c r="DWU1" s="200"/>
      <c r="DWV1" s="200"/>
      <c r="DWW1" s="200"/>
      <c r="DWX1" s="200"/>
      <c r="DWY1" s="200"/>
      <c r="DWZ1" s="200"/>
      <c r="DXA1" s="198"/>
      <c r="DXB1" s="198"/>
      <c r="DXC1" s="198"/>
      <c r="DXD1" s="198"/>
      <c r="DXE1" s="198"/>
      <c r="DXF1" s="198"/>
      <c r="DXG1" s="198"/>
      <c r="DXH1" s="198"/>
      <c r="DXI1" s="198"/>
      <c r="DXJ1" s="198"/>
      <c r="DXK1" s="198"/>
      <c r="DXL1" s="198"/>
      <c r="DXM1" s="198"/>
      <c r="DXN1" s="198"/>
      <c r="DXO1" s="198"/>
      <c r="DXP1" s="198"/>
      <c r="DXQ1" s="198"/>
      <c r="DXR1" s="198"/>
      <c r="DXS1" s="198"/>
      <c r="DXT1" s="198"/>
      <c r="DXU1" s="198"/>
      <c r="DXV1" s="198"/>
      <c r="DXW1" s="198"/>
      <c r="DXX1" s="198"/>
      <c r="DXY1" s="198"/>
      <c r="DXZ1" s="199"/>
      <c r="DYA1" s="199"/>
      <c r="DYB1" s="200"/>
      <c r="DYC1" s="200"/>
      <c r="DYD1" s="200"/>
      <c r="DYE1" s="200"/>
      <c r="DYF1" s="200"/>
      <c r="DYG1" s="200"/>
      <c r="DYH1" s="200"/>
      <c r="DYI1" s="198"/>
      <c r="DYJ1" s="198"/>
      <c r="DYK1" s="198"/>
      <c r="DYL1" s="198"/>
      <c r="DYM1" s="198"/>
      <c r="DYN1" s="198"/>
      <c r="DYO1" s="198"/>
      <c r="DYP1" s="198"/>
      <c r="DYQ1" s="198"/>
      <c r="DYR1" s="198"/>
      <c r="DYS1" s="198"/>
      <c r="DYT1" s="198"/>
      <c r="DYU1" s="198"/>
      <c r="DYV1" s="198"/>
      <c r="DYW1" s="198"/>
      <c r="DYX1" s="198"/>
      <c r="DYY1" s="198"/>
      <c r="DYZ1" s="198"/>
      <c r="DZA1" s="198"/>
      <c r="DZB1" s="198"/>
      <c r="DZC1" s="198"/>
      <c r="DZD1" s="198"/>
      <c r="DZE1" s="198"/>
      <c r="DZF1" s="198"/>
      <c r="DZG1" s="198"/>
      <c r="DZH1" s="199"/>
      <c r="DZI1" s="199"/>
      <c r="DZJ1" s="200"/>
      <c r="DZK1" s="200"/>
      <c r="DZL1" s="200"/>
      <c r="DZM1" s="200"/>
      <c r="DZN1" s="200"/>
      <c r="DZO1" s="200"/>
      <c r="DZP1" s="200"/>
      <c r="DZQ1" s="198"/>
      <c r="DZR1" s="198"/>
      <c r="DZS1" s="198"/>
      <c r="DZT1" s="198"/>
      <c r="DZU1" s="198"/>
      <c r="DZV1" s="198"/>
      <c r="DZW1" s="198"/>
      <c r="DZX1" s="198"/>
      <c r="DZY1" s="198"/>
      <c r="DZZ1" s="198"/>
      <c r="EAA1" s="198"/>
      <c r="EAB1" s="198"/>
      <c r="EAC1" s="198"/>
      <c r="EAD1" s="198"/>
      <c r="EAE1" s="198"/>
      <c r="EAF1" s="198"/>
      <c r="EAG1" s="198"/>
      <c r="EAH1" s="198"/>
      <c r="EAI1" s="198"/>
      <c r="EAJ1" s="198"/>
      <c r="EAK1" s="198"/>
      <c r="EAL1" s="198"/>
      <c r="EAM1" s="198"/>
      <c r="EAN1" s="198"/>
      <c r="EAO1" s="198"/>
      <c r="EAP1" s="199"/>
      <c r="EAQ1" s="199"/>
      <c r="EAR1" s="200"/>
      <c r="EAS1" s="200"/>
      <c r="EAT1" s="200"/>
      <c r="EAU1" s="200"/>
      <c r="EAV1" s="200"/>
      <c r="EAW1" s="200"/>
      <c r="EAX1" s="200"/>
      <c r="EAY1" s="198"/>
      <c r="EAZ1" s="198"/>
      <c r="EBA1" s="198"/>
      <c r="EBB1" s="198"/>
      <c r="EBC1" s="198"/>
      <c r="EBD1" s="198"/>
      <c r="EBE1" s="198"/>
      <c r="EBF1" s="198"/>
      <c r="EBG1" s="198"/>
      <c r="EBH1" s="198"/>
      <c r="EBI1" s="198"/>
      <c r="EBJ1" s="198"/>
      <c r="EBK1" s="198"/>
      <c r="EBL1" s="198"/>
      <c r="EBM1" s="198"/>
      <c r="EBN1" s="198"/>
      <c r="EBO1" s="198"/>
      <c r="EBP1" s="198"/>
      <c r="EBQ1" s="198"/>
      <c r="EBR1" s="198"/>
      <c r="EBS1" s="198"/>
      <c r="EBT1" s="198"/>
      <c r="EBU1" s="198"/>
      <c r="EBV1" s="198"/>
      <c r="EBW1" s="198"/>
      <c r="EBX1" s="199"/>
      <c r="EBY1" s="199"/>
      <c r="EBZ1" s="200"/>
      <c r="ECA1" s="200"/>
      <c r="ECB1" s="200"/>
      <c r="ECC1" s="200"/>
      <c r="ECD1" s="200"/>
      <c r="ECE1" s="200"/>
      <c r="ECF1" s="200"/>
      <c r="ECG1" s="198"/>
      <c r="ECH1" s="198"/>
      <c r="ECI1" s="198"/>
      <c r="ECJ1" s="198"/>
      <c r="ECK1" s="198"/>
      <c r="ECL1" s="198"/>
      <c r="ECM1" s="198"/>
      <c r="ECN1" s="198"/>
      <c r="ECO1" s="198"/>
      <c r="ECP1" s="198"/>
      <c r="ECQ1" s="198"/>
      <c r="ECR1" s="198"/>
      <c r="ECS1" s="198"/>
      <c r="ECT1" s="198"/>
      <c r="ECU1" s="198"/>
      <c r="ECV1" s="198"/>
      <c r="ECW1" s="198"/>
      <c r="ECX1" s="198"/>
      <c r="ECY1" s="198"/>
      <c r="ECZ1" s="198"/>
      <c r="EDA1" s="198"/>
      <c r="EDB1" s="198"/>
      <c r="EDC1" s="198"/>
      <c r="EDD1" s="198"/>
      <c r="EDE1" s="198"/>
      <c r="EDF1" s="199"/>
      <c r="EDG1" s="199"/>
      <c r="EDH1" s="200"/>
      <c r="EDI1" s="200"/>
      <c r="EDJ1" s="200"/>
      <c r="EDK1" s="200"/>
      <c r="EDL1" s="200"/>
      <c r="EDM1" s="200"/>
      <c r="EDN1" s="200"/>
      <c r="EDO1" s="198"/>
      <c r="EDP1" s="198"/>
      <c r="EDQ1" s="198"/>
      <c r="EDR1" s="198"/>
      <c r="EDS1" s="198"/>
      <c r="EDT1" s="198"/>
      <c r="EDU1" s="198"/>
      <c r="EDV1" s="198"/>
      <c r="EDW1" s="198"/>
      <c r="EDX1" s="198"/>
      <c r="EDY1" s="198"/>
      <c r="EDZ1" s="198"/>
      <c r="EEA1" s="198"/>
      <c r="EEB1" s="198"/>
      <c r="EEC1" s="198"/>
      <c r="EED1" s="198"/>
      <c r="EEE1" s="198"/>
      <c r="EEF1" s="198"/>
      <c r="EEG1" s="198"/>
      <c r="EEH1" s="198"/>
      <c r="EEI1" s="198"/>
      <c r="EEJ1" s="198"/>
      <c r="EEK1" s="198"/>
      <c r="EEL1" s="198"/>
      <c r="EEM1" s="198"/>
      <c r="EEN1" s="199"/>
      <c r="EEO1" s="199"/>
      <c r="EEP1" s="200"/>
      <c r="EEQ1" s="200"/>
      <c r="EER1" s="200"/>
      <c r="EES1" s="200"/>
      <c r="EET1" s="200"/>
      <c r="EEU1" s="200"/>
      <c r="EEV1" s="200"/>
      <c r="EEW1" s="198"/>
      <c r="EEX1" s="198"/>
      <c r="EEY1" s="198"/>
      <c r="EEZ1" s="198"/>
      <c r="EFA1" s="198"/>
      <c r="EFB1" s="198"/>
      <c r="EFC1" s="198"/>
      <c r="EFD1" s="198"/>
      <c r="EFE1" s="198"/>
      <c r="EFF1" s="198"/>
      <c r="EFG1" s="198"/>
      <c r="EFH1" s="198"/>
      <c r="EFI1" s="198"/>
      <c r="EFJ1" s="198"/>
      <c r="EFK1" s="198"/>
      <c r="EFL1" s="198"/>
      <c r="EFM1" s="198"/>
      <c r="EFN1" s="198"/>
      <c r="EFO1" s="198"/>
      <c r="EFP1" s="198"/>
      <c r="EFQ1" s="198"/>
      <c r="EFR1" s="198"/>
      <c r="EFS1" s="198"/>
      <c r="EFT1" s="198"/>
      <c r="EFU1" s="198"/>
      <c r="EFV1" s="199"/>
      <c r="EFW1" s="199"/>
      <c r="EFX1" s="200"/>
      <c r="EFY1" s="200"/>
      <c r="EFZ1" s="200"/>
      <c r="EGA1" s="200"/>
      <c r="EGB1" s="200"/>
      <c r="EGC1" s="200"/>
      <c r="EGD1" s="200"/>
      <c r="EGE1" s="198"/>
      <c r="EGF1" s="198"/>
      <c r="EGG1" s="198"/>
      <c r="EGH1" s="198"/>
      <c r="EGI1" s="198"/>
      <c r="EGJ1" s="198"/>
      <c r="EGK1" s="198"/>
      <c r="EGL1" s="198"/>
      <c r="EGM1" s="198"/>
      <c r="EGN1" s="198"/>
      <c r="EGO1" s="198"/>
      <c r="EGP1" s="198"/>
      <c r="EGQ1" s="198"/>
      <c r="EGR1" s="198"/>
      <c r="EGS1" s="198"/>
      <c r="EGT1" s="198"/>
      <c r="EGU1" s="198"/>
      <c r="EGV1" s="198"/>
      <c r="EGW1" s="198"/>
      <c r="EGX1" s="198"/>
      <c r="EGY1" s="198"/>
      <c r="EGZ1" s="198"/>
      <c r="EHA1" s="198"/>
      <c r="EHB1" s="198"/>
      <c r="EHC1" s="198"/>
      <c r="EHD1" s="199"/>
      <c r="EHE1" s="199"/>
      <c r="EHF1" s="200"/>
      <c r="EHG1" s="200"/>
      <c r="EHH1" s="200"/>
      <c r="EHI1" s="200"/>
      <c r="EHJ1" s="200"/>
      <c r="EHK1" s="200"/>
      <c r="EHL1" s="200"/>
      <c r="EHM1" s="198"/>
      <c r="EHN1" s="198"/>
      <c r="EHO1" s="198"/>
      <c r="EHP1" s="198"/>
      <c r="EHQ1" s="198"/>
      <c r="EHR1" s="198"/>
      <c r="EHS1" s="198"/>
      <c r="EHT1" s="198"/>
      <c r="EHU1" s="198"/>
      <c r="EHV1" s="198"/>
      <c r="EHW1" s="198"/>
      <c r="EHX1" s="198"/>
      <c r="EHY1" s="198"/>
      <c r="EHZ1" s="198"/>
      <c r="EIA1" s="198"/>
      <c r="EIB1" s="198"/>
      <c r="EIC1" s="198"/>
      <c r="EID1" s="198"/>
      <c r="EIE1" s="198"/>
      <c r="EIF1" s="198"/>
      <c r="EIG1" s="198"/>
      <c r="EIH1" s="198"/>
      <c r="EII1" s="198"/>
      <c r="EIJ1" s="198"/>
      <c r="EIK1" s="198"/>
      <c r="EIL1" s="199"/>
      <c r="EIM1" s="199"/>
      <c r="EIN1" s="200"/>
      <c r="EIO1" s="200"/>
      <c r="EIP1" s="200"/>
      <c r="EIQ1" s="200"/>
      <c r="EIR1" s="200"/>
      <c r="EIS1" s="200"/>
      <c r="EIT1" s="200"/>
      <c r="EIU1" s="198"/>
      <c r="EIV1" s="198"/>
      <c r="EIW1" s="198"/>
      <c r="EIX1" s="198"/>
      <c r="EIY1" s="198"/>
      <c r="EIZ1" s="198"/>
      <c r="EJA1" s="198"/>
      <c r="EJB1" s="198"/>
      <c r="EJC1" s="198"/>
      <c r="EJD1" s="198"/>
      <c r="EJE1" s="198"/>
      <c r="EJF1" s="198"/>
      <c r="EJG1" s="198"/>
      <c r="EJH1" s="198"/>
      <c r="EJI1" s="198"/>
      <c r="EJJ1" s="198"/>
      <c r="EJK1" s="198"/>
      <c r="EJL1" s="198"/>
      <c r="EJM1" s="198"/>
      <c r="EJN1" s="198"/>
      <c r="EJO1" s="198"/>
      <c r="EJP1" s="198"/>
      <c r="EJQ1" s="198"/>
      <c r="EJR1" s="198"/>
      <c r="EJS1" s="198"/>
      <c r="EJT1" s="199"/>
      <c r="EJU1" s="199"/>
      <c r="EJV1" s="200"/>
      <c r="EJW1" s="200"/>
      <c r="EJX1" s="200"/>
      <c r="EJY1" s="200"/>
      <c r="EJZ1" s="200"/>
      <c r="EKA1" s="200"/>
      <c r="EKB1" s="200"/>
      <c r="EKC1" s="198"/>
      <c r="EKD1" s="198"/>
      <c r="EKE1" s="198"/>
      <c r="EKF1" s="198"/>
      <c r="EKG1" s="198"/>
      <c r="EKH1" s="198"/>
      <c r="EKI1" s="198"/>
      <c r="EKJ1" s="198"/>
      <c r="EKK1" s="198"/>
      <c r="EKL1" s="198"/>
      <c r="EKM1" s="198"/>
      <c r="EKN1" s="198"/>
      <c r="EKO1" s="198"/>
      <c r="EKP1" s="198"/>
      <c r="EKQ1" s="198"/>
      <c r="EKR1" s="198"/>
      <c r="EKS1" s="198"/>
      <c r="EKT1" s="198"/>
      <c r="EKU1" s="198"/>
      <c r="EKV1" s="198"/>
      <c r="EKW1" s="198"/>
      <c r="EKX1" s="198"/>
      <c r="EKY1" s="198"/>
      <c r="EKZ1" s="198"/>
      <c r="ELA1" s="198"/>
      <c r="ELB1" s="199"/>
      <c r="ELC1" s="199"/>
      <c r="ELD1" s="200"/>
      <c r="ELE1" s="200"/>
      <c r="ELF1" s="200"/>
      <c r="ELG1" s="200"/>
      <c r="ELH1" s="200"/>
      <c r="ELI1" s="200"/>
      <c r="ELJ1" s="200"/>
      <c r="ELK1" s="198"/>
      <c r="ELL1" s="198"/>
      <c r="ELM1" s="198"/>
      <c r="ELN1" s="198"/>
      <c r="ELO1" s="198"/>
      <c r="ELP1" s="198"/>
      <c r="ELQ1" s="198"/>
      <c r="ELR1" s="198"/>
      <c r="ELS1" s="198"/>
      <c r="ELT1" s="198"/>
      <c r="ELU1" s="198"/>
      <c r="ELV1" s="198"/>
      <c r="ELW1" s="198"/>
      <c r="ELX1" s="198"/>
      <c r="ELY1" s="198"/>
      <c r="ELZ1" s="198"/>
      <c r="EMA1" s="198"/>
      <c r="EMB1" s="198"/>
      <c r="EMC1" s="198"/>
      <c r="EMD1" s="198"/>
      <c r="EME1" s="198"/>
      <c r="EMF1" s="198"/>
      <c r="EMG1" s="198"/>
      <c r="EMH1" s="198"/>
      <c r="EMI1" s="198"/>
      <c r="EMJ1" s="199"/>
      <c r="EMK1" s="199"/>
      <c r="EML1" s="200"/>
      <c r="EMM1" s="200"/>
      <c r="EMN1" s="200"/>
      <c r="EMO1" s="200"/>
      <c r="EMP1" s="200"/>
      <c r="EMQ1" s="200"/>
      <c r="EMR1" s="200"/>
      <c r="EMS1" s="198"/>
      <c r="EMT1" s="198"/>
      <c r="EMU1" s="198"/>
      <c r="EMV1" s="198"/>
      <c r="EMW1" s="198"/>
      <c r="EMX1" s="198"/>
      <c r="EMY1" s="198"/>
      <c r="EMZ1" s="198"/>
      <c r="ENA1" s="198"/>
      <c r="ENB1" s="198"/>
      <c r="ENC1" s="198"/>
      <c r="END1" s="198"/>
      <c r="ENE1" s="198"/>
      <c r="ENF1" s="198"/>
      <c r="ENG1" s="198"/>
      <c r="ENH1" s="198"/>
      <c r="ENI1" s="198"/>
      <c r="ENJ1" s="198"/>
      <c r="ENK1" s="198"/>
      <c r="ENL1" s="198"/>
      <c r="ENM1" s="198"/>
      <c r="ENN1" s="198"/>
      <c r="ENO1" s="198"/>
      <c r="ENP1" s="198"/>
      <c r="ENQ1" s="198"/>
      <c r="ENR1" s="199"/>
      <c r="ENS1" s="199"/>
      <c r="ENT1" s="200"/>
      <c r="ENU1" s="200"/>
      <c r="ENV1" s="200"/>
      <c r="ENW1" s="200"/>
      <c r="ENX1" s="200"/>
      <c r="ENY1" s="200"/>
      <c r="ENZ1" s="200"/>
      <c r="EOA1" s="198"/>
      <c r="EOB1" s="198"/>
      <c r="EOC1" s="198"/>
      <c r="EOD1" s="198"/>
      <c r="EOE1" s="198"/>
      <c r="EOF1" s="198"/>
      <c r="EOG1" s="198"/>
      <c r="EOH1" s="198"/>
      <c r="EOI1" s="198"/>
      <c r="EOJ1" s="198"/>
      <c r="EOK1" s="198"/>
      <c r="EOL1" s="198"/>
      <c r="EOM1" s="198"/>
      <c r="EON1" s="198"/>
      <c r="EOO1" s="198"/>
      <c r="EOP1" s="198"/>
      <c r="EOQ1" s="198"/>
      <c r="EOR1" s="198"/>
      <c r="EOS1" s="198"/>
      <c r="EOT1" s="198"/>
      <c r="EOU1" s="198"/>
      <c r="EOV1" s="198"/>
      <c r="EOW1" s="198"/>
      <c r="EOX1" s="198"/>
      <c r="EOY1" s="198"/>
      <c r="EOZ1" s="199"/>
      <c r="EPA1" s="199"/>
      <c r="EPB1" s="200"/>
      <c r="EPC1" s="200"/>
      <c r="EPD1" s="200"/>
      <c r="EPE1" s="200"/>
      <c r="EPF1" s="200"/>
      <c r="EPG1" s="200"/>
      <c r="EPH1" s="200"/>
      <c r="EPI1" s="198"/>
      <c r="EPJ1" s="198"/>
      <c r="EPK1" s="198"/>
      <c r="EPL1" s="198"/>
      <c r="EPM1" s="198"/>
      <c r="EPN1" s="198"/>
      <c r="EPO1" s="198"/>
      <c r="EPP1" s="198"/>
      <c r="EPQ1" s="198"/>
      <c r="EPR1" s="198"/>
      <c r="EPS1" s="198"/>
      <c r="EPT1" s="198"/>
      <c r="EPU1" s="198"/>
      <c r="EPV1" s="198"/>
      <c r="EPW1" s="198"/>
      <c r="EPX1" s="198"/>
      <c r="EPY1" s="198"/>
      <c r="EPZ1" s="198"/>
      <c r="EQA1" s="198"/>
      <c r="EQB1" s="198"/>
      <c r="EQC1" s="198"/>
      <c r="EQD1" s="198"/>
      <c r="EQE1" s="198"/>
      <c r="EQF1" s="198"/>
      <c r="EQG1" s="198"/>
      <c r="EQH1" s="199"/>
      <c r="EQI1" s="199"/>
      <c r="EQJ1" s="200"/>
      <c r="EQK1" s="200"/>
      <c r="EQL1" s="200"/>
      <c r="EQM1" s="200"/>
      <c r="EQN1" s="200"/>
      <c r="EQO1" s="200"/>
      <c r="EQP1" s="200"/>
      <c r="EQQ1" s="198"/>
      <c r="EQR1" s="198"/>
      <c r="EQS1" s="198"/>
      <c r="EQT1" s="198"/>
      <c r="EQU1" s="198"/>
      <c r="EQV1" s="198"/>
      <c r="EQW1" s="198"/>
      <c r="EQX1" s="198"/>
      <c r="EQY1" s="198"/>
      <c r="EQZ1" s="198"/>
      <c r="ERA1" s="198"/>
      <c r="ERB1" s="198"/>
      <c r="ERC1" s="198"/>
      <c r="ERD1" s="198"/>
      <c r="ERE1" s="198"/>
      <c r="ERF1" s="198"/>
      <c r="ERG1" s="198"/>
      <c r="ERH1" s="198"/>
      <c r="ERI1" s="198"/>
      <c r="ERJ1" s="198"/>
      <c r="ERK1" s="198"/>
      <c r="ERL1" s="198"/>
      <c r="ERM1" s="198"/>
      <c r="ERN1" s="198"/>
      <c r="ERO1" s="198"/>
      <c r="ERP1" s="199"/>
      <c r="ERQ1" s="199"/>
      <c r="ERR1" s="200"/>
      <c r="ERS1" s="200"/>
      <c r="ERT1" s="200"/>
      <c r="ERU1" s="200"/>
      <c r="ERV1" s="200"/>
      <c r="ERW1" s="200"/>
      <c r="ERX1" s="200"/>
      <c r="ERY1" s="198"/>
      <c r="ERZ1" s="198"/>
      <c r="ESA1" s="198"/>
      <c r="ESB1" s="198"/>
      <c r="ESC1" s="198"/>
      <c r="ESD1" s="198"/>
      <c r="ESE1" s="198"/>
      <c r="ESF1" s="198"/>
      <c r="ESG1" s="198"/>
      <c r="ESH1" s="198"/>
      <c r="ESI1" s="198"/>
      <c r="ESJ1" s="198"/>
      <c r="ESK1" s="198"/>
      <c r="ESL1" s="198"/>
      <c r="ESM1" s="198"/>
      <c r="ESN1" s="198"/>
      <c r="ESO1" s="198"/>
      <c r="ESP1" s="198"/>
      <c r="ESQ1" s="198"/>
      <c r="ESR1" s="198"/>
      <c r="ESS1" s="198"/>
      <c r="EST1" s="198"/>
      <c r="ESU1" s="198"/>
      <c r="ESV1" s="198"/>
      <c r="ESW1" s="198"/>
      <c r="ESX1" s="199"/>
      <c r="ESY1" s="199"/>
      <c r="ESZ1" s="200"/>
      <c r="ETA1" s="200"/>
      <c r="ETB1" s="200"/>
      <c r="ETC1" s="200"/>
      <c r="ETD1" s="200"/>
      <c r="ETE1" s="200"/>
      <c r="ETF1" s="200"/>
      <c r="ETG1" s="198"/>
      <c r="ETH1" s="198"/>
      <c r="ETI1" s="198"/>
      <c r="ETJ1" s="198"/>
      <c r="ETK1" s="198"/>
      <c r="ETL1" s="198"/>
      <c r="ETM1" s="198"/>
      <c r="ETN1" s="198"/>
      <c r="ETO1" s="198"/>
      <c r="ETP1" s="198"/>
      <c r="ETQ1" s="198"/>
      <c r="ETR1" s="198"/>
      <c r="ETS1" s="198"/>
      <c r="ETT1" s="198"/>
      <c r="ETU1" s="198"/>
      <c r="ETV1" s="198"/>
      <c r="ETW1" s="198"/>
      <c r="ETX1" s="198"/>
      <c r="ETY1" s="198"/>
      <c r="ETZ1" s="198"/>
      <c r="EUA1" s="198"/>
      <c r="EUB1" s="198"/>
      <c r="EUC1" s="198"/>
      <c r="EUD1" s="198"/>
      <c r="EUE1" s="198"/>
      <c r="EUF1" s="199"/>
      <c r="EUG1" s="199"/>
      <c r="EUH1" s="200"/>
      <c r="EUI1" s="200"/>
      <c r="EUJ1" s="200"/>
      <c r="EUK1" s="200"/>
      <c r="EUL1" s="200"/>
      <c r="EUM1" s="200"/>
      <c r="EUN1" s="200"/>
      <c r="EUO1" s="198"/>
      <c r="EUP1" s="198"/>
      <c r="EUQ1" s="198"/>
      <c r="EUR1" s="198"/>
      <c r="EUS1" s="198"/>
      <c r="EUT1" s="198"/>
      <c r="EUU1" s="198"/>
      <c r="EUV1" s="198"/>
      <c r="EUW1" s="198"/>
      <c r="EUX1" s="198"/>
      <c r="EUY1" s="198"/>
      <c r="EUZ1" s="198"/>
      <c r="EVA1" s="198"/>
      <c r="EVB1" s="198"/>
      <c r="EVC1" s="198"/>
      <c r="EVD1" s="198"/>
      <c r="EVE1" s="198"/>
      <c r="EVF1" s="198"/>
      <c r="EVG1" s="198"/>
      <c r="EVH1" s="198"/>
      <c r="EVI1" s="198"/>
      <c r="EVJ1" s="198"/>
      <c r="EVK1" s="198"/>
      <c r="EVL1" s="198"/>
      <c r="EVM1" s="198"/>
      <c r="EVN1" s="199"/>
      <c r="EVO1" s="199"/>
      <c r="EVP1" s="200"/>
      <c r="EVQ1" s="200"/>
      <c r="EVR1" s="200"/>
      <c r="EVS1" s="200"/>
      <c r="EVT1" s="200"/>
      <c r="EVU1" s="200"/>
      <c r="EVV1" s="200"/>
      <c r="EVW1" s="198"/>
      <c r="EVX1" s="198"/>
      <c r="EVY1" s="198"/>
      <c r="EVZ1" s="198"/>
      <c r="EWA1" s="198"/>
      <c r="EWB1" s="198"/>
      <c r="EWC1" s="198"/>
      <c r="EWD1" s="198"/>
      <c r="EWE1" s="198"/>
      <c r="EWF1" s="198"/>
      <c r="EWG1" s="198"/>
      <c r="EWH1" s="198"/>
      <c r="EWI1" s="198"/>
      <c r="EWJ1" s="198"/>
      <c r="EWK1" s="198"/>
      <c r="EWL1" s="198"/>
      <c r="EWM1" s="198"/>
      <c r="EWN1" s="198"/>
      <c r="EWO1" s="198"/>
      <c r="EWP1" s="198"/>
      <c r="EWQ1" s="198"/>
      <c r="EWR1" s="198"/>
      <c r="EWS1" s="198"/>
      <c r="EWT1" s="198"/>
      <c r="EWU1" s="198"/>
      <c r="EWV1" s="199"/>
      <c r="EWW1" s="199"/>
      <c r="EWX1" s="200"/>
      <c r="EWY1" s="200"/>
      <c r="EWZ1" s="200"/>
      <c r="EXA1" s="200"/>
      <c r="EXB1" s="200"/>
      <c r="EXC1" s="200"/>
      <c r="EXD1" s="200"/>
      <c r="EXE1" s="198"/>
      <c r="EXF1" s="198"/>
      <c r="EXG1" s="198"/>
      <c r="EXH1" s="198"/>
      <c r="EXI1" s="198"/>
      <c r="EXJ1" s="198"/>
      <c r="EXK1" s="198"/>
      <c r="EXL1" s="198"/>
      <c r="EXM1" s="198"/>
      <c r="EXN1" s="198"/>
      <c r="EXO1" s="198"/>
      <c r="EXP1" s="198"/>
      <c r="EXQ1" s="198"/>
      <c r="EXR1" s="198"/>
      <c r="EXS1" s="198"/>
      <c r="EXT1" s="198"/>
      <c r="EXU1" s="198"/>
      <c r="EXV1" s="198"/>
      <c r="EXW1" s="198"/>
      <c r="EXX1" s="198"/>
      <c r="EXY1" s="198"/>
      <c r="EXZ1" s="198"/>
      <c r="EYA1" s="198"/>
      <c r="EYB1" s="198"/>
      <c r="EYC1" s="198"/>
      <c r="EYD1" s="199"/>
      <c r="EYE1" s="199"/>
      <c r="EYF1" s="200"/>
      <c r="EYG1" s="200"/>
      <c r="EYH1" s="200"/>
      <c r="EYI1" s="200"/>
      <c r="EYJ1" s="200"/>
      <c r="EYK1" s="200"/>
      <c r="EYL1" s="200"/>
      <c r="EYM1" s="198"/>
      <c r="EYN1" s="198"/>
      <c r="EYO1" s="198"/>
      <c r="EYP1" s="198"/>
      <c r="EYQ1" s="198"/>
      <c r="EYR1" s="198"/>
      <c r="EYS1" s="198"/>
      <c r="EYT1" s="198"/>
      <c r="EYU1" s="198"/>
      <c r="EYV1" s="198"/>
      <c r="EYW1" s="198"/>
      <c r="EYX1" s="198"/>
      <c r="EYY1" s="198"/>
      <c r="EYZ1" s="198"/>
      <c r="EZA1" s="198"/>
      <c r="EZB1" s="198"/>
      <c r="EZC1" s="198"/>
      <c r="EZD1" s="198"/>
      <c r="EZE1" s="198"/>
      <c r="EZF1" s="198"/>
      <c r="EZG1" s="198"/>
      <c r="EZH1" s="198"/>
      <c r="EZI1" s="198"/>
      <c r="EZJ1" s="198"/>
      <c r="EZK1" s="198"/>
      <c r="EZL1" s="199"/>
      <c r="EZM1" s="199"/>
      <c r="EZN1" s="200"/>
      <c r="EZO1" s="200"/>
      <c r="EZP1" s="200"/>
      <c r="EZQ1" s="200"/>
      <c r="EZR1" s="200"/>
      <c r="EZS1" s="200"/>
      <c r="EZT1" s="200"/>
      <c r="EZU1" s="198"/>
      <c r="EZV1" s="198"/>
      <c r="EZW1" s="198"/>
      <c r="EZX1" s="198"/>
      <c r="EZY1" s="198"/>
      <c r="EZZ1" s="198"/>
      <c r="FAA1" s="198"/>
      <c r="FAB1" s="198"/>
      <c r="FAC1" s="198"/>
      <c r="FAD1" s="198"/>
      <c r="FAE1" s="198"/>
      <c r="FAF1" s="198"/>
      <c r="FAG1" s="198"/>
      <c r="FAH1" s="198"/>
      <c r="FAI1" s="198"/>
      <c r="FAJ1" s="198"/>
      <c r="FAK1" s="198"/>
      <c r="FAL1" s="198"/>
      <c r="FAM1" s="198"/>
      <c r="FAN1" s="198"/>
      <c r="FAO1" s="198"/>
      <c r="FAP1" s="198"/>
      <c r="FAQ1" s="198"/>
      <c r="FAR1" s="198"/>
      <c r="FAS1" s="198"/>
      <c r="FAT1" s="199"/>
      <c r="FAU1" s="199"/>
      <c r="FAV1" s="200"/>
      <c r="FAW1" s="200"/>
      <c r="FAX1" s="200"/>
      <c r="FAY1" s="200"/>
      <c r="FAZ1" s="200"/>
      <c r="FBA1" s="200"/>
      <c r="FBB1" s="200"/>
      <c r="FBC1" s="198"/>
      <c r="FBD1" s="198"/>
      <c r="FBE1" s="198"/>
      <c r="FBF1" s="198"/>
      <c r="FBG1" s="198"/>
      <c r="FBH1" s="198"/>
      <c r="FBI1" s="198"/>
      <c r="FBJ1" s="198"/>
      <c r="FBK1" s="198"/>
      <c r="FBL1" s="198"/>
      <c r="FBM1" s="198"/>
      <c r="FBN1" s="198"/>
      <c r="FBO1" s="198"/>
      <c r="FBP1" s="198"/>
      <c r="FBQ1" s="198"/>
      <c r="FBR1" s="198"/>
      <c r="FBS1" s="198"/>
      <c r="FBT1" s="198"/>
      <c r="FBU1" s="198"/>
      <c r="FBV1" s="198"/>
      <c r="FBW1" s="198"/>
      <c r="FBX1" s="198"/>
      <c r="FBY1" s="198"/>
      <c r="FBZ1" s="198"/>
      <c r="FCA1" s="198"/>
      <c r="FCB1" s="199"/>
      <c r="FCC1" s="199"/>
      <c r="FCD1" s="200"/>
      <c r="FCE1" s="200"/>
      <c r="FCF1" s="200"/>
      <c r="FCG1" s="200"/>
      <c r="FCH1" s="200"/>
      <c r="FCI1" s="200"/>
      <c r="FCJ1" s="200"/>
      <c r="FCK1" s="198"/>
      <c r="FCL1" s="198"/>
      <c r="FCM1" s="198"/>
      <c r="FCN1" s="198"/>
      <c r="FCO1" s="198"/>
      <c r="FCP1" s="198"/>
      <c r="FCQ1" s="198"/>
      <c r="FCR1" s="198"/>
      <c r="FCS1" s="198"/>
      <c r="FCT1" s="198"/>
      <c r="FCU1" s="198"/>
      <c r="FCV1" s="198"/>
      <c r="FCW1" s="198"/>
      <c r="FCX1" s="198"/>
      <c r="FCY1" s="198"/>
      <c r="FCZ1" s="198"/>
      <c r="FDA1" s="198"/>
      <c r="FDB1" s="198"/>
      <c r="FDC1" s="198"/>
      <c r="FDD1" s="198"/>
      <c r="FDE1" s="198"/>
      <c r="FDF1" s="198"/>
      <c r="FDG1" s="198"/>
      <c r="FDH1" s="198"/>
      <c r="FDI1" s="198"/>
      <c r="FDJ1" s="199"/>
      <c r="FDK1" s="199"/>
      <c r="FDL1" s="200"/>
      <c r="FDM1" s="200"/>
      <c r="FDN1" s="200"/>
      <c r="FDO1" s="200"/>
      <c r="FDP1" s="200"/>
      <c r="FDQ1" s="200"/>
      <c r="FDR1" s="200"/>
      <c r="FDS1" s="198"/>
      <c r="FDT1" s="198"/>
      <c r="FDU1" s="198"/>
      <c r="FDV1" s="198"/>
      <c r="FDW1" s="198"/>
      <c r="FDX1" s="198"/>
      <c r="FDY1" s="198"/>
      <c r="FDZ1" s="198"/>
      <c r="FEA1" s="198"/>
      <c r="FEB1" s="198"/>
      <c r="FEC1" s="198"/>
      <c r="FED1" s="198"/>
      <c r="FEE1" s="198"/>
      <c r="FEF1" s="198"/>
      <c r="FEG1" s="198"/>
      <c r="FEH1" s="198"/>
      <c r="FEI1" s="198"/>
      <c r="FEJ1" s="198"/>
      <c r="FEK1" s="198"/>
      <c r="FEL1" s="198"/>
      <c r="FEM1" s="198"/>
      <c r="FEN1" s="198"/>
      <c r="FEO1" s="198"/>
      <c r="FEP1" s="198"/>
      <c r="FEQ1" s="198"/>
      <c r="FER1" s="199"/>
      <c r="FES1" s="199"/>
      <c r="FET1" s="200"/>
      <c r="FEU1" s="200"/>
      <c r="FEV1" s="200"/>
      <c r="FEW1" s="200"/>
      <c r="FEX1" s="200"/>
      <c r="FEY1" s="200"/>
      <c r="FEZ1" s="200"/>
      <c r="FFA1" s="198"/>
      <c r="FFB1" s="198"/>
      <c r="FFC1" s="198"/>
      <c r="FFD1" s="198"/>
      <c r="FFE1" s="198"/>
      <c r="FFF1" s="198"/>
      <c r="FFG1" s="198"/>
      <c r="FFH1" s="198"/>
      <c r="FFI1" s="198"/>
      <c r="FFJ1" s="198"/>
      <c r="FFK1" s="198"/>
      <c r="FFL1" s="198"/>
      <c r="FFM1" s="198"/>
      <c r="FFN1" s="198"/>
      <c r="FFO1" s="198"/>
      <c r="FFP1" s="198"/>
      <c r="FFQ1" s="198"/>
      <c r="FFR1" s="198"/>
      <c r="FFS1" s="198"/>
      <c r="FFT1" s="198"/>
      <c r="FFU1" s="198"/>
      <c r="FFV1" s="198"/>
      <c r="FFW1" s="198"/>
      <c r="FFX1" s="198"/>
      <c r="FFY1" s="198"/>
      <c r="FFZ1" s="199"/>
      <c r="FGA1" s="199"/>
      <c r="FGB1" s="200"/>
      <c r="FGC1" s="200"/>
      <c r="FGD1" s="200"/>
      <c r="FGE1" s="200"/>
      <c r="FGF1" s="200"/>
      <c r="FGG1" s="200"/>
      <c r="FGH1" s="200"/>
      <c r="FGI1" s="198"/>
      <c r="FGJ1" s="198"/>
      <c r="FGK1" s="198"/>
      <c r="FGL1" s="198"/>
      <c r="FGM1" s="198"/>
      <c r="FGN1" s="198"/>
      <c r="FGO1" s="198"/>
      <c r="FGP1" s="198"/>
      <c r="FGQ1" s="198"/>
      <c r="FGR1" s="198"/>
      <c r="FGS1" s="198"/>
      <c r="FGT1" s="198"/>
      <c r="FGU1" s="198"/>
      <c r="FGV1" s="198"/>
      <c r="FGW1" s="198"/>
      <c r="FGX1" s="198"/>
      <c r="FGY1" s="198"/>
      <c r="FGZ1" s="198"/>
      <c r="FHA1" s="198"/>
      <c r="FHB1" s="198"/>
      <c r="FHC1" s="198"/>
      <c r="FHD1" s="198"/>
      <c r="FHE1" s="198"/>
      <c r="FHF1" s="198"/>
      <c r="FHG1" s="198"/>
      <c r="FHH1" s="199"/>
      <c r="FHI1" s="199"/>
      <c r="FHJ1" s="200"/>
      <c r="FHK1" s="200"/>
      <c r="FHL1" s="200"/>
      <c r="FHM1" s="200"/>
      <c r="FHN1" s="200"/>
      <c r="FHO1" s="200"/>
      <c r="FHP1" s="200"/>
      <c r="FHQ1" s="198"/>
      <c r="FHR1" s="198"/>
      <c r="FHS1" s="198"/>
      <c r="FHT1" s="198"/>
      <c r="FHU1" s="198"/>
      <c r="FHV1" s="198"/>
      <c r="FHW1" s="198"/>
      <c r="FHX1" s="198"/>
      <c r="FHY1" s="198"/>
      <c r="FHZ1" s="198"/>
      <c r="FIA1" s="198"/>
      <c r="FIB1" s="198"/>
      <c r="FIC1" s="198"/>
      <c r="FID1" s="198"/>
      <c r="FIE1" s="198"/>
      <c r="FIF1" s="198"/>
      <c r="FIG1" s="198"/>
      <c r="FIH1" s="198"/>
      <c r="FII1" s="198"/>
      <c r="FIJ1" s="198"/>
      <c r="FIK1" s="198"/>
      <c r="FIL1" s="198"/>
      <c r="FIM1" s="198"/>
      <c r="FIN1" s="198"/>
      <c r="FIO1" s="198"/>
      <c r="FIP1" s="199"/>
      <c r="FIQ1" s="199"/>
      <c r="FIR1" s="200"/>
      <c r="FIS1" s="200"/>
      <c r="FIT1" s="200"/>
      <c r="FIU1" s="200"/>
      <c r="FIV1" s="200"/>
      <c r="FIW1" s="200"/>
      <c r="FIX1" s="200"/>
      <c r="FIY1" s="198"/>
      <c r="FIZ1" s="198"/>
      <c r="FJA1" s="198"/>
      <c r="FJB1" s="198"/>
      <c r="FJC1" s="198"/>
      <c r="FJD1" s="198"/>
      <c r="FJE1" s="198"/>
      <c r="FJF1" s="198"/>
      <c r="FJG1" s="198"/>
      <c r="FJH1" s="198"/>
      <c r="FJI1" s="198"/>
      <c r="FJJ1" s="198"/>
      <c r="FJK1" s="198"/>
      <c r="FJL1" s="198"/>
      <c r="FJM1" s="198"/>
      <c r="FJN1" s="198"/>
      <c r="FJO1" s="198"/>
      <c r="FJP1" s="198"/>
      <c r="FJQ1" s="198"/>
      <c r="FJR1" s="198"/>
      <c r="FJS1" s="198"/>
      <c r="FJT1" s="198"/>
      <c r="FJU1" s="198"/>
      <c r="FJV1" s="198"/>
      <c r="FJW1" s="198"/>
      <c r="FJX1" s="199"/>
      <c r="FJY1" s="199"/>
      <c r="FJZ1" s="200"/>
      <c r="FKA1" s="200"/>
      <c r="FKB1" s="200"/>
      <c r="FKC1" s="200"/>
      <c r="FKD1" s="200"/>
      <c r="FKE1" s="200"/>
      <c r="FKF1" s="200"/>
      <c r="FKG1" s="198"/>
      <c r="FKH1" s="198"/>
      <c r="FKI1" s="198"/>
      <c r="FKJ1" s="198"/>
      <c r="FKK1" s="198"/>
      <c r="FKL1" s="198"/>
      <c r="FKM1" s="198"/>
      <c r="FKN1" s="198"/>
      <c r="FKO1" s="198"/>
      <c r="FKP1" s="198"/>
      <c r="FKQ1" s="198"/>
      <c r="FKR1" s="198"/>
      <c r="FKS1" s="198"/>
      <c r="FKT1" s="198"/>
      <c r="FKU1" s="198"/>
      <c r="FKV1" s="198"/>
      <c r="FKW1" s="198"/>
      <c r="FKX1" s="198"/>
      <c r="FKY1" s="198"/>
      <c r="FKZ1" s="198"/>
      <c r="FLA1" s="198"/>
      <c r="FLB1" s="198"/>
      <c r="FLC1" s="198"/>
      <c r="FLD1" s="198"/>
      <c r="FLE1" s="198"/>
      <c r="FLF1" s="199"/>
      <c r="FLG1" s="199"/>
      <c r="FLH1" s="200"/>
      <c r="FLI1" s="200"/>
      <c r="FLJ1" s="200"/>
      <c r="FLK1" s="200"/>
      <c r="FLL1" s="200"/>
      <c r="FLM1" s="200"/>
      <c r="FLN1" s="200"/>
      <c r="FLO1" s="198"/>
      <c r="FLP1" s="198"/>
      <c r="FLQ1" s="198"/>
      <c r="FLR1" s="198"/>
      <c r="FLS1" s="198"/>
      <c r="FLT1" s="198"/>
      <c r="FLU1" s="198"/>
      <c r="FLV1" s="198"/>
      <c r="FLW1" s="198"/>
      <c r="FLX1" s="198"/>
      <c r="FLY1" s="198"/>
      <c r="FLZ1" s="198"/>
      <c r="FMA1" s="198"/>
      <c r="FMB1" s="198"/>
      <c r="FMC1" s="198"/>
      <c r="FMD1" s="198"/>
      <c r="FME1" s="198"/>
      <c r="FMF1" s="198"/>
      <c r="FMG1" s="198"/>
      <c r="FMH1" s="198"/>
      <c r="FMI1" s="198"/>
      <c r="FMJ1" s="198"/>
      <c r="FMK1" s="198"/>
      <c r="FML1" s="198"/>
      <c r="FMM1" s="198"/>
      <c r="FMN1" s="199"/>
      <c r="FMO1" s="199"/>
      <c r="FMP1" s="200"/>
      <c r="FMQ1" s="200"/>
      <c r="FMR1" s="200"/>
      <c r="FMS1" s="200"/>
      <c r="FMT1" s="200"/>
      <c r="FMU1" s="200"/>
      <c r="FMV1" s="200"/>
      <c r="FMW1" s="198"/>
      <c r="FMX1" s="198"/>
      <c r="FMY1" s="198"/>
      <c r="FMZ1" s="198"/>
      <c r="FNA1" s="198"/>
      <c r="FNB1" s="198"/>
      <c r="FNC1" s="198"/>
      <c r="FND1" s="198"/>
      <c r="FNE1" s="198"/>
      <c r="FNF1" s="198"/>
      <c r="FNG1" s="198"/>
      <c r="FNH1" s="198"/>
      <c r="FNI1" s="198"/>
      <c r="FNJ1" s="198"/>
      <c r="FNK1" s="198"/>
      <c r="FNL1" s="198"/>
      <c r="FNM1" s="198"/>
      <c r="FNN1" s="198"/>
      <c r="FNO1" s="198"/>
      <c r="FNP1" s="198"/>
      <c r="FNQ1" s="198"/>
      <c r="FNR1" s="198"/>
      <c r="FNS1" s="198"/>
      <c r="FNT1" s="198"/>
      <c r="FNU1" s="198"/>
      <c r="FNV1" s="199"/>
      <c r="FNW1" s="199"/>
      <c r="FNX1" s="200"/>
      <c r="FNY1" s="200"/>
      <c r="FNZ1" s="200"/>
      <c r="FOA1" s="200"/>
      <c r="FOB1" s="200"/>
      <c r="FOC1" s="200"/>
      <c r="FOD1" s="200"/>
      <c r="FOE1" s="198"/>
      <c r="FOF1" s="198"/>
      <c r="FOG1" s="198"/>
      <c r="FOH1" s="198"/>
      <c r="FOI1" s="198"/>
      <c r="FOJ1" s="198"/>
      <c r="FOK1" s="198"/>
      <c r="FOL1" s="198"/>
      <c r="FOM1" s="198"/>
      <c r="FON1" s="198"/>
      <c r="FOO1" s="198"/>
      <c r="FOP1" s="198"/>
      <c r="FOQ1" s="198"/>
      <c r="FOR1" s="198"/>
      <c r="FOS1" s="198"/>
      <c r="FOT1" s="198"/>
      <c r="FOU1" s="198"/>
      <c r="FOV1" s="198"/>
      <c r="FOW1" s="198"/>
      <c r="FOX1" s="198"/>
      <c r="FOY1" s="198"/>
      <c r="FOZ1" s="198"/>
      <c r="FPA1" s="198"/>
      <c r="FPB1" s="198"/>
      <c r="FPC1" s="198"/>
      <c r="FPD1" s="199"/>
      <c r="FPE1" s="199"/>
      <c r="FPF1" s="200"/>
      <c r="FPG1" s="200"/>
      <c r="FPH1" s="200"/>
      <c r="FPI1" s="200"/>
      <c r="FPJ1" s="200"/>
      <c r="FPK1" s="200"/>
      <c r="FPL1" s="200"/>
      <c r="FPM1" s="198"/>
      <c r="FPN1" s="198"/>
      <c r="FPO1" s="198"/>
      <c r="FPP1" s="198"/>
      <c r="FPQ1" s="198"/>
      <c r="FPR1" s="198"/>
      <c r="FPS1" s="198"/>
      <c r="FPT1" s="198"/>
      <c r="FPU1" s="198"/>
      <c r="FPV1" s="198"/>
      <c r="FPW1" s="198"/>
      <c r="FPX1" s="198"/>
      <c r="FPY1" s="198"/>
      <c r="FPZ1" s="198"/>
      <c r="FQA1" s="198"/>
      <c r="FQB1" s="198"/>
      <c r="FQC1" s="198"/>
      <c r="FQD1" s="198"/>
      <c r="FQE1" s="198"/>
      <c r="FQF1" s="198"/>
      <c r="FQG1" s="198"/>
      <c r="FQH1" s="198"/>
      <c r="FQI1" s="198"/>
      <c r="FQJ1" s="198"/>
      <c r="FQK1" s="198"/>
      <c r="FQL1" s="199"/>
      <c r="FQM1" s="199"/>
      <c r="FQN1" s="200"/>
      <c r="FQO1" s="200"/>
      <c r="FQP1" s="200"/>
      <c r="FQQ1" s="200"/>
      <c r="FQR1" s="200"/>
      <c r="FQS1" s="200"/>
      <c r="FQT1" s="200"/>
      <c r="FQU1" s="198"/>
      <c r="FQV1" s="198"/>
      <c r="FQW1" s="198"/>
      <c r="FQX1" s="198"/>
      <c r="FQY1" s="198"/>
      <c r="FQZ1" s="198"/>
      <c r="FRA1" s="198"/>
      <c r="FRB1" s="198"/>
      <c r="FRC1" s="198"/>
      <c r="FRD1" s="198"/>
      <c r="FRE1" s="198"/>
      <c r="FRF1" s="198"/>
      <c r="FRG1" s="198"/>
      <c r="FRH1" s="198"/>
      <c r="FRI1" s="198"/>
      <c r="FRJ1" s="198"/>
      <c r="FRK1" s="198"/>
      <c r="FRL1" s="198"/>
      <c r="FRM1" s="198"/>
      <c r="FRN1" s="198"/>
      <c r="FRO1" s="198"/>
      <c r="FRP1" s="198"/>
      <c r="FRQ1" s="198"/>
      <c r="FRR1" s="198"/>
      <c r="FRS1" s="198"/>
      <c r="FRT1" s="199"/>
      <c r="FRU1" s="199"/>
      <c r="FRV1" s="200"/>
      <c r="FRW1" s="200"/>
      <c r="FRX1" s="200"/>
      <c r="FRY1" s="200"/>
      <c r="FRZ1" s="200"/>
      <c r="FSA1" s="200"/>
      <c r="FSB1" s="200"/>
      <c r="FSC1" s="198"/>
      <c r="FSD1" s="198"/>
      <c r="FSE1" s="198"/>
      <c r="FSF1" s="198"/>
      <c r="FSG1" s="198"/>
      <c r="FSH1" s="198"/>
      <c r="FSI1" s="198"/>
      <c r="FSJ1" s="198"/>
      <c r="FSK1" s="198"/>
      <c r="FSL1" s="198"/>
      <c r="FSM1" s="198"/>
      <c r="FSN1" s="198"/>
      <c r="FSO1" s="198"/>
      <c r="FSP1" s="198"/>
      <c r="FSQ1" s="198"/>
      <c r="FSR1" s="198"/>
      <c r="FSS1" s="198"/>
      <c r="FST1" s="198"/>
      <c r="FSU1" s="198"/>
      <c r="FSV1" s="198"/>
      <c r="FSW1" s="198"/>
      <c r="FSX1" s="198"/>
      <c r="FSY1" s="198"/>
      <c r="FSZ1" s="198"/>
      <c r="FTA1" s="198"/>
      <c r="FTB1" s="199"/>
      <c r="FTC1" s="199"/>
      <c r="FTD1" s="200"/>
      <c r="FTE1" s="200"/>
      <c r="FTF1" s="200"/>
      <c r="FTG1" s="200"/>
      <c r="FTH1" s="200"/>
      <c r="FTI1" s="200"/>
      <c r="FTJ1" s="200"/>
      <c r="FTK1" s="198"/>
      <c r="FTL1" s="198"/>
      <c r="FTM1" s="198"/>
      <c r="FTN1" s="198"/>
      <c r="FTO1" s="198"/>
      <c r="FTP1" s="198"/>
      <c r="FTQ1" s="198"/>
      <c r="FTR1" s="198"/>
      <c r="FTS1" s="198"/>
      <c r="FTT1" s="198"/>
      <c r="FTU1" s="198"/>
      <c r="FTV1" s="198"/>
      <c r="FTW1" s="198"/>
      <c r="FTX1" s="198"/>
      <c r="FTY1" s="198"/>
      <c r="FTZ1" s="198"/>
      <c r="FUA1" s="198"/>
      <c r="FUB1" s="198"/>
      <c r="FUC1" s="198"/>
      <c r="FUD1" s="198"/>
      <c r="FUE1" s="198"/>
      <c r="FUF1" s="198"/>
      <c r="FUG1" s="198"/>
      <c r="FUH1" s="198"/>
      <c r="FUI1" s="198"/>
      <c r="FUJ1" s="199"/>
      <c r="FUK1" s="199"/>
      <c r="FUL1" s="200"/>
      <c r="FUM1" s="200"/>
      <c r="FUN1" s="200"/>
      <c r="FUO1" s="200"/>
      <c r="FUP1" s="200"/>
      <c r="FUQ1" s="200"/>
      <c r="FUR1" s="200"/>
      <c r="FUS1" s="198"/>
      <c r="FUT1" s="198"/>
      <c r="FUU1" s="198"/>
      <c r="FUV1" s="198"/>
      <c r="FUW1" s="198"/>
      <c r="FUX1" s="198"/>
      <c r="FUY1" s="198"/>
      <c r="FUZ1" s="198"/>
      <c r="FVA1" s="198"/>
      <c r="FVB1" s="198"/>
      <c r="FVC1" s="198"/>
      <c r="FVD1" s="198"/>
      <c r="FVE1" s="198"/>
      <c r="FVF1" s="198"/>
      <c r="FVG1" s="198"/>
      <c r="FVH1" s="198"/>
      <c r="FVI1" s="198"/>
      <c r="FVJ1" s="198"/>
      <c r="FVK1" s="198"/>
      <c r="FVL1" s="198"/>
      <c r="FVM1" s="198"/>
      <c r="FVN1" s="198"/>
      <c r="FVO1" s="198"/>
      <c r="FVP1" s="198"/>
      <c r="FVQ1" s="198"/>
      <c r="FVR1" s="199"/>
      <c r="FVS1" s="199"/>
      <c r="FVT1" s="200"/>
      <c r="FVU1" s="200"/>
      <c r="FVV1" s="200"/>
      <c r="FVW1" s="200"/>
      <c r="FVX1" s="200"/>
      <c r="FVY1" s="200"/>
      <c r="FVZ1" s="200"/>
      <c r="FWA1" s="198"/>
      <c r="FWB1" s="198"/>
      <c r="FWC1" s="198"/>
      <c r="FWD1" s="198"/>
      <c r="FWE1" s="198"/>
      <c r="FWF1" s="198"/>
      <c r="FWG1" s="198"/>
      <c r="FWH1" s="198"/>
      <c r="FWI1" s="198"/>
      <c r="FWJ1" s="198"/>
      <c r="FWK1" s="198"/>
      <c r="FWL1" s="198"/>
      <c r="FWM1" s="198"/>
      <c r="FWN1" s="198"/>
      <c r="FWO1" s="198"/>
      <c r="FWP1" s="198"/>
      <c r="FWQ1" s="198"/>
      <c r="FWR1" s="198"/>
      <c r="FWS1" s="198"/>
      <c r="FWT1" s="198"/>
      <c r="FWU1" s="198"/>
      <c r="FWV1" s="198"/>
      <c r="FWW1" s="198"/>
      <c r="FWX1" s="198"/>
      <c r="FWY1" s="198"/>
      <c r="FWZ1" s="199"/>
      <c r="FXA1" s="199"/>
      <c r="FXB1" s="200"/>
      <c r="FXC1" s="200"/>
      <c r="FXD1" s="200"/>
      <c r="FXE1" s="200"/>
      <c r="FXF1" s="200"/>
      <c r="FXG1" s="200"/>
      <c r="FXH1" s="200"/>
      <c r="FXI1" s="198"/>
      <c r="FXJ1" s="198"/>
      <c r="FXK1" s="198"/>
      <c r="FXL1" s="198"/>
      <c r="FXM1" s="198"/>
      <c r="FXN1" s="198"/>
      <c r="FXO1" s="198"/>
      <c r="FXP1" s="198"/>
      <c r="FXQ1" s="198"/>
      <c r="FXR1" s="198"/>
      <c r="FXS1" s="198"/>
      <c r="FXT1" s="198"/>
      <c r="FXU1" s="198"/>
      <c r="FXV1" s="198"/>
      <c r="FXW1" s="198"/>
      <c r="FXX1" s="198"/>
      <c r="FXY1" s="198"/>
      <c r="FXZ1" s="198"/>
      <c r="FYA1" s="198"/>
      <c r="FYB1" s="198"/>
      <c r="FYC1" s="198"/>
      <c r="FYD1" s="198"/>
      <c r="FYE1" s="198"/>
      <c r="FYF1" s="198"/>
      <c r="FYG1" s="198"/>
      <c r="FYH1" s="199"/>
      <c r="FYI1" s="199"/>
      <c r="FYJ1" s="200"/>
      <c r="FYK1" s="200"/>
      <c r="FYL1" s="200"/>
      <c r="FYM1" s="200"/>
      <c r="FYN1" s="200"/>
      <c r="FYO1" s="200"/>
      <c r="FYP1" s="200"/>
      <c r="FYQ1" s="198"/>
      <c r="FYR1" s="198"/>
      <c r="FYS1" s="198"/>
      <c r="FYT1" s="198"/>
      <c r="FYU1" s="198"/>
      <c r="FYV1" s="198"/>
      <c r="FYW1" s="198"/>
      <c r="FYX1" s="198"/>
      <c r="FYY1" s="198"/>
      <c r="FYZ1" s="198"/>
      <c r="FZA1" s="198"/>
      <c r="FZB1" s="198"/>
      <c r="FZC1" s="198"/>
      <c r="FZD1" s="198"/>
      <c r="FZE1" s="198"/>
      <c r="FZF1" s="198"/>
      <c r="FZG1" s="198"/>
      <c r="FZH1" s="198"/>
      <c r="FZI1" s="198"/>
      <c r="FZJ1" s="198"/>
      <c r="FZK1" s="198"/>
      <c r="FZL1" s="198"/>
      <c r="FZM1" s="198"/>
      <c r="FZN1" s="198"/>
      <c r="FZO1" s="198"/>
      <c r="FZP1" s="199"/>
      <c r="FZQ1" s="199"/>
      <c r="FZR1" s="200"/>
      <c r="FZS1" s="200"/>
      <c r="FZT1" s="200"/>
      <c r="FZU1" s="200"/>
      <c r="FZV1" s="200"/>
      <c r="FZW1" s="200"/>
      <c r="FZX1" s="200"/>
      <c r="FZY1" s="198"/>
      <c r="FZZ1" s="198"/>
      <c r="GAA1" s="198"/>
      <c r="GAB1" s="198"/>
      <c r="GAC1" s="198"/>
      <c r="GAD1" s="198"/>
      <c r="GAE1" s="198"/>
      <c r="GAF1" s="198"/>
      <c r="GAG1" s="198"/>
      <c r="GAH1" s="198"/>
      <c r="GAI1" s="198"/>
      <c r="GAJ1" s="198"/>
      <c r="GAK1" s="198"/>
      <c r="GAL1" s="198"/>
      <c r="GAM1" s="198"/>
      <c r="GAN1" s="198"/>
      <c r="GAO1" s="198"/>
      <c r="GAP1" s="198"/>
      <c r="GAQ1" s="198"/>
      <c r="GAR1" s="198"/>
      <c r="GAS1" s="198"/>
      <c r="GAT1" s="198"/>
      <c r="GAU1" s="198"/>
      <c r="GAV1" s="198"/>
      <c r="GAW1" s="198"/>
      <c r="GAX1" s="199"/>
      <c r="GAY1" s="199"/>
      <c r="GAZ1" s="200"/>
      <c r="GBA1" s="200"/>
      <c r="GBB1" s="200"/>
      <c r="GBC1" s="200"/>
      <c r="GBD1" s="200"/>
      <c r="GBE1" s="200"/>
      <c r="GBF1" s="200"/>
      <c r="GBG1" s="198"/>
      <c r="GBH1" s="198"/>
      <c r="GBI1" s="198"/>
      <c r="GBJ1" s="198"/>
      <c r="GBK1" s="198"/>
      <c r="GBL1" s="198"/>
      <c r="GBM1" s="198"/>
      <c r="GBN1" s="198"/>
      <c r="GBO1" s="198"/>
      <c r="GBP1" s="198"/>
      <c r="GBQ1" s="198"/>
      <c r="GBR1" s="198"/>
      <c r="GBS1" s="198"/>
      <c r="GBT1" s="198"/>
      <c r="GBU1" s="198"/>
      <c r="GBV1" s="198"/>
      <c r="GBW1" s="198"/>
      <c r="GBX1" s="198"/>
      <c r="GBY1" s="198"/>
      <c r="GBZ1" s="198"/>
      <c r="GCA1" s="198"/>
      <c r="GCB1" s="198"/>
      <c r="GCC1" s="198"/>
      <c r="GCD1" s="198"/>
      <c r="GCE1" s="198"/>
      <c r="GCF1" s="199"/>
      <c r="GCG1" s="199"/>
      <c r="GCH1" s="200"/>
      <c r="GCI1" s="200"/>
      <c r="GCJ1" s="200"/>
      <c r="GCK1" s="200"/>
      <c r="GCL1" s="200"/>
      <c r="GCM1" s="200"/>
      <c r="GCN1" s="200"/>
      <c r="GCO1" s="198"/>
      <c r="GCP1" s="198"/>
      <c r="GCQ1" s="198"/>
      <c r="GCR1" s="198"/>
      <c r="GCS1" s="198"/>
      <c r="GCT1" s="198"/>
      <c r="GCU1" s="198"/>
      <c r="GCV1" s="198"/>
      <c r="GCW1" s="198"/>
      <c r="GCX1" s="198"/>
      <c r="GCY1" s="198"/>
      <c r="GCZ1" s="198"/>
      <c r="GDA1" s="198"/>
      <c r="GDB1" s="198"/>
      <c r="GDC1" s="198"/>
      <c r="GDD1" s="198"/>
      <c r="GDE1" s="198"/>
      <c r="GDF1" s="198"/>
      <c r="GDG1" s="198"/>
      <c r="GDH1" s="198"/>
      <c r="GDI1" s="198"/>
      <c r="GDJ1" s="198"/>
      <c r="GDK1" s="198"/>
      <c r="GDL1" s="198"/>
      <c r="GDM1" s="198"/>
      <c r="GDN1" s="199"/>
      <c r="GDO1" s="199"/>
      <c r="GDP1" s="200"/>
      <c r="GDQ1" s="200"/>
      <c r="GDR1" s="200"/>
      <c r="GDS1" s="200"/>
      <c r="GDT1" s="200"/>
      <c r="GDU1" s="200"/>
      <c r="GDV1" s="200"/>
      <c r="GDW1" s="198"/>
      <c r="GDX1" s="198"/>
      <c r="GDY1" s="198"/>
      <c r="GDZ1" s="198"/>
      <c r="GEA1" s="198"/>
      <c r="GEB1" s="198"/>
      <c r="GEC1" s="198"/>
      <c r="GED1" s="198"/>
      <c r="GEE1" s="198"/>
      <c r="GEF1" s="198"/>
      <c r="GEG1" s="198"/>
      <c r="GEH1" s="198"/>
      <c r="GEI1" s="198"/>
      <c r="GEJ1" s="198"/>
      <c r="GEK1" s="198"/>
      <c r="GEL1" s="198"/>
      <c r="GEM1" s="198"/>
      <c r="GEN1" s="198"/>
      <c r="GEO1" s="198"/>
      <c r="GEP1" s="198"/>
      <c r="GEQ1" s="198"/>
      <c r="GER1" s="198"/>
      <c r="GES1" s="198"/>
      <c r="GET1" s="198"/>
      <c r="GEU1" s="198"/>
      <c r="GEV1" s="199"/>
      <c r="GEW1" s="199"/>
      <c r="GEX1" s="200"/>
      <c r="GEY1" s="200"/>
      <c r="GEZ1" s="200"/>
      <c r="GFA1" s="200"/>
      <c r="GFB1" s="200"/>
      <c r="GFC1" s="200"/>
      <c r="GFD1" s="200"/>
      <c r="GFE1" s="198"/>
      <c r="GFF1" s="198"/>
      <c r="GFG1" s="198"/>
      <c r="GFH1" s="198"/>
      <c r="GFI1" s="198"/>
      <c r="GFJ1" s="198"/>
      <c r="GFK1" s="198"/>
      <c r="GFL1" s="198"/>
      <c r="GFM1" s="198"/>
      <c r="GFN1" s="198"/>
      <c r="GFO1" s="198"/>
      <c r="GFP1" s="198"/>
      <c r="GFQ1" s="198"/>
      <c r="GFR1" s="198"/>
      <c r="GFS1" s="198"/>
      <c r="GFT1" s="198"/>
      <c r="GFU1" s="198"/>
      <c r="GFV1" s="198"/>
      <c r="GFW1" s="198"/>
      <c r="GFX1" s="198"/>
      <c r="GFY1" s="198"/>
      <c r="GFZ1" s="198"/>
      <c r="GGA1" s="198"/>
      <c r="GGB1" s="198"/>
      <c r="GGC1" s="198"/>
      <c r="GGD1" s="199"/>
      <c r="GGE1" s="199"/>
      <c r="GGF1" s="200"/>
      <c r="GGG1" s="200"/>
      <c r="GGH1" s="200"/>
      <c r="GGI1" s="200"/>
      <c r="GGJ1" s="200"/>
      <c r="GGK1" s="200"/>
      <c r="GGL1" s="200"/>
      <c r="GGM1" s="198"/>
      <c r="GGN1" s="198"/>
      <c r="GGO1" s="198"/>
      <c r="GGP1" s="198"/>
      <c r="GGQ1" s="198"/>
      <c r="GGR1" s="198"/>
      <c r="GGS1" s="198"/>
      <c r="GGT1" s="198"/>
      <c r="GGU1" s="198"/>
      <c r="GGV1" s="198"/>
      <c r="GGW1" s="198"/>
      <c r="GGX1" s="198"/>
      <c r="GGY1" s="198"/>
      <c r="GGZ1" s="198"/>
      <c r="GHA1" s="198"/>
      <c r="GHB1" s="198"/>
      <c r="GHC1" s="198"/>
      <c r="GHD1" s="198"/>
      <c r="GHE1" s="198"/>
      <c r="GHF1" s="198"/>
      <c r="GHG1" s="198"/>
      <c r="GHH1" s="198"/>
      <c r="GHI1" s="198"/>
      <c r="GHJ1" s="198"/>
      <c r="GHK1" s="198"/>
      <c r="GHL1" s="199"/>
      <c r="GHM1" s="199"/>
      <c r="GHN1" s="200"/>
      <c r="GHO1" s="200"/>
      <c r="GHP1" s="200"/>
      <c r="GHQ1" s="200"/>
      <c r="GHR1" s="200"/>
      <c r="GHS1" s="200"/>
      <c r="GHT1" s="200"/>
      <c r="GHU1" s="198"/>
      <c r="GHV1" s="198"/>
      <c r="GHW1" s="198"/>
      <c r="GHX1" s="198"/>
      <c r="GHY1" s="198"/>
      <c r="GHZ1" s="198"/>
      <c r="GIA1" s="198"/>
      <c r="GIB1" s="198"/>
      <c r="GIC1" s="198"/>
      <c r="GID1" s="198"/>
      <c r="GIE1" s="198"/>
      <c r="GIF1" s="198"/>
      <c r="GIG1" s="198"/>
      <c r="GIH1" s="198"/>
      <c r="GII1" s="198"/>
      <c r="GIJ1" s="198"/>
      <c r="GIK1" s="198"/>
      <c r="GIL1" s="198"/>
      <c r="GIM1" s="198"/>
      <c r="GIN1" s="198"/>
      <c r="GIO1" s="198"/>
      <c r="GIP1" s="198"/>
      <c r="GIQ1" s="198"/>
      <c r="GIR1" s="198"/>
      <c r="GIS1" s="198"/>
      <c r="GIT1" s="199"/>
      <c r="GIU1" s="199"/>
      <c r="GIV1" s="200"/>
      <c r="GIW1" s="200"/>
      <c r="GIX1" s="200"/>
      <c r="GIY1" s="200"/>
      <c r="GIZ1" s="200"/>
      <c r="GJA1" s="200"/>
      <c r="GJB1" s="200"/>
      <c r="GJC1" s="198"/>
      <c r="GJD1" s="198"/>
      <c r="GJE1" s="198"/>
      <c r="GJF1" s="198"/>
      <c r="GJG1" s="198"/>
      <c r="GJH1" s="198"/>
      <c r="GJI1" s="198"/>
      <c r="GJJ1" s="198"/>
      <c r="GJK1" s="198"/>
      <c r="GJL1" s="198"/>
      <c r="GJM1" s="198"/>
      <c r="GJN1" s="198"/>
      <c r="GJO1" s="198"/>
      <c r="GJP1" s="198"/>
      <c r="GJQ1" s="198"/>
      <c r="GJR1" s="198"/>
      <c r="GJS1" s="198"/>
      <c r="GJT1" s="198"/>
      <c r="GJU1" s="198"/>
      <c r="GJV1" s="198"/>
      <c r="GJW1" s="198"/>
      <c r="GJX1" s="198"/>
      <c r="GJY1" s="198"/>
      <c r="GJZ1" s="198"/>
      <c r="GKA1" s="198"/>
      <c r="GKB1" s="199"/>
      <c r="GKC1" s="199"/>
      <c r="GKD1" s="200"/>
      <c r="GKE1" s="200"/>
      <c r="GKF1" s="200"/>
      <c r="GKG1" s="200"/>
      <c r="GKH1" s="200"/>
      <c r="GKI1" s="200"/>
      <c r="GKJ1" s="200"/>
      <c r="GKK1" s="198"/>
      <c r="GKL1" s="198"/>
      <c r="GKM1" s="198"/>
      <c r="GKN1" s="198"/>
      <c r="GKO1" s="198"/>
      <c r="GKP1" s="198"/>
      <c r="GKQ1" s="198"/>
      <c r="GKR1" s="198"/>
      <c r="GKS1" s="198"/>
      <c r="GKT1" s="198"/>
      <c r="GKU1" s="198"/>
      <c r="GKV1" s="198"/>
      <c r="GKW1" s="198"/>
      <c r="GKX1" s="198"/>
      <c r="GKY1" s="198"/>
      <c r="GKZ1" s="198"/>
      <c r="GLA1" s="198"/>
      <c r="GLB1" s="198"/>
      <c r="GLC1" s="198"/>
      <c r="GLD1" s="198"/>
      <c r="GLE1" s="198"/>
      <c r="GLF1" s="198"/>
      <c r="GLG1" s="198"/>
      <c r="GLH1" s="198"/>
      <c r="GLI1" s="198"/>
      <c r="GLJ1" s="199"/>
      <c r="GLK1" s="199"/>
      <c r="GLL1" s="200"/>
      <c r="GLM1" s="200"/>
      <c r="GLN1" s="200"/>
      <c r="GLO1" s="200"/>
      <c r="GLP1" s="200"/>
      <c r="GLQ1" s="200"/>
      <c r="GLR1" s="200"/>
      <c r="GLS1" s="198"/>
      <c r="GLT1" s="198"/>
      <c r="GLU1" s="198"/>
      <c r="GLV1" s="198"/>
      <c r="GLW1" s="198"/>
      <c r="GLX1" s="198"/>
      <c r="GLY1" s="198"/>
      <c r="GLZ1" s="198"/>
      <c r="GMA1" s="198"/>
      <c r="GMB1" s="198"/>
      <c r="GMC1" s="198"/>
      <c r="GMD1" s="198"/>
      <c r="GME1" s="198"/>
      <c r="GMF1" s="198"/>
      <c r="GMG1" s="198"/>
      <c r="GMH1" s="198"/>
      <c r="GMI1" s="198"/>
      <c r="GMJ1" s="198"/>
      <c r="GMK1" s="198"/>
      <c r="GML1" s="198"/>
      <c r="GMM1" s="198"/>
      <c r="GMN1" s="198"/>
      <c r="GMO1" s="198"/>
      <c r="GMP1" s="198"/>
      <c r="GMQ1" s="198"/>
      <c r="GMR1" s="199"/>
      <c r="GMS1" s="199"/>
      <c r="GMT1" s="200"/>
      <c r="GMU1" s="200"/>
      <c r="GMV1" s="200"/>
      <c r="GMW1" s="200"/>
      <c r="GMX1" s="200"/>
      <c r="GMY1" s="200"/>
      <c r="GMZ1" s="200"/>
      <c r="GNA1" s="198"/>
      <c r="GNB1" s="198"/>
      <c r="GNC1" s="198"/>
      <c r="GND1" s="198"/>
      <c r="GNE1" s="198"/>
      <c r="GNF1" s="198"/>
      <c r="GNG1" s="198"/>
      <c r="GNH1" s="198"/>
      <c r="GNI1" s="198"/>
      <c r="GNJ1" s="198"/>
      <c r="GNK1" s="198"/>
      <c r="GNL1" s="198"/>
      <c r="GNM1" s="198"/>
      <c r="GNN1" s="198"/>
      <c r="GNO1" s="198"/>
      <c r="GNP1" s="198"/>
      <c r="GNQ1" s="198"/>
      <c r="GNR1" s="198"/>
      <c r="GNS1" s="198"/>
      <c r="GNT1" s="198"/>
      <c r="GNU1" s="198"/>
      <c r="GNV1" s="198"/>
      <c r="GNW1" s="198"/>
      <c r="GNX1" s="198"/>
      <c r="GNY1" s="198"/>
      <c r="GNZ1" s="199"/>
      <c r="GOA1" s="199"/>
      <c r="GOB1" s="200"/>
      <c r="GOC1" s="200"/>
      <c r="GOD1" s="200"/>
      <c r="GOE1" s="200"/>
      <c r="GOF1" s="200"/>
      <c r="GOG1" s="200"/>
      <c r="GOH1" s="200"/>
      <c r="GOI1" s="198"/>
      <c r="GOJ1" s="198"/>
      <c r="GOK1" s="198"/>
      <c r="GOL1" s="198"/>
      <c r="GOM1" s="198"/>
      <c r="GON1" s="198"/>
      <c r="GOO1" s="198"/>
      <c r="GOP1" s="198"/>
      <c r="GOQ1" s="198"/>
      <c r="GOR1" s="198"/>
      <c r="GOS1" s="198"/>
      <c r="GOT1" s="198"/>
      <c r="GOU1" s="198"/>
      <c r="GOV1" s="198"/>
      <c r="GOW1" s="198"/>
      <c r="GOX1" s="198"/>
      <c r="GOY1" s="198"/>
      <c r="GOZ1" s="198"/>
      <c r="GPA1" s="198"/>
      <c r="GPB1" s="198"/>
      <c r="GPC1" s="198"/>
      <c r="GPD1" s="198"/>
      <c r="GPE1" s="198"/>
      <c r="GPF1" s="198"/>
      <c r="GPG1" s="198"/>
      <c r="GPH1" s="199"/>
      <c r="GPI1" s="199"/>
      <c r="GPJ1" s="200"/>
      <c r="GPK1" s="200"/>
      <c r="GPL1" s="200"/>
      <c r="GPM1" s="200"/>
      <c r="GPN1" s="200"/>
      <c r="GPO1" s="200"/>
      <c r="GPP1" s="200"/>
      <c r="GPQ1" s="198"/>
      <c r="GPR1" s="198"/>
      <c r="GPS1" s="198"/>
      <c r="GPT1" s="198"/>
      <c r="GPU1" s="198"/>
      <c r="GPV1" s="198"/>
      <c r="GPW1" s="198"/>
      <c r="GPX1" s="198"/>
      <c r="GPY1" s="198"/>
      <c r="GPZ1" s="198"/>
      <c r="GQA1" s="198"/>
      <c r="GQB1" s="198"/>
      <c r="GQC1" s="198"/>
      <c r="GQD1" s="198"/>
      <c r="GQE1" s="198"/>
      <c r="GQF1" s="198"/>
      <c r="GQG1" s="198"/>
      <c r="GQH1" s="198"/>
      <c r="GQI1" s="198"/>
      <c r="GQJ1" s="198"/>
      <c r="GQK1" s="198"/>
      <c r="GQL1" s="198"/>
      <c r="GQM1" s="198"/>
      <c r="GQN1" s="198"/>
      <c r="GQO1" s="198"/>
      <c r="GQP1" s="199"/>
      <c r="GQQ1" s="199"/>
      <c r="GQR1" s="200"/>
      <c r="GQS1" s="200"/>
      <c r="GQT1" s="200"/>
      <c r="GQU1" s="200"/>
      <c r="GQV1" s="200"/>
      <c r="GQW1" s="200"/>
      <c r="GQX1" s="200"/>
      <c r="GQY1" s="198"/>
      <c r="GQZ1" s="198"/>
      <c r="GRA1" s="198"/>
      <c r="GRB1" s="198"/>
      <c r="GRC1" s="198"/>
      <c r="GRD1" s="198"/>
      <c r="GRE1" s="198"/>
      <c r="GRF1" s="198"/>
      <c r="GRG1" s="198"/>
      <c r="GRH1" s="198"/>
      <c r="GRI1" s="198"/>
      <c r="GRJ1" s="198"/>
      <c r="GRK1" s="198"/>
      <c r="GRL1" s="198"/>
      <c r="GRM1" s="198"/>
      <c r="GRN1" s="198"/>
      <c r="GRO1" s="198"/>
      <c r="GRP1" s="198"/>
      <c r="GRQ1" s="198"/>
      <c r="GRR1" s="198"/>
      <c r="GRS1" s="198"/>
      <c r="GRT1" s="198"/>
      <c r="GRU1" s="198"/>
      <c r="GRV1" s="198"/>
      <c r="GRW1" s="198"/>
      <c r="GRX1" s="199"/>
      <c r="GRY1" s="199"/>
      <c r="GRZ1" s="200"/>
      <c r="GSA1" s="200"/>
      <c r="GSB1" s="200"/>
      <c r="GSC1" s="200"/>
      <c r="GSD1" s="200"/>
      <c r="GSE1" s="200"/>
      <c r="GSF1" s="200"/>
      <c r="GSG1" s="198"/>
      <c r="GSH1" s="198"/>
      <c r="GSI1" s="198"/>
      <c r="GSJ1" s="198"/>
      <c r="GSK1" s="198"/>
      <c r="GSL1" s="198"/>
      <c r="GSM1" s="198"/>
      <c r="GSN1" s="198"/>
      <c r="GSO1" s="198"/>
      <c r="GSP1" s="198"/>
      <c r="GSQ1" s="198"/>
      <c r="GSR1" s="198"/>
      <c r="GSS1" s="198"/>
      <c r="GST1" s="198"/>
      <c r="GSU1" s="198"/>
      <c r="GSV1" s="198"/>
      <c r="GSW1" s="198"/>
      <c r="GSX1" s="198"/>
      <c r="GSY1" s="198"/>
      <c r="GSZ1" s="198"/>
      <c r="GTA1" s="198"/>
      <c r="GTB1" s="198"/>
      <c r="GTC1" s="198"/>
      <c r="GTD1" s="198"/>
      <c r="GTE1" s="198"/>
      <c r="GTF1" s="199"/>
      <c r="GTG1" s="199"/>
      <c r="GTH1" s="200"/>
      <c r="GTI1" s="200"/>
      <c r="GTJ1" s="200"/>
      <c r="GTK1" s="200"/>
      <c r="GTL1" s="200"/>
      <c r="GTM1" s="200"/>
      <c r="GTN1" s="200"/>
      <c r="GTO1" s="198"/>
      <c r="GTP1" s="198"/>
      <c r="GTQ1" s="198"/>
      <c r="GTR1" s="198"/>
      <c r="GTS1" s="198"/>
      <c r="GTT1" s="198"/>
      <c r="GTU1" s="198"/>
      <c r="GTV1" s="198"/>
      <c r="GTW1" s="198"/>
      <c r="GTX1" s="198"/>
      <c r="GTY1" s="198"/>
      <c r="GTZ1" s="198"/>
      <c r="GUA1" s="198"/>
      <c r="GUB1" s="198"/>
      <c r="GUC1" s="198"/>
      <c r="GUD1" s="198"/>
      <c r="GUE1" s="198"/>
      <c r="GUF1" s="198"/>
      <c r="GUG1" s="198"/>
      <c r="GUH1" s="198"/>
      <c r="GUI1" s="198"/>
      <c r="GUJ1" s="198"/>
      <c r="GUK1" s="198"/>
      <c r="GUL1" s="198"/>
      <c r="GUM1" s="198"/>
      <c r="GUN1" s="199"/>
      <c r="GUO1" s="199"/>
      <c r="GUP1" s="200"/>
      <c r="GUQ1" s="200"/>
      <c r="GUR1" s="200"/>
      <c r="GUS1" s="200"/>
      <c r="GUT1" s="200"/>
      <c r="GUU1" s="200"/>
      <c r="GUV1" s="200"/>
      <c r="GUW1" s="198"/>
      <c r="GUX1" s="198"/>
      <c r="GUY1" s="198"/>
      <c r="GUZ1" s="198"/>
      <c r="GVA1" s="198"/>
      <c r="GVB1" s="198"/>
      <c r="GVC1" s="198"/>
      <c r="GVD1" s="198"/>
      <c r="GVE1" s="198"/>
      <c r="GVF1" s="198"/>
      <c r="GVG1" s="198"/>
      <c r="GVH1" s="198"/>
      <c r="GVI1" s="198"/>
      <c r="GVJ1" s="198"/>
      <c r="GVK1" s="198"/>
      <c r="GVL1" s="198"/>
      <c r="GVM1" s="198"/>
      <c r="GVN1" s="198"/>
      <c r="GVO1" s="198"/>
      <c r="GVP1" s="198"/>
      <c r="GVQ1" s="198"/>
      <c r="GVR1" s="198"/>
      <c r="GVS1" s="198"/>
      <c r="GVT1" s="198"/>
      <c r="GVU1" s="198"/>
      <c r="GVV1" s="199"/>
      <c r="GVW1" s="199"/>
      <c r="GVX1" s="200"/>
      <c r="GVY1" s="200"/>
      <c r="GVZ1" s="200"/>
      <c r="GWA1" s="200"/>
      <c r="GWB1" s="200"/>
      <c r="GWC1" s="200"/>
      <c r="GWD1" s="200"/>
      <c r="GWE1" s="198"/>
      <c r="GWF1" s="198"/>
      <c r="GWG1" s="198"/>
      <c r="GWH1" s="198"/>
      <c r="GWI1" s="198"/>
      <c r="GWJ1" s="198"/>
      <c r="GWK1" s="198"/>
      <c r="GWL1" s="198"/>
      <c r="GWM1" s="198"/>
      <c r="GWN1" s="198"/>
      <c r="GWO1" s="198"/>
      <c r="GWP1" s="198"/>
      <c r="GWQ1" s="198"/>
      <c r="GWR1" s="198"/>
      <c r="GWS1" s="198"/>
      <c r="GWT1" s="198"/>
      <c r="GWU1" s="198"/>
      <c r="GWV1" s="198"/>
      <c r="GWW1" s="198"/>
      <c r="GWX1" s="198"/>
      <c r="GWY1" s="198"/>
      <c r="GWZ1" s="198"/>
      <c r="GXA1" s="198"/>
      <c r="GXB1" s="198"/>
      <c r="GXC1" s="198"/>
      <c r="GXD1" s="199"/>
      <c r="GXE1" s="199"/>
      <c r="GXF1" s="200"/>
      <c r="GXG1" s="200"/>
      <c r="GXH1" s="200"/>
      <c r="GXI1" s="200"/>
      <c r="GXJ1" s="200"/>
      <c r="GXK1" s="200"/>
      <c r="GXL1" s="200"/>
      <c r="GXM1" s="198"/>
      <c r="GXN1" s="198"/>
      <c r="GXO1" s="198"/>
      <c r="GXP1" s="198"/>
      <c r="GXQ1" s="198"/>
      <c r="GXR1" s="198"/>
      <c r="GXS1" s="198"/>
      <c r="GXT1" s="198"/>
      <c r="GXU1" s="198"/>
      <c r="GXV1" s="198"/>
      <c r="GXW1" s="198"/>
      <c r="GXX1" s="198"/>
      <c r="GXY1" s="198"/>
      <c r="GXZ1" s="198"/>
      <c r="GYA1" s="198"/>
      <c r="GYB1" s="198"/>
      <c r="GYC1" s="198"/>
      <c r="GYD1" s="198"/>
      <c r="GYE1" s="198"/>
      <c r="GYF1" s="198"/>
      <c r="GYG1" s="198"/>
      <c r="GYH1" s="198"/>
      <c r="GYI1" s="198"/>
      <c r="GYJ1" s="198"/>
      <c r="GYK1" s="198"/>
      <c r="GYL1" s="199"/>
      <c r="GYM1" s="199"/>
      <c r="GYN1" s="200"/>
      <c r="GYO1" s="200"/>
      <c r="GYP1" s="200"/>
      <c r="GYQ1" s="200"/>
      <c r="GYR1" s="200"/>
      <c r="GYS1" s="200"/>
      <c r="GYT1" s="200"/>
      <c r="GYU1" s="198"/>
      <c r="GYV1" s="198"/>
      <c r="GYW1" s="198"/>
      <c r="GYX1" s="198"/>
      <c r="GYY1" s="198"/>
      <c r="GYZ1" s="198"/>
      <c r="GZA1" s="198"/>
      <c r="GZB1" s="198"/>
      <c r="GZC1" s="198"/>
      <c r="GZD1" s="198"/>
      <c r="GZE1" s="198"/>
      <c r="GZF1" s="198"/>
      <c r="GZG1" s="198"/>
      <c r="GZH1" s="198"/>
      <c r="GZI1" s="198"/>
      <c r="GZJ1" s="198"/>
      <c r="GZK1" s="198"/>
      <c r="GZL1" s="198"/>
      <c r="GZM1" s="198"/>
      <c r="GZN1" s="198"/>
      <c r="GZO1" s="198"/>
      <c r="GZP1" s="198"/>
      <c r="GZQ1" s="198"/>
      <c r="GZR1" s="198"/>
      <c r="GZS1" s="198"/>
      <c r="GZT1" s="199"/>
      <c r="GZU1" s="199"/>
      <c r="GZV1" s="200"/>
      <c r="GZW1" s="200"/>
      <c r="GZX1" s="200"/>
      <c r="GZY1" s="200"/>
      <c r="GZZ1" s="200"/>
      <c r="HAA1" s="200"/>
      <c r="HAB1" s="200"/>
      <c r="HAC1" s="198"/>
      <c r="HAD1" s="198"/>
      <c r="HAE1" s="198"/>
      <c r="HAF1" s="198"/>
      <c r="HAG1" s="198"/>
      <c r="HAH1" s="198"/>
      <c r="HAI1" s="198"/>
      <c r="HAJ1" s="198"/>
      <c r="HAK1" s="198"/>
      <c r="HAL1" s="198"/>
      <c r="HAM1" s="198"/>
      <c r="HAN1" s="198"/>
      <c r="HAO1" s="198"/>
      <c r="HAP1" s="198"/>
      <c r="HAQ1" s="198"/>
      <c r="HAR1" s="198"/>
      <c r="HAS1" s="198"/>
      <c r="HAT1" s="198"/>
      <c r="HAU1" s="198"/>
      <c r="HAV1" s="198"/>
      <c r="HAW1" s="198"/>
      <c r="HAX1" s="198"/>
      <c r="HAY1" s="198"/>
      <c r="HAZ1" s="198"/>
      <c r="HBA1" s="198"/>
      <c r="HBB1" s="199"/>
      <c r="HBC1" s="199"/>
      <c r="HBD1" s="200"/>
      <c r="HBE1" s="200"/>
      <c r="HBF1" s="200"/>
      <c r="HBG1" s="200"/>
      <c r="HBH1" s="200"/>
      <c r="HBI1" s="200"/>
      <c r="HBJ1" s="200"/>
      <c r="HBK1" s="198"/>
      <c r="HBL1" s="198"/>
      <c r="HBM1" s="198"/>
      <c r="HBN1" s="198"/>
      <c r="HBO1" s="198"/>
      <c r="HBP1" s="198"/>
      <c r="HBQ1" s="198"/>
      <c r="HBR1" s="198"/>
      <c r="HBS1" s="198"/>
      <c r="HBT1" s="198"/>
      <c r="HBU1" s="198"/>
      <c r="HBV1" s="198"/>
      <c r="HBW1" s="198"/>
      <c r="HBX1" s="198"/>
      <c r="HBY1" s="198"/>
      <c r="HBZ1" s="198"/>
      <c r="HCA1" s="198"/>
      <c r="HCB1" s="198"/>
      <c r="HCC1" s="198"/>
      <c r="HCD1" s="198"/>
      <c r="HCE1" s="198"/>
      <c r="HCF1" s="198"/>
      <c r="HCG1" s="198"/>
      <c r="HCH1" s="198"/>
      <c r="HCI1" s="198"/>
      <c r="HCJ1" s="199"/>
      <c r="HCK1" s="199"/>
      <c r="HCL1" s="200"/>
      <c r="HCM1" s="200"/>
      <c r="HCN1" s="200"/>
      <c r="HCO1" s="200"/>
      <c r="HCP1" s="200"/>
      <c r="HCQ1" s="200"/>
      <c r="HCR1" s="200"/>
      <c r="HCS1" s="198"/>
      <c r="HCT1" s="198"/>
      <c r="HCU1" s="198"/>
      <c r="HCV1" s="198"/>
      <c r="HCW1" s="198"/>
      <c r="HCX1" s="198"/>
      <c r="HCY1" s="198"/>
      <c r="HCZ1" s="198"/>
      <c r="HDA1" s="198"/>
      <c r="HDB1" s="198"/>
      <c r="HDC1" s="198"/>
      <c r="HDD1" s="198"/>
      <c r="HDE1" s="198"/>
      <c r="HDF1" s="198"/>
      <c r="HDG1" s="198"/>
      <c r="HDH1" s="198"/>
      <c r="HDI1" s="198"/>
      <c r="HDJ1" s="198"/>
      <c r="HDK1" s="198"/>
      <c r="HDL1" s="198"/>
      <c r="HDM1" s="198"/>
      <c r="HDN1" s="198"/>
      <c r="HDO1" s="198"/>
      <c r="HDP1" s="198"/>
      <c r="HDQ1" s="198"/>
      <c r="HDR1" s="199"/>
      <c r="HDS1" s="199"/>
      <c r="HDT1" s="200"/>
      <c r="HDU1" s="200"/>
      <c r="HDV1" s="200"/>
      <c r="HDW1" s="200"/>
      <c r="HDX1" s="200"/>
      <c r="HDY1" s="200"/>
      <c r="HDZ1" s="200"/>
      <c r="HEA1" s="198"/>
      <c r="HEB1" s="198"/>
      <c r="HEC1" s="198"/>
      <c r="HED1" s="198"/>
      <c r="HEE1" s="198"/>
      <c r="HEF1" s="198"/>
      <c r="HEG1" s="198"/>
      <c r="HEH1" s="198"/>
      <c r="HEI1" s="198"/>
      <c r="HEJ1" s="198"/>
      <c r="HEK1" s="198"/>
      <c r="HEL1" s="198"/>
      <c r="HEM1" s="198"/>
      <c r="HEN1" s="198"/>
      <c r="HEO1" s="198"/>
      <c r="HEP1" s="198"/>
      <c r="HEQ1" s="198"/>
      <c r="HER1" s="198"/>
      <c r="HES1" s="198"/>
      <c r="HET1" s="198"/>
      <c r="HEU1" s="198"/>
      <c r="HEV1" s="198"/>
      <c r="HEW1" s="198"/>
      <c r="HEX1" s="198"/>
      <c r="HEY1" s="198"/>
      <c r="HEZ1" s="199"/>
      <c r="HFA1" s="199"/>
      <c r="HFB1" s="200"/>
      <c r="HFC1" s="200"/>
      <c r="HFD1" s="200"/>
      <c r="HFE1" s="200"/>
      <c r="HFF1" s="200"/>
      <c r="HFG1" s="200"/>
      <c r="HFH1" s="200"/>
      <c r="HFI1" s="198"/>
      <c r="HFJ1" s="198"/>
      <c r="HFK1" s="198"/>
      <c r="HFL1" s="198"/>
      <c r="HFM1" s="198"/>
      <c r="HFN1" s="198"/>
      <c r="HFO1" s="198"/>
      <c r="HFP1" s="198"/>
      <c r="HFQ1" s="198"/>
      <c r="HFR1" s="198"/>
      <c r="HFS1" s="198"/>
      <c r="HFT1" s="198"/>
      <c r="HFU1" s="198"/>
      <c r="HFV1" s="198"/>
      <c r="HFW1" s="198"/>
      <c r="HFX1" s="198"/>
      <c r="HFY1" s="198"/>
      <c r="HFZ1" s="198"/>
      <c r="HGA1" s="198"/>
      <c r="HGB1" s="198"/>
      <c r="HGC1" s="198"/>
      <c r="HGD1" s="198"/>
      <c r="HGE1" s="198"/>
      <c r="HGF1" s="198"/>
      <c r="HGG1" s="198"/>
      <c r="HGH1" s="199"/>
      <c r="HGI1" s="199"/>
      <c r="HGJ1" s="200"/>
      <c r="HGK1" s="200"/>
      <c r="HGL1" s="200"/>
      <c r="HGM1" s="200"/>
      <c r="HGN1" s="200"/>
      <c r="HGO1" s="200"/>
      <c r="HGP1" s="200"/>
      <c r="HGQ1" s="198"/>
      <c r="HGR1" s="198"/>
      <c r="HGS1" s="198"/>
      <c r="HGT1" s="198"/>
      <c r="HGU1" s="198"/>
      <c r="HGV1" s="198"/>
      <c r="HGW1" s="198"/>
      <c r="HGX1" s="198"/>
      <c r="HGY1" s="198"/>
      <c r="HGZ1" s="198"/>
      <c r="HHA1" s="198"/>
      <c r="HHB1" s="198"/>
      <c r="HHC1" s="198"/>
      <c r="HHD1" s="198"/>
      <c r="HHE1" s="198"/>
      <c r="HHF1" s="198"/>
      <c r="HHG1" s="198"/>
      <c r="HHH1" s="198"/>
      <c r="HHI1" s="198"/>
      <c r="HHJ1" s="198"/>
      <c r="HHK1" s="198"/>
      <c r="HHL1" s="198"/>
      <c r="HHM1" s="198"/>
      <c r="HHN1" s="198"/>
      <c r="HHO1" s="198"/>
      <c r="HHP1" s="199"/>
      <c r="HHQ1" s="199"/>
      <c r="HHR1" s="200"/>
      <c r="HHS1" s="200"/>
      <c r="HHT1" s="200"/>
      <c r="HHU1" s="200"/>
      <c r="HHV1" s="200"/>
      <c r="HHW1" s="200"/>
      <c r="HHX1" s="200"/>
      <c r="HHY1" s="198"/>
      <c r="HHZ1" s="198"/>
      <c r="HIA1" s="198"/>
      <c r="HIB1" s="198"/>
      <c r="HIC1" s="198"/>
      <c r="HID1" s="198"/>
      <c r="HIE1" s="198"/>
      <c r="HIF1" s="198"/>
      <c r="HIG1" s="198"/>
      <c r="HIH1" s="198"/>
      <c r="HII1" s="198"/>
      <c r="HIJ1" s="198"/>
      <c r="HIK1" s="198"/>
      <c r="HIL1" s="198"/>
      <c r="HIM1" s="198"/>
      <c r="HIN1" s="198"/>
      <c r="HIO1" s="198"/>
      <c r="HIP1" s="198"/>
      <c r="HIQ1" s="198"/>
      <c r="HIR1" s="198"/>
      <c r="HIS1" s="198"/>
      <c r="HIT1" s="198"/>
      <c r="HIU1" s="198"/>
      <c r="HIV1" s="198"/>
      <c r="HIW1" s="198"/>
      <c r="HIX1" s="199"/>
      <c r="HIY1" s="199"/>
      <c r="HIZ1" s="200"/>
      <c r="HJA1" s="200"/>
      <c r="HJB1" s="200"/>
      <c r="HJC1" s="200"/>
      <c r="HJD1" s="200"/>
      <c r="HJE1" s="200"/>
      <c r="HJF1" s="200"/>
      <c r="HJG1" s="198"/>
      <c r="HJH1" s="198"/>
      <c r="HJI1" s="198"/>
      <c r="HJJ1" s="198"/>
      <c r="HJK1" s="198"/>
      <c r="HJL1" s="198"/>
      <c r="HJM1" s="198"/>
      <c r="HJN1" s="198"/>
      <c r="HJO1" s="198"/>
      <c r="HJP1" s="198"/>
      <c r="HJQ1" s="198"/>
      <c r="HJR1" s="198"/>
      <c r="HJS1" s="198"/>
      <c r="HJT1" s="198"/>
      <c r="HJU1" s="198"/>
      <c r="HJV1" s="198"/>
      <c r="HJW1" s="198"/>
      <c r="HJX1" s="198"/>
      <c r="HJY1" s="198"/>
      <c r="HJZ1" s="198"/>
      <c r="HKA1" s="198"/>
      <c r="HKB1" s="198"/>
      <c r="HKC1" s="198"/>
      <c r="HKD1" s="198"/>
      <c r="HKE1" s="198"/>
      <c r="HKF1" s="199"/>
      <c r="HKG1" s="199"/>
      <c r="HKH1" s="200"/>
      <c r="HKI1" s="200"/>
      <c r="HKJ1" s="200"/>
      <c r="HKK1" s="200"/>
      <c r="HKL1" s="200"/>
      <c r="HKM1" s="200"/>
      <c r="HKN1" s="200"/>
      <c r="HKO1" s="198"/>
      <c r="HKP1" s="198"/>
      <c r="HKQ1" s="198"/>
      <c r="HKR1" s="198"/>
      <c r="HKS1" s="198"/>
      <c r="HKT1" s="198"/>
      <c r="HKU1" s="198"/>
      <c r="HKV1" s="198"/>
      <c r="HKW1" s="198"/>
      <c r="HKX1" s="198"/>
      <c r="HKY1" s="198"/>
      <c r="HKZ1" s="198"/>
      <c r="HLA1" s="198"/>
      <c r="HLB1" s="198"/>
      <c r="HLC1" s="198"/>
      <c r="HLD1" s="198"/>
      <c r="HLE1" s="198"/>
      <c r="HLF1" s="198"/>
      <c r="HLG1" s="198"/>
      <c r="HLH1" s="198"/>
      <c r="HLI1" s="198"/>
      <c r="HLJ1" s="198"/>
      <c r="HLK1" s="198"/>
      <c r="HLL1" s="198"/>
      <c r="HLM1" s="198"/>
      <c r="HLN1" s="199"/>
      <c r="HLO1" s="199"/>
      <c r="HLP1" s="200"/>
      <c r="HLQ1" s="200"/>
      <c r="HLR1" s="200"/>
      <c r="HLS1" s="200"/>
      <c r="HLT1" s="200"/>
      <c r="HLU1" s="200"/>
      <c r="HLV1" s="200"/>
      <c r="HLW1" s="198"/>
      <c r="HLX1" s="198"/>
      <c r="HLY1" s="198"/>
      <c r="HLZ1" s="198"/>
      <c r="HMA1" s="198"/>
      <c r="HMB1" s="198"/>
      <c r="HMC1" s="198"/>
      <c r="HMD1" s="198"/>
      <c r="HME1" s="198"/>
      <c r="HMF1" s="198"/>
      <c r="HMG1" s="198"/>
      <c r="HMH1" s="198"/>
      <c r="HMI1" s="198"/>
      <c r="HMJ1" s="198"/>
      <c r="HMK1" s="198"/>
      <c r="HML1" s="198"/>
      <c r="HMM1" s="198"/>
      <c r="HMN1" s="198"/>
      <c r="HMO1" s="198"/>
      <c r="HMP1" s="198"/>
      <c r="HMQ1" s="198"/>
      <c r="HMR1" s="198"/>
      <c r="HMS1" s="198"/>
      <c r="HMT1" s="198"/>
      <c r="HMU1" s="198"/>
      <c r="HMV1" s="199"/>
      <c r="HMW1" s="199"/>
      <c r="HMX1" s="200"/>
      <c r="HMY1" s="200"/>
      <c r="HMZ1" s="200"/>
      <c r="HNA1" s="200"/>
      <c r="HNB1" s="200"/>
      <c r="HNC1" s="200"/>
      <c r="HND1" s="200"/>
      <c r="HNE1" s="198"/>
      <c r="HNF1" s="198"/>
      <c r="HNG1" s="198"/>
      <c r="HNH1" s="198"/>
      <c r="HNI1" s="198"/>
      <c r="HNJ1" s="198"/>
      <c r="HNK1" s="198"/>
      <c r="HNL1" s="198"/>
      <c r="HNM1" s="198"/>
      <c r="HNN1" s="198"/>
      <c r="HNO1" s="198"/>
      <c r="HNP1" s="198"/>
      <c r="HNQ1" s="198"/>
      <c r="HNR1" s="198"/>
      <c r="HNS1" s="198"/>
      <c r="HNT1" s="198"/>
      <c r="HNU1" s="198"/>
      <c r="HNV1" s="198"/>
      <c r="HNW1" s="198"/>
      <c r="HNX1" s="198"/>
      <c r="HNY1" s="198"/>
      <c r="HNZ1" s="198"/>
      <c r="HOA1" s="198"/>
      <c r="HOB1" s="198"/>
      <c r="HOC1" s="198"/>
      <c r="HOD1" s="199"/>
      <c r="HOE1" s="199"/>
      <c r="HOF1" s="200"/>
      <c r="HOG1" s="200"/>
      <c r="HOH1" s="200"/>
      <c r="HOI1" s="200"/>
      <c r="HOJ1" s="200"/>
      <c r="HOK1" s="200"/>
      <c r="HOL1" s="200"/>
      <c r="HOM1" s="198"/>
      <c r="HON1" s="198"/>
      <c r="HOO1" s="198"/>
      <c r="HOP1" s="198"/>
      <c r="HOQ1" s="198"/>
      <c r="HOR1" s="198"/>
      <c r="HOS1" s="198"/>
      <c r="HOT1" s="198"/>
      <c r="HOU1" s="198"/>
      <c r="HOV1" s="198"/>
      <c r="HOW1" s="198"/>
      <c r="HOX1" s="198"/>
      <c r="HOY1" s="198"/>
      <c r="HOZ1" s="198"/>
      <c r="HPA1" s="198"/>
      <c r="HPB1" s="198"/>
      <c r="HPC1" s="198"/>
      <c r="HPD1" s="198"/>
      <c r="HPE1" s="198"/>
      <c r="HPF1" s="198"/>
      <c r="HPG1" s="198"/>
      <c r="HPH1" s="198"/>
      <c r="HPI1" s="198"/>
      <c r="HPJ1" s="198"/>
      <c r="HPK1" s="198"/>
      <c r="HPL1" s="199"/>
      <c r="HPM1" s="199"/>
      <c r="HPN1" s="200"/>
      <c r="HPO1" s="200"/>
      <c r="HPP1" s="200"/>
      <c r="HPQ1" s="200"/>
      <c r="HPR1" s="200"/>
      <c r="HPS1" s="200"/>
      <c r="HPT1" s="200"/>
      <c r="HPU1" s="198"/>
      <c r="HPV1" s="198"/>
      <c r="HPW1" s="198"/>
      <c r="HPX1" s="198"/>
      <c r="HPY1" s="198"/>
      <c r="HPZ1" s="198"/>
      <c r="HQA1" s="198"/>
      <c r="HQB1" s="198"/>
      <c r="HQC1" s="198"/>
      <c r="HQD1" s="198"/>
      <c r="HQE1" s="198"/>
      <c r="HQF1" s="198"/>
      <c r="HQG1" s="198"/>
      <c r="HQH1" s="198"/>
      <c r="HQI1" s="198"/>
      <c r="HQJ1" s="198"/>
      <c r="HQK1" s="198"/>
      <c r="HQL1" s="198"/>
      <c r="HQM1" s="198"/>
      <c r="HQN1" s="198"/>
      <c r="HQO1" s="198"/>
      <c r="HQP1" s="198"/>
      <c r="HQQ1" s="198"/>
      <c r="HQR1" s="198"/>
      <c r="HQS1" s="198"/>
      <c r="HQT1" s="199"/>
      <c r="HQU1" s="199"/>
      <c r="HQV1" s="200"/>
      <c r="HQW1" s="200"/>
      <c r="HQX1" s="200"/>
      <c r="HQY1" s="200"/>
      <c r="HQZ1" s="200"/>
      <c r="HRA1" s="200"/>
      <c r="HRB1" s="200"/>
      <c r="HRC1" s="198"/>
      <c r="HRD1" s="198"/>
      <c r="HRE1" s="198"/>
      <c r="HRF1" s="198"/>
      <c r="HRG1" s="198"/>
      <c r="HRH1" s="198"/>
      <c r="HRI1" s="198"/>
      <c r="HRJ1" s="198"/>
      <c r="HRK1" s="198"/>
      <c r="HRL1" s="198"/>
      <c r="HRM1" s="198"/>
      <c r="HRN1" s="198"/>
      <c r="HRO1" s="198"/>
      <c r="HRP1" s="198"/>
      <c r="HRQ1" s="198"/>
      <c r="HRR1" s="198"/>
      <c r="HRS1" s="198"/>
      <c r="HRT1" s="198"/>
      <c r="HRU1" s="198"/>
      <c r="HRV1" s="198"/>
      <c r="HRW1" s="198"/>
      <c r="HRX1" s="198"/>
      <c r="HRY1" s="198"/>
      <c r="HRZ1" s="198"/>
      <c r="HSA1" s="198"/>
      <c r="HSB1" s="199"/>
      <c r="HSC1" s="199"/>
      <c r="HSD1" s="200"/>
      <c r="HSE1" s="200"/>
      <c r="HSF1" s="200"/>
      <c r="HSG1" s="200"/>
      <c r="HSH1" s="200"/>
      <c r="HSI1" s="200"/>
      <c r="HSJ1" s="200"/>
      <c r="HSK1" s="198"/>
      <c r="HSL1" s="198"/>
      <c r="HSM1" s="198"/>
      <c r="HSN1" s="198"/>
      <c r="HSO1" s="198"/>
      <c r="HSP1" s="198"/>
      <c r="HSQ1" s="198"/>
      <c r="HSR1" s="198"/>
      <c r="HSS1" s="198"/>
      <c r="HST1" s="198"/>
      <c r="HSU1" s="198"/>
      <c r="HSV1" s="198"/>
      <c r="HSW1" s="198"/>
      <c r="HSX1" s="198"/>
      <c r="HSY1" s="198"/>
      <c r="HSZ1" s="198"/>
      <c r="HTA1" s="198"/>
      <c r="HTB1" s="198"/>
      <c r="HTC1" s="198"/>
      <c r="HTD1" s="198"/>
      <c r="HTE1" s="198"/>
      <c r="HTF1" s="198"/>
      <c r="HTG1" s="198"/>
      <c r="HTH1" s="198"/>
      <c r="HTI1" s="198"/>
      <c r="HTJ1" s="199"/>
      <c r="HTK1" s="199"/>
      <c r="HTL1" s="200"/>
      <c r="HTM1" s="200"/>
      <c r="HTN1" s="200"/>
      <c r="HTO1" s="200"/>
      <c r="HTP1" s="200"/>
      <c r="HTQ1" s="200"/>
      <c r="HTR1" s="200"/>
      <c r="HTS1" s="198"/>
      <c r="HTT1" s="198"/>
      <c r="HTU1" s="198"/>
      <c r="HTV1" s="198"/>
      <c r="HTW1" s="198"/>
      <c r="HTX1" s="198"/>
      <c r="HTY1" s="198"/>
      <c r="HTZ1" s="198"/>
      <c r="HUA1" s="198"/>
      <c r="HUB1" s="198"/>
      <c r="HUC1" s="198"/>
      <c r="HUD1" s="198"/>
      <c r="HUE1" s="198"/>
      <c r="HUF1" s="198"/>
      <c r="HUG1" s="198"/>
      <c r="HUH1" s="198"/>
      <c r="HUI1" s="198"/>
      <c r="HUJ1" s="198"/>
      <c r="HUK1" s="198"/>
      <c r="HUL1" s="198"/>
      <c r="HUM1" s="198"/>
      <c r="HUN1" s="198"/>
      <c r="HUO1" s="198"/>
      <c r="HUP1" s="198"/>
      <c r="HUQ1" s="198"/>
      <c r="HUR1" s="199"/>
      <c r="HUS1" s="199"/>
      <c r="HUT1" s="200"/>
      <c r="HUU1" s="200"/>
      <c r="HUV1" s="200"/>
      <c r="HUW1" s="200"/>
      <c r="HUX1" s="200"/>
      <c r="HUY1" s="200"/>
      <c r="HUZ1" s="200"/>
      <c r="HVA1" s="198"/>
      <c r="HVB1" s="198"/>
      <c r="HVC1" s="198"/>
      <c r="HVD1" s="198"/>
      <c r="HVE1" s="198"/>
      <c r="HVF1" s="198"/>
      <c r="HVG1" s="198"/>
      <c r="HVH1" s="198"/>
      <c r="HVI1" s="198"/>
      <c r="HVJ1" s="198"/>
      <c r="HVK1" s="198"/>
      <c r="HVL1" s="198"/>
      <c r="HVM1" s="198"/>
      <c r="HVN1" s="198"/>
      <c r="HVO1" s="198"/>
      <c r="HVP1" s="198"/>
      <c r="HVQ1" s="198"/>
      <c r="HVR1" s="198"/>
      <c r="HVS1" s="198"/>
      <c r="HVT1" s="198"/>
      <c r="HVU1" s="198"/>
      <c r="HVV1" s="198"/>
      <c r="HVW1" s="198"/>
      <c r="HVX1" s="198"/>
      <c r="HVY1" s="198"/>
      <c r="HVZ1" s="199"/>
      <c r="HWA1" s="199"/>
      <c r="HWB1" s="200"/>
      <c r="HWC1" s="200"/>
      <c r="HWD1" s="200"/>
      <c r="HWE1" s="200"/>
      <c r="HWF1" s="200"/>
      <c r="HWG1" s="200"/>
      <c r="HWH1" s="200"/>
      <c r="HWI1" s="198"/>
      <c r="HWJ1" s="198"/>
      <c r="HWK1" s="198"/>
      <c r="HWL1" s="198"/>
      <c r="HWM1" s="198"/>
      <c r="HWN1" s="198"/>
      <c r="HWO1" s="198"/>
      <c r="HWP1" s="198"/>
      <c r="HWQ1" s="198"/>
      <c r="HWR1" s="198"/>
      <c r="HWS1" s="198"/>
      <c r="HWT1" s="198"/>
      <c r="HWU1" s="198"/>
      <c r="HWV1" s="198"/>
      <c r="HWW1" s="198"/>
      <c r="HWX1" s="198"/>
      <c r="HWY1" s="198"/>
      <c r="HWZ1" s="198"/>
      <c r="HXA1" s="198"/>
      <c r="HXB1" s="198"/>
      <c r="HXC1" s="198"/>
      <c r="HXD1" s="198"/>
      <c r="HXE1" s="198"/>
      <c r="HXF1" s="198"/>
      <c r="HXG1" s="198"/>
      <c r="HXH1" s="199"/>
      <c r="HXI1" s="199"/>
      <c r="HXJ1" s="200"/>
      <c r="HXK1" s="200"/>
      <c r="HXL1" s="200"/>
      <c r="HXM1" s="200"/>
      <c r="HXN1" s="200"/>
      <c r="HXO1" s="200"/>
      <c r="HXP1" s="200"/>
      <c r="HXQ1" s="198"/>
      <c r="HXR1" s="198"/>
      <c r="HXS1" s="198"/>
      <c r="HXT1" s="198"/>
      <c r="HXU1" s="198"/>
      <c r="HXV1" s="198"/>
      <c r="HXW1" s="198"/>
      <c r="HXX1" s="198"/>
      <c r="HXY1" s="198"/>
      <c r="HXZ1" s="198"/>
      <c r="HYA1" s="198"/>
      <c r="HYB1" s="198"/>
      <c r="HYC1" s="198"/>
      <c r="HYD1" s="198"/>
      <c r="HYE1" s="198"/>
      <c r="HYF1" s="198"/>
      <c r="HYG1" s="198"/>
      <c r="HYH1" s="198"/>
      <c r="HYI1" s="198"/>
      <c r="HYJ1" s="198"/>
      <c r="HYK1" s="198"/>
      <c r="HYL1" s="198"/>
      <c r="HYM1" s="198"/>
      <c r="HYN1" s="198"/>
      <c r="HYO1" s="198"/>
      <c r="HYP1" s="199"/>
      <c r="HYQ1" s="199"/>
      <c r="HYR1" s="200"/>
      <c r="HYS1" s="200"/>
      <c r="HYT1" s="200"/>
      <c r="HYU1" s="200"/>
      <c r="HYV1" s="200"/>
      <c r="HYW1" s="200"/>
      <c r="HYX1" s="200"/>
      <c r="HYY1" s="198"/>
      <c r="HYZ1" s="198"/>
      <c r="HZA1" s="198"/>
      <c r="HZB1" s="198"/>
      <c r="HZC1" s="198"/>
      <c r="HZD1" s="198"/>
      <c r="HZE1" s="198"/>
      <c r="HZF1" s="198"/>
      <c r="HZG1" s="198"/>
      <c r="HZH1" s="198"/>
      <c r="HZI1" s="198"/>
      <c r="HZJ1" s="198"/>
      <c r="HZK1" s="198"/>
      <c r="HZL1" s="198"/>
      <c r="HZM1" s="198"/>
      <c r="HZN1" s="198"/>
      <c r="HZO1" s="198"/>
      <c r="HZP1" s="198"/>
      <c r="HZQ1" s="198"/>
      <c r="HZR1" s="198"/>
      <c r="HZS1" s="198"/>
      <c r="HZT1" s="198"/>
      <c r="HZU1" s="198"/>
      <c r="HZV1" s="198"/>
      <c r="HZW1" s="198"/>
      <c r="HZX1" s="199"/>
      <c r="HZY1" s="199"/>
      <c r="HZZ1" s="200"/>
      <c r="IAA1" s="200"/>
      <c r="IAB1" s="200"/>
      <c r="IAC1" s="200"/>
      <c r="IAD1" s="200"/>
      <c r="IAE1" s="200"/>
      <c r="IAF1" s="200"/>
      <c r="IAG1" s="198"/>
      <c r="IAH1" s="198"/>
      <c r="IAI1" s="198"/>
      <c r="IAJ1" s="198"/>
      <c r="IAK1" s="198"/>
      <c r="IAL1" s="198"/>
      <c r="IAM1" s="198"/>
      <c r="IAN1" s="198"/>
      <c r="IAO1" s="198"/>
      <c r="IAP1" s="198"/>
      <c r="IAQ1" s="198"/>
      <c r="IAR1" s="198"/>
      <c r="IAS1" s="198"/>
      <c r="IAT1" s="198"/>
      <c r="IAU1" s="198"/>
      <c r="IAV1" s="198"/>
      <c r="IAW1" s="198"/>
      <c r="IAX1" s="198"/>
      <c r="IAY1" s="198"/>
      <c r="IAZ1" s="198"/>
      <c r="IBA1" s="198"/>
      <c r="IBB1" s="198"/>
      <c r="IBC1" s="198"/>
      <c r="IBD1" s="198"/>
      <c r="IBE1" s="198"/>
      <c r="IBF1" s="199"/>
      <c r="IBG1" s="199"/>
      <c r="IBH1" s="200"/>
      <c r="IBI1" s="200"/>
      <c r="IBJ1" s="200"/>
      <c r="IBK1" s="200"/>
      <c r="IBL1" s="200"/>
      <c r="IBM1" s="200"/>
      <c r="IBN1" s="200"/>
      <c r="IBO1" s="198"/>
      <c r="IBP1" s="198"/>
      <c r="IBQ1" s="198"/>
      <c r="IBR1" s="198"/>
      <c r="IBS1" s="198"/>
      <c r="IBT1" s="198"/>
      <c r="IBU1" s="198"/>
      <c r="IBV1" s="198"/>
      <c r="IBW1" s="198"/>
      <c r="IBX1" s="198"/>
      <c r="IBY1" s="198"/>
      <c r="IBZ1" s="198"/>
      <c r="ICA1" s="198"/>
      <c r="ICB1" s="198"/>
      <c r="ICC1" s="198"/>
      <c r="ICD1" s="198"/>
      <c r="ICE1" s="198"/>
      <c r="ICF1" s="198"/>
      <c r="ICG1" s="198"/>
      <c r="ICH1" s="198"/>
      <c r="ICI1" s="198"/>
      <c r="ICJ1" s="198"/>
      <c r="ICK1" s="198"/>
      <c r="ICL1" s="198"/>
      <c r="ICM1" s="198"/>
      <c r="ICN1" s="199"/>
      <c r="ICO1" s="199"/>
      <c r="ICP1" s="200"/>
      <c r="ICQ1" s="200"/>
      <c r="ICR1" s="200"/>
      <c r="ICS1" s="200"/>
      <c r="ICT1" s="200"/>
      <c r="ICU1" s="200"/>
      <c r="ICV1" s="200"/>
      <c r="ICW1" s="198"/>
      <c r="ICX1" s="198"/>
      <c r="ICY1" s="198"/>
      <c r="ICZ1" s="198"/>
      <c r="IDA1" s="198"/>
      <c r="IDB1" s="198"/>
      <c r="IDC1" s="198"/>
      <c r="IDD1" s="198"/>
      <c r="IDE1" s="198"/>
      <c r="IDF1" s="198"/>
      <c r="IDG1" s="198"/>
      <c r="IDH1" s="198"/>
      <c r="IDI1" s="198"/>
      <c r="IDJ1" s="198"/>
      <c r="IDK1" s="198"/>
      <c r="IDL1" s="198"/>
      <c r="IDM1" s="198"/>
      <c r="IDN1" s="198"/>
      <c r="IDO1" s="198"/>
      <c r="IDP1" s="198"/>
      <c r="IDQ1" s="198"/>
      <c r="IDR1" s="198"/>
      <c r="IDS1" s="198"/>
      <c r="IDT1" s="198"/>
      <c r="IDU1" s="198"/>
      <c r="IDV1" s="199"/>
      <c r="IDW1" s="199"/>
      <c r="IDX1" s="200"/>
      <c r="IDY1" s="200"/>
      <c r="IDZ1" s="200"/>
      <c r="IEA1" s="200"/>
      <c r="IEB1" s="200"/>
      <c r="IEC1" s="200"/>
      <c r="IED1" s="200"/>
      <c r="IEE1" s="198"/>
      <c r="IEF1" s="198"/>
      <c r="IEG1" s="198"/>
      <c r="IEH1" s="198"/>
      <c r="IEI1" s="198"/>
      <c r="IEJ1" s="198"/>
      <c r="IEK1" s="198"/>
      <c r="IEL1" s="198"/>
      <c r="IEM1" s="198"/>
      <c r="IEN1" s="198"/>
      <c r="IEO1" s="198"/>
      <c r="IEP1" s="198"/>
      <c r="IEQ1" s="198"/>
      <c r="IER1" s="198"/>
      <c r="IES1" s="198"/>
      <c r="IET1" s="198"/>
      <c r="IEU1" s="198"/>
      <c r="IEV1" s="198"/>
      <c r="IEW1" s="198"/>
      <c r="IEX1" s="198"/>
      <c r="IEY1" s="198"/>
      <c r="IEZ1" s="198"/>
      <c r="IFA1" s="198"/>
      <c r="IFB1" s="198"/>
      <c r="IFC1" s="198"/>
      <c r="IFD1" s="199"/>
      <c r="IFE1" s="199"/>
      <c r="IFF1" s="200"/>
      <c r="IFG1" s="200"/>
      <c r="IFH1" s="200"/>
      <c r="IFI1" s="200"/>
      <c r="IFJ1" s="200"/>
      <c r="IFK1" s="200"/>
      <c r="IFL1" s="200"/>
      <c r="IFM1" s="198"/>
      <c r="IFN1" s="198"/>
      <c r="IFO1" s="198"/>
      <c r="IFP1" s="198"/>
      <c r="IFQ1" s="198"/>
      <c r="IFR1" s="198"/>
      <c r="IFS1" s="198"/>
      <c r="IFT1" s="198"/>
      <c r="IFU1" s="198"/>
      <c r="IFV1" s="198"/>
      <c r="IFW1" s="198"/>
      <c r="IFX1" s="198"/>
      <c r="IFY1" s="198"/>
      <c r="IFZ1" s="198"/>
      <c r="IGA1" s="198"/>
      <c r="IGB1" s="198"/>
      <c r="IGC1" s="198"/>
      <c r="IGD1" s="198"/>
      <c r="IGE1" s="198"/>
      <c r="IGF1" s="198"/>
      <c r="IGG1" s="198"/>
      <c r="IGH1" s="198"/>
      <c r="IGI1" s="198"/>
      <c r="IGJ1" s="198"/>
      <c r="IGK1" s="198"/>
      <c r="IGL1" s="199"/>
      <c r="IGM1" s="199"/>
      <c r="IGN1" s="200"/>
      <c r="IGO1" s="200"/>
      <c r="IGP1" s="200"/>
      <c r="IGQ1" s="200"/>
      <c r="IGR1" s="200"/>
      <c r="IGS1" s="200"/>
      <c r="IGT1" s="200"/>
      <c r="IGU1" s="198"/>
      <c r="IGV1" s="198"/>
      <c r="IGW1" s="198"/>
      <c r="IGX1" s="198"/>
      <c r="IGY1" s="198"/>
      <c r="IGZ1" s="198"/>
      <c r="IHA1" s="198"/>
      <c r="IHB1" s="198"/>
      <c r="IHC1" s="198"/>
      <c r="IHD1" s="198"/>
      <c r="IHE1" s="198"/>
      <c r="IHF1" s="198"/>
      <c r="IHG1" s="198"/>
      <c r="IHH1" s="198"/>
      <c r="IHI1" s="198"/>
      <c r="IHJ1" s="198"/>
      <c r="IHK1" s="198"/>
      <c r="IHL1" s="198"/>
      <c r="IHM1" s="198"/>
      <c r="IHN1" s="198"/>
      <c r="IHO1" s="198"/>
      <c r="IHP1" s="198"/>
      <c r="IHQ1" s="198"/>
      <c r="IHR1" s="198"/>
      <c r="IHS1" s="198"/>
      <c r="IHT1" s="199"/>
      <c r="IHU1" s="199"/>
      <c r="IHV1" s="200"/>
      <c r="IHW1" s="200"/>
      <c r="IHX1" s="200"/>
      <c r="IHY1" s="200"/>
      <c r="IHZ1" s="200"/>
      <c r="IIA1" s="200"/>
      <c r="IIB1" s="200"/>
      <c r="IIC1" s="198"/>
      <c r="IID1" s="198"/>
      <c r="IIE1" s="198"/>
      <c r="IIF1" s="198"/>
      <c r="IIG1" s="198"/>
      <c r="IIH1" s="198"/>
      <c r="III1" s="198"/>
      <c r="IIJ1" s="198"/>
      <c r="IIK1" s="198"/>
      <c r="IIL1" s="198"/>
      <c r="IIM1" s="198"/>
      <c r="IIN1" s="198"/>
      <c r="IIO1" s="198"/>
      <c r="IIP1" s="198"/>
      <c r="IIQ1" s="198"/>
      <c r="IIR1" s="198"/>
      <c r="IIS1" s="198"/>
      <c r="IIT1" s="198"/>
      <c r="IIU1" s="198"/>
      <c r="IIV1" s="198"/>
      <c r="IIW1" s="198"/>
      <c r="IIX1" s="198"/>
      <c r="IIY1" s="198"/>
      <c r="IIZ1" s="198"/>
      <c r="IJA1" s="198"/>
      <c r="IJB1" s="199"/>
      <c r="IJC1" s="199"/>
      <c r="IJD1" s="200"/>
      <c r="IJE1" s="200"/>
      <c r="IJF1" s="200"/>
      <c r="IJG1" s="200"/>
      <c r="IJH1" s="200"/>
      <c r="IJI1" s="200"/>
      <c r="IJJ1" s="200"/>
      <c r="IJK1" s="198"/>
      <c r="IJL1" s="198"/>
      <c r="IJM1" s="198"/>
      <c r="IJN1" s="198"/>
      <c r="IJO1" s="198"/>
      <c r="IJP1" s="198"/>
      <c r="IJQ1" s="198"/>
      <c r="IJR1" s="198"/>
      <c r="IJS1" s="198"/>
      <c r="IJT1" s="198"/>
      <c r="IJU1" s="198"/>
      <c r="IJV1" s="198"/>
      <c r="IJW1" s="198"/>
      <c r="IJX1" s="198"/>
      <c r="IJY1" s="198"/>
      <c r="IJZ1" s="198"/>
      <c r="IKA1" s="198"/>
      <c r="IKB1" s="198"/>
      <c r="IKC1" s="198"/>
      <c r="IKD1" s="198"/>
      <c r="IKE1" s="198"/>
      <c r="IKF1" s="198"/>
      <c r="IKG1" s="198"/>
      <c r="IKH1" s="198"/>
      <c r="IKI1" s="198"/>
      <c r="IKJ1" s="199"/>
      <c r="IKK1" s="199"/>
      <c r="IKL1" s="200"/>
      <c r="IKM1" s="200"/>
      <c r="IKN1" s="200"/>
      <c r="IKO1" s="200"/>
      <c r="IKP1" s="200"/>
      <c r="IKQ1" s="200"/>
      <c r="IKR1" s="200"/>
      <c r="IKS1" s="198"/>
      <c r="IKT1" s="198"/>
      <c r="IKU1" s="198"/>
      <c r="IKV1" s="198"/>
      <c r="IKW1" s="198"/>
      <c r="IKX1" s="198"/>
      <c r="IKY1" s="198"/>
      <c r="IKZ1" s="198"/>
      <c r="ILA1" s="198"/>
      <c r="ILB1" s="198"/>
      <c r="ILC1" s="198"/>
      <c r="ILD1" s="198"/>
      <c r="ILE1" s="198"/>
      <c r="ILF1" s="198"/>
      <c r="ILG1" s="198"/>
      <c r="ILH1" s="198"/>
      <c r="ILI1" s="198"/>
      <c r="ILJ1" s="198"/>
      <c r="ILK1" s="198"/>
      <c r="ILL1" s="198"/>
      <c r="ILM1" s="198"/>
      <c r="ILN1" s="198"/>
      <c r="ILO1" s="198"/>
      <c r="ILP1" s="198"/>
      <c r="ILQ1" s="198"/>
      <c r="ILR1" s="199"/>
      <c r="ILS1" s="199"/>
      <c r="ILT1" s="200"/>
      <c r="ILU1" s="200"/>
      <c r="ILV1" s="200"/>
      <c r="ILW1" s="200"/>
      <c r="ILX1" s="200"/>
      <c r="ILY1" s="200"/>
      <c r="ILZ1" s="200"/>
      <c r="IMA1" s="198"/>
      <c r="IMB1" s="198"/>
      <c r="IMC1" s="198"/>
      <c r="IMD1" s="198"/>
      <c r="IME1" s="198"/>
      <c r="IMF1" s="198"/>
      <c r="IMG1" s="198"/>
      <c r="IMH1" s="198"/>
      <c r="IMI1" s="198"/>
      <c r="IMJ1" s="198"/>
      <c r="IMK1" s="198"/>
      <c r="IML1" s="198"/>
      <c r="IMM1" s="198"/>
      <c r="IMN1" s="198"/>
      <c r="IMO1" s="198"/>
      <c r="IMP1" s="198"/>
      <c r="IMQ1" s="198"/>
      <c r="IMR1" s="198"/>
      <c r="IMS1" s="198"/>
      <c r="IMT1" s="198"/>
      <c r="IMU1" s="198"/>
      <c r="IMV1" s="198"/>
      <c r="IMW1" s="198"/>
      <c r="IMX1" s="198"/>
      <c r="IMY1" s="198"/>
      <c r="IMZ1" s="199"/>
      <c r="INA1" s="199"/>
      <c r="INB1" s="200"/>
      <c r="INC1" s="200"/>
      <c r="IND1" s="200"/>
      <c r="INE1" s="200"/>
      <c r="INF1" s="200"/>
      <c r="ING1" s="200"/>
      <c r="INH1" s="200"/>
      <c r="INI1" s="198"/>
      <c r="INJ1" s="198"/>
      <c r="INK1" s="198"/>
      <c r="INL1" s="198"/>
      <c r="INM1" s="198"/>
      <c r="INN1" s="198"/>
      <c r="INO1" s="198"/>
      <c r="INP1" s="198"/>
      <c r="INQ1" s="198"/>
      <c r="INR1" s="198"/>
      <c r="INS1" s="198"/>
      <c r="INT1" s="198"/>
      <c r="INU1" s="198"/>
      <c r="INV1" s="198"/>
      <c r="INW1" s="198"/>
      <c r="INX1" s="198"/>
      <c r="INY1" s="198"/>
      <c r="INZ1" s="198"/>
      <c r="IOA1" s="198"/>
      <c r="IOB1" s="198"/>
      <c r="IOC1" s="198"/>
      <c r="IOD1" s="198"/>
      <c r="IOE1" s="198"/>
      <c r="IOF1" s="198"/>
      <c r="IOG1" s="198"/>
      <c r="IOH1" s="199"/>
      <c r="IOI1" s="199"/>
      <c r="IOJ1" s="200"/>
      <c r="IOK1" s="200"/>
      <c r="IOL1" s="200"/>
      <c r="IOM1" s="200"/>
      <c r="ION1" s="200"/>
      <c r="IOO1" s="200"/>
      <c r="IOP1" s="200"/>
      <c r="IOQ1" s="198"/>
      <c r="IOR1" s="198"/>
      <c r="IOS1" s="198"/>
      <c r="IOT1" s="198"/>
      <c r="IOU1" s="198"/>
      <c r="IOV1" s="198"/>
      <c r="IOW1" s="198"/>
      <c r="IOX1" s="198"/>
      <c r="IOY1" s="198"/>
      <c r="IOZ1" s="198"/>
      <c r="IPA1" s="198"/>
      <c r="IPB1" s="198"/>
      <c r="IPC1" s="198"/>
      <c r="IPD1" s="198"/>
      <c r="IPE1" s="198"/>
      <c r="IPF1" s="198"/>
      <c r="IPG1" s="198"/>
      <c r="IPH1" s="198"/>
      <c r="IPI1" s="198"/>
      <c r="IPJ1" s="198"/>
      <c r="IPK1" s="198"/>
      <c r="IPL1" s="198"/>
      <c r="IPM1" s="198"/>
      <c r="IPN1" s="198"/>
      <c r="IPO1" s="198"/>
      <c r="IPP1" s="199"/>
      <c r="IPQ1" s="199"/>
      <c r="IPR1" s="200"/>
      <c r="IPS1" s="200"/>
      <c r="IPT1" s="200"/>
      <c r="IPU1" s="200"/>
      <c r="IPV1" s="200"/>
      <c r="IPW1" s="200"/>
      <c r="IPX1" s="200"/>
      <c r="IPY1" s="198"/>
      <c r="IPZ1" s="198"/>
      <c r="IQA1" s="198"/>
      <c r="IQB1" s="198"/>
      <c r="IQC1" s="198"/>
      <c r="IQD1" s="198"/>
      <c r="IQE1" s="198"/>
      <c r="IQF1" s="198"/>
      <c r="IQG1" s="198"/>
      <c r="IQH1" s="198"/>
      <c r="IQI1" s="198"/>
      <c r="IQJ1" s="198"/>
      <c r="IQK1" s="198"/>
      <c r="IQL1" s="198"/>
      <c r="IQM1" s="198"/>
      <c r="IQN1" s="198"/>
      <c r="IQO1" s="198"/>
      <c r="IQP1" s="198"/>
      <c r="IQQ1" s="198"/>
      <c r="IQR1" s="198"/>
      <c r="IQS1" s="198"/>
      <c r="IQT1" s="198"/>
      <c r="IQU1" s="198"/>
      <c r="IQV1" s="198"/>
      <c r="IQW1" s="198"/>
      <c r="IQX1" s="199"/>
      <c r="IQY1" s="199"/>
      <c r="IQZ1" s="200"/>
      <c r="IRA1" s="200"/>
      <c r="IRB1" s="200"/>
      <c r="IRC1" s="200"/>
      <c r="IRD1" s="200"/>
      <c r="IRE1" s="200"/>
      <c r="IRF1" s="200"/>
      <c r="IRG1" s="198"/>
      <c r="IRH1" s="198"/>
      <c r="IRI1" s="198"/>
      <c r="IRJ1" s="198"/>
      <c r="IRK1" s="198"/>
      <c r="IRL1" s="198"/>
      <c r="IRM1" s="198"/>
      <c r="IRN1" s="198"/>
      <c r="IRO1" s="198"/>
      <c r="IRP1" s="198"/>
      <c r="IRQ1" s="198"/>
      <c r="IRR1" s="198"/>
      <c r="IRS1" s="198"/>
      <c r="IRT1" s="198"/>
      <c r="IRU1" s="198"/>
      <c r="IRV1" s="198"/>
      <c r="IRW1" s="198"/>
      <c r="IRX1" s="198"/>
      <c r="IRY1" s="198"/>
      <c r="IRZ1" s="198"/>
      <c r="ISA1" s="198"/>
      <c r="ISB1" s="198"/>
      <c r="ISC1" s="198"/>
      <c r="ISD1" s="198"/>
      <c r="ISE1" s="198"/>
      <c r="ISF1" s="199"/>
      <c r="ISG1" s="199"/>
      <c r="ISH1" s="200"/>
      <c r="ISI1" s="200"/>
      <c r="ISJ1" s="200"/>
      <c r="ISK1" s="200"/>
      <c r="ISL1" s="200"/>
      <c r="ISM1" s="200"/>
      <c r="ISN1" s="200"/>
      <c r="ISO1" s="198"/>
      <c r="ISP1" s="198"/>
      <c r="ISQ1" s="198"/>
      <c r="ISR1" s="198"/>
      <c r="ISS1" s="198"/>
      <c r="IST1" s="198"/>
      <c r="ISU1" s="198"/>
      <c r="ISV1" s="198"/>
      <c r="ISW1" s="198"/>
      <c r="ISX1" s="198"/>
      <c r="ISY1" s="198"/>
      <c r="ISZ1" s="198"/>
      <c r="ITA1" s="198"/>
      <c r="ITB1" s="198"/>
      <c r="ITC1" s="198"/>
      <c r="ITD1" s="198"/>
      <c r="ITE1" s="198"/>
      <c r="ITF1" s="198"/>
      <c r="ITG1" s="198"/>
      <c r="ITH1" s="198"/>
      <c r="ITI1" s="198"/>
      <c r="ITJ1" s="198"/>
      <c r="ITK1" s="198"/>
      <c r="ITL1" s="198"/>
      <c r="ITM1" s="198"/>
      <c r="ITN1" s="199"/>
      <c r="ITO1" s="199"/>
      <c r="ITP1" s="200"/>
      <c r="ITQ1" s="200"/>
      <c r="ITR1" s="200"/>
      <c r="ITS1" s="200"/>
      <c r="ITT1" s="200"/>
      <c r="ITU1" s="200"/>
      <c r="ITV1" s="200"/>
      <c r="ITW1" s="198"/>
      <c r="ITX1" s="198"/>
      <c r="ITY1" s="198"/>
      <c r="ITZ1" s="198"/>
      <c r="IUA1" s="198"/>
      <c r="IUB1" s="198"/>
      <c r="IUC1" s="198"/>
      <c r="IUD1" s="198"/>
      <c r="IUE1" s="198"/>
      <c r="IUF1" s="198"/>
      <c r="IUG1" s="198"/>
      <c r="IUH1" s="198"/>
      <c r="IUI1" s="198"/>
      <c r="IUJ1" s="198"/>
      <c r="IUK1" s="198"/>
      <c r="IUL1" s="198"/>
      <c r="IUM1" s="198"/>
      <c r="IUN1" s="198"/>
      <c r="IUO1" s="198"/>
      <c r="IUP1" s="198"/>
      <c r="IUQ1" s="198"/>
      <c r="IUR1" s="198"/>
      <c r="IUS1" s="198"/>
      <c r="IUT1" s="198"/>
      <c r="IUU1" s="198"/>
      <c r="IUV1" s="199"/>
      <c r="IUW1" s="199"/>
      <c r="IUX1" s="200"/>
      <c r="IUY1" s="200"/>
      <c r="IUZ1" s="200"/>
      <c r="IVA1" s="200"/>
      <c r="IVB1" s="200"/>
      <c r="IVC1" s="200"/>
      <c r="IVD1" s="200"/>
      <c r="IVE1" s="198"/>
      <c r="IVF1" s="198"/>
      <c r="IVG1" s="198"/>
      <c r="IVH1" s="198"/>
      <c r="IVI1" s="198"/>
      <c r="IVJ1" s="198"/>
      <c r="IVK1" s="198"/>
      <c r="IVL1" s="198"/>
      <c r="IVM1" s="198"/>
      <c r="IVN1" s="198"/>
      <c r="IVO1" s="198"/>
      <c r="IVP1" s="198"/>
      <c r="IVQ1" s="198"/>
      <c r="IVR1" s="198"/>
      <c r="IVS1" s="198"/>
      <c r="IVT1" s="198"/>
      <c r="IVU1" s="198"/>
      <c r="IVV1" s="198"/>
      <c r="IVW1" s="198"/>
      <c r="IVX1" s="198"/>
      <c r="IVY1" s="198"/>
      <c r="IVZ1" s="198"/>
      <c r="IWA1" s="198"/>
      <c r="IWB1" s="198"/>
      <c r="IWC1" s="198"/>
      <c r="IWD1" s="199"/>
      <c r="IWE1" s="199"/>
      <c r="IWF1" s="200"/>
      <c r="IWG1" s="200"/>
      <c r="IWH1" s="200"/>
      <c r="IWI1" s="200"/>
      <c r="IWJ1" s="200"/>
      <c r="IWK1" s="200"/>
      <c r="IWL1" s="200"/>
      <c r="IWM1" s="198"/>
      <c r="IWN1" s="198"/>
      <c r="IWO1" s="198"/>
      <c r="IWP1" s="198"/>
      <c r="IWQ1" s="198"/>
      <c r="IWR1" s="198"/>
      <c r="IWS1" s="198"/>
      <c r="IWT1" s="198"/>
      <c r="IWU1" s="198"/>
      <c r="IWV1" s="198"/>
      <c r="IWW1" s="198"/>
      <c r="IWX1" s="198"/>
      <c r="IWY1" s="198"/>
      <c r="IWZ1" s="198"/>
      <c r="IXA1" s="198"/>
      <c r="IXB1" s="198"/>
      <c r="IXC1" s="198"/>
      <c r="IXD1" s="198"/>
      <c r="IXE1" s="198"/>
      <c r="IXF1" s="198"/>
      <c r="IXG1" s="198"/>
      <c r="IXH1" s="198"/>
      <c r="IXI1" s="198"/>
      <c r="IXJ1" s="198"/>
      <c r="IXK1" s="198"/>
      <c r="IXL1" s="199"/>
      <c r="IXM1" s="199"/>
      <c r="IXN1" s="200"/>
      <c r="IXO1" s="200"/>
      <c r="IXP1" s="200"/>
      <c r="IXQ1" s="200"/>
      <c r="IXR1" s="200"/>
      <c r="IXS1" s="200"/>
      <c r="IXT1" s="200"/>
      <c r="IXU1" s="198"/>
      <c r="IXV1" s="198"/>
      <c r="IXW1" s="198"/>
      <c r="IXX1" s="198"/>
      <c r="IXY1" s="198"/>
      <c r="IXZ1" s="198"/>
      <c r="IYA1" s="198"/>
      <c r="IYB1" s="198"/>
      <c r="IYC1" s="198"/>
      <c r="IYD1" s="198"/>
      <c r="IYE1" s="198"/>
      <c r="IYF1" s="198"/>
      <c r="IYG1" s="198"/>
      <c r="IYH1" s="198"/>
      <c r="IYI1" s="198"/>
      <c r="IYJ1" s="198"/>
      <c r="IYK1" s="198"/>
      <c r="IYL1" s="198"/>
      <c r="IYM1" s="198"/>
      <c r="IYN1" s="198"/>
      <c r="IYO1" s="198"/>
      <c r="IYP1" s="198"/>
      <c r="IYQ1" s="198"/>
      <c r="IYR1" s="198"/>
      <c r="IYS1" s="198"/>
      <c r="IYT1" s="199"/>
      <c r="IYU1" s="199"/>
      <c r="IYV1" s="200"/>
      <c r="IYW1" s="200"/>
      <c r="IYX1" s="200"/>
      <c r="IYY1" s="200"/>
      <c r="IYZ1" s="200"/>
      <c r="IZA1" s="200"/>
      <c r="IZB1" s="200"/>
      <c r="IZC1" s="198"/>
      <c r="IZD1" s="198"/>
      <c r="IZE1" s="198"/>
      <c r="IZF1" s="198"/>
      <c r="IZG1" s="198"/>
      <c r="IZH1" s="198"/>
      <c r="IZI1" s="198"/>
      <c r="IZJ1" s="198"/>
      <c r="IZK1" s="198"/>
      <c r="IZL1" s="198"/>
      <c r="IZM1" s="198"/>
      <c r="IZN1" s="198"/>
      <c r="IZO1" s="198"/>
      <c r="IZP1" s="198"/>
      <c r="IZQ1" s="198"/>
      <c r="IZR1" s="198"/>
      <c r="IZS1" s="198"/>
      <c r="IZT1" s="198"/>
      <c r="IZU1" s="198"/>
      <c r="IZV1" s="198"/>
      <c r="IZW1" s="198"/>
      <c r="IZX1" s="198"/>
      <c r="IZY1" s="198"/>
      <c r="IZZ1" s="198"/>
      <c r="JAA1" s="198"/>
      <c r="JAB1" s="199"/>
      <c r="JAC1" s="199"/>
      <c r="JAD1" s="200"/>
      <c r="JAE1" s="200"/>
      <c r="JAF1" s="200"/>
      <c r="JAG1" s="200"/>
      <c r="JAH1" s="200"/>
      <c r="JAI1" s="200"/>
      <c r="JAJ1" s="200"/>
      <c r="JAK1" s="198"/>
      <c r="JAL1" s="198"/>
      <c r="JAM1" s="198"/>
      <c r="JAN1" s="198"/>
      <c r="JAO1" s="198"/>
      <c r="JAP1" s="198"/>
      <c r="JAQ1" s="198"/>
      <c r="JAR1" s="198"/>
      <c r="JAS1" s="198"/>
      <c r="JAT1" s="198"/>
      <c r="JAU1" s="198"/>
      <c r="JAV1" s="198"/>
      <c r="JAW1" s="198"/>
      <c r="JAX1" s="198"/>
      <c r="JAY1" s="198"/>
      <c r="JAZ1" s="198"/>
      <c r="JBA1" s="198"/>
      <c r="JBB1" s="198"/>
      <c r="JBC1" s="198"/>
      <c r="JBD1" s="198"/>
      <c r="JBE1" s="198"/>
      <c r="JBF1" s="198"/>
      <c r="JBG1" s="198"/>
      <c r="JBH1" s="198"/>
      <c r="JBI1" s="198"/>
      <c r="JBJ1" s="199"/>
      <c r="JBK1" s="199"/>
      <c r="JBL1" s="200"/>
      <c r="JBM1" s="200"/>
      <c r="JBN1" s="200"/>
      <c r="JBO1" s="200"/>
      <c r="JBP1" s="200"/>
      <c r="JBQ1" s="200"/>
      <c r="JBR1" s="200"/>
      <c r="JBS1" s="198"/>
      <c r="JBT1" s="198"/>
      <c r="JBU1" s="198"/>
      <c r="JBV1" s="198"/>
      <c r="JBW1" s="198"/>
      <c r="JBX1" s="198"/>
      <c r="JBY1" s="198"/>
      <c r="JBZ1" s="198"/>
      <c r="JCA1" s="198"/>
      <c r="JCB1" s="198"/>
      <c r="JCC1" s="198"/>
      <c r="JCD1" s="198"/>
      <c r="JCE1" s="198"/>
      <c r="JCF1" s="198"/>
      <c r="JCG1" s="198"/>
      <c r="JCH1" s="198"/>
      <c r="JCI1" s="198"/>
      <c r="JCJ1" s="198"/>
      <c r="JCK1" s="198"/>
      <c r="JCL1" s="198"/>
      <c r="JCM1" s="198"/>
      <c r="JCN1" s="198"/>
      <c r="JCO1" s="198"/>
      <c r="JCP1" s="198"/>
      <c r="JCQ1" s="198"/>
      <c r="JCR1" s="199"/>
      <c r="JCS1" s="199"/>
      <c r="JCT1" s="200"/>
      <c r="JCU1" s="200"/>
      <c r="JCV1" s="200"/>
      <c r="JCW1" s="200"/>
      <c r="JCX1" s="200"/>
      <c r="JCY1" s="200"/>
      <c r="JCZ1" s="200"/>
      <c r="JDA1" s="198"/>
      <c r="JDB1" s="198"/>
      <c r="JDC1" s="198"/>
      <c r="JDD1" s="198"/>
      <c r="JDE1" s="198"/>
      <c r="JDF1" s="198"/>
      <c r="JDG1" s="198"/>
      <c r="JDH1" s="198"/>
      <c r="JDI1" s="198"/>
      <c r="JDJ1" s="198"/>
      <c r="JDK1" s="198"/>
      <c r="JDL1" s="198"/>
      <c r="JDM1" s="198"/>
      <c r="JDN1" s="198"/>
      <c r="JDO1" s="198"/>
      <c r="JDP1" s="198"/>
      <c r="JDQ1" s="198"/>
      <c r="JDR1" s="198"/>
      <c r="JDS1" s="198"/>
      <c r="JDT1" s="198"/>
      <c r="JDU1" s="198"/>
      <c r="JDV1" s="198"/>
      <c r="JDW1" s="198"/>
      <c r="JDX1" s="198"/>
      <c r="JDY1" s="198"/>
      <c r="JDZ1" s="199"/>
      <c r="JEA1" s="199"/>
      <c r="JEB1" s="200"/>
      <c r="JEC1" s="200"/>
      <c r="JED1" s="200"/>
      <c r="JEE1" s="200"/>
      <c r="JEF1" s="200"/>
      <c r="JEG1" s="200"/>
      <c r="JEH1" s="200"/>
      <c r="JEI1" s="198"/>
      <c r="JEJ1" s="198"/>
      <c r="JEK1" s="198"/>
      <c r="JEL1" s="198"/>
      <c r="JEM1" s="198"/>
      <c r="JEN1" s="198"/>
      <c r="JEO1" s="198"/>
      <c r="JEP1" s="198"/>
      <c r="JEQ1" s="198"/>
      <c r="JER1" s="198"/>
      <c r="JES1" s="198"/>
      <c r="JET1" s="198"/>
      <c r="JEU1" s="198"/>
      <c r="JEV1" s="198"/>
      <c r="JEW1" s="198"/>
      <c r="JEX1" s="198"/>
      <c r="JEY1" s="198"/>
      <c r="JEZ1" s="198"/>
      <c r="JFA1" s="198"/>
      <c r="JFB1" s="198"/>
      <c r="JFC1" s="198"/>
      <c r="JFD1" s="198"/>
      <c r="JFE1" s="198"/>
      <c r="JFF1" s="198"/>
      <c r="JFG1" s="198"/>
      <c r="JFH1" s="199"/>
      <c r="JFI1" s="199"/>
      <c r="JFJ1" s="200"/>
      <c r="JFK1" s="200"/>
      <c r="JFL1" s="200"/>
      <c r="JFM1" s="200"/>
      <c r="JFN1" s="200"/>
      <c r="JFO1" s="200"/>
      <c r="JFP1" s="200"/>
      <c r="JFQ1" s="198"/>
      <c r="JFR1" s="198"/>
      <c r="JFS1" s="198"/>
      <c r="JFT1" s="198"/>
      <c r="JFU1" s="198"/>
      <c r="JFV1" s="198"/>
      <c r="JFW1" s="198"/>
      <c r="JFX1" s="198"/>
      <c r="JFY1" s="198"/>
      <c r="JFZ1" s="198"/>
      <c r="JGA1" s="198"/>
      <c r="JGB1" s="198"/>
      <c r="JGC1" s="198"/>
      <c r="JGD1" s="198"/>
      <c r="JGE1" s="198"/>
      <c r="JGF1" s="198"/>
      <c r="JGG1" s="198"/>
      <c r="JGH1" s="198"/>
      <c r="JGI1" s="198"/>
      <c r="JGJ1" s="198"/>
      <c r="JGK1" s="198"/>
      <c r="JGL1" s="198"/>
      <c r="JGM1" s="198"/>
      <c r="JGN1" s="198"/>
      <c r="JGO1" s="198"/>
      <c r="JGP1" s="199"/>
      <c r="JGQ1" s="199"/>
      <c r="JGR1" s="200"/>
      <c r="JGS1" s="200"/>
      <c r="JGT1" s="200"/>
      <c r="JGU1" s="200"/>
      <c r="JGV1" s="200"/>
      <c r="JGW1" s="200"/>
      <c r="JGX1" s="200"/>
      <c r="JGY1" s="198"/>
      <c r="JGZ1" s="198"/>
      <c r="JHA1" s="198"/>
      <c r="JHB1" s="198"/>
      <c r="JHC1" s="198"/>
      <c r="JHD1" s="198"/>
      <c r="JHE1" s="198"/>
      <c r="JHF1" s="198"/>
      <c r="JHG1" s="198"/>
      <c r="JHH1" s="198"/>
      <c r="JHI1" s="198"/>
      <c r="JHJ1" s="198"/>
      <c r="JHK1" s="198"/>
      <c r="JHL1" s="198"/>
      <c r="JHM1" s="198"/>
      <c r="JHN1" s="198"/>
      <c r="JHO1" s="198"/>
      <c r="JHP1" s="198"/>
      <c r="JHQ1" s="198"/>
      <c r="JHR1" s="198"/>
      <c r="JHS1" s="198"/>
      <c r="JHT1" s="198"/>
      <c r="JHU1" s="198"/>
      <c r="JHV1" s="198"/>
      <c r="JHW1" s="198"/>
      <c r="JHX1" s="199"/>
      <c r="JHY1" s="199"/>
      <c r="JHZ1" s="200"/>
      <c r="JIA1" s="200"/>
      <c r="JIB1" s="200"/>
      <c r="JIC1" s="200"/>
      <c r="JID1" s="200"/>
      <c r="JIE1" s="200"/>
      <c r="JIF1" s="200"/>
      <c r="JIG1" s="198"/>
      <c r="JIH1" s="198"/>
      <c r="JII1" s="198"/>
      <c r="JIJ1" s="198"/>
      <c r="JIK1" s="198"/>
      <c r="JIL1" s="198"/>
      <c r="JIM1" s="198"/>
      <c r="JIN1" s="198"/>
      <c r="JIO1" s="198"/>
      <c r="JIP1" s="198"/>
      <c r="JIQ1" s="198"/>
      <c r="JIR1" s="198"/>
      <c r="JIS1" s="198"/>
      <c r="JIT1" s="198"/>
      <c r="JIU1" s="198"/>
      <c r="JIV1" s="198"/>
      <c r="JIW1" s="198"/>
      <c r="JIX1" s="198"/>
      <c r="JIY1" s="198"/>
      <c r="JIZ1" s="198"/>
      <c r="JJA1" s="198"/>
      <c r="JJB1" s="198"/>
      <c r="JJC1" s="198"/>
      <c r="JJD1" s="198"/>
      <c r="JJE1" s="198"/>
      <c r="JJF1" s="199"/>
      <c r="JJG1" s="199"/>
      <c r="JJH1" s="200"/>
      <c r="JJI1" s="200"/>
      <c r="JJJ1" s="200"/>
      <c r="JJK1" s="200"/>
      <c r="JJL1" s="200"/>
      <c r="JJM1" s="200"/>
      <c r="JJN1" s="200"/>
      <c r="JJO1" s="198"/>
      <c r="JJP1" s="198"/>
      <c r="JJQ1" s="198"/>
      <c r="JJR1" s="198"/>
      <c r="JJS1" s="198"/>
      <c r="JJT1" s="198"/>
      <c r="JJU1" s="198"/>
      <c r="JJV1" s="198"/>
      <c r="JJW1" s="198"/>
      <c r="JJX1" s="198"/>
      <c r="JJY1" s="198"/>
      <c r="JJZ1" s="198"/>
      <c r="JKA1" s="198"/>
      <c r="JKB1" s="198"/>
      <c r="JKC1" s="198"/>
      <c r="JKD1" s="198"/>
      <c r="JKE1" s="198"/>
      <c r="JKF1" s="198"/>
      <c r="JKG1" s="198"/>
      <c r="JKH1" s="198"/>
      <c r="JKI1" s="198"/>
      <c r="JKJ1" s="198"/>
      <c r="JKK1" s="198"/>
      <c r="JKL1" s="198"/>
      <c r="JKM1" s="198"/>
      <c r="JKN1" s="199"/>
      <c r="JKO1" s="199"/>
      <c r="JKP1" s="200"/>
      <c r="JKQ1" s="200"/>
      <c r="JKR1" s="200"/>
      <c r="JKS1" s="200"/>
      <c r="JKT1" s="200"/>
      <c r="JKU1" s="200"/>
      <c r="JKV1" s="200"/>
      <c r="JKW1" s="198"/>
      <c r="JKX1" s="198"/>
      <c r="JKY1" s="198"/>
      <c r="JKZ1" s="198"/>
      <c r="JLA1" s="198"/>
      <c r="JLB1" s="198"/>
      <c r="JLC1" s="198"/>
      <c r="JLD1" s="198"/>
      <c r="JLE1" s="198"/>
      <c r="JLF1" s="198"/>
      <c r="JLG1" s="198"/>
      <c r="JLH1" s="198"/>
      <c r="JLI1" s="198"/>
      <c r="JLJ1" s="198"/>
      <c r="JLK1" s="198"/>
      <c r="JLL1" s="198"/>
      <c r="JLM1" s="198"/>
      <c r="JLN1" s="198"/>
      <c r="JLO1" s="198"/>
      <c r="JLP1" s="198"/>
      <c r="JLQ1" s="198"/>
      <c r="JLR1" s="198"/>
      <c r="JLS1" s="198"/>
      <c r="JLT1" s="198"/>
      <c r="JLU1" s="198"/>
      <c r="JLV1" s="199"/>
      <c r="JLW1" s="199"/>
      <c r="JLX1" s="200"/>
      <c r="JLY1" s="200"/>
      <c r="JLZ1" s="200"/>
      <c r="JMA1" s="200"/>
      <c r="JMB1" s="200"/>
      <c r="JMC1" s="200"/>
      <c r="JMD1" s="200"/>
      <c r="JME1" s="198"/>
      <c r="JMF1" s="198"/>
      <c r="JMG1" s="198"/>
      <c r="JMH1" s="198"/>
      <c r="JMI1" s="198"/>
      <c r="JMJ1" s="198"/>
      <c r="JMK1" s="198"/>
      <c r="JML1" s="198"/>
      <c r="JMM1" s="198"/>
      <c r="JMN1" s="198"/>
      <c r="JMO1" s="198"/>
      <c r="JMP1" s="198"/>
      <c r="JMQ1" s="198"/>
      <c r="JMR1" s="198"/>
      <c r="JMS1" s="198"/>
      <c r="JMT1" s="198"/>
      <c r="JMU1" s="198"/>
      <c r="JMV1" s="198"/>
      <c r="JMW1" s="198"/>
      <c r="JMX1" s="198"/>
      <c r="JMY1" s="198"/>
      <c r="JMZ1" s="198"/>
      <c r="JNA1" s="198"/>
      <c r="JNB1" s="198"/>
      <c r="JNC1" s="198"/>
      <c r="JND1" s="199"/>
      <c r="JNE1" s="199"/>
      <c r="JNF1" s="200"/>
      <c r="JNG1" s="200"/>
      <c r="JNH1" s="200"/>
      <c r="JNI1" s="200"/>
      <c r="JNJ1" s="200"/>
      <c r="JNK1" s="200"/>
      <c r="JNL1" s="200"/>
      <c r="JNM1" s="198"/>
      <c r="JNN1" s="198"/>
      <c r="JNO1" s="198"/>
      <c r="JNP1" s="198"/>
      <c r="JNQ1" s="198"/>
      <c r="JNR1" s="198"/>
      <c r="JNS1" s="198"/>
      <c r="JNT1" s="198"/>
      <c r="JNU1" s="198"/>
      <c r="JNV1" s="198"/>
      <c r="JNW1" s="198"/>
      <c r="JNX1" s="198"/>
      <c r="JNY1" s="198"/>
      <c r="JNZ1" s="198"/>
      <c r="JOA1" s="198"/>
      <c r="JOB1" s="198"/>
      <c r="JOC1" s="198"/>
      <c r="JOD1" s="198"/>
      <c r="JOE1" s="198"/>
      <c r="JOF1" s="198"/>
      <c r="JOG1" s="198"/>
      <c r="JOH1" s="198"/>
      <c r="JOI1" s="198"/>
      <c r="JOJ1" s="198"/>
      <c r="JOK1" s="198"/>
      <c r="JOL1" s="199"/>
      <c r="JOM1" s="199"/>
      <c r="JON1" s="200"/>
      <c r="JOO1" s="200"/>
      <c r="JOP1" s="200"/>
      <c r="JOQ1" s="200"/>
      <c r="JOR1" s="200"/>
      <c r="JOS1" s="200"/>
      <c r="JOT1" s="200"/>
      <c r="JOU1" s="198"/>
      <c r="JOV1" s="198"/>
      <c r="JOW1" s="198"/>
      <c r="JOX1" s="198"/>
      <c r="JOY1" s="198"/>
      <c r="JOZ1" s="198"/>
      <c r="JPA1" s="198"/>
      <c r="JPB1" s="198"/>
      <c r="JPC1" s="198"/>
      <c r="JPD1" s="198"/>
      <c r="JPE1" s="198"/>
      <c r="JPF1" s="198"/>
      <c r="JPG1" s="198"/>
      <c r="JPH1" s="198"/>
      <c r="JPI1" s="198"/>
      <c r="JPJ1" s="198"/>
      <c r="JPK1" s="198"/>
      <c r="JPL1" s="198"/>
      <c r="JPM1" s="198"/>
      <c r="JPN1" s="198"/>
      <c r="JPO1" s="198"/>
      <c r="JPP1" s="198"/>
      <c r="JPQ1" s="198"/>
      <c r="JPR1" s="198"/>
      <c r="JPS1" s="198"/>
      <c r="JPT1" s="199"/>
      <c r="JPU1" s="199"/>
      <c r="JPV1" s="200"/>
      <c r="JPW1" s="200"/>
      <c r="JPX1" s="200"/>
      <c r="JPY1" s="200"/>
      <c r="JPZ1" s="200"/>
      <c r="JQA1" s="200"/>
      <c r="JQB1" s="200"/>
      <c r="JQC1" s="198"/>
      <c r="JQD1" s="198"/>
      <c r="JQE1" s="198"/>
      <c r="JQF1" s="198"/>
      <c r="JQG1" s="198"/>
      <c r="JQH1" s="198"/>
      <c r="JQI1" s="198"/>
      <c r="JQJ1" s="198"/>
      <c r="JQK1" s="198"/>
      <c r="JQL1" s="198"/>
      <c r="JQM1" s="198"/>
      <c r="JQN1" s="198"/>
      <c r="JQO1" s="198"/>
      <c r="JQP1" s="198"/>
      <c r="JQQ1" s="198"/>
      <c r="JQR1" s="198"/>
      <c r="JQS1" s="198"/>
      <c r="JQT1" s="198"/>
      <c r="JQU1" s="198"/>
      <c r="JQV1" s="198"/>
      <c r="JQW1" s="198"/>
      <c r="JQX1" s="198"/>
      <c r="JQY1" s="198"/>
      <c r="JQZ1" s="198"/>
      <c r="JRA1" s="198"/>
      <c r="JRB1" s="199"/>
      <c r="JRC1" s="199"/>
      <c r="JRD1" s="200"/>
      <c r="JRE1" s="200"/>
      <c r="JRF1" s="200"/>
      <c r="JRG1" s="200"/>
      <c r="JRH1" s="200"/>
      <c r="JRI1" s="200"/>
      <c r="JRJ1" s="200"/>
      <c r="JRK1" s="198"/>
      <c r="JRL1" s="198"/>
      <c r="JRM1" s="198"/>
      <c r="JRN1" s="198"/>
      <c r="JRO1" s="198"/>
      <c r="JRP1" s="198"/>
      <c r="JRQ1" s="198"/>
      <c r="JRR1" s="198"/>
      <c r="JRS1" s="198"/>
      <c r="JRT1" s="198"/>
      <c r="JRU1" s="198"/>
      <c r="JRV1" s="198"/>
      <c r="JRW1" s="198"/>
      <c r="JRX1" s="198"/>
      <c r="JRY1" s="198"/>
      <c r="JRZ1" s="198"/>
      <c r="JSA1" s="198"/>
      <c r="JSB1" s="198"/>
      <c r="JSC1" s="198"/>
      <c r="JSD1" s="198"/>
      <c r="JSE1" s="198"/>
      <c r="JSF1" s="198"/>
      <c r="JSG1" s="198"/>
      <c r="JSH1" s="198"/>
      <c r="JSI1" s="198"/>
      <c r="JSJ1" s="199"/>
      <c r="JSK1" s="199"/>
      <c r="JSL1" s="200"/>
      <c r="JSM1" s="200"/>
      <c r="JSN1" s="200"/>
      <c r="JSO1" s="200"/>
      <c r="JSP1" s="200"/>
      <c r="JSQ1" s="200"/>
      <c r="JSR1" s="200"/>
      <c r="JSS1" s="198"/>
      <c r="JST1" s="198"/>
      <c r="JSU1" s="198"/>
      <c r="JSV1" s="198"/>
      <c r="JSW1" s="198"/>
      <c r="JSX1" s="198"/>
      <c r="JSY1" s="198"/>
      <c r="JSZ1" s="198"/>
      <c r="JTA1" s="198"/>
      <c r="JTB1" s="198"/>
      <c r="JTC1" s="198"/>
      <c r="JTD1" s="198"/>
      <c r="JTE1" s="198"/>
      <c r="JTF1" s="198"/>
      <c r="JTG1" s="198"/>
      <c r="JTH1" s="198"/>
      <c r="JTI1" s="198"/>
      <c r="JTJ1" s="198"/>
      <c r="JTK1" s="198"/>
      <c r="JTL1" s="198"/>
      <c r="JTM1" s="198"/>
      <c r="JTN1" s="198"/>
      <c r="JTO1" s="198"/>
      <c r="JTP1" s="198"/>
      <c r="JTQ1" s="198"/>
      <c r="JTR1" s="199"/>
      <c r="JTS1" s="199"/>
      <c r="JTT1" s="200"/>
      <c r="JTU1" s="200"/>
      <c r="JTV1" s="200"/>
      <c r="JTW1" s="200"/>
      <c r="JTX1" s="200"/>
      <c r="JTY1" s="200"/>
      <c r="JTZ1" s="200"/>
      <c r="JUA1" s="198"/>
      <c r="JUB1" s="198"/>
      <c r="JUC1" s="198"/>
      <c r="JUD1" s="198"/>
      <c r="JUE1" s="198"/>
      <c r="JUF1" s="198"/>
      <c r="JUG1" s="198"/>
      <c r="JUH1" s="198"/>
      <c r="JUI1" s="198"/>
      <c r="JUJ1" s="198"/>
      <c r="JUK1" s="198"/>
      <c r="JUL1" s="198"/>
      <c r="JUM1" s="198"/>
      <c r="JUN1" s="198"/>
      <c r="JUO1" s="198"/>
      <c r="JUP1" s="198"/>
      <c r="JUQ1" s="198"/>
      <c r="JUR1" s="198"/>
      <c r="JUS1" s="198"/>
      <c r="JUT1" s="198"/>
      <c r="JUU1" s="198"/>
      <c r="JUV1" s="198"/>
      <c r="JUW1" s="198"/>
      <c r="JUX1" s="198"/>
      <c r="JUY1" s="198"/>
      <c r="JUZ1" s="199"/>
      <c r="JVA1" s="199"/>
      <c r="JVB1" s="200"/>
      <c r="JVC1" s="200"/>
      <c r="JVD1" s="200"/>
      <c r="JVE1" s="200"/>
      <c r="JVF1" s="200"/>
      <c r="JVG1" s="200"/>
      <c r="JVH1" s="200"/>
      <c r="JVI1" s="198"/>
      <c r="JVJ1" s="198"/>
      <c r="JVK1" s="198"/>
      <c r="JVL1" s="198"/>
      <c r="JVM1" s="198"/>
      <c r="JVN1" s="198"/>
      <c r="JVO1" s="198"/>
      <c r="JVP1" s="198"/>
      <c r="JVQ1" s="198"/>
      <c r="JVR1" s="198"/>
      <c r="JVS1" s="198"/>
      <c r="JVT1" s="198"/>
      <c r="JVU1" s="198"/>
      <c r="JVV1" s="198"/>
      <c r="JVW1" s="198"/>
      <c r="JVX1" s="198"/>
      <c r="JVY1" s="198"/>
      <c r="JVZ1" s="198"/>
      <c r="JWA1" s="198"/>
      <c r="JWB1" s="198"/>
      <c r="JWC1" s="198"/>
      <c r="JWD1" s="198"/>
      <c r="JWE1" s="198"/>
      <c r="JWF1" s="198"/>
      <c r="JWG1" s="198"/>
      <c r="JWH1" s="199"/>
      <c r="JWI1" s="199"/>
      <c r="JWJ1" s="200"/>
      <c r="JWK1" s="200"/>
      <c r="JWL1" s="200"/>
      <c r="JWM1" s="200"/>
      <c r="JWN1" s="200"/>
      <c r="JWO1" s="200"/>
      <c r="JWP1" s="200"/>
      <c r="JWQ1" s="198"/>
      <c r="JWR1" s="198"/>
      <c r="JWS1" s="198"/>
      <c r="JWT1" s="198"/>
      <c r="JWU1" s="198"/>
      <c r="JWV1" s="198"/>
      <c r="JWW1" s="198"/>
      <c r="JWX1" s="198"/>
      <c r="JWY1" s="198"/>
      <c r="JWZ1" s="198"/>
      <c r="JXA1" s="198"/>
      <c r="JXB1" s="198"/>
      <c r="JXC1" s="198"/>
      <c r="JXD1" s="198"/>
      <c r="JXE1" s="198"/>
      <c r="JXF1" s="198"/>
      <c r="JXG1" s="198"/>
      <c r="JXH1" s="198"/>
      <c r="JXI1" s="198"/>
      <c r="JXJ1" s="198"/>
      <c r="JXK1" s="198"/>
      <c r="JXL1" s="198"/>
      <c r="JXM1" s="198"/>
      <c r="JXN1" s="198"/>
      <c r="JXO1" s="198"/>
      <c r="JXP1" s="199"/>
      <c r="JXQ1" s="199"/>
      <c r="JXR1" s="200"/>
      <c r="JXS1" s="200"/>
      <c r="JXT1" s="200"/>
      <c r="JXU1" s="200"/>
      <c r="JXV1" s="200"/>
      <c r="JXW1" s="200"/>
      <c r="JXX1" s="200"/>
      <c r="JXY1" s="198"/>
      <c r="JXZ1" s="198"/>
      <c r="JYA1" s="198"/>
      <c r="JYB1" s="198"/>
      <c r="JYC1" s="198"/>
      <c r="JYD1" s="198"/>
      <c r="JYE1" s="198"/>
      <c r="JYF1" s="198"/>
      <c r="JYG1" s="198"/>
      <c r="JYH1" s="198"/>
      <c r="JYI1" s="198"/>
      <c r="JYJ1" s="198"/>
      <c r="JYK1" s="198"/>
      <c r="JYL1" s="198"/>
      <c r="JYM1" s="198"/>
      <c r="JYN1" s="198"/>
      <c r="JYO1" s="198"/>
      <c r="JYP1" s="198"/>
      <c r="JYQ1" s="198"/>
      <c r="JYR1" s="198"/>
      <c r="JYS1" s="198"/>
      <c r="JYT1" s="198"/>
      <c r="JYU1" s="198"/>
      <c r="JYV1" s="198"/>
      <c r="JYW1" s="198"/>
      <c r="JYX1" s="199"/>
      <c r="JYY1" s="199"/>
      <c r="JYZ1" s="200"/>
      <c r="JZA1" s="200"/>
      <c r="JZB1" s="200"/>
      <c r="JZC1" s="200"/>
      <c r="JZD1" s="200"/>
      <c r="JZE1" s="200"/>
      <c r="JZF1" s="200"/>
      <c r="JZG1" s="198"/>
      <c r="JZH1" s="198"/>
      <c r="JZI1" s="198"/>
      <c r="JZJ1" s="198"/>
      <c r="JZK1" s="198"/>
      <c r="JZL1" s="198"/>
      <c r="JZM1" s="198"/>
      <c r="JZN1" s="198"/>
      <c r="JZO1" s="198"/>
      <c r="JZP1" s="198"/>
      <c r="JZQ1" s="198"/>
      <c r="JZR1" s="198"/>
      <c r="JZS1" s="198"/>
      <c r="JZT1" s="198"/>
      <c r="JZU1" s="198"/>
      <c r="JZV1" s="198"/>
      <c r="JZW1" s="198"/>
      <c r="JZX1" s="198"/>
      <c r="JZY1" s="198"/>
      <c r="JZZ1" s="198"/>
      <c r="KAA1" s="198"/>
      <c r="KAB1" s="198"/>
      <c r="KAC1" s="198"/>
      <c r="KAD1" s="198"/>
      <c r="KAE1" s="198"/>
      <c r="KAF1" s="199"/>
      <c r="KAG1" s="199"/>
      <c r="KAH1" s="200"/>
      <c r="KAI1" s="200"/>
      <c r="KAJ1" s="200"/>
      <c r="KAK1" s="200"/>
      <c r="KAL1" s="200"/>
      <c r="KAM1" s="200"/>
      <c r="KAN1" s="200"/>
      <c r="KAO1" s="198"/>
      <c r="KAP1" s="198"/>
      <c r="KAQ1" s="198"/>
      <c r="KAR1" s="198"/>
      <c r="KAS1" s="198"/>
      <c r="KAT1" s="198"/>
      <c r="KAU1" s="198"/>
      <c r="KAV1" s="198"/>
      <c r="KAW1" s="198"/>
      <c r="KAX1" s="198"/>
      <c r="KAY1" s="198"/>
      <c r="KAZ1" s="198"/>
      <c r="KBA1" s="198"/>
      <c r="KBB1" s="198"/>
      <c r="KBC1" s="198"/>
      <c r="KBD1" s="198"/>
      <c r="KBE1" s="198"/>
      <c r="KBF1" s="198"/>
      <c r="KBG1" s="198"/>
      <c r="KBH1" s="198"/>
      <c r="KBI1" s="198"/>
      <c r="KBJ1" s="198"/>
      <c r="KBK1" s="198"/>
      <c r="KBL1" s="198"/>
      <c r="KBM1" s="198"/>
      <c r="KBN1" s="199"/>
      <c r="KBO1" s="199"/>
      <c r="KBP1" s="200"/>
      <c r="KBQ1" s="200"/>
      <c r="KBR1" s="200"/>
      <c r="KBS1" s="200"/>
      <c r="KBT1" s="200"/>
      <c r="KBU1" s="200"/>
      <c r="KBV1" s="200"/>
      <c r="KBW1" s="198"/>
      <c r="KBX1" s="198"/>
      <c r="KBY1" s="198"/>
      <c r="KBZ1" s="198"/>
      <c r="KCA1" s="198"/>
      <c r="KCB1" s="198"/>
      <c r="KCC1" s="198"/>
      <c r="KCD1" s="198"/>
      <c r="KCE1" s="198"/>
      <c r="KCF1" s="198"/>
      <c r="KCG1" s="198"/>
      <c r="KCH1" s="198"/>
      <c r="KCI1" s="198"/>
      <c r="KCJ1" s="198"/>
      <c r="KCK1" s="198"/>
      <c r="KCL1" s="198"/>
      <c r="KCM1" s="198"/>
      <c r="KCN1" s="198"/>
      <c r="KCO1" s="198"/>
      <c r="KCP1" s="198"/>
      <c r="KCQ1" s="198"/>
      <c r="KCR1" s="198"/>
      <c r="KCS1" s="198"/>
      <c r="KCT1" s="198"/>
      <c r="KCU1" s="198"/>
      <c r="KCV1" s="199"/>
      <c r="KCW1" s="199"/>
      <c r="KCX1" s="200"/>
      <c r="KCY1" s="200"/>
      <c r="KCZ1" s="200"/>
      <c r="KDA1" s="200"/>
      <c r="KDB1" s="200"/>
      <c r="KDC1" s="200"/>
      <c r="KDD1" s="200"/>
      <c r="KDE1" s="198"/>
      <c r="KDF1" s="198"/>
      <c r="KDG1" s="198"/>
      <c r="KDH1" s="198"/>
      <c r="KDI1" s="198"/>
      <c r="KDJ1" s="198"/>
      <c r="KDK1" s="198"/>
      <c r="KDL1" s="198"/>
      <c r="KDM1" s="198"/>
      <c r="KDN1" s="198"/>
      <c r="KDO1" s="198"/>
      <c r="KDP1" s="198"/>
      <c r="KDQ1" s="198"/>
      <c r="KDR1" s="198"/>
      <c r="KDS1" s="198"/>
      <c r="KDT1" s="198"/>
      <c r="KDU1" s="198"/>
      <c r="KDV1" s="198"/>
      <c r="KDW1" s="198"/>
      <c r="KDX1" s="198"/>
      <c r="KDY1" s="198"/>
      <c r="KDZ1" s="198"/>
      <c r="KEA1" s="198"/>
      <c r="KEB1" s="198"/>
      <c r="KEC1" s="198"/>
      <c r="KED1" s="199"/>
      <c r="KEE1" s="199"/>
      <c r="KEF1" s="200"/>
      <c r="KEG1" s="200"/>
      <c r="KEH1" s="200"/>
      <c r="KEI1" s="200"/>
      <c r="KEJ1" s="200"/>
      <c r="KEK1" s="200"/>
      <c r="KEL1" s="200"/>
      <c r="KEM1" s="198"/>
      <c r="KEN1" s="198"/>
      <c r="KEO1" s="198"/>
      <c r="KEP1" s="198"/>
      <c r="KEQ1" s="198"/>
      <c r="KER1" s="198"/>
      <c r="KES1" s="198"/>
      <c r="KET1" s="198"/>
      <c r="KEU1" s="198"/>
      <c r="KEV1" s="198"/>
      <c r="KEW1" s="198"/>
      <c r="KEX1" s="198"/>
      <c r="KEY1" s="198"/>
      <c r="KEZ1" s="198"/>
      <c r="KFA1" s="198"/>
      <c r="KFB1" s="198"/>
      <c r="KFC1" s="198"/>
      <c r="KFD1" s="198"/>
      <c r="KFE1" s="198"/>
      <c r="KFF1" s="198"/>
      <c r="KFG1" s="198"/>
      <c r="KFH1" s="198"/>
      <c r="KFI1" s="198"/>
      <c r="KFJ1" s="198"/>
      <c r="KFK1" s="198"/>
      <c r="KFL1" s="199"/>
      <c r="KFM1" s="199"/>
      <c r="KFN1" s="200"/>
      <c r="KFO1" s="200"/>
      <c r="KFP1" s="200"/>
      <c r="KFQ1" s="200"/>
      <c r="KFR1" s="200"/>
      <c r="KFS1" s="200"/>
      <c r="KFT1" s="200"/>
      <c r="KFU1" s="198"/>
      <c r="KFV1" s="198"/>
      <c r="KFW1" s="198"/>
      <c r="KFX1" s="198"/>
      <c r="KFY1" s="198"/>
      <c r="KFZ1" s="198"/>
      <c r="KGA1" s="198"/>
      <c r="KGB1" s="198"/>
      <c r="KGC1" s="198"/>
      <c r="KGD1" s="198"/>
      <c r="KGE1" s="198"/>
      <c r="KGF1" s="198"/>
      <c r="KGG1" s="198"/>
      <c r="KGH1" s="198"/>
      <c r="KGI1" s="198"/>
      <c r="KGJ1" s="198"/>
      <c r="KGK1" s="198"/>
      <c r="KGL1" s="198"/>
      <c r="KGM1" s="198"/>
      <c r="KGN1" s="198"/>
      <c r="KGO1" s="198"/>
      <c r="KGP1" s="198"/>
      <c r="KGQ1" s="198"/>
      <c r="KGR1" s="198"/>
      <c r="KGS1" s="198"/>
      <c r="KGT1" s="199"/>
      <c r="KGU1" s="199"/>
      <c r="KGV1" s="200"/>
      <c r="KGW1" s="200"/>
      <c r="KGX1" s="200"/>
      <c r="KGY1" s="200"/>
      <c r="KGZ1" s="200"/>
      <c r="KHA1" s="200"/>
      <c r="KHB1" s="200"/>
      <c r="KHC1" s="198"/>
      <c r="KHD1" s="198"/>
      <c r="KHE1" s="198"/>
      <c r="KHF1" s="198"/>
      <c r="KHG1" s="198"/>
      <c r="KHH1" s="198"/>
      <c r="KHI1" s="198"/>
      <c r="KHJ1" s="198"/>
      <c r="KHK1" s="198"/>
      <c r="KHL1" s="198"/>
      <c r="KHM1" s="198"/>
      <c r="KHN1" s="198"/>
      <c r="KHO1" s="198"/>
      <c r="KHP1" s="198"/>
      <c r="KHQ1" s="198"/>
      <c r="KHR1" s="198"/>
      <c r="KHS1" s="198"/>
      <c r="KHT1" s="198"/>
      <c r="KHU1" s="198"/>
      <c r="KHV1" s="198"/>
      <c r="KHW1" s="198"/>
      <c r="KHX1" s="198"/>
      <c r="KHY1" s="198"/>
      <c r="KHZ1" s="198"/>
      <c r="KIA1" s="198"/>
      <c r="KIB1" s="199"/>
      <c r="KIC1" s="199"/>
      <c r="KID1" s="200"/>
      <c r="KIE1" s="200"/>
      <c r="KIF1" s="200"/>
      <c r="KIG1" s="200"/>
      <c r="KIH1" s="200"/>
      <c r="KII1" s="200"/>
      <c r="KIJ1" s="200"/>
      <c r="KIK1" s="198"/>
      <c r="KIL1" s="198"/>
      <c r="KIM1" s="198"/>
      <c r="KIN1" s="198"/>
      <c r="KIO1" s="198"/>
      <c r="KIP1" s="198"/>
      <c r="KIQ1" s="198"/>
      <c r="KIR1" s="198"/>
      <c r="KIS1" s="198"/>
      <c r="KIT1" s="198"/>
      <c r="KIU1" s="198"/>
      <c r="KIV1" s="198"/>
      <c r="KIW1" s="198"/>
      <c r="KIX1" s="198"/>
      <c r="KIY1" s="198"/>
      <c r="KIZ1" s="198"/>
      <c r="KJA1" s="198"/>
      <c r="KJB1" s="198"/>
      <c r="KJC1" s="198"/>
      <c r="KJD1" s="198"/>
      <c r="KJE1" s="198"/>
      <c r="KJF1" s="198"/>
      <c r="KJG1" s="198"/>
      <c r="KJH1" s="198"/>
      <c r="KJI1" s="198"/>
      <c r="KJJ1" s="199"/>
      <c r="KJK1" s="199"/>
      <c r="KJL1" s="200"/>
      <c r="KJM1" s="200"/>
      <c r="KJN1" s="200"/>
      <c r="KJO1" s="200"/>
      <c r="KJP1" s="200"/>
      <c r="KJQ1" s="200"/>
      <c r="KJR1" s="200"/>
      <c r="KJS1" s="198"/>
      <c r="KJT1" s="198"/>
      <c r="KJU1" s="198"/>
      <c r="KJV1" s="198"/>
      <c r="KJW1" s="198"/>
      <c r="KJX1" s="198"/>
      <c r="KJY1" s="198"/>
      <c r="KJZ1" s="198"/>
      <c r="KKA1" s="198"/>
      <c r="KKB1" s="198"/>
      <c r="KKC1" s="198"/>
      <c r="KKD1" s="198"/>
      <c r="KKE1" s="198"/>
      <c r="KKF1" s="198"/>
      <c r="KKG1" s="198"/>
      <c r="KKH1" s="198"/>
      <c r="KKI1" s="198"/>
      <c r="KKJ1" s="198"/>
      <c r="KKK1" s="198"/>
      <c r="KKL1" s="198"/>
      <c r="KKM1" s="198"/>
      <c r="KKN1" s="198"/>
      <c r="KKO1" s="198"/>
      <c r="KKP1" s="198"/>
      <c r="KKQ1" s="198"/>
      <c r="KKR1" s="199"/>
      <c r="KKS1" s="199"/>
      <c r="KKT1" s="200"/>
      <c r="KKU1" s="200"/>
      <c r="KKV1" s="200"/>
      <c r="KKW1" s="200"/>
      <c r="KKX1" s="200"/>
      <c r="KKY1" s="200"/>
      <c r="KKZ1" s="200"/>
      <c r="KLA1" s="198"/>
      <c r="KLB1" s="198"/>
      <c r="KLC1" s="198"/>
      <c r="KLD1" s="198"/>
      <c r="KLE1" s="198"/>
      <c r="KLF1" s="198"/>
      <c r="KLG1" s="198"/>
      <c r="KLH1" s="198"/>
      <c r="KLI1" s="198"/>
      <c r="KLJ1" s="198"/>
      <c r="KLK1" s="198"/>
      <c r="KLL1" s="198"/>
      <c r="KLM1" s="198"/>
      <c r="KLN1" s="198"/>
      <c r="KLO1" s="198"/>
      <c r="KLP1" s="198"/>
      <c r="KLQ1" s="198"/>
      <c r="KLR1" s="198"/>
      <c r="KLS1" s="198"/>
      <c r="KLT1" s="198"/>
      <c r="KLU1" s="198"/>
      <c r="KLV1" s="198"/>
      <c r="KLW1" s="198"/>
      <c r="KLX1" s="198"/>
      <c r="KLY1" s="198"/>
      <c r="KLZ1" s="199"/>
      <c r="KMA1" s="199"/>
      <c r="KMB1" s="200"/>
      <c r="KMC1" s="200"/>
      <c r="KMD1" s="200"/>
      <c r="KME1" s="200"/>
      <c r="KMF1" s="200"/>
      <c r="KMG1" s="200"/>
      <c r="KMH1" s="200"/>
      <c r="KMI1" s="198"/>
      <c r="KMJ1" s="198"/>
      <c r="KMK1" s="198"/>
      <c r="KML1" s="198"/>
      <c r="KMM1" s="198"/>
      <c r="KMN1" s="198"/>
      <c r="KMO1" s="198"/>
      <c r="KMP1" s="198"/>
      <c r="KMQ1" s="198"/>
      <c r="KMR1" s="198"/>
      <c r="KMS1" s="198"/>
      <c r="KMT1" s="198"/>
      <c r="KMU1" s="198"/>
      <c r="KMV1" s="198"/>
      <c r="KMW1" s="198"/>
      <c r="KMX1" s="198"/>
      <c r="KMY1" s="198"/>
      <c r="KMZ1" s="198"/>
      <c r="KNA1" s="198"/>
      <c r="KNB1" s="198"/>
      <c r="KNC1" s="198"/>
      <c r="KND1" s="198"/>
      <c r="KNE1" s="198"/>
      <c r="KNF1" s="198"/>
      <c r="KNG1" s="198"/>
      <c r="KNH1" s="199"/>
      <c r="KNI1" s="199"/>
      <c r="KNJ1" s="200"/>
      <c r="KNK1" s="200"/>
      <c r="KNL1" s="200"/>
      <c r="KNM1" s="200"/>
      <c r="KNN1" s="200"/>
      <c r="KNO1" s="200"/>
      <c r="KNP1" s="200"/>
      <c r="KNQ1" s="198"/>
      <c r="KNR1" s="198"/>
      <c r="KNS1" s="198"/>
      <c r="KNT1" s="198"/>
      <c r="KNU1" s="198"/>
      <c r="KNV1" s="198"/>
      <c r="KNW1" s="198"/>
      <c r="KNX1" s="198"/>
      <c r="KNY1" s="198"/>
      <c r="KNZ1" s="198"/>
      <c r="KOA1" s="198"/>
      <c r="KOB1" s="198"/>
      <c r="KOC1" s="198"/>
      <c r="KOD1" s="198"/>
      <c r="KOE1" s="198"/>
      <c r="KOF1" s="198"/>
      <c r="KOG1" s="198"/>
      <c r="KOH1" s="198"/>
      <c r="KOI1" s="198"/>
      <c r="KOJ1" s="198"/>
      <c r="KOK1" s="198"/>
      <c r="KOL1" s="198"/>
      <c r="KOM1" s="198"/>
      <c r="KON1" s="198"/>
      <c r="KOO1" s="198"/>
      <c r="KOP1" s="199"/>
      <c r="KOQ1" s="199"/>
      <c r="KOR1" s="200"/>
      <c r="KOS1" s="200"/>
      <c r="KOT1" s="200"/>
      <c r="KOU1" s="200"/>
      <c r="KOV1" s="200"/>
      <c r="KOW1" s="200"/>
      <c r="KOX1" s="200"/>
      <c r="KOY1" s="198"/>
      <c r="KOZ1" s="198"/>
      <c r="KPA1" s="198"/>
      <c r="KPB1" s="198"/>
      <c r="KPC1" s="198"/>
      <c r="KPD1" s="198"/>
      <c r="KPE1" s="198"/>
      <c r="KPF1" s="198"/>
      <c r="KPG1" s="198"/>
      <c r="KPH1" s="198"/>
      <c r="KPI1" s="198"/>
      <c r="KPJ1" s="198"/>
      <c r="KPK1" s="198"/>
      <c r="KPL1" s="198"/>
      <c r="KPM1" s="198"/>
      <c r="KPN1" s="198"/>
      <c r="KPO1" s="198"/>
      <c r="KPP1" s="198"/>
      <c r="KPQ1" s="198"/>
      <c r="KPR1" s="198"/>
      <c r="KPS1" s="198"/>
      <c r="KPT1" s="198"/>
      <c r="KPU1" s="198"/>
      <c r="KPV1" s="198"/>
      <c r="KPW1" s="198"/>
      <c r="KPX1" s="199"/>
      <c r="KPY1" s="199"/>
      <c r="KPZ1" s="200"/>
      <c r="KQA1" s="200"/>
      <c r="KQB1" s="200"/>
      <c r="KQC1" s="200"/>
      <c r="KQD1" s="200"/>
      <c r="KQE1" s="200"/>
      <c r="KQF1" s="200"/>
      <c r="KQG1" s="198"/>
      <c r="KQH1" s="198"/>
      <c r="KQI1" s="198"/>
      <c r="KQJ1" s="198"/>
      <c r="KQK1" s="198"/>
      <c r="KQL1" s="198"/>
      <c r="KQM1" s="198"/>
      <c r="KQN1" s="198"/>
      <c r="KQO1" s="198"/>
      <c r="KQP1" s="198"/>
      <c r="KQQ1" s="198"/>
      <c r="KQR1" s="198"/>
      <c r="KQS1" s="198"/>
      <c r="KQT1" s="198"/>
      <c r="KQU1" s="198"/>
      <c r="KQV1" s="198"/>
      <c r="KQW1" s="198"/>
      <c r="KQX1" s="198"/>
      <c r="KQY1" s="198"/>
      <c r="KQZ1" s="198"/>
      <c r="KRA1" s="198"/>
      <c r="KRB1" s="198"/>
      <c r="KRC1" s="198"/>
      <c r="KRD1" s="198"/>
      <c r="KRE1" s="198"/>
      <c r="KRF1" s="199"/>
      <c r="KRG1" s="199"/>
      <c r="KRH1" s="200"/>
      <c r="KRI1" s="200"/>
      <c r="KRJ1" s="200"/>
      <c r="KRK1" s="200"/>
      <c r="KRL1" s="200"/>
      <c r="KRM1" s="200"/>
      <c r="KRN1" s="200"/>
      <c r="KRO1" s="198"/>
      <c r="KRP1" s="198"/>
      <c r="KRQ1" s="198"/>
      <c r="KRR1" s="198"/>
      <c r="KRS1" s="198"/>
      <c r="KRT1" s="198"/>
      <c r="KRU1" s="198"/>
      <c r="KRV1" s="198"/>
      <c r="KRW1" s="198"/>
      <c r="KRX1" s="198"/>
      <c r="KRY1" s="198"/>
      <c r="KRZ1" s="198"/>
      <c r="KSA1" s="198"/>
      <c r="KSB1" s="198"/>
      <c r="KSC1" s="198"/>
      <c r="KSD1" s="198"/>
      <c r="KSE1" s="198"/>
      <c r="KSF1" s="198"/>
      <c r="KSG1" s="198"/>
      <c r="KSH1" s="198"/>
      <c r="KSI1" s="198"/>
      <c r="KSJ1" s="198"/>
      <c r="KSK1" s="198"/>
      <c r="KSL1" s="198"/>
      <c r="KSM1" s="198"/>
      <c r="KSN1" s="199"/>
      <c r="KSO1" s="199"/>
      <c r="KSP1" s="200"/>
      <c r="KSQ1" s="200"/>
      <c r="KSR1" s="200"/>
      <c r="KSS1" s="200"/>
      <c r="KST1" s="200"/>
      <c r="KSU1" s="200"/>
      <c r="KSV1" s="200"/>
      <c r="KSW1" s="198"/>
      <c r="KSX1" s="198"/>
      <c r="KSY1" s="198"/>
      <c r="KSZ1" s="198"/>
      <c r="KTA1" s="198"/>
      <c r="KTB1" s="198"/>
      <c r="KTC1" s="198"/>
      <c r="KTD1" s="198"/>
      <c r="KTE1" s="198"/>
      <c r="KTF1" s="198"/>
      <c r="KTG1" s="198"/>
      <c r="KTH1" s="198"/>
      <c r="KTI1" s="198"/>
      <c r="KTJ1" s="198"/>
      <c r="KTK1" s="198"/>
      <c r="KTL1" s="198"/>
      <c r="KTM1" s="198"/>
      <c r="KTN1" s="198"/>
      <c r="KTO1" s="198"/>
      <c r="KTP1" s="198"/>
      <c r="KTQ1" s="198"/>
      <c r="KTR1" s="198"/>
      <c r="KTS1" s="198"/>
      <c r="KTT1" s="198"/>
      <c r="KTU1" s="198"/>
      <c r="KTV1" s="199"/>
      <c r="KTW1" s="199"/>
      <c r="KTX1" s="200"/>
      <c r="KTY1" s="200"/>
      <c r="KTZ1" s="200"/>
      <c r="KUA1" s="200"/>
      <c r="KUB1" s="200"/>
      <c r="KUC1" s="200"/>
      <c r="KUD1" s="200"/>
      <c r="KUE1" s="198"/>
      <c r="KUF1" s="198"/>
      <c r="KUG1" s="198"/>
      <c r="KUH1" s="198"/>
      <c r="KUI1" s="198"/>
      <c r="KUJ1" s="198"/>
      <c r="KUK1" s="198"/>
      <c r="KUL1" s="198"/>
      <c r="KUM1" s="198"/>
      <c r="KUN1" s="198"/>
      <c r="KUO1" s="198"/>
      <c r="KUP1" s="198"/>
      <c r="KUQ1" s="198"/>
      <c r="KUR1" s="198"/>
      <c r="KUS1" s="198"/>
      <c r="KUT1" s="198"/>
      <c r="KUU1" s="198"/>
      <c r="KUV1" s="198"/>
      <c r="KUW1" s="198"/>
      <c r="KUX1" s="198"/>
      <c r="KUY1" s="198"/>
      <c r="KUZ1" s="198"/>
      <c r="KVA1" s="198"/>
      <c r="KVB1" s="198"/>
      <c r="KVC1" s="198"/>
      <c r="KVD1" s="199"/>
      <c r="KVE1" s="199"/>
      <c r="KVF1" s="200"/>
      <c r="KVG1" s="200"/>
      <c r="KVH1" s="200"/>
      <c r="KVI1" s="200"/>
      <c r="KVJ1" s="200"/>
      <c r="KVK1" s="200"/>
      <c r="KVL1" s="200"/>
      <c r="KVM1" s="198"/>
      <c r="KVN1" s="198"/>
      <c r="KVO1" s="198"/>
      <c r="KVP1" s="198"/>
      <c r="KVQ1" s="198"/>
      <c r="KVR1" s="198"/>
      <c r="KVS1" s="198"/>
      <c r="KVT1" s="198"/>
      <c r="KVU1" s="198"/>
      <c r="KVV1" s="198"/>
      <c r="KVW1" s="198"/>
      <c r="KVX1" s="198"/>
      <c r="KVY1" s="198"/>
      <c r="KVZ1" s="198"/>
      <c r="KWA1" s="198"/>
      <c r="KWB1" s="198"/>
      <c r="KWC1" s="198"/>
      <c r="KWD1" s="198"/>
      <c r="KWE1" s="198"/>
      <c r="KWF1" s="198"/>
      <c r="KWG1" s="198"/>
      <c r="KWH1" s="198"/>
      <c r="KWI1" s="198"/>
      <c r="KWJ1" s="198"/>
      <c r="KWK1" s="198"/>
      <c r="KWL1" s="199"/>
      <c r="KWM1" s="199"/>
      <c r="KWN1" s="200"/>
      <c r="KWO1" s="200"/>
      <c r="KWP1" s="200"/>
      <c r="KWQ1" s="200"/>
      <c r="KWR1" s="200"/>
      <c r="KWS1" s="200"/>
      <c r="KWT1" s="200"/>
      <c r="KWU1" s="198"/>
      <c r="KWV1" s="198"/>
      <c r="KWW1" s="198"/>
      <c r="KWX1" s="198"/>
      <c r="KWY1" s="198"/>
      <c r="KWZ1" s="198"/>
      <c r="KXA1" s="198"/>
      <c r="KXB1" s="198"/>
      <c r="KXC1" s="198"/>
      <c r="KXD1" s="198"/>
      <c r="KXE1" s="198"/>
      <c r="KXF1" s="198"/>
      <c r="KXG1" s="198"/>
      <c r="KXH1" s="198"/>
      <c r="KXI1" s="198"/>
      <c r="KXJ1" s="198"/>
      <c r="KXK1" s="198"/>
      <c r="KXL1" s="198"/>
      <c r="KXM1" s="198"/>
      <c r="KXN1" s="198"/>
      <c r="KXO1" s="198"/>
      <c r="KXP1" s="198"/>
      <c r="KXQ1" s="198"/>
      <c r="KXR1" s="198"/>
      <c r="KXS1" s="198"/>
      <c r="KXT1" s="199"/>
      <c r="KXU1" s="199"/>
      <c r="KXV1" s="200"/>
      <c r="KXW1" s="200"/>
      <c r="KXX1" s="200"/>
      <c r="KXY1" s="200"/>
      <c r="KXZ1" s="200"/>
      <c r="KYA1" s="200"/>
      <c r="KYB1" s="200"/>
      <c r="KYC1" s="198"/>
      <c r="KYD1" s="198"/>
      <c r="KYE1" s="198"/>
      <c r="KYF1" s="198"/>
      <c r="KYG1" s="198"/>
      <c r="KYH1" s="198"/>
      <c r="KYI1" s="198"/>
      <c r="KYJ1" s="198"/>
      <c r="KYK1" s="198"/>
      <c r="KYL1" s="198"/>
      <c r="KYM1" s="198"/>
      <c r="KYN1" s="198"/>
      <c r="KYO1" s="198"/>
      <c r="KYP1" s="198"/>
      <c r="KYQ1" s="198"/>
      <c r="KYR1" s="198"/>
      <c r="KYS1" s="198"/>
      <c r="KYT1" s="198"/>
      <c r="KYU1" s="198"/>
      <c r="KYV1" s="198"/>
      <c r="KYW1" s="198"/>
      <c r="KYX1" s="198"/>
      <c r="KYY1" s="198"/>
      <c r="KYZ1" s="198"/>
      <c r="KZA1" s="198"/>
      <c r="KZB1" s="199"/>
      <c r="KZC1" s="199"/>
      <c r="KZD1" s="200"/>
      <c r="KZE1" s="200"/>
      <c r="KZF1" s="200"/>
      <c r="KZG1" s="200"/>
      <c r="KZH1" s="200"/>
      <c r="KZI1" s="200"/>
      <c r="KZJ1" s="200"/>
      <c r="KZK1" s="198"/>
      <c r="KZL1" s="198"/>
      <c r="KZM1" s="198"/>
      <c r="KZN1" s="198"/>
      <c r="KZO1" s="198"/>
      <c r="KZP1" s="198"/>
      <c r="KZQ1" s="198"/>
      <c r="KZR1" s="198"/>
      <c r="KZS1" s="198"/>
      <c r="KZT1" s="198"/>
      <c r="KZU1" s="198"/>
      <c r="KZV1" s="198"/>
      <c r="KZW1" s="198"/>
      <c r="KZX1" s="198"/>
      <c r="KZY1" s="198"/>
      <c r="KZZ1" s="198"/>
      <c r="LAA1" s="198"/>
      <c r="LAB1" s="198"/>
      <c r="LAC1" s="198"/>
      <c r="LAD1" s="198"/>
      <c r="LAE1" s="198"/>
      <c r="LAF1" s="198"/>
      <c r="LAG1" s="198"/>
      <c r="LAH1" s="198"/>
      <c r="LAI1" s="198"/>
      <c r="LAJ1" s="199"/>
      <c r="LAK1" s="199"/>
      <c r="LAL1" s="200"/>
      <c r="LAM1" s="200"/>
      <c r="LAN1" s="200"/>
      <c r="LAO1" s="200"/>
      <c r="LAP1" s="200"/>
      <c r="LAQ1" s="200"/>
      <c r="LAR1" s="200"/>
      <c r="LAS1" s="198"/>
      <c r="LAT1" s="198"/>
      <c r="LAU1" s="198"/>
      <c r="LAV1" s="198"/>
      <c r="LAW1" s="198"/>
      <c r="LAX1" s="198"/>
      <c r="LAY1" s="198"/>
      <c r="LAZ1" s="198"/>
      <c r="LBA1" s="198"/>
      <c r="LBB1" s="198"/>
      <c r="LBC1" s="198"/>
      <c r="LBD1" s="198"/>
      <c r="LBE1" s="198"/>
      <c r="LBF1" s="198"/>
      <c r="LBG1" s="198"/>
      <c r="LBH1" s="198"/>
      <c r="LBI1" s="198"/>
      <c r="LBJ1" s="198"/>
      <c r="LBK1" s="198"/>
      <c r="LBL1" s="198"/>
      <c r="LBM1" s="198"/>
      <c r="LBN1" s="198"/>
      <c r="LBO1" s="198"/>
      <c r="LBP1" s="198"/>
      <c r="LBQ1" s="198"/>
      <c r="LBR1" s="199"/>
      <c r="LBS1" s="199"/>
      <c r="LBT1" s="200"/>
      <c r="LBU1" s="200"/>
      <c r="LBV1" s="200"/>
      <c r="LBW1" s="200"/>
      <c r="LBX1" s="200"/>
      <c r="LBY1" s="200"/>
      <c r="LBZ1" s="200"/>
      <c r="LCA1" s="198"/>
      <c r="LCB1" s="198"/>
      <c r="LCC1" s="198"/>
      <c r="LCD1" s="198"/>
      <c r="LCE1" s="198"/>
      <c r="LCF1" s="198"/>
      <c r="LCG1" s="198"/>
      <c r="LCH1" s="198"/>
      <c r="LCI1" s="198"/>
      <c r="LCJ1" s="198"/>
      <c r="LCK1" s="198"/>
      <c r="LCL1" s="198"/>
      <c r="LCM1" s="198"/>
      <c r="LCN1" s="198"/>
      <c r="LCO1" s="198"/>
      <c r="LCP1" s="198"/>
      <c r="LCQ1" s="198"/>
      <c r="LCR1" s="198"/>
      <c r="LCS1" s="198"/>
      <c r="LCT1" s="198"/>
      <c r="LCU1" s="198"/>
      <c r="LCV1" s="198"/>
      <c r="LCW1" s="198"/>
      <c r="LCX1" s="198"/>
      <c r="LCY1" s="198"/>
      <c r="LCZ1" s="199"/>
      <c r="LDA1" s="199"/>
      <c r="LDB1" s="200"/>
      <c r="LDC1" s="200"/>
      <c r="LDD1" s="200"/>
      <c r="LDE1" s="200"/>
      <c r="LDF1" s="200"/>
      <c r="LDG1" s="200"/>
      <c r="LDH1" s="200"/>
      <c r="LDI1" s="198"/>
      <c r="LDJ1" s="198"/>
      <c r="LDK1" s="198"/>
      <c r="LDL1" s="198"/>
      <c r="LDM1" s="198"/>
      <c r="LDN1" s="198"/>
      <c r="LDO1" s="198"/>
      <c r="LDP1" s="198"/>
      <c r="LDQ1" s="198"/>
      <c r="LDR1" s="198"/>
      <c r="LDS1" s="198"/>
      <c r="LDT1" s="198"/>
      <c r="LDU1" s="198"/>
      <c r="LDV1" s="198"/>
      <c r="LDW1" s="198"/>
      <c r="LDX1" s="198"/>
      <c r="LDY1" s="198"/>
      <c r="LDZ1" s="198"/>
      <c r="LEA1" s="198"/>
      <c r="LEB1" s="198"/>
      <c r="LEC1" s="198"/>
      <c r="LED1" s="198"/>
      <c r="LEE1" s="198"/>
      <c r="LEF1" s="198"/>
      <c r="LEG1" s="198"/>
      <c r="LEH1" s="199"/>
      <c r="LEI1" s="199"/>
      <c r="LEJ1" s="200"/>
      <c r="LEK1" s="200"/>
      <c r="LEL1" s="200"/>
      <c r="LEM1" s="200"/>
      <c r="LEN1" s="200"/>
      <c r="LEO1" s="200"/>
      <c r="LEP1" s="200"/>
      <c r="LEQ1" s="198"/>
      <c r="LER1" s="198"/>
      <c r="LES1" s="198"/>
      <c r="LET1" s="198"/>
      <c r="LEU1" s="198"/>
      <c r="LEV1" s="198"/>
      <c r="LEW1" s="198"/>
      <c r="LEX1" s="198"/>
      <c r="LEY1" s="198"/>
      <c r="LEZ1" s="198"/>
      <c r="LFA1" s="198"/>
      <c r="LFB1" s="198"/>
      <c r="LFC1" s="198"/>
      <c r="LFD1" s="198"/>
      <c r="LFE1" s="198"/>
      <c r="LFF1" s="198"/>
      <c r="LFG1" s="198"/>
      <c r="LFH1" s="198"/>
      <c r="LFI1" s="198"/>
      <c r="LFJ1" s="198"/>
      <c r="LFK1" s="198"/>
      <c r="LFL1" s="198"/>
      <c r="LFM1" s="198"/>
      <c r="LFN1" s="198"/>
      <c r="LFO1" s="198"/>
      <c r="LFP1" s="199"/>
      <c r="LFQ1" s="199"/>
      <c r="LFR1" s="200"/>
      <c r="LFS1" s="200"/>
      <c r="LFT1" s="200"/>
      <c r="LFU1" s="200"/>
      <c r="LFV1" s="200"/>
      <c r="LFW1" s="200"/>
      <c r="LFX1" s="200"/>
      <c r="LFY1" s="198"/>
      <c r="LFZ1" s="198"/>
      <c r="LGA1" s="198"/>
      <c r="LGB1" s="198"/>
      <c r="LGC1" s="198"/>
      <c r="LGD1" s="198"/>
      <c r="LGE1" s="198"/>
      <c r="LGF1" s="198"/>
      <c r="LGG1" s="198"/>
      <c r="LGH1" s="198"/>
      <c r="LGI1" s="198"/>
      <c r="LGJ1" s="198"/>
      <c r="LGK1" s="198"/>
      <c r="LGL1" s="198"/>
      <c r="LGM1" s="198"/>
      <c r="LGN1" s="198"/>
      <c r="LGO1" s="198"/>
      <c r="LGP1" s="198"/>
      <c r="LGQ1" s="198"/>
      <c r="LGR1" s="198"/>
      <c r="LGS1" s="198"/>
      <c r="LGT1" s="198"/>
      <c r="LGU1" s="198"/>
      <c r="LGV1" s="198"/>
      <c r="LGW1" s="198"/>
      <c r="LGX1" s="199"/>
      <c r="LGY1" s="199"/>
      <c r="LGZ1" s="200"/>
      <c r="LHA1" s="200"/>
      <c r="LHB1" s="200"/>
      <c r="LHC1" s="200"/>
      <c r="LHD1" s="200"/>
      <c r="LHE1" s="200"/>
      <c r="LHF1" s="200"/>
      <c r="LHG1" s="198"/>
      <c r="LHH1" s="198"/>
      <c r="LHI1" s="198"/>
      <c r="LHJ1" s="198"/>
      <c r="LHK1" s="198"/>
      <c r="LHL1" s="198"/>
      <c r="LHM1" s="198"/>
      <c r="LHN1" s="198"/>
      <c r="LHO1" s="198"/>
      <c r="LHP1" s="198"/>
      <c r="LHQ1" s="198"/>
      <c r="LHR1" s="198"/>
      <c r="LHS1" s="198"/>
      <c r="LHT1" s="198"/>
      <c r="LHU1" s="198"/>
      <c r="LHV1" s="198"/>
      <c r="LHW1" s="198"/>
      <c r="LHX1" s="198"/>
      <c r="LHY1" s="198"/>
      <c r="LHZ1" s="198"/>
      <c r="LIA1" s="198"/>
      <c r="LIB1" s="198"/>
      <c r="LIC1" s="198"/>
      <c r="LID1" s="198"/>
      <c r="LIE1" s="198"/>
      <c r="LIF1" s="199"/>
      <c r="LIG1" s="199"/>
      <c r="LIH1" s="200"/>
      <c r="LII1" s="200"/>
      <c r="LIJ1" s="200"/>
      <c r="LIK1" s="200"/>
      <c r="LIL1" s="200"/>
      <c r="LIM1" s="200"/>
      <c r="LIN1" s="200"/>
      <c r="LIO1" s="198"/>
      <c r="LIP1" s="198"/>
      <c r="LIQ1" s="198"/>
      <c r="LIR1" s="198"/>
      <c r="LIS1" s="198"/>
      <c r="LIT1" s="198"/>
      <c r="LIU1" s="198"/>
      <c r="LIV1" s="198"/>
      <c r="LIW1" s="198"/>
      <c r="LIX1" s="198"/>
      <c r="LIY1" s="198"/>
      <c r="LIZ1" s="198"/>
      <c r="LJA1" s="198"/>
      <c r="LJB1" s="198"/>
      <c r="LJC1" s="198"/>
      <c r="LJD1" s="198"/>
      <c r="LJE1" s="198"/>
      <c r="LJF1" s="198"/>
      <c r="LJG1" s="198"/>
      <c r="LJH1" s="198"/>
      <c r="LJI1" s="198"/>
      <c r="LJJ1" s="198"/>
      <c r="LJK1" s="198"/>
      <c r="LJL1" s="198"/>
      <c r="LJM1" s="198"/>
      <c r="LJN1" s="199"/>
      <c r="LJO1" s="199"/>
      <c r="LJP1" s="200"/>
      <c r="LJQ1" s="200"/>
      <c r="LJR1" s="200"/>
      <c r="LJS1" s="200"/>
      <c r="LJT1" s="200"/>
      <c r="LJU1" s="200"/>
      <c r="LJV1" s="200"/>
      <c r="LJW1" s="198"/>
      <c r="LJX1" s="198"/>
      <c r="LJY1" s="198"/>
      <c r="LJZ1" s="198"/>
      <c r="LKA1" s="198"/>
      <c r="LKB1" s="198"/>
      <c r="LKC1" s="198"/>
      <c r="LKD1" s="198"/>
      <c r="LKE1" s="198"/>
      <c r="LKF1" s="198"/>
      <c r="LKG1" s="198"/>
      <c r="LKH1" s="198"/>
      <c r="LKI1" s="198"/>
      <c r="LKJ1" s="198"/>
      <c r="LKK1" s="198"/>
      <c r="LKL1" s="198"/>
      <c r="LKM1" s="198"/>
      <c r="LKN1" s="198"/>
      <c r="LKO1" s="198"/>
      <c r="LKP1" s="198"/>
      <c r="LKQ1" s="198"/>
      <c r="LKR1" s="198"/>
      <c r="LKS1" s="198"/>
      <c r="LKT1" s="198"/>
      <c r="LKU1" s="198"/>
      <c r="LKV1" s="199"/>
      <c r="LKW1" s="199"/>
      <c r="LKX1" s="200"/>
      <c r="LKY1" s="200"/>
      <c r="LKZ1" s="200"/>
      <c r="LLA1" s="200"/>
      <c r="LLB1" s="200"/>
      <c r="LLC1" s="200"/>
      <c r="LLD1" s="200"/>
      <c r="LLE1" s="198"/>
      <c r="LLF1" s="198"/>
      <c r="LLG1" s="198"/>
      <c r="LLH1" s="198"/>
      <c r="LLI1" s="198"/>
      <c r="LLJ1" s="198"/>
      <c r="LLK1" s="198"/>
      <c r="LLL1" s="198"/>
      <c r="LLM1" s="198"/>
      <c r="LLN1" s="198"/>
      <c r="LLO1" s="198"/>
      <c r="LLP1" s="198"/>
      <c r="LLQ1" s="198"/>
      <c r="LLR1" s="198"/>
      <c r="LLS1" s="198"/>
      <c r="LLT1" s="198"/>
      <c r="LLU1" s="198"/>
      <c r="LLV1" s="198"/>
      <c r="LLW1" s="198"/>
      <c r="LLX1" s="198"/>
      <c r="LLY1" s="198"/>
      <c r="LLZ1" s="198"/>
      <c r="LMA1" s="198"/>
      <c r="LMB1" s="198"/>
      <c r="LMC1" s="198"/>
      <c r="LMD1" s="199"/>
      <c r="LME1" s="199"/>
      <c r="LMF1" s="200"/>
      <c r="LMG1" s="200"/>
      <c r="LMH1" s="200"/>
      <c r="LMI1" s="200"/>
      <c r="LMJ1" s="200"/>
      <c r="LMK1" s="200"/>
      <c r="LML1" s="200"/>
      <c r="LMM1" s="198"/>
      <c r="LMN1" s="198"/>
      <c r="LMO1" s="198"/>
      <c r="LMP1" s="198"/>
      <c r="LMQ1" s="198"/>
      <c r="LMR1" s="198"/>
      <c r="LMS1" s="198"/>
      <c r="LMT1" s="198"/>
      <c r="LMU1" s="198"/>
      <c r="LMV1" s="198"/>
      <c r="LMW1" s="198"/>
      <c r="LMX1" s="198"/>
      <c r="LMY1" s="198"/>
      <c r="LMZ1" s="198"/>
      <c r="LNA1" s="198"/>
      <c r="LNB1" s="198"/>
      <c r="LNC1" s="198"/>
      <c r="LND1" s="198"/>
      <c r="LNE1" s="198"/>
      <c r="LNF1" s="198"/>
      <c r="LNG1" s="198"/>
      <c r="LNH1" s="198"/>
      <c r="LNI1" s="198"/>
      <c r="LNJ1" s="198"/>
      <c r="LNK1" s="198"/>
      <c r="LNL1" s="199"/>
      <c r="LNM1" s="199"/>
      <c r="LNN1" s="200"/>
      <c r="LNO1" s="200"/>
      <c r="LNP1" s="200"/>
      <c r="LNQ1" s="200"/>
      <c r="LNR1" s="200"/>
      <c r="LNS1" s="200"/>
      <c r="LNT1" s="200"/>
      <c r="LNU1" s="198"/>
      <c r="LNV1" s="198"/>
      <c r="LNW1" s="198"/>
      <c r="LNX1" s="198"/>
      <c r="LNY1" s="198"/>
      <c r="LNZ1" s="198"/>
      <c r="LOA1" s="198"/>
      <c r="LOB1" s="198"/>
      <c r="LOC1" s="198"/>
      <c r="LOD1" s="198"/>
      <c r="LOE1" s="198"/>
      <c r="LOF1" s="198"/>
      <c r="LOG1" s="198"/>
      <c r="LOH1" s="198"/>
      <c r="LOI1" s="198"/>
      <c r="LOJ1" s="198"/>
      <c r="LOK1" s="198"/>
      <c r="LOL1" s="198"/>
      <c r="LOM1" s="198"/>
      <c r="LON1" s="198"/>
      <c r="LOO1" s="198"/>
      <c r="LOP1" s="198"/>
      <c r="LOQ1" s="198"/>
      <c r="LOR1" s="198"/>
      <c r="LOS1" s="198"/>
      <c r="LOT1" s="199"/>
      <c r="LOU1" s="199"/>
      <c r="LOV1" s="200"/>
      <c r="LOW1" s="200"/>
      <c r="LOX1" s="200"/>
      <c r="LOY1" s="200"/>
      <c r="LOZ1" s="200"/>
      <c r="LPA1" s="200"/>
      <c r="LPB1" s="200"/>
      <c r="LPC1" s="198"/>
      <c r="LPD1" s="198"/>
      <c r="LPE1" s="198"/>
      <c r="LPF1" s="198"/>
      <c r="LPG1" s="198"/>
      <c r="LPH1" s="198"/>
      <c r="LPI1" s="198"/>
      <c r="LPJ1" s="198"/>
      <c r="LPK1" s="198"/>
      <c r="LPL1" s="198"/>
      <c r="LPM1" s="198"/>
      <c r="LPN1" s="198"/>
      <c r="LPO1" s="198"/>
      <c r="LPP1" s="198"/>
      <c r="LPQ1" s="198"/>
      <c r="LPR1" s="198"/>
      <c r="LPS1" s="198"/>
      <c r="LPT1" s="198"/>
      <c r="LPU1" s="198"/>
      <c r="LPV1" s="198"/>
      <c r="LPW1" s="198"/>
      <c r="LPX1" s="198"/>
      <c r="LPY1" s="198"/>
      <c r="LPZ1" s="198"/>
      <c r="LQA1" s="198"/>
      <c r="LQB1" s="199"/>
      <c r="LQC1" s="199"/>
      <c r="LQD1" s="200"/>
      <c r="LQE1" s="200"/>
      <c r="LQF1" s="200"/>
      <c r="LQG1" s="200"/>
      <c r="LQH1" s="200"/>
      <c r="LQI1" s="200"/>
      <c r="LQJ1" s="200"/>
      <c r="LQK1" s="198"/>
      <c r="LQL1" s="198"/>
      <c r="LQM1" s="198"/>
      <c r="LQN1" s="198"/>
      <c r="LQO1" s="198"/>
      <c r="LQP1" s="198"/>
      <c r="LQQ1" s="198"/>
      <c r="LQR1" s="198"/>
      <c r="LQS1" s="198"/>
      <c r="LQT1" s="198"/>
      <c r="LQU1" s="198"/>
      <c r="LQV1" s="198"/>
      <c r="LQW1" s="198"/>
      <c r="LQX1" s="198"/>
      <c r="LQY1" s="198"/>
      <c r="LQZ1" s="198"/>
      <c r="LRA1" s="198"/>
      <c r="LRB1" s="198"/>
      <c r="LRC1" s="198"/>
      <c r="LRD1" s="198"/>
      <c r="LRE1" s="198"/>
      <c r="LRF1" s="198"/>
      <c r="LRG1" s="198"/>
      <c r="LRH1" s="198"/>
      <c r="LRI1" s="198"/>
      <c r="LRJ1" s="199"/>
      <c r="LRK1" s="199"/>
      <c r="LRL1" s="200"/>
      <c r="LRM1" s="200"/>
      <c r="LRN1" s="200"/>
      <c r="LRO1" s="200"/>
      <c r="LRP1" s="200"/>
      <c r="LRQ1" s="200"/>
      <c r="LRR1" s="200"/>
      <c r="LRS1" s="198"/>
      <c r="LRT1" s="198"/>
      <c r="LRU1" s="198"/>
      <c r="LRV1" s="198"/>
      <c r="LRW1" s="198"/>
      <c r="LRX1" s="198"/>
      <c r="LRY1" s="198"/>
      <c r="LRZ1" s="198"/>
      <c r="LSA1" s="198"/>
      <c r="LSB1" s="198"/>
      <c r="LSC1" s="198"/>
      <c r="LSD1" s="198"/>
      <c r="LSE1" s="198"/>
      <c r="LSF1" s="198"/>
      <c r="LSG1" s="198"/>
      <c r="LSH1" s="198"/>
      <c r="LSI1" s="198"/>
      <c r="LSJ1" s="198"/>
      <c r="LSK1" s="198"/>
      <c r="LSL1" s="198"/>
      <c r="LSM1" s="198"/>
      <c r="LSN1" s="198"/>
      <c r="LSO1" s="198"/>
      <c r="LSP1" s="198"/>
      <c r="LSQ1" s="198"/>
      <c r="LSR1" s="199"/>
      <c r="LSS1" s="199"/>
      <c r="LST1" s="200"/>
      <c r="LSU1" s="200"/>
      <c r="LSV1" s="200"/>
      <c r="LSW1" s="200"/>
      <c r="LSX1" s="200"/>
      <c r="LSY1" s="200"/>
      <c r="LSZ1" s="200"/>
      <c r="LTA1" s="198"/>
      <c r="LTB1" s="198"/>
      <c r="LTC1" s="198"/>
      <c r="LTD1" s="198"/>
      <c r="LTE1" s="198"/>
      <c r="LTF1" s="198"/>
      <c r="LTG1" s="198"/>
      <c r="LTH1" s="198"/>
      <c r="LTI1" s="198"/>
      <c r="LTJ1" s="198"/>
      <c r="LTK1" s="198"/>
      <c r="LTL1" s="198"/>
      <c r="LTM1" s="198"/>
      <c r="LTN1" s="198"/>
      <c r="LTO1" s="198"/>
      <c r="LTP1" s="198"/>
      <c r="LTQ1" s="198"/>
      <c r="LTR1" s="198"/>
      <c r="LTS1" s="198"/>
      <c r="LTT1" s="198"/>
      <c r="LTU1" s="198"/>
      <c r="LTV1" s="198"/>
      <c r="LTW1" s="198"/>
      <c r="LTX1" s="198"/>
      <c r="LTY1" s="198"/>
      <c r="LTZ1" s="199"/>
      <c r="LUA1" s="199"/>
      <c r="LUB1" s="200"/>
      <c r="LUC1" s="200"/>
      <c r="LUD1" s="200"/>
      <c r="LUE1" s="200"/>
      <c r="LUF1" s="200"/>
      <c r="LUG1" s="200"/>
      <c r="LUH1" s="200"/>
      <c r="LUI1" s="198"/>
      <c r="LUJ1" s="198"/>
      <c r="LUK1" s="198"/>
      <c r="LUL1" s="198"/>
      <c r="LUM1" s="198"/>
      <c r="LUN1" s="198"/>
      <c r="LUO1" s="198"/>
      <c r="LUP1" s="198"/>
      <c r="LUQ1" s="198"/>
      <c r="LUR1" s="198"/>
      <c r="LUS1" s="198"/>
      <c r="LUT1" s="198"/>
      <c r="LUU1" s="198"/>
      <c r="LUV1" s="198"/>
      <c r="LUW1" s="198"/>
      <c r="LUX1" s="198"/>
      <c r="LUY1" s="198"/>
      <c r="LUZ1" s="198"/>
      <c r="LVA1" s="198"/>
      <c r="LVB1" s="198"/>
      <c r="LVC1" s="198"/>
      <c r="LVD1" s="198"/>
      <c r="LVE1" s="198"/>
      <c r="LVF1" s="198"/>
      <c r="LVG1" s="198"/>
      <c r="LVH1" s="199"/>
      <c r="LVI1" s="199"/>
      <c r="LVJ1" s="200"/>
      <c r="LVK1" s="200"/>
      <c r="LVL1" s="200"/>
      <c r="LVM1" s="200"/>
      <c r="LVN1" s="200"/>
      <c r="LVO1" s="200"/>
      <c r="LVP1" s="200"/>
      <c r="LVQ1" s="198"/>
      <c r="LVR1" s="198"/>
      <c r="LVS1" s="198"/>
      <c r="LVT1" s="198"/>
      <c r="LVU1" s="198"/>
      <c r="LVV1" s="198"/>
      <c r="LVW1" s="198"/>
      <c r="LVX1" s="198"/>
      <c r="LVY1" s="198"/>
      <c r="LVZ1" s="198"/>
      <c r="LWA1" s="198"/>
      <c r="LWB1" s="198"/>
      <c r="LWC1" s="198"/>
      <c r="LWD1" s="198"/>
      <c r="LWE1" s="198"/>
      <c r="LWF1" s="198"/>
      <c r="LWG1" s="198"/>
      <c r="LWH1" s="198"/>
      <c r="LWI1" s="198"/>
      <c r="LWJ1" s="198"/>
      <c r="LWK1" s="198"/>
      <c r="LWL1" s="198"/>
      <c r="LWM1" s="198"/>
      <c r="LWN1" s="198"/>
      <c r="LWO1" s="198"/>
      <c r="LWP1" s="199"/>
      <c r="LWQ1" s="199"/>
      <c r="LWR1" s="200"/>
      <c r="LWS1" s="200"/>
      <c r="LWT1" s="200"/>
      <c r="LWU1" s="200"/>
      <c r="LWV1" s="200"/>
      <c r="LWW1" s="200"/>
      <c r="LWX1" s="200"/>
      <c r="LWY1" s="198"/>
      <c r="LWZ1" s="198"/>
      <c r="LXA1" s="198"/>
      <c r="LXB1" s="198"/>
      <c r="LXC1" s="198"/>
      <c r="LXD1" s="198"/>
      <c r="LXE1" s="198"/>
      <c r="LXF1" s="198"/>
      <c r="LXG1" s="198"/>
      <c r="LXH1" s="198"/>
      <c r="LXI1" s="198"/>
      <c r="LXJ1" s="198"/>
      <c r="LXK1" s="198"/>
      <c r="LXL1" s="198"/>
      <c r="LXM1" s="198"/>
      <c r="LXN1" s="198"/>
      <c r="LXO1" s="198"/>
      <c r="LXP1" s="198"/>
      <c r="LXQ1" s="198"/>
      <c r="LXR1" s="198"/>
      <c r="LXS1" s="198"/>
      <c r="LXT1" s="198"/>
      <c r="LXU1" s="198"/>
      <c r="LXV1" s="198"/>
      <c r="LXW1" s="198"/>
      <c r="LXX1" s="199"/>
      <c r="LXY1" s="199"/>
      <c r="LXZ1" s="200"/>
      <c r="LYA1" s="200"/>
      <c r="LYB1" s="200"/>
      <c r="LYC1" s="200"/>
      <c r="LYD1" s="200"/>
      <c r="LYE1" s="200"/>
      <c r="LYF1" s="200"/>
      <c r="LYG1" s="198"/>
      <c r="LYH1" s="198"/>
      <c r="LYI1" s="198"/>
      <c r="LYJ1" s="198"/>
      <c r="LYK1" s="198"/>
      <c r="LYL1" s="198"/>
      <c r="LYM1" s="198"/>
      <c r="LYN1" s="198"/>
      <c r="LYO1" s="198"/>
      <c r="LYP1" s="198"/>
      <c r="LYQ1" s="198"/>
      <c r="LYR1" s="198"/>
      <c r="LYS1" s="198"/>
      <c r="LYT1" s="198"/>
      <c r="LYU1" s="198"/>
      <c r="LYV1" s="198"/>
      <c r="LYW1" s="198"/>
      <c r="LYX1" s="198"/>
      <c r="LYY1" s="198"/>
      <c r="LYZ1" s="198"/>
      <c r="LZA1" s="198"/>
      <c r="LZB1" s="198"/>
      <c r="LZC1" s="198"/>
      <c r="LZD1" s="198"/>
      <c r="LZE1" s="198"/>
      <c r="LZF1" s="199"/>
      <c r="LZG1" s="199"/>
      <c r="LZH1" s="200"/>
      <c r="LZI1" s="200"/>
      <c r="LZJ1" s="200"/>
      <c r="LZK1" s="200"/>
      <c r="LZL1" s="200"/>
      <c r="LZM1" s="200"/>
      <c r="LZN1" s="200"/>
      <c r="LZO1" s="198"/>
      <c r="LZP1" s="198"/>
      <c r="LZQ1" s="198"/>
      <c r="LZR1" s="198"/>
      <c r="LZS1" s="198"/>
      <c r="LZT1" s="198"/>
      <c r="LZU1" s="198"/>
      <c r="LZV1" s="198"/>
      <c r="LZW1" s="198"/>
      <c r="LZX1" s="198"/>
      <c r="LZY1" s="198"/>
      <c r="LZZ1" s="198"/>
      <c r="MAA1" s="198"/>
      <c r="MAB1" s="198"/>
      <c r="MAC1" s="198"/>
      <c r="MAD1" s="198"/>
      <c r="MAE1" s="198"/>
      <c r="MAF1" s="198"/>
      <c r="MAG1" s="198"/>
      <c r="MAH1" s="198"/>
      <c r="MAI1" s="198"/>
      <c r="MAJ1" s="198"/>
      <c r="MAK1" s="198"/>
      <c r="MAL1" s="198"/>
      <c r="MAM1" s="198"/>
      <c r="MAN1" s="199"/>
      <c r="MAO1" s="199"/>
      <c r="MAP1" s="200"/>
      <c r="MAQ1" s="200"/>
      <c r="MAR1" s="200"/>
      <c r="MAS1" s="200"/>
      <c r="MAT1" s="200"/>
      <c r="MAU1" s="200"/>
      <c r="MAV1" s="200"/>
      <c r="MAW1" s="198"/>
      <c r="MAX1" s="198"/>
      <c r="MAY1" s="198"/>
      <c r="MAZ1" s="198"/>
      <c r="MBA1" s="198"/>
      <c r="MBB1" s="198"/>
      <c r="MBC1" s="198"/>
      <c r="MBD1" s="198"/>
      <c r="MBE1" s="198"/>
      <c r="MBF1" s="198"/>
      <c r="MBG1" s="198"/>
      <c r="MBH1" s="198"/>
      <c r="MBI1" s="198"/>
      <c r="MBJ1" s="198"/>
      <c r="MBK1" s="198"/>
      <c r="MBL1" s="198"/>
      <c r="MBM1" s="198"/>
      <c r="MBN1" s="198"/>
      <c r="MBO1" s="198"/>
      <c r="MBP1" s="198"/>
      <c r="MBQ1" s="198"/>
      <c r="MBR1" s="198"/>
      <c r="MBS1" s="198"/>
      <c r="MBT1" s="198"/>
      <c r="MBU1" s="198"/>
      <c r="MBV1" s="199"/>
      <c r="MBW1" s="199"/>
      <c r="MBX1" s="200"/>
      <c r="MBY1" s="200"/>
      <c r="MBZ1" s="200"/>
      <c r="MCA1" s="200"/>
      <c r="MCB1" s="200"/>
      <c r="MCC1" s="200"/>
      <c r="MCD1" s="200"/>
      <c r="MCE1" s="198"/>
      <c r="MCF1" s="198"/>
      <c r="MCG1" s="198"/>
      <c r="MCH1" s="198"/>
      <c r="MCI1" s="198"/>
      <c r="MCJ1" s="198"/>
      <c r="MCK1" s="198"/>
      <c r="MCL1" s="198"/>
      <c r="MCM1" s="198"/>
      <c r="MCN1" s="198"/>
      <c r="MCO1" s="198"/>
      <c r="MCP1" s="198"/>
      <c r="MCQ1" s="198"/>
      <c r="MCR1" s="198"/>
      <c r="MCS1" s="198"/>
      <c r="MCT1" s="198"/>
      <c r="MCU1" s="198"/>
      <c r="MCV1" s="198"/>
      <c r="MCW1" s="198"/>
      <c r="MCX1" s="198"/>
      <c r="MCY1" s="198"/>
      <c r="MCZ1" s="198"/>
      <c r="MDA1" s="198"/>
      <c r="MDB1" s="198"/>
      <c r="MDC1" s="198"/>
      <c r="MDD1" s="199"/>
      <c r="MDE1" s="199"/>
      <c r="MDF1" s="200"/>
      <c r="MDG1" s="200"/>
      <c r="MDH1" s="200"/>
      <c r="MDI1" s="200"/>
      <c r="MDJ1" s="200"/>
      <c r="MDK1" s="200"/>
      <c r="MDL1" s="200"/>
      <c r="MDM1" s="198"/>
      <c r="MDN1" s="198"/>
      <c r="MDO1" s="198"/>
      <c r="MDP1" s="198"/>
      <c r="MDQ1" s="198"/>
      <c r="MDR1" s="198"/>
      <c r="MDS1" s="198"/>
      <c r="MDT1" s="198"/>
      <c r="MDU1" s="198"/>
      <c r="MDV1" s="198"/>
      <c r="MDW1" s="198"/>
      <c r="MDX1" s="198"/>
      <c r="MDY1" s="198"/>
      <c r="MDZ1" s="198"/>
      <c r="MEA1" s="198"/>
      <c r="MEB1" s="198"/>
      <c r="MEC1" s="198"/>
      <c r="MED1" s="198"/>
      <c r="MEE1" s="198"/>
      <c r="MEF1" s="198"/>
      <c r="MEG1" s="198"/>
      <c r="MEH1" s="198"/>
      <c r="MEI1" s="198"/>
      <c r="MEJ1" s="198"/>
      <c r="MEK1" s="198"/>
      <c r="MEL1" s="199"/>
      <c r="MEM1" s="199"/>
      <c r="MEN1" s="200"/>
      <c r="MEO1" s="200"/>
      <c r="MEP1" s="200"/>
      <c r="MEQ1" s="200"/>
      <c r="MER1" s="200"/>
      <c r="MES1" s="200"/>
      <c r="MET1" s="200"/>
      <c r="MEU1" s="198"/>
      <c r="MEV1" s="198"/>
      <c r="MEW1" s="198"/>
      <c r="MEX1" s="198"/>
      <c r="MEY1" s="198"/>
      <c r="MEZ1" s="198"/>
      <c r="MFA1" s="198"/>
      <c r="MFB1" s="198"/>
      <c r="MFC1" s="198"/>
      <c r="MFD1" s="198"/>
      <c r="MFE1" s="198"/>
      <c r="MFF1" s="198"/>
      <c r="MFG1" s="198"/>
      <c r="MFH1" s="198"/>
      <c r="MFI1" s="198"/>
      <c r="MFJ1" s="198"/>
      <c r="MFK1" s="198"/>
      <c r="MFL1" s="198"/>
      <c r="MFM1" s="198"/>
      <c r="MFN1" s="198"/>
      <c r="MFO1" s="198"/>
      <c r="MFP1" s="198"/>
      <c r="MFQ1" s="198"/>
      <c r="MFR1" s="198"/>
      <c r="MFS1" s="198"/>
      <c r="MFT1" s="199"/>
      <c r="MFU1" s="199"/>
      <c r="MFV1" s="200"/>
      <c r="MFW1" s="200"/>
      <c r="MFX1" s="200"/>
      <c r="MFY1" s="200"/>
      <c r="MFZ1" s="200"/>
      <c r="MGA1" s="200"/>
      <c r="MGB1" s="200"/>
      <c r="MGC1" s="198"/>
      <c r="MGD1" s="198"/>
      <c r="MGE1" s="198"/>
      <c r="MGF1" s="198"/>
      <c r="MGG1" s="198"/>
      <c r="MGH1" s="198"/>
      <c r="MGI1" s="198"/>
      <c r="MGJ1" s="198"/>
      <c r="MGK1" s="198"/>
      <c r="MGL1" s="198"/>
      <c r="MGM1" s="198"/>
      <c r="MGN1" s="198"/>
      <c r="MGO1" s="198"/>
      <c r="MGP1" s="198"/>
      <c r="MGQ1" s="198"/>
      <c r="MGR1" s="198"/>
      <c r="MGS1" s="198"/>
      <c r="MGT1" s="198"/>
      <c r="MGU1" s="198"/>
      <c r="MGV1" s="198"/>
      <c r="MGW1" s="198"/>
      <c r="MGX1" s="198"/>
      <c r="MGY1" s="198"/>
      <c r="MGZ1" s="198"/>
      <c r="MHA1" s="198"/>
      <c r="MHB1" s="199"/>
      <c r="MHC1" s="199"/>
      <c r="MHD1" s="200"/>
      <c r="MHE1" s="200"/>
      <c r="MHF1" s="200"/>
      <c r="MHG1" s="200"/>
      <c r="MHH1" s="200"/>
      <c r="MHI1" s="200"/>
      <c r="MHJ1" s="200"/>
      <c r="MHK1" s="198"/>
      <c r="MHL1" s="198"/>
      <c r="MHM1" s="198"/>
      <c r="MHN1" s="198"/>
      <c r="MHO1" s="198"/>
      <c r="MHP1" s="198"/>
      <c r="MHQ1" s="198"/>
      <c r="MHR1" s="198"/>
      <c r="MHS1" s="198"/>
      <c r="MHT1" s="198"/>
      <c r="MHU1" s="198"/>
      <c r="MHV1" s="198"/>
      <c r="MHW1" s="198"/>
      <c r="MHX1" s="198"/>
      <c r="MHY1" s="198"/>
      <c r="MHZ1" s="198"/>
      <c r="MIA1" s="198"/>
      <c r="MIB1" s="198"/>
      <c r="MIC1" s="198"/>
      <c r="MID1" s="198"/>
      <c r="MIE1" s="198"/>
      <c r="MIF1" s="198"/>
      <c r="MIG1" s="198"/>
      <c r="MIH1" s="198"/>
      <c r="MII1" s="198"/>
      <c r="MIJ1" s="199"/>
      <c r="MIK1" s="199"/>
      <c r="MIL1" s="200"/>
      <c r="MIM1" s="200"/>
      <c r="MIN1" s="200"/>
      <c r="MIO1" s="200"/>
      <c r="MIP1" s="200"/>
      <c r="MIQ1" s="200"/>
      <c r="MIR1" s="200"/>
      <c r="MIS1" s="198"/>
      <c r="MIT1" s="198"/>
      <c r="MIU1" s="198"/>
      <c r="MIV1" s="198"/>
      <c r="MIW1" s="198"/>
      <c r="MIX1" s="198"/>
      <c r="MIY1" s="198"/>
      <c r="MIZ1" s="198"/>
      <c r="MJA1" s="198"/>
      <c r="MJB1" s="198"/>
      <c r="MJC1" s="198"/>
      <c r="MJD1" s="198"/>
      <c r="MJE1" s="198"/>
      <c r="MJF1" s="198"/>
      <c r="MJG1" s="198"/>
      <c r="MJH1" s="198"/>
      <c r="MJI1" s="198"/>
      <c r="MJJ1" s="198"/>
      <c r="MJK1" s="198"/>
      <c r="MJL1" s="198"/>
      <c r="MJM1" s="198"/>
      <c r="MJN1" s="198"/>
      <c r="MJO1" s="198"/>
      <c r="MJP1" s="198"/>
      <c r="MJQ1" s="198"/>
      <c r="MJR1" s="199"/>
      <c r="MJS1" s="199"/>
      <c r="MJT1" s="200"/>
      <c r="MJU1" s="200"/>
      <c r="MJV1" s="200"/>
      <c r="MJW1" s="200"/>
      <c r="MJX1" s="200"/>
      <c r="MJY1" s="200"/>
      <c r="MJZ1" s="200"/>
      <c r="MKA1" s="198"/>
      <c r="MKB1" s="198"/>
      <c r="MKC1" s="198"/>
      <c r="MKD1" s="198"/>
      <c r="MKE1" s="198"/>
      <c r="MKF1" s="198"/>
      <c r="MKG1" s="198"/>
      <c r="MKH1" s="198"/>
      <c r="MKI1" s="198"/>
      <c r="MKJ1" s="198"/>
      <c r="MKK1" s="198"/>
      <c r="MKL1" s="198"/>
      <c r="MKM1" s="198"/>
      <c r="MKN1" s="198"/>
      <c r="MKO1" s="198"/>
      <c r="MKP1" s="198"/>
      <c r="MKQ1" s="198"/>
      <c r="MKR1" s="198"/>
      <c r="MKS1" s="198"/>
      <c r="MKT1" s="198"/>
      <c r="MKU1" s="198"/>
      <c r="MKV1" s="198"/>
      <c r="MKW1" s="198"/>
      <c r="MKX1" s="198"/>
      <c r="MKY1" s="198"/>
      <c r="MKZ1" s="199"/>
      <c r="MLA1" s="199"/>
      <c r="MLB1" s="200"/>
      <c r="MLC1" s="200"/>
      <c r="MLD1" s="200"/>
      <c r="MLE1" s="200"/>
      <c r="MLF1" s="200"/>
      <c r="MLG1" s="200"/>
      <c r="MLH1" s="200"/>
      <c r="MLI1" s="198"/>
      <c r="MLJ1" s="198"/>
      <c r="MLK1" s="198"/>
      <c r="MLL1" s="198"/>
      <c r="MLM1" s="198"/>
      <c r="MLN1" s="198"/>
      <c r="MLO1" s="198"/>
      <c r="MLP1" s="198"/>
      <c r="MLQ1" s="198"/>
      <c r="MLR1" s="198"/>
      <c r="MLS1" s="198"/>
      <c r="MLT1" s="198"/>
      <c r="MLU1" s="198"/>
      <c r="MLV1" s="198"/>
      <c r="MLW1" s="198"/>
      <c r="MLX1" s="198"/>
      <c r="MLY1" s="198"/>
      <c r="MLZ1" s="198"/>
      <c r="MMA1" s="198"/>
      <c r="MMB1" s="198"/>
      <c r="MMC1" s="198"/>
      <c r="MMD1" s="198"/>
      <c r="MME1" s="198"/>
      <c r="MMF1" s="198"/>
      <c r="MMG1" s="198"/>
      <c r="MMH1" s="199"/>
      <c r="MMI1" s="199"/>
      <c r="MMJ1" s="200"/>
      <c r="MMK1" s="200"/>
      <c r="MML1" s="200"/>
      <c r="MMM1" s="200"/>
      <c r="MMN1" s="200"/>
      <c r="MMO1" s="200"/>
      <c r="MMP1" s="200"/>
      <c r="MMQ1" s="198"/>
      <c r="MMR1" s="198"/>
      <c r="MMS1" s="198"/>
      <c r="MMT1" s="198"/>
      <c r="MMU1" s="198"/>
      <c r="MMV1" s="198"/>
      <c r="MMW1" s="198"/>
      <c r="MMX1" s="198"/>
      <c r="MMY1" s="198"/>
      <c r="MMZ1" s="198"/>
      <c r="MNA1" s="198"/>
      <c r="MNB1" s="198"/>
      <c r="MNC1" s="198"/>
      <c r="MND1" s="198"/>
      <c r="MNE1" s="198"/>
      <c r="MNF1" s="198"/>
      <c r="MNG1" s="198"/>
      <c r="MNH1" s="198"/>
      <c r="MNI1" s="198"/>
      <c r="MNJ1" s="198"/>
      <c r="MNK1" s="198"/>
      <c r="MNL1" s="198"/>
      <c r="MNM1" s="198"/>
      <c r="MNN1" s="198"/>
      <c r="MNO1" s="198"/>
      <c r="MNP1" s="199"/>
      <c r="MNQ1" s="199"/>
      <c r="MNR1" s="200"/>
      <c r="MNS1" s="200"/>
      <c r="MNT1" s="200"/>
      <c r="MNU1" s="200"/>
      <c r="MNV1" s="200"/>
      <c r="MNW1" s="200"/>
      <c r="MNX1" s="200"/>
      <c r="MNY1" s="198"/>
      <c r="MNZ1" s="198"/>
      <c r="MOA1" s="198"/>
      <c r="MOB1" s="198"/>
      <c r="MOC1" s="198"/>
      <c r="MOD1" s="198"/>
      <c r="MOE1" s="198"/>
      <c r="MOF1" s="198"/>
      <c r="MOG1" s="198"/>
      <c r="MOH1" s="198"/>
      <c r="MOI1" s="198"/>
      <c r="MOJ1" s="198"/>
      <c r="MOK1" s="198"/>
      <c r="MOL1" s="198"/>
      <c r="MOM1" s="198"/>
      <c r="MON1" s="198"/>
      <c r="MOO1" s="198"/>
      <c r="MOP1" s="198"/>
      <c r="MOQ1" s="198"/>
      <c r="MOR1" s="198"/>
      <c r="MOS1" s="198"/>
      <c r="MOT1" s="198"/>
      <c r="MOU1" s="198"/>
      <c r="MOV1" s="198"/>
      <c r="MOW1" s="198"/>
      <c r="MOX1" s="199"/>
      <c r="MOY1" s="199"/>
      <c r="MOZ1" s="200"/>
      <c r="MPA1" s="200"/>
      <c r="MPB1" s="200"/>
      <c r="MPC1" s="200"/>
      <c r="MPD1" s="200"/>
      <c r="MPE1" s="200"/>
      <c r="MPF1" s="200"/>
      <c r="MPG1" s="198"/>
      <c r="MPH1" s="198"/>
      <c r="MPI1" s="198"/>
      <c r="MPJ1" s="198"/>
      <c r="MPK1" s="198"/>
      <c r="MPL1" s="198"/>
      <c r="MPM1" s="198"/>
      <c r="MPN1" s="198"/>
      <c r="MPO1" s="198"/>
      <c r="MPP1" s="198"/>
      <c r="MPQ1" s="198"/>
      <c r="MPR1" s="198"/>
      <c r="MPS1" s="198"/>
      <c r="MPT1" s="198"/>
      <c r="MPU1" s="198"/>
      <c r="MPV1" s="198"/>
      <c r="MPW1" s="198"/>
      <c r="MPX1" s="198"/>
      <c r="MPY1" s="198"/>
      <c r="MPZ1" s="198"/>
      <c r="MQA1" s="198"/>
      <c r="MQB1" s="198"/>
      <c r="MQC1" s="198"/>
      <c r="MQD1" s="198"/>
      <c r="MQE1" s="198"/>
      <c r="MQF1" s="199"/>
      <c r="MQG1" s="199"/>
      <c r="MQH1" s="200"/>
      <c r="MQI1" s="200"/>
      <c r="MQJ1" s="200"/>
      <c r="MQK1" s="200"/>
      <c r="MQL1" s="200"/>
      <c r="MQM1" s="200"/>
      <c r="MQN1" s="200"/>
      <c r="MQO1" s="198"/>
      <c r="MQP1" s="198"/>
      <c r="MQQ1" s="198"/>
      <c r="MQR1" s="198"/>
      <c r="MQS1" s="198"/>
      <c r="MQT1" s="198"/>
      <c r="MQU1" s="198"/>
      <c r="MQV1" s="198"/>
      <c r="MQW1" s="198"/>
      <c r="MQX1" s="198"/>
      <c r="MQY1" s="198"/>
      <c r="MQZ1" s="198"/>
      <c r="MRA1" s="198"/>
      <c r="MRB1" s="198"/>
      <c r="MRC1" s="198"/>
      <c r="MRD1" s="198"/>
      <c r="MRE1" s="198"/>
      <c r="MRF1" s="198"/>
      <c r="MRG1" s="198"/>
      <c r="MRH1" s="198"/>
      <c r="MRI1" s="198"/>
      <c r="MRJ1" s="198"/>
      <c r="MRK1" s="198"/>
      <c r="MRL1" s="198"/>
      <c r="MRM1" s="198"/>
      <c r="MRN1" s="199"/>
      <c r="MRO1" s="199"/>
      <c r="MRP1" s="200"/>
      <c r="MRQ1" s="200"/>
      <c r="MRR1" s="200"/>
      <c r="MRS1" s="200"/>
      <c r="MRT1" s="200"/>
      <c r="MRU1" s="200"/>
      <c r="MRV1" s="200"/>
      <c r="MRW1" s="198"/>
      <c r="MRX1" s="198"/>
      <c r="MRY1" s="198"/>
      <c r="MRZ1" s="198"/>
      <c r="MSA1" s="198"/>
      <c r="MSB1" s="198"/>
      <c r="MSC1" s="198"/>
      <c r="MSD1" s="198"/>
      <c r="MSE1" s="198"/>
      <c r="MSF1" s="198"/>
      <c r="MSG1" s="198"/>
      <c r="MSH1" s="198"/>
      <c r="MSI1" s="198"/>
      <c r="MSJ1" s="198"/>
      <c r="MSK1" s="198"/>
      <c r="MSL1" s="198"/>
      <c r="MSM1" s="198"/>
      <c r="MSN1" s="198"/>
      <c r="MSO1" s="198"/>
      <c r="MSP1" s="198"/>
      <c r="MSQ1" s="198"/>
      <c r="MSR1" s="198"/>
      <c r="MSS1" s="198"/>
      <c r="MST1" s="198"/>
      <c r="MSU1" s="198"/>
      <c r="MSV1" s="199"/>
      <c r="MSW1" s="199"/>
      <c r="MSX1" s="200"/>
      <c r="MSY1" s="200"/>
      <c r="MSZ1" s="200"/>
      <c r="MTA1" s="200"/>
      <c r="MTB1" s="200"/>
      <c r="MTC1" s="200"/>
      <c r="MTD1" s="200"/>
      <c r="MTE1" s="198"/>
      <c r="MTF1" s="198"/>
      <c r="MTG1" s="198"/>
      <c r="MTH1" s="198"/>
      <c r="MTI1" s="198"/>
      <c r="MTJ1" s="198"/>
      <c r="MTK1" s="198"/>
      <c r="MTL1" s="198"/>
      <c r="MTM1" s="198"/>
      <c r="MTN1" s="198"/>
      <c r="MTO1" s="198"/>
      <c r="MTP1" s="198"/>
      <c r="MTQ1" s="198"/>
      <c r="MTR1" s="198"/>
      <c r="MTS1" s="198"/>
      <c r="MTT1" s="198"/>
      <c r="MTU1" s="198"/>
      <c r="MTV1" s="198"/>
      <c r="MTW1" s="198"/>
      <c r="MTX1" s="198"/>
      <c r="MTY1" s="198"/>
      <c r="MTZ1" s="198"/>
      <c r="MUA1" s="198"/>
      <c r="MUB1" s="198"/>
      <c r="MUC1" s="198"/>
      <c r="MUD1" s="199"/>
      <c r="MUE1" s="199"/>
      <c r="MUF1" s="200"/>
      <c r="MUG1" s="200"/>
      <c r="MUH1" s="200"/>
      <c r="MUI1" s="200"/>
      <c r="MUJ1" s="200"/>
      <c r="MUK1" s="200"/>
      <c r="MUL1" s="200"/>
      <c r="MUM1" s="198"/>
      <c r="MUN1" s="198"/>
      <c r="MUO1" s="198"/>
      <c r="MUP1" s="198"/>
      <c r="MUQ1" s="198"/>
      <c r="MUR1" s="198"/>
      <c r="MUS1" s="198"/>
      <c r="MUT1" s="198"/>
      <c r="MUU1" s="198"/>
      <c r="MUV1" s="198"/>
      <c r="MUW1" s="198"/>
      <c r="MUX1" s="198"/>
      <c r="MUY1" s="198"/>
      <c r="MUZ1" s="198"/>
      <c r="MVA1" s="198"/>
      <c r="MVB1" s="198"/>
      <c r="MVC1" s="198"/>
      <c r="MVD1" s="198"/>
      <c r="MVE1" s="198"/>
      <c r="MVF1" s="198"/>
      <c r="MVG1" s="198"/>
      <c r="MVH1" s="198"/>
      <c r="MVI1" s="198"/>
      <c r="MVJ1" s="198"/>
      <c r="MVK1" s="198"/>
      <c r="MVL1" s="199"/>
      <c r="MVM1" s="199"/>
      <c r="MVN1" s="200"/>
      <c r="MVO1" s="200"/>
      <c r="MVP1" s="200"/>
      <c r="MVQ1" s="200"/>
      <c r="MVR1" s="200"/>
      <c r="MVS1" s="200"/>
      <c r="MVT1" s="200"/>
      <c r="MVU1" s="198"/>
      <c r="MVV1" s="198"/>
      <c r="MVW1" s="198"/>
      <c r="MVX1" s="198"/>
      <c r="MVY1" s="198"/>
      <c r="MVZ1" s="198"/>
      <c r="MWA1" s="198"/>
      <c r="MWB1" s="198"/>
      <c r="MWC1" s="198"/>
      <c r="MWD1" s="198"/>
      <c r="MWE1" s="198"/>
      <c r="MWF1" s="198"/>
      <c r="MWG1" s="198"/>
      <c r="MWH1" s="198"/>
      <c r="MWI1" s="198"/>
      <c r="MWJ1" s="198"/>
      <c r="MWK1" s="198"/>
      <c r="MWL1" s="198"/>
      <c r="MWM1" s="198"/>
      <c r="MWN1" s="198"/>
      <c r="MWO1" s="198"/>
      <c r="MWP1" s="198"/>
      <c r="MWQ1" s="198"/>
      <c r="MWR1" s="198"/>
      <c r="MWS1" s="198"/>
      <c r="MWT1" s="199"/>
      <c r="MWU1" s="199"/>
      <c r="MWV1" s="200"/>
      <c r="MWW1" s="200"/>
      <c r="MWX1" s="200"/>
      <c r="MWY1" s="200"/>
      <c r="MWZ1" s="200"/>
      <c r="MXA1" s="200"/>
      <c r="MXB1" s="200"/>
      <c r="MXC1" s="198"/>
      <c r="MXD1" s="198"/>
      <c r="MXE1" s="198"/>
      <c r="MXF1" s="198"/>
      <c r="MXG1" s="198"/>
      <c r="MXH1" s="198"/>
      <c r="MXI1" s="198"/>
      <c r="MXJ1" s="198"/>
      <c r="MXK1" s="198"/>
      <c r="MXL1" s="198"/>
      <c r="MXM1" s="198"/>
      <c r="MXN1" s="198"/>
      <c r="MXO1" s="198"/>
      <c r="MXP1" s="198"/>
      <c r="MXQ1" s="198"/>
      <c r="MXR1" s="198"/>
      <c r="MXS1" s="198"/>
      <c r="MXT1" s="198"/>
      <c r="MXU1" s="198"/>
      <c r="MXV1" s="198"/>
      <c r="MXW1" s="198"/>
      <c r="MXX1" s="198"/>
      <c r="MXY1" s="198"/>
      <c r="MXZ1" s="198"/>
      <c r="MYA1" s="198"/>
      <c r="MYB1" s="199"/>
      <c r="MYC1" s="199"/>
      <c r="MYD1" s="200"/>
      <c r="MYE1" s="200"/>
      <c r="MYF1" s="200"/>
      <c r="MYG1" s="200"/>
      <c r="MYH1" s="200"/>
      <c r="MYI1" s="200"/>
      <c r="MYJ1" s="200"/>
      <c r="MYK1" s="198"/>
      <c r="MYL1" s="198"/>
      <c r="MYM1" s="198"/>
      <c r="MYN1" s="198"/>
      <c r="MYO1" s="198"/>
      <c r="MYP1" s="198"/>
      <c r="MYQ1" s="198"/>
      <c r="MYR1" s="198"/>
      <c r="MYS1" s="198"/>
      <c r="MYT1" s="198"/>
      <c r="MYU1" s="198"/>
      <c r="MYV1" s="198"/>
      <c r="MYW1" s="198"/>
      <c r="MYX1" s="198"/>
      <c r="MYY1" s="198"/>
      <c r="MYZ1" s="198"/>
      <c r="MZA1" s="198"/>
      <c r="MZB1" s="198"/>
      <c r="MZC1" s="198"/>
      <c r="MZD1" s="198"/>
      <c r="MZE1" s="198"/>
      <c r="MZF1" s="198"/>
      <c r="MZG1" s="198"/>
      <c r="MZH1" s="198"/>
      <c r="MZI1" s="198"/>
      <c r="MZJ1" s="199"/>
      <c r="MZK1" s="199"/>
      <c r="MZL1" s="200"/>
      <c r="MZM1" s="200"/>
      <c r="MZN1" s="200"/>
      <c r="MZO1" s="200"/>
      <c r="MZP1" s="200"/>
      <c r="MZQ1" s="200"/>
      <c r="MZR1" s="200"/>
      <c r="MZS1" s="198"/>
      <c r="MZT1" s="198"/>
      <c r="MZU1" s="198"/>
      <c r="MZV1" s="198"/>
      <c r="MZW1" s="198"/>
      <c r="MZX1" s="198"/>
      <c r="MZY1" s="198"/>
      <c r="MZZ1" s="198"/>
      <c r="NAA1" s="198"/>
      <c r="NAB1" s="198"/>
      <c r="NAC1" s="198"/>
      <c r="NAD1" s="198"/>
      <c r="NAE1" s="198"/>
      <c r="NAF1" s="198"/>
      <c r="NAG1" s="198"/>
      <c r="NAH1" s="198"/>
      <c r="NAI1" s="198"/>
      <c r="NAJ1" s="198"/>
      <c r="NAK1" s="198"/>
      <c r="NAL1" s="198"/>
      <c r="NAM1" s="198"/>
      <c r="NAN1" s="198"/>
      <c r="NAO1" s="198"/>
      <c r="NAP1" s="198"/>
      <c r="NAQ1" s="198"/>
      <c r="NAR1" s="199"/>
      <c r="NAS1" s="199"/>
      <c r="NAT1" s="200"/>
      <c r="NAU1" s="200"/>
      <c r="NAV1" s="200"/>
      <c r="NAW1" s="200"/>
      <c r="NAX1" s="200"/>
      <c r="NAY1" s="200"/>
      <c r="NAZ1" s="200"/>
      <c r="NBA1" s="198"/>
      <c r="NBB1" s="198"/>
      <c r="NBC1" s="198"/>
      <c r="NBD1" s="198"/>
      <c r="NBE1" s="198"/>
      <c r="NBF1" s="198"/>
      <c r="NBG1" s="198"/>
      <c r="NBH1" s="198"/>
      <c r="NBI1" s="198"/>
      <c r="NBJ1" s="198"/>
      <c r="NBK1" s="198"/>
      <c r="NBL1" s="198"/>
      <c r="NBM1" s="198"/>
      <c r="NBN1" s="198"/>
      <c r="NBO1" s="198"/>
      <c r="NBP1" s="198"/>
      <c r="NBQ1" s="198"/>
      <c r="NBR1" s="198"/>
      <c r="NBS1" s="198"/>
      <c r="NBT1" s="198"/>
      <c r="NBU1" s="198"/>
      <c r="NBV1" s="198"/>
      <c r="NBW1" s="198"/>
      <c r="NBX1" s="198"/>
      <c r="NBY1" s="198"/>
      <c r="NBZ1" s="199"/>
      <c r="NCA1" s="199"/>
      <c r="NCB1" s="200"/>
      <c r="NCC1" s="200"/>
      <c r="NCD1" s="200"/>
      <c r="NCE1" s="200"/>
      <c r="NCF1" s="200"/>
      <c r="NCG1" s="200"/>
      <c r="NCH1" s="200"/>
      <c r="NCI1" s="198"/>
      <c r="NCJ1" s="198"/>
      <c r="NCK1" s="198"/>
      <c r="NCL1" s="198"/>
      <c r="NCM1" s="198"/>
      <c r="NCN1" s="198"/>
      <c r="NCO1" s="198"/>
      <c r="NCP1" s="198"/>
      <c r="NCQ1" s="198"/>
      <c r="NCR1" s="198"/>
      <c r="NCS1" s="198"/>
      <c r="NCT1" s="198"/>
      <c r="NCU1" s="198"/>
      <c r="NCV1" s="198"/>
      <c r="NCW1" s="198"/>
      <c r="NCX1" s="198"/>
      <c r="NCY1" s="198"/>
      <c r="NCZ1" s="198"/>
      <c r="NDA1" s="198"/>
      <c r="NDB1" s="198"/>
      <c r="NDC1" s="198"/>
      <c r="NDD1" s="198"/>
      <c r="NDE1" s="198"/>
      <c r="NDF1" s="198"/>
      <c r="NDG1" s="198"/>
      <c r="NDH1" s="199"/>
      <c r="NDI1" s="199"/>
      <c r="NDJ1" s="200"/>
      <c r="NDK1" s="200"/>
      <c r="NDL1" s="200"/>
      <c r="NDM1" s="200"/>
      <c r="NDN1" s="200"/>
      <c r="NDO1" s="200"/>
      <c r="NDP1" s="200"/>
      <c r="NDQ1" s="198"/>
      <c r="NDR1" s="198"/>
      <c r="NDS1" s="198"/>
      <c r="NDT1" s="198"/>
      <c r="NDU1" s="198"/>
      <c r="NDV1" s="198"/>
      <c r="NDW1" s="198"/>
      <c r="NDX1" s="198"/>
      <c r="NDY1" s="198"/>
      <c r="NDZ1" s="198"/>
      <c r="NEA1" s="198"/>
      <c r="NEB1" s="198"/>
      <c r="NEC1" s="198"/>
      <c r="NED1" s="198"/>
      <c r="NEE1" s="198"/>
      <c r="NEF1" s="198"/>
      <c r="NEG1" s="198"/>
      <c r="NEH1" s="198"/>
      <c r="NEI1" s="198"/>
      <c r="NEJ1" s="198"/>
      <c r="NEK1" s="198"/>
      <c r="NEL1" s="198"/>
      <c r="NEM1" s="198"/>
      <c r="NEN1" s="198"/>
      <c r="NEO1" s="198"/>
      <c r="NEP1" s="199"/>
      <c r="NEQ1" s="199"/>
      <c r="NER1" s="200"/>
      <c r="NES1" s="200"/>
      <c r="NET1" s="200"/>
      <c r="NEU1" s="200"/>
      <c r="NEV1" s="200"/>
      <c r="NEW1" s="200"/>
      <c r="NEX1" s="200"/>
      <c r="NEY1" s="198"/>
      <c r="NEZ1" s="198"/>
      <c r="NFA1" s="198"/>
      <c r="NFB1" s="198"/>
      <c r="NFC1" s="198"/>
      <c r="NFD1" s="198"/>
      <c r="NFE1" s="198"/>
      <c r="NFF1" s="198"/>
      <c r="NFG1" s="198"/>
      <c r="NFH1" s="198"/>
      <c r="NFI1" s="198"/>
      <c r="NFJ1" s="198"/>
      <c r="NFK1" s="198"/>
      <c r="NFL1" s="198"/>
      <c r="NFM1" s="198"/>
      <c r="NFN1" s="198"/>
      <c r="NFO1" s="198"/>
      <c r="NFP1" s="198"/>
      <c r="NFQ1" s="198"/>
      <c r="NFR1" s="198"/>
      <c r="NFS1" s="198"/>
      <c r="NFT1" s="198"/>
      <c r="NFU1" s="198"/>
      <c r="NFV1" s="198"/>
      <c r="NFW1" s="198"/>
      <c r="NFX1" s="199"/>
      <c r="NFY1" s="199"/>
      <c r="NFZ1" s="200"/>
      <c r="NGA1" s="200"/>
      <c r="NGB1" s="200"/>
      <c r="NGC1" s="200"/>
      <c r="NGD1" s="200"/>
      <c r="NGE1" s="200"/>
      <c r="NGF1" s="200"/>
      <c r="NGG1" s="198"/>
      <c r="NGH1" s="198"/>
      <c r="NGI1" s="198"/>
      <c r="NGJ1" s="198"/>
      <c r="NGK1" s="198"/>
      <c r="NGL1" s="198"/>
      <c r="NGM1" s="198"/>
      <c r="NGN1" s="198"/>
      <c r="NGO1" s="198"/>
      <c r="NGP1" s="198"/>
      <c r="NGQ1" s="198"/>
      <c r="NGR1" s="198"/>
      <c r="NGS1" s="198"/>
      <c r="NGT1" s="198"/>
      <c r="NGU1" s="198"/>
      <c r="NGV1" s="198"/>
      <c r="NGW1" s="198"/>
      <c r="NGX1" s="198"/>
      <c r="NGY1" s="198"/>
      <c r="NGZ1" s="198"/>
      <c r="NHA1" s="198"/>
      <c r="NHB1" s="198"/>
      <c r="NHC1" s="198"/>
      <c r="NHD1" s="198"/>
      <c r="NHE1" s="198"/>
      <c r="NHF1" s="199"/>
      <c r="NHG1" s="199"/>
      <c r="NHH1" s="200"/>
      <c r="NHI1" s="200"/>
      <c r="NHJ1" s="200"/>
      <c r="NHK1" s="200"/>
      <c r="NHL1" s="200"/>
      <c r="NHM1" s="200"/>
      <c r="NHN1" s="200"/>
      <c r="NHO1" s="198"/>
      <c r="NHP1" s="198"/>
      <c r="NHQ1" s="198"/>
      <c r="NHR1" s="198"/>
      <c r="NHS1" s="198"/>
      <c r="NHT1" s="198"/>
      <c r="NHU1" s="198"/>
      <c r="NHV1" s="198"/>
      <c r="NHW1" s="198"/>
      <c r="NHX1" s="198"/>
      <c r="NHY1" s="198"/>
      <c r="NHZ1" s="198"/>
      <c r="NIA1" s="198"/>
      <c r="NIB1" s="198"/>
      <c r="NIC1" s="198"/>
      <c r="NID1" s="198"/>
      <c r="NIE1" s="198"/>
      <c r="NIF1" s="198"/>
      <c r="NIG1" s="198"/>
      <c r="NIH1" s="198"/>
      <c r="NII1" s="198"/>
      <c r="NIJ1" s="198"/>
      <c r="NIK1" s="198"/>
      <c r="NIL1" s="198"/>
      <c r="NIM1" s="198"/>
      <c r="NIN1" s="199"/>
      <c r="NIO1" s="199"/>
      <c r="NIP1" s="200"/>
      <c r="NIQ1" s="200"/>
      <c r="NIR1" s="200"/>
      <c r="NIS1" s="200"/>
      <c r="NIT1" s="200"/>
      <c r="NIU1" s="200"/>
      <c r="NIV1" s="200"/>
      <c r="NIW1" s="198"/>
      <c r="NIX1" s="198"/>
      <c r="NIY1" s="198"/>
      <c r="NIZ1" s="198"/>
      <c r="NJA1" s="198"/>
      <c r="NJB1" s="198"/>
      <c r="NJC1" s="198"/>
      <c r="NJD1" s="198"/>
      <c r="NJE1" s="198"/>
      <c r="NJF1" s="198"/>
      <c r="NJG1" s="198"/>
      <c r="NJH1" s="198"/>
      <c r="NJI1" s="198"/>
      <c r="NJJ1" s="198"/>
      <c r="NJK1" s="198"/>
      <c r="NJL1" s="198"/>
      <c r="NJM1" s="198"/>
      <c r="NJN1" s="198"/>
      <c r="NJO1" s="198"/>
      <c r="NJP1" s="198"/>
      <c r="NJQ1" s="198"/>
      <c r="NJR1" s="198"/>
      <c r="NJS1" s="198"/>
      <c r="NJT1" s="198"/>
      <c r="NJU1" s="198"/>
      <c r="NJV1" s="199"/>
      <c r="NJW1" s="199"/>
      <c r="NJX1" s="200"/>
      <c r="NJY1" s="200"/>
      <c r="NJZ1" s="200"/>
      <c r="NKA1" s="200"/>
      <c r="NKB1" s="200"/>
      <c r="NKC1" s="200"/>
      <c r="NKD1" s="200"/>
      <c r="NKE1" s="198"/>
      <c r="NKF1" s="198"/>
      <c r="NKG1" s="198"/>
      <c r="NKH1" s="198"/>
      <c r="NKI1" s="198"/>
      <c r="NKJ1" s="198"/>
      <c r="NKK1" s="198"/>
      <c r="NKL1" s="198"/>
      <c r="NKM1" s="198"/>
      <c r="NKN1" s="198"/>
      <c r="NKO1" s="198"/>
      <c r="NKP1" s="198"/>
      <c r="NKQ1" s="198"/>
      <c r="NKR1" s="198"/>
      <c r="NKS1" s="198"/>
      <c r="NKT1" s="198"/>
      <c r="NKU1" s="198"/>
      <c r="NKV1" s="198"/>
      <c r="NKW1" s="198"/>
      <c r="NKX1" s="198"/>
      <c r="NKY1" s="198"/>
      <c r="NKZ1" s="198"/>
      <c r="NLA1" s="198"/>
      <c r="NLB1" s="198"/>
      <c r="NLC1" s="198"/>
      <c r="NLD1" s="199"/>
      <c r="NLE1" s="199"/>
      <c r="NLF1" s="200"/>
      <c r="NLG1" s="200"/>
      <c r="NLH1" s="200"/>
      <c r="NLI1" s="200"/>
      <c r="NLJ1" s="200"/>
      <c r="NLK1" s="200"/>
      <c r="NLL1" s="200"/>
      <c r="NLM1" s="198"/>
      <c r="NLN1" s="198"/>
      <c r="NLO1" s="198"/>
      <c r="NLP1" s="198"/>
      <c r="NLQ1" s="198"/>
      <c r="NLR1" s="198"/>
      <c r="NLS1" s="198"/>
      <c r="NLT1" s="198"/>
      <c r="NLU1" s="198"/>
      <c r="NLV1" s="198"/>
      <c r="NLW1" s="198"/>
      <c r="NLX1" s="198"/>
      <c r="NLY1" s="198"/>
      <c r="NLZ1" s="198"/>
      <c r="NMA1" s="198"/>
      <c r="NMB1" s="198"/>
      <c r="NMC1" s="198"/>
      <c r="NMD1" s="198"/>
      <c r="NME1" s="198"/>
      <c r="NMF1" s="198"/>
      <c r="NMG1" s="198"/>
      <c r="NMH1" s="198"/>
      <c r="NMI1" s="198"/>
      <c r="NMJ1" s="198"/>
      <c r="NMK1" s="198"/>
      <c r="NML1" s="199"/>
      <c r="NMM1" s="199"/>
      <c r="NMN1" s="200"/>
      <c r="NMO1" s="200"/>
      <c r="NMP1" s="200"/>
      <c r="NMQ1" s="200"/>
      <c r="NMR1" s="200"/>
      <c r="NMS1" s="200"/>
      <c r="NMT1" s="200"/>
      <c r="NMU1" s="198"/>
      <c r="NMV1" s="198"/>
      <c r="NMW1" s="198"/>
      <c r="NMX1" s="198"/>
      <c r="NMY1" s="198"/>
      <c r="NMZ1" s="198"/>
      <c r="NNA1" s="198"/>
      <c r="NNB1" s="198"/>
      <c r="NNC1" s="198"/>
      <c r="NND1" s="198"/>
      <c r="NNE1" s="198"/>
      <c r="NNF1" s="198"/>
      <c r="NNG1" s="198"/>
      <c r="NNH1" s="198"/>
      <c r="NNI1" s="198"/>
      <c r="NNJ1" s="198"/>
      <c r="NNK1" s="198"/>
      <c r="NNL1" s="198"/>
      <c r="NNM1" s="198"/>
      <c r="NNN1" s="198"/>
      <c r="NNO1" s="198"/>
      <c r="NNP1" s="198"/>
      <c r="NNQ1" s="198"/>
      <c r="NNR1" s="198"/>
      <c r="NNS1" s="198"/>
      <c r="NNT1" s="199"/>
      <c r="NNU1" s="199"/>
      <c r="NNV1" s="200"/>
      <c r="NNW1" s="200"/>
      <c r="NNX1" s="200"/>
      <c r="NNY1" s="200"/>
      <c r="NNZ1" s="200"/>
      <c r="NOA1" s="200"/>
      <c r="NOB1" s="200"/>
      <c r="NOC1" s="198"/>
      <c r="NOD1" s="198"/>
      <c r="NOE1" s="198"/>
      <c r="NOF1" s="198"/>
      <c r="NOG1" s="198"/>
      <c r="NOH1" s="198"/>
      <c r="NOI1" s="198"/>
      <c r="NOJ1" s="198"/>
      <c r="NOK1" s="198"/>
      <c r="NOL1" s="198"/>
      <c r="NOM1" s="198"/>
      <c r="NON1" s="198"/>
      <c r="NOO1" s="198"/>
      <c r="NOP1" s="198"/>
      <c r="NOQ1" s="198"/>
      <c r="NOR1" s="198"/>
      <c r="NOS1" s="198"/>
      <c r="NOT1" s="198"/>
      <c r="NOU1" s="198"/>
      <c r="NOV1" s="198"/>
      <c r="NOW1" s="198"/>
      <c r="NOX1" s="198"/>
      <c r="NOY1" s="198"/>
      <c r="NOZ1" s="198"/>
      <c r="NPA1" s="198"/>
      <c r="NPB1" s="199"/>
      <c r="NPC1" s="199"/>
      <c r="NPD1" s="200"/>
      <c r="NPE1" s="200"/>
      <c r="NPF1" s="200"/>
      <c r="NPG1" s="200"/>
      <c r="NPH1" s="200"/>
      <c r="NPI1" s="200"/>
      <c r="NPJ1" s="200"/>
      <c r="NPK1" s="198"/>
      <c r="NPL1" s="198"/>
      <c r="NPM1" s="198"/>
      <c r="NPN1" s="198"/>
      <c r="NPO1" s="198"/>
      <c r="NPP1" s="198"/>
      <c r="NPQ1" s="198"/>
      <c r="NPR1" s="198"/>
      <c r="NPS1" s="198"/>
      <c r="NPT1" s="198"/>
      <c r="NPU1" s="198"/>
      <c r="NPV1" s="198"/>
      <c r="NPW1" s="198"/>
      <c r="NPX1" s="198"/>
      <c r="NPY1" s="198"/>
      <c r="NPZ1" s="198"/>
      <c r="NQA1" s="198"/>
      <c r="NQB1" s="198"/>
      <c r="NQC1" s="198"/>
      <c r="NQD1" s="198"/>
      <c r="NQE1" s="198"/>
      <c r="NQF1" s="198"/>
      <c r="NQG1" s="198"/>
      <c r="NQH1" s="198"/>
      <c r="NQI1" s="198"/>
      <c r="NQJ1" s="199"/>
      <c r="NQK1" s="199"/>
      <c r="NQL1" s="200"/>
      <c r="NQM1" s="200"/>
      <c r="NQN1" s="200"/>
      <c r="NQO1" s="200"/>
      <c r="NQP1" s="200"/>
      <c r="NQQ1" s="200"/>
      <c r="NQR1" s="200"/>
      <c r="NQS1" s="198"/>
      <c r="NQT1" s="198"/>
      <c r="NQU1" s="198"/>
      <c r="NQV1" s="198"/>
      <c r="NQW1" s="198"/>
      <c r="NQX1" s="198"/>
      <c r="NQY1" s="198"/>
      <c r="NQZ1" s="198"/>
      <c r="NRA1" s="198"/>
      <c r="NRB1" s="198"/>
      <c r="NRC1" s="198"/>
      <c r="NRD1" s="198"/>
      <c r="NRE1" s="198"/>
      <c r="NRF1" s="198"/>
      <c r="NRG1" s="198"/>
      <c r="NRH1" s="198"/>
      <c r="NRI1" s="198"/>
      <c r="NRJ1" s="198"/>
      <c r="NRK1" s="198"/>
      <c r="NRL1" s="198"/>
      <c r="NRM1" s="198"/>
      <c r="NRN1" s="198"/>
      <c r="NRO1" s="198"/>
      <c r="NRP1" s="198"/>
      <c r="NRQ1" s="198"/>
      <c r="NRR1" s="199"/>
      <c r="NRS1" s="199"/>
      <c r="NRT1" s="200"/>
      <c r="NRU1" s="200"/>
      <c r="NRV1" s="200"/>
      <c r="NRW1" s="200"/>
      <c r="NRX1" s="200"/>
      <c r="NRY1" s="200"/>
      <c r="NRZ1" s="200"/>
      <c r="NSA1" s="198"/>
      <c r="NSB1" s="198"/>
      <c r="NSC1" s="198"/>
      <c r="NSD1" s="198"/>
      <c r="NSE1" s="198"/>
      <c r="NSF1" s="198"/>
      <c r="NSG1" s="198"/>
      <c r="NSH1" s="198"/>
      <c r="NSI1" s="198"/>
      <c r="NSJ1" s="198"/>
      <c r="NSK1" s="198"/>
      <c r="NSL1" s="198"/>
      <c r="NSM1" s="198"/>
      <c r="NSN1" s="198"/>
      <c r="NSO1" s="198"/>
      <c r="NSP1" s="198"/>
      <c r="NSQ1" s="198"/>
      <c r="NSR1" s="198"/>
      <c r="NSS1" s="198"/>
      <c r="NST1" s="198"/>
      <c r="NSU1" s="198"/>
      <c r="NSV1" s="198"/>
      <c r="NSW1" s="198"/>
      <c r="NSX1" s="198"/>
      <c r="NSY1" s="198"/>
      <c r="NSZ1" s="199"/>
      <c r="NTA1" s="199"/>
      <c r="NTB1" s="200"/>
      <c r="NTC1" s="200"/>
      <c r="NTD1" s="200"/>
      <c r="NTE1" s="200"/>
      <c r="NTF1" s="200"/>
      <c r="NTG1" s="200"/>
      <c r="NTH1" s="200"/>
      <c r="NTI1" s="198"/>
      <c r="NTJ1" s="198"/>
      <c r="NTK1" s="198"/>
      <c r="NTL1" s="198"/>
      <c r="NTM1" s="198"/>
      <c r="NTN1" s="198"/>
      <c r="NTO1" s="198"/>
      <c r="NTP1" s="198"/>
      <c r="NTQ1" s="198"/>
      <c r="NTR1" s="198"/>
      <c r="NTS1" s="198"/>
      <c r="NTT1" s="198"/>
      <c r="NTU1" s="198"/>
      <c r="NTV1" s="198"/>
      <c r="NTW1" s="198"/>
      <c r="NTX1" s="198"/>
      <c r="NTY1" s="198"/>
      <c r="NTZ1" s="198"/>
      <c r="NUA1" s="198"/>
      <c r="NUB1" s="198"/>
      <c r="NUC1" s="198"/>
      <c r="NUD1" s="198"/>
      <c r="NUE1" s="198"/>
      <c r="NUF1" s="198"/>
      <c r="NUG1" s="198"/>
      <c r="NUH1" s="199"/>
      <c r="NUI1" s="199"/>
      <c r="NUJ1" s="200"/>
      <c r="NUK1" s="200"/>
      <c r="NUL1" s="200"/>
      <c r="NUM1" s="200"/>
      <c r="NUN1" s="200"/>
      <c r="NUO1" s="200"/>
      <c r="NUP1" s="200"/>
      <c r="NUQ1" s="198"/>
      <c r="NUR1" s="198"/>
      <c r="NUS1" s="198"/>
      <c r="NUT1" s="198"/>
      <c r="NUU1" s="198"/>
      <c r="NUV1" s="198"/>
      <c r="NUW1" s="198"/>
      <c r="NUX1" s="198"/>
      <c r="NUY1" s="198"/>
      <c r="NUZ1" s="198"/>
      <c r="NVA1" s="198"/>
      <c r="NVB1" s="198"/>
      <c r="NVC1" s="198"/>
      <c r="NVD1" s="198"/>
      <c r="NVE1" s="198"/>
      <c r="NVF1" s="198"/>
      <c r="NVG1" s="198"/>
      <c r="NVH1" s="198"/>
      <c r="NVI1" s="198"/>
      <c r="NVJ1" s="198"/>
      <c r="NVK1" s="198"/>
      <c r="NVL1" s="198"/>
      <c r="NVM1" s="198"/>
      <c r="NVN1" s="198"/>
      <c r="NVO1" s="198"/>
      <c r="NVP1" s="199"/>
      <c r="NVQ1" s="199"/>
      <c r="NVR1" s="200"/>
      <c r="NVS1" s="200"/>
      <c r="NVT1" s="200"/>
      <c r="NVU1" s="200"/>
      <c r="NVV1" s="200"/>
      <c r="NVW1" s="200"/>
      <c r="NVX1" s="200"/>
      <c r="NVY1" s="198"/>
      <c r="NVZ1" s="198"/>
      <c r="NWA1" s="198"/>
      <c r="NWB1" s="198"/>
      <c r="NWC1" s="198"/>
      <c r="NWD1" s="198"/>
      <c r="NWE1" s="198"/>
      <c r="NWF1" s="198"/>
      <c r="NWG1" s="198"/>
      <c r="NWH1" s="198"/>
      <c r="NWI1" s="198"/>
      <c r="NWJ1" s="198"/>
      <c r="NWK1" s="198"/>
      <c r="NWL1" s="198"/>
      <c r="NWM1" s="198"/>
      <c r="NWN1" s="198"/>
      <c r="NWO1" s="198"/>
      <c r="NWP1" s="198"/>
      <c r="NWQ1" s="198"/>
      <c r="NWR1" s="198"/>
      <c r="NWS1" s="198"/>
      <c r="NWT1" s="198"/>
      <c r="NWU1" s="198"/>
      <c r="NWV1" s="198"/>
      <c r="NWW1" s="198"/>
      <c r="NWX1" s="199"/>
      <c r="NWY1" s="199"/>
      <c r="NWZ1" s="200"/>
      <c r="NXA1" s="200"/>
      <c r="NXB1" s="200"/>
      <c r="NXC1" s="200"/>
      <c r="NXD1" s="200"/>
      <c r="NXE1" s="200"/>
      <c r="NXF1" s="200"/>
      <c r="NXG1" s="198"/>
      <c r="NXH1" s="198"/>
      <c r="NXI1" s="198"/>
      <c r="NXJ1" s="198"/>
      <c r="NXK1" s="198"/>
      <c r="NXL1" s="198"/>
      <c r="NXM1" s="198"/>
      <c r="NXN1" s="198"/>
      <c r="NXO1" s="198"/>
      <c r="NXP1" s="198"/>
      <c r="NXQ1" s="198"/>
      <c r="NXR1" s="198"/>
      <c r="NXS1" s="198"/>
      <c r="NXT1" s="198"/>
      <c r="NXU1" s="198"/>
      <c r="NXV1" s="198"/>
      <c r="NXW1" s="198"/>
      <c r="NXX1" s="198"/>
      <c r="NXY1" s="198"/>
      <c r="NXZ1" s="198"/>
      <c r="NYA1" s="198"/>
      <c r="NYB1" s="198"/>
      <c r="NYC1" s="198"/>
      <c r="NYD1" s="198"/>
      <c r="NYE1" s="198"/>
      <c r="NYF1" s="199"/>
      <c r="NYG1" s="199"/>
      <c r="NYH1" s="200"/>
      <c r="NYI1" s="200"/>
      <c r="NYJ1" s="200"/>
      <c r="NYK1" s="200"/>
      <c r="NYL1" s="200"/>
      <c r="NYM1" s="200"/>
      <c r="NYN1" s="200"/>
      <c r="NYO1" s="198"/>
      <c r="NYP1" s="198"/>
      <c r="NYQ1" s="198"/>
      <c r="NYR1" s="198"/>
      <c r="NYS1" s="198"/>
      <c r="NYT1" s="198"/>
      <c r="NYU1" s="198"/>
      <c r="NYV1" s="198"/>
      <c r="NYW1" s="198"/>
      <c r="NYX1" s="198"/>
      <c r="NYY1" s="198"/>
      <c r="NYZ1" s="198"/>
      <c r="NZA1" s="198"/>
      <c r="NZB1" s="198"/>
      <c r="NZC1" s="198"/>
      <c r="NZD1" s="198"/>
      <c r="NZE1" s="198"/>
      <c r="NZF1" s="198"/>
      <c r="NZG1" s="198"/>
      <c r="NZH1" s="198"/>
      <c r="NZI1" s="198"/>
      <c r="NZJ1" s="198"/>
      <c r="NZK1" s="198"/>
      <c r="NZL1" s="198"/>
      <c r="NZM1" s="198"/>
      <c r="NZN1" s="199"/>
      <c r="NZO1" s="199"/>
      <c r="NZP1" s="200"/>
      <c r="NZQ1" s="200"/>
      <c r="NZR1" s="200"/>
      <c r="NZS1" s="200"/>
      <c r="NZT1" s="200"/>
      <c r="NZU1" s="200"/>
      <c r="NZV1" s="200"/>
      <c r="NZW1" s="198"/>
      <c r="NZX1" s="198"/>
      <c r="NZY1" s="198"/>
      <c r="NZZ1" s="198"/>
      <c r="OAA1" s="198"/>
      <c r="OAB1" s="198"/>
      <c r="OAC1" s="198"/>
      <c r="OAD1" s="198"/>
      <c r="OAE1" s="198"/>
      <c r="OAF1" s="198"/>
      <c r="OAG1" s="198"/>
      <c r="OAH1" s="198"/>
      <c r="OAI1" s="198"/>
      <c r="OAJ1" s="198"/>
      <c r="OAK1" s="198"/>
      <c r="OAL1" s="198"/>
      <c r="OAM1" s="198"/>
      <c r="OAN1" s="198"/>
      <c r="OAO1" s="198"/>
      <c r="OAP1" s="198"/>
      <c r="OAQ1" s="198"/>
      <c r="OAR1" s="198"/>
      <c r="OAS1" s="198"/>
      <c r="OAT1" s="198"/>
      <c r="OAU1" s="198"/>
      <c r="OAV1" s="199"/>
      <c r="OAW1" s="199"/>
      <c r="OAX1" s="200"/>
      <c r="OAY1" s="200"/>
      <c r="OAZ1" s="200"/>
      <c r="OBA1" s="200"/>
      <c r="OBB1" s="200"/>
      <c r="OBC1" s="200"/>
      <c r="OBD1" s="200"/>
      <c r="OBE1" s="198"/>
      <c r="OBF1" s="198"/>
      <c r="OBG1" s="198"/>
      <c r="OBH1" s="198"/>
      <c r="OBI1" s="198"/>
      <c r="OBJ1" s="198"/>
      <c r="OBK1" s="198"/>
      <c r="OBL1" s="198"/>
      <c r="OBM1" s="198"/>
      <c r="OBN1" s="198"/>
      <c r="OBO1" s="198"/>
      <c r="OBP1" s="198"/>
      <c r="OBQ1" s="198"/>
      <c r="OBR1" s="198"/>
      <c r="OBS1" s="198"/>
      <c r="OBT1" s="198"/>
      <c r="OBU1" s="198"/>
      <c r="OBV1" s="198"/>
      <c r="OBW1" s="198"/>
      <c r="OBX1" s="198"/>
      <c r="OBY1" s="198"/>
      <c r="OBZ1" s="198"/>
      <c r="OCA1" s="198"/>
      <c r="OCB1" s="198"/>
      <c r="OCC1" s="198"/>
      <c r="OCD1" s="199"/>
      <c r="OCE1" s="199"/>
      <c r="OCF1" s="200"/>
      <c r="OCG1" s="200"/>
      <c r="OCH1" s="200"/>
      <c r="OCI1" s="200"/>
      <c r="OCJ1" s="200"/>
      <c r="OCK1" s="200"/>
      <c r="OCL1" s="200"/>
      <c r="OCM1" s="198"/>
      <c r="OCN1" s="198"/>
      <c r="OCO1" s="198"/>
      <c r="OCP1" s="198"/>
      <c r="OCQ1" s="198"/>
      <c r="OCR1" s="198"/>
      <c r="OCS1" s="198"/>
      <c r="OCT1" s="198"/>
      <c r="OCU1" s="198"/>
      <c r="OCV1" s="198"/>
      <c r="OCW1" s="198"/>
      <c r="OCX1" s="198"/>
      <c r="OCY1" s="198"/>
      <c r="OCZ1" s="198"/>
      <c r="ODA1" s="198"/>
      <c r="ODB1" s="198"/>
      <c r="ODC1" s="198"/>
      <c r="ODD1" s="198"/>
      <c r="ODE1" s="198"/>
      <c r="ODF1" s="198"/>
      <c r="ODG1" s="198"/>
      <c r="ODH1" s="198"/>
      <c r="ODI1" s="198"/>
      <c r="ODJ1" s="198"/>
      <c r="ODK1" s="198"/>
      <c r="ODL1" s="199"/>
      <c r="ODM1" s="199"/>
      <c r="ODN1" s="200"/>
      <c r="ODO1" s="200"/>
      <c r="ODP1" s="200"/>
      <c r="ODQ1" s="200"/>
      <c r="ODR1" s="200"/>
      <c r="ODS1" s="200"/>
      <c r="ODT1" s="200"/>
      <c r="ODU1" s="198"/>
      <c r="ODV1" s="198"/>
      <c r="ODW1" s="198"/>
      <c r="ODX1" s="198"/>
      <c r="ODY1" s="198"/>
      <c r="ODZ1" s="198"/>
      <c r="OEA1" s="198"/>
      <c r="OEB1" s="198"/>
      <c r="OEC1" s="198"/>
      <c r="OED1" s="198"/>
      <c r="OEE1" s="198"/>
      <c r="OEF1" s="198"/>
      <c r="OEG1" s="198"/>
      <c r="OEH1" s="198"/>
      <c r="OEI1" s="198"/>
      <c r="OEJ1" s="198"/>
      <c r="OEK1" s="198"/>
      <c r="OEL1" s="198"/>
      <c r="OEM1" s="198"/>
      <c r="OEN1" s="198"/>
      <c r="OEO1" s="198"/>
      <c r="OEP1" s="198"/>
      <c r="OEQ1" s="198"/>
      <c r="OER1" s="198"/>
      <c r="OES1" s="198"/>
      <c r="OET1" s="199"/>
      <c r="OEU1" s="199"/>
      <c r="OEV1" s="200"/>
      <c r="OEW1" s="200"/>
      <c r="OEX1" s="200"/>
      <c r="OEY1" s="200"/>
      <c r="OEZ1" s="200"/>
      <c r="OFA1" s="200"/>
      <c r="OFB1" s="200"/>
      <c r="OFC1" s="198"/>
      <c r="OFD1" s="198"/>
      <c r="OFE1" s="198"/>
      <c r="OFF1" s="198"/>
      <c r="OFG1" s="198"/>
      <c r="OFH1" s="198"/>
      <c r="OFI1" s="198"/>
      <c r="OFJ1" s="198"/>
      <c r="OFK1" s="198"/>
      <c r="OFL1" s="198"/>
      <c r="OFM1" s="198"/>
      <c r="OFN1" s="198"/>
      <c r="OFO1" s="198"/>
      <c r="OFP1" s="198"/>
      <c r="OFQ1" s="198"/>
      <c r="OFR1" s="198"/>
      <c r="OFS1" s="198"/>
      <c r="OFT1" s="198"/>
      <c r="OFU1" s="198"/>
      <c r="OFV1" s="198"/>
      <c r="OFW1" s="198"/>
      <c r="OFX1" s="198"/>
      <c r="OFY1" s="198"/>
      <c r="OFZ1" s="198"/>
      <c r="OGA1" s="198"/>
      <c r="OGB1" s="199"/>
      <c r="OGC1" s="199"/>
      <c r="OGD1" s="200"/>
      <c r="OGE1" s="200"/>
      <c r="OGF1" s="200"/>
      <c r="OGG1" s="200"/>
      <c r="OGH1" s="200"/>
      <c r="OGI1" s="200"/>
      <c r="OGJ1" s="200"/>
      <c r="OGK1" s="198"/>
      <c r="OGL1" s="198"/>
      <c r="OGM1" s="198"/>
      <c r="OGN1" s="198"/>
      <c r="OGO1" s="198"/>
      <c r="OGP1" s="198"/>
      <c r="OGQ1" s="198"/>
      <c r="OGR1" s="198"/>
      <c r="OGS1" s="198"/>
      <c r="OGT1" s="198"/>
      <c r="OGU1" s="198"/>
      <c r="OGV1" s="198"/>
      <c r="OGW1" s="198"/>
      <c r="OGX1" s="198"/>
      <c r="OGY1" s="198"/>
      <c r="OGZ1" s="198"/>
      <c r="OHA1" s="198"/>
      <c r="OHB1" s="198"/>
      <c r="OHC1" s="198"/>
      <c r="OHD1" s="198"/>
      <c r="OHE1" s="198"/>
      <c r="OHF1" s="198"/>
      <c r="OHG1" s="198"/>
      <c r="OHH1" s="198"/>
      <c r="OHI1" s="198"/>
      <c r="OHJ1" s="199"/>
      <c r="OHK1" s="199"/>
      <c r="OHL1" s="200"/>
      <c r="OHM1" s="200"/>
      <c r="OHN1" s="200"/>
      <c r="OHO1" s="200"/>
      <c r="OHP1" s="200"/>
      <c r="OHQ1" s="200"/>
      <c r="OHR1" s="200"/>
      <c r="OHS1" s="198"/>
      <c r="OHT1" s="198"/>
      <c r="OHU1" s="198"/>
      <c r="OHV1" s="198"/>
      <c r="OHW1" s="198"/>
      <c r="OHX1" s="198"/>
      <c r="OHY1" s="198"/>
      <c r="OHZ1" s="198"/>
      <c r="OIA1" s="198"/>
      <c r="OIB1" s="198"/>
      <c r="OIC1" s="198"/>
      <c r="OID1" s="198"/>
      <c r="OIE1" s="198"/>
      <c r="OIF1" s="198"/>
      <c r="OIG1" s="198"/>
      <c r="OIH1" s="198"/>
      <c r="OII1" s="198"/>
      <c r="OIJ1" s="198"/>
      <c r="OIK1" s="198"/>
      <c r="OIL1" s="198"/>
      <c r="OIM1" s="198"/>
      <c r="OIN1" s="198"/>
      <c r="OIO1" s="198"/>
      <c r="OIP1" s="198"/>
      <c r="OIQ1" s="198"/>
      <c r="OIR1" s="199"/>
      <c r="OIS1" s="199"/>
      <c r="OIT1" s="200"/>
      <c r="OIU1" s="200"/>
      <c r="OIV1" s="200"/>
      <c r="OIW1" s="200"/>
      <c r="OIX1" s="200"/>
      <c r="OIY1" s="200"/>
      <c r="OIZ1" s="200"/>
      <c r="OJA1" s="198"/>
      <c r="OJB1" s="198"/>
      <c r="OJC1" s="198"/>
      <c r="OJD1" s="198"/>
      <c r="OJE1" s="198"/>
      <c r="OJF1" s="198"/>
      <c r="OJG1" s="198"/>
      <c r="OJH1" s="198"/>
      <c r="OJI1" s="198"/>
      <c r="OJJ1" s="198"/>
      <c r="OJK1" s="198"/>
      <c r="OJL1" s="198"/>
      <c r="OJM1" s="198"/>
      <c r="OJN1" s="198"/>
      <c r="OJO1" s="198"/>
      <c r="OJP1" s="198"/>
      <c r="OJQ1" s="198"/>
      <c r="OJR1" s="198"/>
      <c r="OJS1" s="198"/>
      <c r="OJT1" s="198"/>
      <c r="OJU1" s="198"/>
      <c r="OJV1" s="198"/>
      <c r="OJW1" s="198"/>
      <c r="OJX1" s="198"/>
      <c r="OJY1" s="198"/>
      <c r="OJZ1" s="199"/>
      <c r="OKA1" s="199"/>
      <c r="OKB1" s="200"/>
      <c r="OKC1" s="200"/>
      <c r="OKD1" s="200"/>
      <c r="OKE1" s="200"/>
      <c r="OKF1" s="200"/>
      <c r="OKG1" s="200"/>
      <c r="OKH1" s="200"/>
      <c r="OKI1" s="198"/>
      <c r="OKJ1" s="198"/>
      <c r="OKK1" s="198"/>
      <c r="OKL1" s="198"/>
      <c r="OKM1" s="198"/>
      <c r="OKN1" s="198"/>
      <c r="OKO1" s="198"/>
      <c r="OKP1" s="198"/>
      <c r="OKQ1" s="198"/>
      <c r="OKR1" s="198"/>
      <c r="OKS1" s="198"/>
      <c r="OKT1" s="198"/>
      <c r="OKU1" s="198"/>
      <c r="OKV1" s="198"/>
      <c r="OKW1" s="198"/>
      <c r="OKX1" s="198"/>
      <c r="OKY1" s="198"/>
      <c r="OKZ1" s="198"/>
      <c r="OLA1" s="198"/>
      <c r="OLB1" s="198"/>
      <c r="OLC1" s="198"/>
      <c r="OLD1" s="198"/>
      <c r="OLE1" s="198"/>
      <c r="OLF1" s="198"/>
      <c r="OLG1" s="198"/>
      <c r="OLH1" s="199"/>
      <c r="OLI1" s="199"/>
      <c r="OLJ1" s="200"/>
      <c r="OLK1" s="200"/>
      <c r="OLL1" s="200"/>
      <c r="OLM1" s="200"/>
      <c r="OLN1" s="200"/>
      <c r="OLO1" s="200"/>
      <c r="OLP1" s="200"/>
      <c r="OLQ1" s="198"/>
      <c r="OLR1" s="198"/>
      <c r="OLS1" s="198"/>
      <c r="OLT1" s="198"/>
      <c r="OLU1" s="198"/>
      <c r="OLV1" s="198"/>
      <c r="OLW1" s="198"/>
      <c r="OLX1" s="198"/>
      <c r="OLY1" s="198"/>
      <c r="OLZ1" s="198"/>
      <c r="OMA1" s="198"/>
      <c r="OMB1" s="198"/>
      <c r="OMC1" s="198"/>
      <c r="OMD1" s="198"/>
      <c r="OME1" s="198"/>
      <c r="OMF1" s="198"/>
      <c r="OMG1" s="198"/>
      <c r="OMH1" s="198"/>
      <c r="OMI1" s="198"/>
      <c r="OMJ1" s="198"/>
      <c r="OMK1" s="198"/>
      <c r="OML1" s="198"/>
      <c r="OMM1" s="198"/>
      <c r="OMN1" s="198"/>
      <c r="OMO1" s="198"/>
      <c r="OMP1" s="199"/>
      <c r="OMQ1" s="199"/>
      <c r="OMR1" s="200"/>
      <c r="OMS1" s="200"/>
      <c r="OMT1" s="200"/>
      <c r="OMU1" s="200"/>
      <c r="OMV1" s="200"/>
      <c r="OMW1" s="200"/>
      <c r="OMX1" s="200"/>
      <c r="OMY1" s="198"/>
      <c r="OMZ1" s="198"/>
      <c r="ONA1" s="198"/>
      <c r="ONB1" s="198"/>
      <c r="ONC1" s="198"/>
      <c r="OND1" s="198"/>
      <c r="ONE1" s="198"/>
      <c r="ONF1" s="198"/>
      <c r="ONG1" s="198"/>
      <c r="ONH1" s="198"/>
      <c r="ONI1" s="198"/>
      <c r="ONJ1" s="198"/>
      <c r="ONK1" s="198"/>
      <c r="ONL1" s="198"/>
      <c r="ONM1" s="198"/>
      <c r="ONN1" s="198"/>
      <c r="ONO1" s="198"/>
      <c r="ONP1" s="198"/>
      <c r="ONQ1" s="198"/>
      <c r="ONR1" s="198"/>
      <c r="ONS1" s="198"/>
      <c r="ONT1" s="198"/>
      <c r="ONU1" s="198"/>
      <c r="ONV1" s="198"/>
      <c r="ONW1" s="198"/>
      <c r="ONX1" s="199"/>
      <c r="ONY1" s="199"/>
      <c r="ONZ1" s="200"/>
      <c r="OOA1" s="200"/>
      <c r="OOB1" s="200"/>
      <c r="OOC1" s="200"/>
      <c r="OOD1" s="200"/>
      <c r="OOE1" s="200"/>
      <c r="OOF1" s="200"/>
      <c r="OOG1" s="198"/>
      <c r="OOH1" s="198"/>
      <c r="OOI1" s="198"/>
      <c r="OOJ1" s="198"/>
      <c r="OOK1" s="198"/>
      <c r="OOL1" s="198"/>
      <c r="OOM1" s="198"/>
      <c r="OON1" s="198"/>
      <c r="OOO1" s="198"/>
      <c r="OOP1" s="198"/>
      <c r="OOQ1" s="198"/>
      <c r="OOR1" s="198"/>
      <c r="OOS1" s="198"/>
      <c r="OOT1" s="198"/>
      <c r="OOU1" s="198"/>
      <c r="OOV1" s="198"/>
      <c r="OOW1" s="198"/>
      <c r="OOX1" s="198"/>
      <c r="OOY1" s="198"/>
      <c r="OOZ1" s="198"/>
      <c r="OPA1" s="198"/>
      <c r="OPB1" s="198"/>
      <c r="OPC1" s="198"/>
      <c r="OPD1" s="198"/>
      <c r="OPE1" s="198"/>
      <c r="OPF1" s="199"/>
      <c r="OPG1" s="199"/>
      <c r="OPH1" s="200"/>
      <c r="OPI1" s="200"/>
      <c r="OPJ1" s="200"/>
      <c r="OPK1" s="200"/>
      <c r="OPL1" s="200"/>
      <c r="OPM1" s="200"/>
      <c r="OPN1" s="200"/>
      <c r="OPO1" s="198"/>
      <c r="OPP1" s="198"/>
      <c r="OPQ1" s="198"/>
      <c r="OPR1" s="198"/>
      <c r="OPS1" s="198"/>
      <c r="OPT1" s="198"/>
      <c r="OPU1" s="198"/>
      <c r="OPV1" s="198"/>
      <c r="OPW1" s="198"/>
      <c r="OPX1" s="198"/>
      <c r="OPY1" s="198"/>
      <c r="OPZ1" s="198"/>
      <c r="OQA1" s="198"/>
      <c r="OQB1" s="198"/>
      <c r="OQC1" s="198"/>
      <c r="OQD1" s="198"/>
      <c r="OQE1" s="198"/>
      <c r="OQF1" s="198"/>
      <c r="OQG1" s="198"/>
      <c r="OQH1" s="198"/>
      <c r="OQI1" s="198"/>
      <c r="OQJ1" s="198"/>
      <c r="OQK1" s="198"/>
      <c r="OQL1" s="198"/>
      <c r="OQM1" s="198"/>
      <c r="OQN1" s="199"/>
      <c r="OQO1" s="199"/>
      <c r="OQP1" s="200"/>
      <c r="OQQ1" s="200"/>
      <c r="OQR1" s="200"/>
      <c r="OQS1" s="200"/>
      <c r="OQT1" s="200"/>
      <c r="OQU1" s="200"/>
      <c r="OQV1" s="200"/>
      <c r="OQW1" s="198"/>
      <c r="OQX1" s="198"/>
      <c r="OQY1" s="198"/>
      <c r="OQZ1" s="198"/>
      <c r="ORA1" s="198"/>
      <c r="ORB1" s="198"/>
      <c r="ORC1" s="198"/>
      <c r="ORD1" s="198"/>
      <c r="ORE1" s="198"/>
      <c r="ORF1" s="198"/>
      <c r="ORG1" s="198"/>
      <c r="ORH1" s="198"/>
      <c r="ORI1" s="198"/>
      <c r="ORJ1" s="198"/>
      <c r="ORK1" s="198"/>
      <c r="ORL1" s="198"/>
      <c r="ORM1" s="198"/>
      <c r="ORN1" s="198"/>
      <c r="ORO1" s="198"/>
      <c r="ORP1" s="198"/>
      <c r="ORQ1" s="198"/>
      <c r="ORR1" s="198"/>
      <c r="ORS1" s="198"/>
      <c r="ORT1" s="198"/>
      <c r="ORU1" s="198"/>
      <c r="ORV1" s="199"/>
      <c r="ORW1" s="199"/>
      <c r="ORX1" s="200"/>
      <c r="ORY1" s="200"/>
      <c r="ORZ1" s="200"/>
      <c r="OSA1" s="200"/>
      <c r="OSB1" s="200"/>
      <c r="OSC1" s="200"/>
      <c r="OSD1" s="200"/>
      <c r="OSE1" s="198"/>
      <c r="OSF1" s="198"/>
      <c r="OSG1" s="198"/>
      <c r="OSH1" s="198"/>
      <c r="OSI1" s="198"/>
      <c r="OSJ1" s="198"/>
      <c r="OSK1" s="198"/>
      <c r="OSL1" s="198"/>
      <c r="OSM1" s="198"/>
      <c r="OSN1" s="198"/>
      <c r="OSO1" s="198"/>
      <c r="OSP1" s="198"/>
      <c r="OSQ1" s="198"/>
      <c r="OSR1" s="198"/>
      <c r="OSS1" s="198"/>
      <c r="OST1" s="198"/>
      <c r="OSU1" s="198"/>
      <c r="OSV1" s="198"/>
      <c r="OSW1" s="198"/>
      <c r="OSX1" s="198"/>
      <c r="OSY1" s="198"/>
      <c r="OSZ1" s="198"/>
      <c r="OTA1" s="198"/>
      <c r="OTB1" s="198"/>
      <c r="OTC1" s="198"/>
      <c r="OTD1" s="199"/>
      <c r="OTE1" s="199"/>
      <c r="OTF1" s="200"/>
      <c r="OTG1" s="200"/>
      <c r="OTH1" s="200"/>
      <c r="OTI1" s="200"/>
      <c r="OTJ1" s="200"/>
      <c r="OTK1" s="200"/>
      <c r="OTL1" s="200"/>
      <c r="OTM1" s="198"/>
      <c r="OTN1" s="198"/>
      <c r="OTO1" s="198"/>
      <c r="OTP1" s="198"/>
      <c r="OTQ1" s="198"/>
      <c r="OTR1" s="198"/>
      <c r="OTS1" s="198"/>
      <c r="OTT1" s="198"/>
      <c r="OTU1" s="198"/>
      <c r="OTV1" s="198"/>
      <c r="OTW1" s="198"/>
      <c r="OTX1" s="198"/>
      <c r="OTY1" s="198"/>
      <c r="OTZ1" s="198"/>
      <c r="OUA1" s="198"/>
      <c r="OUB1" s="198"/>
      <c r="OUC1" s="198"/>
      <c r="OUD1" s="198"/>
      <c r="OUE1" s="198"/>
      <c r="OUF1" s="198"/>
      <c r="OUG1" s="198"/>
      <c r="OUH1" s="198"/>
      <c r="OUI1" s="198"/>
      <c r="OUJ1" s="198"/>
      <c r="OUK1" s="198"/>
      <c r="OUL1" s="199"/>
      <c r="OUM1" s="199"/>
      <c r="OUN1" s="200"/>
      <c r="OUO1" s="200"/>
      <c r="OUP1" s="200"/>
      <c r="OUQ1" s="200"/>
      <c r="OUR1" s="200"/>
      <c r="OUS1" s="200"/>
      <c r="OUT1" s="200"/>
      <c r="OUU1" s="198"/>
      <c r="OUV1" s="198"/>
      <c r="OUW1" s="198"/>
      <c r="OUX1" s="198"/>
      <c r="OUY1" s="198"/>
      <c r="OUZ1" s="198"/>
      <c r="OVA1" s="198"/>
      <c r="OVB1" s="198"/>
      <c r="OVC1" s="198"/>
      <c r="OVD1" s="198"/>
      <c r="OVE1" s="198"/>
      <c r="OVF1" s="198"/>
      <c r="OVG1" s="198"/>
      <c r="OVH1" s="198"/>
      <c r="OVI1" s="198"/>
      <c r="OVJ1" s="198"/>
      <c r="OVK1" s="198"/>
      <c r="OVL1" s="198"/>
      <c r="OVM1" s="198"/>
      <c r="OVN1" s="198"/>
      <c r="OVO1" s="198"/>
      <c r="OVP1" s="198"/>
      <c r="OVQ1" s="198"/>
      <c r="OVR1" s="198"/>
      <c r="OVS1" s="198"/>
      <c r="OVT1" s="199"/>
      <c r="OVU1" s="199"/>
      <c r="OVV1" s="200"/>
      <c r="OVW1" s="200"/>
      <c r="OVX1" s="200"/>
      <c r="OVY1" s="200"/>
      <c r="OVZ1" s="200"/>
      <c r="OWA1" s="200"/>
      <c r="OWB1" s="200"/>
      <c r="OWC1" s="198"/>
      <c r="OWD1" s="198"/>
      <c r="OWE1" s="198"/>
      <c r="OWF1" s="198"/>
      <c r="OWG1" s="198"/>
      <c r="OWH1" s="198"/>
      <c r="OWI1" s="198"/>
      <c r="OWJ1" s="198"/>
      <c r="OWK1" s="198"/>
      <c r="OWL1" s="198"/>
      <c r="OWM1" s="198"/>
      <c r="OWN1" s="198"/>
      <c r="OWO1" s="198"/>
      <c r="OWP1" s="198"/>
      <c r="OWQ1" s="198"/>
      <c r="OWR1" s="198"/>
      <c r="OWS1" s="198"/>
      <c r="OWT1" s="198"/>
      <c r="OWU1" s="198"/>
      <c r="OWV1" s="198"/>
      <c r="OWW1" s="198"/>
      <c r="OWX1" s="198"/>
      <c r="OWY1" s="198"/>
      <c r="OWZ1" s="198"/>
      <c r="OXA1" s="198"/>
      <c r="OXB1" s="199"/>
      <c r="OXC1" s="199"/>
      <c r="OXD1" s="200"/>
      <c r="OXE1" s="200"/>
      <c r="OXF1" s="200"/>
      <c r="OXG1" s="200"/>
      <c r="OXH1" s="200"/>
      <c r="OXI1" s="200"/>
      <c r="OXJ1" s="200"/>
      <c r="OXK1" s="198"/>
      <c r="OXL1" s="198"/>
      <c r="OXM1" s="198"/>
      <c r="OXN1" s="198"/>
      <c r="OXO1" s="198"/>
      <c r="OXP1" s="198"/>
      <c r="OXQ1" s="198"/>
      <c r="OXR1" s="198"/>
      <c r="OXS1" s="198"/>
      <c r="OXT1" s="198"/>
      <c r="OXU1" s="198"/>
      <c r="OXV1" s="198"/>
      <c r="OXW1" s="198"/>
      <c r="OXX1" s="198"/>
      <c r="OXY1" s="198"/>
      <c r="OXZ1" s="198"/>
      <c r="OYA1" s="198"/>
      <c r="OYB1" s="198"/>
      <c r="OYC1" s="198"/>
      <c r="OYD1" s="198"/>
      <c r="OYE1" s="198"/>
      <c r="OYF1" s="198"/>
      <c r="OYG1" s="198"/>
      <c r="OYH1" s="198"/>
      <c r="OYI1" s="198"/>
      <c r="OYJ1" s="199"/>
      <c r="OYK1" s="199"/>
      <c r="OYL1" s="200"/>
      <c r="OYM1" s="200"/>
      <c r="OYN1" s="200"/>
      <c r="OYO1" s="200"/>
      <c r="OYP1" s="200"/>
      <c r="OYQ1" s="200"/>
      <c r="OYR1" s="200"/>
      <c r="OYS1" s="198"/>
      <c r="OYT1" s="198"/>
      <c r="OYU1" s="198"/>
      <c r="OYV1" s="198"/>
      <c r="OYW1" s="198"/>
      <c r="OYX1" s="198"/>
      <c r="OYY1" s="198"/>
      <c r="OYZ1" s="198"/>
      <c r="OZA1" s="198"/>
      <c r="OZB1" s="198"/>
      <c r="OZC1" s="198"/>
      <c r="OZD1" s="198"/>
      <c r="OZE1" s="198"/>
      <c r="OZF1" s="198"/>
      <c r="OZG1" s="198"/>
      <c r="OZH1" s="198"/>
      <c r="OZI1" s="198"/>
      <c r="OZJ1" s="198"/>
      <c r="OZK1" s="198"/>
      <c r="OZL1" s="198"/>
      <c r="OZM1" s="198"/>
      <c r="OZN1" s="198"/>
      <c r="OZO1" s="198"/>
      <c r="OZP1" s="198"/>
      <c r="OZQ1" s="198"/>
      <c r="OZR1" s="199"/>
      <c r="OZS1" s="199"/>
      <c r="OZT1" s="200"/>
      <c r="OZU1" s="200"/>
      <c r="OZV1" s="200"/>
      <c r="OZW1" s="200"/>
      <c r="OZX1" s="200"/>
      <c r="OZY1" s="200"/>
      <c r="OZZ1" s="200"/>
      <c r="PAA1" s="198"/>
      <c r="PAB1" s="198"/>
      <c r="PAC1" s="198"/>
      <c r="PAD1" s="198"/>
      <c r="PAE1" s="198"/>
      <c r="PAF1" s="198"/>
      <c r="PAG1" s="198"/>
      <c r="PAH1" s="198"/>
      <c r="PAI1" s="198"/>
      <c r="PAJ1" s="198"/>
      <c r="PAK1" s="198"/>
      <c r="PAL1" s="198"/>
      <c r="PAM1" s="198"/>
      <c r="PAN1" s="198"/>
      <c r="PAO1" s="198"/>
      <c r="PAP1" s="198"/>
      <c r="PAQ1" s="198"/>
      <c r="PAR1" s="198"/>
      <c r="PAS1" s="198"/>
      <c r="PAT1" s="198"/>
      <c r="PAU1" s="198"/>
      <c r="PAV1" s="198"/>
      <c r="PAW1" s="198"/>
      <c r="PAX1" s="198"/>
      <c r="PAY1" s="198"/>
      <c r="PAZ1" s="199"/>
      <c r="PBA1" s="199"/>
      <c r="PBB1" s="200"/>
      <c r="PBC1" s="200"/>
      <c r="PBD1" s="200"/>
      <c r="PBE1" s="200"/>
      <c r="PBF1" s="200"/>
      <c r="PBG1" s="200"/>
      <c r="PBH1" s="200"/>
      <c r="PBI1" s="198"/>
      <c r="PBJ1" s="198"/>
      <c r="PBK1" s="198"/>
      <c r="PBL1" s="198"/>
      <c r="PBM1" s="198"/>
      <c r="PBN1" s="198"/>
      <c r="PBO1" s="198"/>
      <c r="PBP1" s="198"/>
      <c r="PBQ1" s="198"/>
      <c r="PBR1" s="198"/>
      <c r="PBS1" s="198"/>
      <c r="PBT1" s="198"/>
      <c r="PBU1" s="198"/>
      <c r="PBV1" s="198"/>
      <c r="PBW1" s="198"/>
      <c r="PBX1" s="198"/>
      <c r="PBY1" s="198"/>
      <c r="PBZ1" s="198"/>
      <c r="PCA1" s="198"/>
      <c r="PCB1" s="198"/>
      <c r="PCC1" s="198"/>
      <c r="PCD1" s="198"/>
      <c r="PCE1" s="198"/>
      <c r="PCF1" s="198"/>
      <c r="PCG1" s="198"/>
      <c r="PCH1" s="199"/>
      <c r="PCI1" s="199"/>
      <c r="PCJ1" s="200"/>
      <c r="PCK1" s="200"/>
      <c r="PCL1" s="200"/>
      <c r="PCM1" s="200"/>
      <c r="PCN1" s="200"/>
      <c r="PCO1" s="200"/>
      <c r="PCP1" s="200"/>
      <c r="PCQ1" s="198"/>
      <c r="PCR1" s="198"/>
      <c r="PCS1" s="198"/>
      <c r="PCT1" s="198"/>
      <c r="PCU1" s="198"/>
      <c r="PCV1" s="198"/>
      <c r="PCW1" s="198"/>
      <c r="PCX1" s="198"/>
      <c r="PCY1" s="198"/>
      <c r="PCZ1" s="198"/>
      <c r="PDA1" s="198"/>
      <c r="PDB1" s="198"/>
      <c r="PDC1" s="198"/>
      <c r="PDD1" s="198"/>
      <c r="PDE1" s="198"/>
      <c r="PDF1" s="198"/>
      <c r="PDG1" s="198"/>
      <c r="PDH1" s="198"/>
      <c r="PDI1" s="198"/>
      <c r="PDJ1" s="198"/>
      <c r="PDK1" s="198"/>
      <c r="PDL1" s="198"/>
      <c r="PDM1" s="198"/>
      <c r="PDN1" s="198"/>
      <c r="PDO1" s="198"/>
      <c r="PDP1" s="199"/>
      <c r="PDQ1" s="199"/>
      <c r="PDR1" s="200"/>
      <c r="PDS1" s="200"/>
      <c r="PDT1" s="200"/>
      <c r="PDU1" s="200"/>
      <c r="PDV1" s="200"/>
      <c r="PDW1" s="200"/>
      <c r="PDX1" s="200"/>
      <c r="PDY1" s="198"/>
      <c r="PDZ1" s="198"/>
      <c r="PEA1" s="198"/>
      <c r="PEB1" s="198"/>
      <c r="PEC1" s="198"/>
      <c r="PED1" s="198"/>
      <c r="PEE1" s="198"/>
      <c r="PEF1" s="198"/>
      <c r="PEG1" s="198"/>
      <c r="PEH1" s="198"/>
      <c r="PEI1" s="198"/>
      <c r="PEJ1" s="198"/>
      <c r="PEK1" s="198"/>
      <c r="PEL1" s="198"/>
      <c r="PEM1" s="198"/>
      <c r="PEN1" s="198"/>
      <c r="PEO1" s="198"/>
      <c r="PEP1" s="198"/>
      <c r="PEQ1" s="198"/>
      <c r="PER1" s="198"/>
      <c r="PES1" s="198"/>
      <c r="PET1" s="198"/>
      <c r="PEU1" s="198"/>
      <c r="PEV1" s="198"/>
      <c r="PEW1" s="198"/>
      <c r="PEX1" s="199"/>
      <c r="PEY1" s="199"/>
      <c r="PEZ1" s="200"/>
      <c r="PFA1" s="200"/>
      <c r="PFB1" s="200"/>
      <c r="PFC1" s="200"/>
      <c r="PFD1" s="200"/>
      <c r="PFE1" s="200"/>
      <c r="PFF1" s="200"/>
      <c r="PFG1" s="198"/>
      <c r="PFH1" s="198"/>
      <c r="PFI1" s="198"/>
      <c r="PFJ1" s="198"/>
      <c r="PFK1" s="198"/>
      <c r="PFL1" s="198"/>
      <c r="PFM1" s="198"/>
      <c r="PFN1" s="198"/>
      <c r="PFO1" s="198"/>
      <c r="PFP1" s="198"/>
      <c r="PFQ1" s="198"/>
      <c r="PFR1" s="198"/>
      <c r="PFS1" s="198"/>
      <c r="PFT1" s="198"/>
      <c r="PFU1" s="198"/>
      <c r="PFV1" s="198"/>
      <c r="PFW1" s="198"/>
      <c r="PFX1" s="198"/>
      <c r="PFY1" s="198"/>
      <c r="PFZ1" s="198"/>
      <c r="PGA1" s="198"/>
      <c r="PGB1" s="198"/>
      <c r="PGC1" s="198"/>
      <c r="PGD1" s="198"/>
      <c r="PGE1" s="198"/>
      <c r="PGF1" s="199"/>
      <c r="PGG1" s="199"/>
      <c r="PGH1" s="200"/>
      <c r="PGI1" s="200"/>
      <c r="PGJ1" s="200"/>
      <c r="PGK1" s="200"/>
      <c r="PGL1" s="200"/>
      <c r="PGM1" s="200"/>
      <c r="PGN1" s="200"/>
      <c r="PGO1" s="198"/>
      <c r="PGP1" s="198"/>
      <c r="PGQ1" s="198"/>
      <c r="PGR1" s="198"/>
      <c r="PGS1" s="198"/>
      <c r="PGT1" s="198"/>
      <c r="PGU1" s="198"/>
      <c r="PGV1" s="198"/>
      <c r="PGW1" s="198"/>
      <c r="PGX1" s="198"/>
      <c r="PGY1" s="198"/>
      <c r="PGZ1" s="198"/>
      <c r="PHA1" s="198"/>
      <c r="PHB1" s="198"/>
      <c r="PHC1" s="198"/>
      <c r="PHD1" s="198"/>
      <c r="PHE1" s="198"/>
      <c r="PHF1" s="198"/>
      <c r="PHG1" s="198"/>
      <c r="PHH1" s="198"/>
      <c r="PHI1" s="198"/>
      <c r="PHJ1" s="198"/>
      <c r="PHK1" s="198"/>
      <c r="PHL1" s="198"/>
      <c r="PHM1" s="198"/>
      <c r="PHN1" s="199"/>
      <c r="PHO1" s="199"/>
      <c r="PHP1" s="200"/>
      <c r="PHQ1" s="200"/>
      <c r="PHR1" s="200"/>
      <c r="PHS1" s="200"/>
      <c r="PHT1" s="200"/>
      <c r="PHU1" s="200"/>
      <c r="PHV1" s="200"/>
      <c r="PHW1" s="198"/>
      <c r="PHX1" s="198"/>
      <c r="PHY1" s="198"/>
      <c r="PHZ1" s="198"/>
      <c r="PIA1" s="198"/>
      <c r="PIB1" s="198"/>
      <c r="PIC1" s="198"/>
      <c r="PID1" s="198"/>
      <c r="PIE1" s="198"/>
      <c r="PIF1" s="198"/>
      <c r="PIG1" s="198"/>
      <c r="PIH1" s="198"/>
      <c r="PII1" s="198"/>
      <c r="PIJ1" s="198"/>
      <c r="PIK1" s="198"/>
      <c r="PIL1" s="198"/>
      <c r="PIM1" s="198"/>
      <c r="PIN1" s="198"/>
      <c r="PIO1" s="198"/>
      <c r="PIP1" s="198"/>
      <c r="PIQ1" s="198"/>
      <c r="PIR1" s="198"/>
      <c r="PIS1" s="198"/>
      <c r="PIT1" s="198"/>
      <c r="PIU1" s="198"/>
      <c r="PIV1" s="199"/>
      <c r="PIW1" s="199"/>
      <c r="PIX1" s="200"/>
      <c r="PIY1" s="200"/>
      <c r="PIZ1" s="200"/>
      <c r="PJA1" s="200"/>
      <c r="PJB1" s="200"/>
      <c r="PJC1" s="200"/>
      <c r="PJD1" s="200"/>
      <c r="PJE1" s="198"/>
      <c r="PJF1" s="198"/>
      <c r="PJG1" s="198"/>
      <c r="PJH1" s="198"/>
      <c r="PJI1" s="198"/>
      <c r="PJJ1" s="198"/>
      <c r="PJK1" s="198"/>
      <c r="PJL1" s="198"/>
      <c r="PJM1" s="198"/>
      <c r="PJN1" s="198"/>
      <c r="PJO1" s="198"/>
      <c r="PJP1" s="198"/>
      <c r="PJQ1" s="198"/>
      <c r="PJR1" s="198"/>
      <c r="PJS1" s="198"/>
      <c r="PJT1" s="198"/>
      <c r="PJU1" s="198"/>
      <c r="PJV1" s="198"/>
      <c r="PJW1" s="198"/>
      <c r="PJX1" s="198"/>
      <c r="PJY1" s="198"/>
      <c r="PJZ1" s="198"/>
      <c r="PKA1" s="198"/>
      <c r="PKB1" s="198"/>
      <c r="PKC1" s="198"/>
      <c r="PKD1" s="199"/>
      <c r="PKE1" s="199"/>
      <c r="PKF1" s="200"/>
      <c r="PKG1" s="200"/>
      <c r="PKH1" s="200"/>
      <c r="PKI1" s="200"/>
      <c r="PKJ1" s="200"/>
      <c r="PKK1" s="200"/>
      <c r="PKL1" s="200"/>
      <c r="PKM1" s="198"/>
      <c r="PKN1" s="198"/>
      <c r="PKO1" s="198"/>
      <c r="PKP1" s="198"/>
      <c r="PKQ1" s="198"/>
      <c r="PKR1" s="198"/>
      <c r="PKS1" s="198"/>
      <c r="PKT1" s="198"/>
      <c r="PKU1" s="198"/>
      <c r="PKV1" s="198"/>
      <c r="PKW1" s="198"/>
      <c r="PKX1" s="198"/>
      <c r="PKY1" s="198"/>
      <c r="PKZ1" s="198"/>
      <c r="PLA1" s="198"/>
      <c r="PLB1" s="198"/>
      <c r="PLC1" s="198"/>
      <c r="PLD1" s="198"/>
      <c r="PLE1" s="198"/>
      <c r="PLF1" s="198"/>
      <c r="PLG1" s="198"/>
      <c r="PLH1" s="198"/>
      <c r="PLI1" s="198"/>
      <c r="PLJ1" s="198"/>
      <c r="PLK1" s="198"/>
      <c r="PLL1" s="199"/>
      <c r="PLM1" s="199"/>
      <c r="PLN1" s="200"/>
      <c r="PLO1" s="200"/>
      <c r="PLP1" s="200"/>
      <c r="PLQ1" s="200"/>
      <c r="PLR1" s="200"/>
      <c r="PLS1" s="200"/>
      <c r="PLT1" s="200"/>
      <c r="PLU1" s="198"/>
      <c r="PLV1" s="198"/>
      <c r="PLW1" s="198"/>
      <c r="PLX1" s="198"/>
      <c r="PLY1" s="198"/>
      <c r="PLZ1" s="198"/>
      <c r="PMA1" s="198"/>
      <c r="PMB1" s="198"/>
      <c r="PMC1" s="198"/>
      <c r="PMD1" s="198"/>
      <c r="PME1" s="198"/>
      <c r="PMF1" s="198"/>
      <c r="PMG1" s="198"/>
      <c r="PMH1" s="198"/>
      <c r="PMI1" s="198"/>
      <c r="PMJ1" s="198"/>
      <c r="PMK1" s="198"/>
      <c r="PML1" s="198"/>
      <c r="PMM1" s="198"/>
      <c r="PMN1" s="198"/>
      <c r="PMO1" s="198"/>
      <c r="PMP1" s="198"/>
      <c r="PMQ1" s="198"/>
      <c r="PMR1" s="198"/>
      <c r="PMS1" s="198"/>
      <c r="PMT1" s="199"/>
      <c r="PMU1" s="199"/>
      <c r="PMV1" s="200"/>
      <c r="PMW1" s="200"/>
      <c r="PMX1" s="200"/>
      <c r="PMY1" s="200"/>
      <c r="PMZ1" s="200"/>
      <c r="PNA1" s="200"/>
      <c r="PNB1" s="200"/>
      <c r="PNC1" s="198"/>
      <c r="PND1" s="198"/>
      <c r="PNE1" s="198"/>
      <c r="PNF1" s="198"/>
      <c r="PNG1" s="198"/>
      <c r="PNH1" s="198"/>
      <c r="PNI1" s="198"/>
      <c r="PNJ1" s="198"/>
      <c r="PNK1" s="198"/>
      <c r="PNL1" s="198"/>
      <c r="PNM1" s="198"/>
      <c r="PNN1" s="198"/>
      <c r="PNO1" s="198"/>
      <c r="PNP1" s="198"/>
      <c r="PNQ1" s="198"/>
      <c r="PNR1" s="198"/>
      <c r="PNS1" s="198"/>
      <c r="PNT1" s="198"/>
      <c r="PNU1" s="198"/>
      <c r="PNV1" s="198"/>
      <c r="PNW1" s="198"/>
      <c r="PNX1" s="198"/>
      <c r="PNY1" s="198"/>
      <c r="PNZ1" s="198"/>
      <c r="POA1" s="198"/>
      <c r="POB1" s="199"/>
      <c r="POC1" s="199"/>
      <c r="POD1" s="200"/>
      <c r="POE1" s="200"/>
      <c r="POF1" s="200"/>
      <c r="POG1" s="200"/>
      <c r="POH1" s="200"/>
      <c r="POI1" s="200"/>
      <c r="POJ1" s="200"/>
      <c r="POK1" s="198"/>
      <c r="POL1" s="198"/>
      <c r="POM1" s="198"/>
      <c r="PON1" s="198"/>
      <c r="POO1" s="198"/>
      <c r="POP1" s="198"/>
      <c r="POQ1" s="198"/>
      <c r="POR1" s="198"/>
      <c r="POS1" s="198"/>
      <c r="POT1" s="198"/>
      <c r="POU1" s="198"/>
      <c r="POV1" s="198"/>
      <c r="POW1" s="198"/>
      <c r="POX1" s="198"/>
      <c r="POY1" s="198"/>
      <c r="POZ1" s="198"/>
      <c r="PPA1" s="198"/>
      <c r="PPB1" s="198"/>
      <c r="PPC1" s="198"/>
      <c r="PPD1" s="198"/>
      <c r="PPE1" s="198"/>
      <c r="PPF1" s="198"/>
      <c r="PPG1" s="198"/>
      <c r="PPH1" s="198"/>
      <c r="PPI1" s="198"/>
      <c r="PPJ1" s="199"/>
      <c r="PPK1" s="199"/>
      <c r="PPL1" s="200"/>
      <c r="PPM1" s="200"/>
      <c r="PPN1" s="200"/>
      <c r="PPO1" s="200"/>
      <c r="PPP1" s="200"/>
      <c r="PPQ1" s="200"/>
      <c r="PPR1" s="200"/>
      <c r="PPS1" s="198"/>
      <c r="PPT1" s="198"/>
      <c r="PPU1" s="198"/>
      <c r="PPV1" s="198"/>
      <c r="PPW1" s="198"/>
      <c r="PPX1" s="198"/>
      <c r="PPY1" s="198"/>
      <c r="PPZ1" s="198"/>
      <c r="PQA1" s="198"/>
      <c r="PQB1" s="198"/>
      <c r="PQC1" s="198"/>
      <c r="PQD1" s="198"/>
      <c r="PQE1" s="198"/>
      <c r="PQF1" s="198"/>
      <c r="PQG1" s="198"/>
      <c r="PQH1" s="198"/>
      <c r="PQI1" s="198"/>
      <c r="PQJ1" s="198"/>
      <c r="PQK1" s="198"/>
      <c r="PQL1" s="198"/>
      <c r="PQM1" s="198"/>
      <c r="PQN1" s="198"/>
      <c r="PQO1" s="198"/>
      <c r="PQP1" s="198"/>
      <c r="PQQ1" s="198"/>
      <c r="PQR1" s="199"/>
      <c r="PQS1" s="199"/>
      <c r="PQT1" s="200"/>
      <c r="PQU1" s="200"/>
      <c r="PQV1" s="200"/>
      <c r="PQW1" s="200"/>
      <c r="PQX1" s="200"/>
      <c r="PQY1" s="200"/>
      <c r="PQZ1" s="200"/>
      <c r="PRA1" s="198"/>
      <c r="PRB1" s="198"/>
      <c r="PRC1" s="198"/>
      <c r="PRD1" s="198"/>
      <c r="PRE1" s="198"/>
      <c r="PRF1" s="198"/>
      <c r="PRG1" s="198"/>
      <c r="PRH1" s="198"/>
      <c r="PRI1" s="198"/>
      <c r="PRJ1" s="198"/>
      <c r="PRK1" s="198"/>
      <c r="PRL1" s="198"/>
      <c r="PRM1" s="198"/>
      <c r="PRN1" s="198"/>
      <c r="PRO1" s="198"/>
      <c r="PRP1" s="198"/>
      <c r="PRQ1" s="198"/>
      <c r="PRR1" s="198"/>
      <c r="PRS1" s="198"/>
      <c r="PRT1" s="198"/>
      <c r="PRU1" s="198"/>
      <c r="PRV1" s="198"/>
      <c r="PRW1" s="198"/>
      <c r="PRX1" s="198"/>
      <c r="PRY1" s="198"/>
      <c r="PRZ1" s="199"/>
      <c r="PSA1" s="199"/>
      <c r="PSB1" s="200"/>
      <c r="PSC1" s="200"/>
      <c r="PSD1" s="200"/>
      <c r="PSE1" s="200"/>
      <c r="PSF1" s="200"/>
      <c r="PSG1" s="200"/>
      <c r="PSH1" s="200"/>
      <c r="PSI1" s="198"/>
      <c r="PSJ1" s="198"/>
      <c r="PSK1" s="198"/>
      <c r="PSL1" s="198"/>
      <c r="PSM1" s="198"/>
      <c r="PSN1" s="198"/>
      <c r="PSO1" s="198"/>
      <c r="PSP1" s="198"/>
      <c r="PSQ1" s="198"/>
      <c r="PSR1" s="198"/>
      <c r="PSS1" s="198"/>
      <c r="PST1" s="198"/>
      <c r="PSU1" s="198"/>
      <c r="PSV1" s="198"/>
      <c r="PSW1" s="198"/>
      <c r="PSX1" s="198"/>
      <c r="PSY1" s="198"/>
      <c r="PSZ1" s="198"/>
      <c r="PTA1" s="198"/>
      <c r="PTB1" s="198"/>
      <c r="PTC1" s="198"/>
      <c r="PTD1" s="198"/>
      <c r="PTE1" s="198"/>
      <c r="PTF1" s="198"/>
      <c r="PTG1" s="198"/>
      <c r="PTH1" s="199"/>
      <c r="PTI1" s="199"/>
      <c r="PTJ1" s="200"/>
      <c r="PTK1" s="200"/>
      <c r="PTL1" s="200"/>
      <c r="PTM1" s="200"/>
      <c r="PTN1" s="200"/>
      <c r="PTO1" s="200"/>
      <c r="PTP1" s="200"/>
      <c r="PTQ1" s="198"/>
      <c r="PTR1" s="198"/>
      <c r="PTS1" s="198"/>
      <c r="PTT1" s="198"/>
      <c r="PTU1" s="198"/>
      <c r="PTV1" s="198"/>
      <c r="PTW1" s="198"/>
      <c r="PTX1" s="198"/>
      <c r="PTY1" s="198"/>
      <c r="PTZ1" s="198"/>
      <c r="PUA1" s="198"/>
      <c r="PUB1" s="198"/>
      <c r="PUC1" s="198"/>
      <c r="PUD1" s="198"/>
      <c r="PUE1" s="198"/>
      <c r="PUF1" s="198"/>
      <c r="PUG1" s="198"/>
      <c r="PUH1" s="198"/>
      <c r="PUI1" s="198"/>
      <c r="PUJ1" s="198"/>
      <c r="PUK1" s="198"/>
      <c r="PUL1" s="198"/>
      <c r="PUM1" s="198"/>
      <c r="PUN1" s="198"/>
      <c r="PUO1" s="198"/>
      <c r="PUP1" s="199"/>
      <c r="PUQ1" s="199"/>
      <c r="PUR1" s="200"/>
      <c r="PUS1" s="200"/>
      <c r="PUT1" s="200"/>
      <c r="PUU1" s="200"/>
      <c r="PUV1" s="200"/>
      <c r="PUW1" s="200"/>
      <c r="PUX1" s="200"/>
      <c r="PUY1" s="198"/>
      <c r="PUZ1" s="198"/>
      <c r="PVA1" s="198"/>
      <c r="PVB1" s="198"/>
      <c r="PVC1" s="198"/>
      <c r="PVD1" s="198"/>
      <c r="PVE1" s="198"/>
      <c r="PVF1" s="198"/>
      <c r="PVG1" s="198"/>
      <c r="PVH1" s="198"/>
      <c r="PVI1" s="198"/>
      <c r="PVJ1" s="198"/>
      <c r="PVK1" s="198"/>
      <c r="PVL1" s="198"/>
      <c r="PVM1" s="198"/>
      <c r="PVN1" s="198"/>
      <c r="PVO1" s="198"/>
      <c r="PVP1" s="198"/>
      <c r="PVQ1" s="198"/>
      <c r="PVR1" s="198"/>
      <c r="PVS1" s="198"/>
      <c r="PVT1" s="198"/>
      <c r="PVU1" s="198"/>
      <c r="PVV1" s="198"/>
      <c r="PVW1" s="198"/>
      <c r="PVX1" s="199"/>
      <c r="PVY1" s="199"/>
      <c r="PVZ1" s="200"/>
      <c r="PWA1" s="200"/>
      <c r="PWB1" s="200"/>
      <c r="PWC1" s="200"/>
      <c r="PWD1" s="200"/>
      <c r="PWE1" s="200"/>
      <c r="PWF1" s="200"/>
      <c r="PWG1" s="198"/>
      <c r="PWH1" s="198"/>
      <c r="PWI1" s="198"/>
      <c r="PWJ1" s="198"/>
      <c r="PWK1" s="198"/>
      <c r="PWL1" s="198"/>
      <c r="PWM1" s="198"/>
      <c r="PWN1" s="198"/>
      <c r="PWO1" s="198"/>
      <c r="PWP1" s="198"/>
      <c r="PWQ1" s="198"/>
      <c r="PWR1" s="198"/>
      <c r="PWS1" s="198"/>
      <c r="PWT1" s="198"/>
      <c r="PWU1" s="198"/>
      <c r="PWV1" s="198"/>
      <c r="PWW1" s="198"/>
      <c r="PWX1" s="198"/>
      <c r="PWY1" s="198"/>
      <c r="PWZ1" s="198"/>
      <c r="PXA1" s="198"/>
      <c r="PXB1" s="198"/>
      <c r="PXC1" s="198"/>
      <c r="PXD1" s="198"/>
      <c r="PXE1" s="198"/>
      <c r="PXF1" s="199"/>
      <c r="PXG1" s="199"/>
      <c r="PXH1" s="200"/>
      <c r="PXI1" s="200"/>
      <c r="PXJ1" s="200"/>
      <c r="PXK1" s="200"/>
      <c r="PXL1" s="200"/>
      <c r="PXM1" s="200"/>
      <c r="PXN1" s="200"/>
      <c r="PXO1" s="198"/>
      <c r="PXP1" s="198"/>
      <c r="PXQ1" s="198"/>
      <c r="PXR1" s="198"/>
      <c r="PXS1" s="198"/>
      <c r="PXT1" s="198"/>
      <c r="PXU1" s="198"/>
      <c r="PXV1" s="198"/>
      <c r="PXW1" s="198"/>
      <c r="PXX1" s="198"/>
      <c r="PXY1" s="198"/>
      <c r="PXZ1" s="198"/>
      <c r="PYA1" s="198"/>
      <c r="PYB1" s="198"/>
      <c r="PYC1" s="198"/>
      <c r="PYD1" s="198"/>
      <c r="PYE1" s="198"/>
      <c r="PYF1" s="198"/>
      <c r="PYG1" s="198"/>
      <c r="PYH1" s="198"/>
      <c r="PYI1" s="198"/>
      <c r="PYJ1" s="198"/>
      <c r="PYK1" s="198"/>
      <c r="PYL1" s="198"/>
      <c r="PYM1" s="198"/>
      <c r="PYN1" s="199"/>
      <c r="PYO1" s="199"/>
      <c r="PYP1" s="200"/>
      <c r="PYQ1" s="200"/>
      <c r="PYR1" s="200"/>
      <c r="PYS1" s="200"/>
      <c r="PYT1" s="200"/>
      <c r="PYU1" s="200"/>
      <c r="PYV1" s="200"/>
      <c r="PYW1" s="198"/>
      <c r="PYX1" s="198"/>
      <c r="PYY1" s="198"/>
      <c r="PYZ1" s="198"/>
      <c r="PZA1" s="198"/>
      <c r="PZB1" s="198"/>
      <c r="PZC1" s="198"/>
      <c r="PZD1" s="198"/>
      <c r="PZE1" s="198"/>
      <c r="PZF1" s="198"/>
      <c r="PZG1" s="198"/>
      <c r="PZH1" s="198"/>
      <c r="PZI1" s="198"/>
      <c r="PZJ1" s="198"/>
      <c r="PZK1" s="198"/>
      <c r="PZL1" s="198"/>
      <c r="PZM1" s="198"/>
      <c r="PZN1" s="198"/>
      <c r="PZO1" s="198"/>
      <c r="PZP1" s="198"/>
      <c r="PZQ1" s="198"/>
      <c r="PZR1" s="198"/>
      <c r="PZS1" s="198"/>
      <c r="PZT1" s="198"/>
      <c r="PZU1" s="198"/>
      <c r="PZV1" s="199"/>
      <c r="PZW1" s="199"/>
      <c r="PZX1" s="200"/>
      <c r="PZY1" s="200"/>
      <c r="PZZ1" s="200"/>
      <c r="QAA1" s="200"/>
      <c r="QAB1" s="200"/>
      <c r="QAC1" s="200"/>
      <c r="QAD1" s="200"/>
      <c r="QAE1" s="198"/>
      <c r="QAF1" s="198"/>
      <c r="QAG1" s="198"/>
      <c r="QAH1" s="198"/>
      <c r="QAI1" s="198"/>
      <c r="QAJ1" s="198"/>
      <c r="QAK1" s="198"/>
      <c r="QAL1" s="198"/>
      <c r="QAM1" s="198"/>
      <c r="QAN1" s="198"/>
      <c r="QAO1" s="198"/>
      <c r="QAP1" s="198"/>
      <c r="QAQ1" s="198"/>
      <c r="QAR1" s="198"/>
      <c r="QAS1" s="198"/>
      <c r="QAT1" s="198"/>
      <c r="QAU1" s="198"/>
      <c r="QAV1" s="198"/>
      <c r="QAW1" s="198"/>
      <c r="QAX1" s="198"/>
      <c r="QAY1" s="198"/>
      <c r="QAZ1" s="198"/>
      <c r="QBA1" s="198"/>
      <c r="QBB1" s="198"/>
      <c r="QBC1" s="198"/>
      <c r="QBD1" s="199"/>
      <c r="QBE1" s="199"/>
      <c r="QBF1" s="200"/>
      <c r="QBG1" s="200"/>
      <c r="QBH1" s="200"/>
      <c r="QBI1" s="200"/>
      <c r="QBJ1" s="200"/>
      <c r="QBK1" s="200"/>
      <c r="QBL1" s="200"/>
      <c r="QBM1" s="198"/>
      <c r="QBN1" s="198"/>
      <c r="QBO1" s="198"/>
      <c r="QBP1" s="198"/>
      <c r="QBQ1" s="198"/>
      <c r="QBR1" s="198"/>
      <c r="QBS1" s="198"/>
      <c r="QBT1" s="198"/>
      <c r="QBU1" s="198"/>
      <c r="QBV1" s="198"/>
      <c r="QBW1" s="198"/>
      <c r="QBX1" s="198"/>
      <c r="QBY1" s="198"/>
      <c r="QBZ1" s="198"/>
      <c r="QCA1" s="198"/>
      <c r="QCB1" s="198"/>
      <c r="QCC1" s="198"/>
      <c r="QCD1" s="198"/>
      <c r="QCE1" s="198"/>
      <c r="QCF1" s="198"/>
      <c r="QCG1" s="198"/>
      <c r="QCH1" s="198"/>
      <c r="QCI1" s="198"/>
      <c r="QCJ1" s="198"/>
      <c r="QCK1" s="198"/>
      <c r="QCL1" s="199"/>
      <c r="QCM1" s="199"/>
      <c r="QCN1" s="200"/>
      <c r="QCO1" s="200"/>
      <c r="QCP1" s="200"/>
      <c r="QCQ1" s="200"/>
      <c r="QCR1" s="200"/>
      <c r="QCS1" s="200"/>
      <c r="QCT1" s="200"/>
      <c r="QCU1" s="198"/>
      <c r="QCV1" s="198"/>
      <c r="QCW1" s="198"/>
      <c r="QCX1" s="198"/>
      <c r="QCY1" s="198"/>
      <c r="QCZ1" s="198"/>
      <c r="QDA1" s="198"/>
      <c r="QDB1" s="198"/>
      <c r="QDC1" s="198"/>
      <c r="QDD1" s="198"/>
      <c r="QDE1" s="198"/>
      <c r="QDF1" s="198"/>
      <c r="QDG1" s="198"/>
      <c r="QDH1" s="198"/>
      <c r="QDI1" s="198"/>
      <c r="QDJ1" s="198"/>
      <c r="QDK1" s="198"/>
      <c r="QDL1" s="198"/>
      <c r="QDM1" s="198"/>
      <c r="QDN1" s="198"/>
      <c r="QDO1" s="198"/>
      <c r="QDP1" s="198"/>
      <c r="QDQ1" s="198"/>
      <c r="QDR1" s="198"/>
      <c r="QDS1" s="198"/>
      <c r="QDT1" s="199"/>
      <c r="QDU1" s="199"/>
      <c r="QDV1" s="200"/>
      <c r="QDW1" s="200"/>
      <c r="QDX1" s="200"/>
      <c r="QDY1" s="200"/>
      <c r="QDZ1" s="200"/>
      <c r="QEA1" s="200"/>
      <c r="QEB1" s="200"/>
      <c r="QEC1" s="198"/>
      <c r="QED1" s="198"/>
      <c r="QEE1" s="198"/>
      <c r="QEF1" s="198"/>
      <c r="QEG1" s="198"/>
      <c r="QEH1" s="198"/>
      <c r="QEI1" s="198"/>
      <c r="QEJ1" s="198"/>
      <c r="QEK1" s="198"/>
      <c r="QEL1" s="198"/>
      <c r="QEM1" s="198"/>
      <c r="QEN1" s="198"/>
      <c r="QEO1" s="198"/>
      <c r="QEP1" s="198"/>
      <c r="QEQ1" s="198"/>
      <c r="QER1" s="198"/>
      <c r="QES1" s="198"/>
      <c r="QET1" s="198"/>
      <c r="QEU1" s="198"/>
      <c r="QEV1" s="198"/>
      <c r="QEW1" s="198"/>
      <c r="QEX1" s="198"/>
      <c r="QEY1" s="198"/>
      <c r="QEZ1" s="198"/>
      <c r="QFA1" s="198"/>
      <c r="QFB1" s="199"/>
      <c r="QFC1" s="199"/>
      <c r="QFD1" s="200"/>
      <c r="QFE1" s="200"/>
      <c r="QFF1" s="200"/>
      <c r="QFG1" s="200"/>
      <c r="QFH1" s="200"/>
      <c r="QFI1" s="200"/>
      <c r="QFJ1" s="200"/>
      <c r="QFK1" s="198"/>
      <c r="QFL1" s="198"/>
      <c r="QFM1" s="198"/>
      <c r="QFN1" s="198"/>
      <c r="QFO1" s="198"/>
      <c r="QFP1" s="198"/>
      <c r="QFQ1" s="198"/>
      <c r="QFR1" s="198"/>
      <c r="QFS1" s="198"/>
      <c r="QFT1" s="198"/>
      <c r="QFU1" s="198"/>
      <c r="QFV1" s="198"/>
      <c r="QFW1" s="198"/>
      <c r="QFX1" s="198"/>
      <c r="QFY1" s="198"/>
      <c r="QFZ1" s="198"/>
      <c r="QGA1" s="198"/>
      <c r="QGB1" s="198"/>
      <c r="QGC1" s="198"/>
      <c r="QGD1" s="198"/>
      <c r="QGE1" s="198"/>
      <c r="QGF1" s="198"/>
      <c r="QGG1" s="198"/>
      <c r="QGH1" s="198"/>
      <c r="QGI1" s="198"/>
      <c r="QGJ1" s="199"/>
      <c r="QGK1" s="199"/>
      <c r="QGL1" s="200"/>
      <c r="QGM1" s="200"/>
      <c r="QGN1" s="200"/>
      <c r="QGO1" s="200"/>
      <c r="QGP1" s="200"/>
      <c r="QGQ1" s="200"/>
      <c r="QGR1" s="200"/>
      <c r="QGS1" s="198"/>
      <c r="QGT1" s="198"/>
      <c r="QGU1" s="198"/>
      <c r="QGV1" s="198"/>
      <c r="QGW1" s="198"/>
      <c r="QGX1" s="198"/>
      <c r="QGY1" s="198"/>
      <c r="QGZ1" s="198"/>
      <c r="QHA1" s="198"/>
      <c r="QHB1" s="198"/>
      <c r="QHC1" s="198"/>
      <c r="QHD1" s="198"/>
      <c r="QHE1" s="198"/>
      <c r="QHF1" s="198"/>
      <c r="QHG1" s="198"/>
      <c r="QHH1" s="198"/>
      <c r="QHI1" s="198"/>
      <c r="QHJ1" s="198"/>
      <c r="QHK1" s="198"/>
      <c r="QHL1" s="198"/>
      <c r="QHM1" s="198"/>
      <c r="QHN1" s="198"/>
      <c r="QHO1" s="198"/>
      <c r="QHP1" s="198"/>
      <c r="QHQ1" s="198"/>
      <c r="QHR1" s="199"/>
      <c r="QHS1" s="199"/>
      <c r="QHT1" s="200"/>
      <c r="QHU1" s="200"/>
      <c r="QHV1" s="200"/>
      <c r="QHW1" s="200"/>
      <c r="QHX1" s="200"/>
      <c r="QHY1" s="200"/>
      <c r="QHZ1" s="200"/>
      <c r="QIA1" s="198"/>
      <c r="QIB1" s="198"/>
      <c r="QIC1" s="198"/>
      <c r="QID1" s="198"/>
      <c r="QIE1" s="198"/>
      <c r="QIF1" s="198"/>
      <c r="QIG1" s="198"/>
      <c r="QIH1" s="198"/>
      <c r="QII1" s="198"/>
      <c r="QIJ1" s="198"/>
      <c r="QIK1" s="198"/>
      <c r="QIL1" s="198"/>
      <c r="QIM1" s="198"/>
      <c r="QIN1" s="198"/>
      <c r="QIO1" s="198"/>
      <c r="QIP1" s="198"/>
      <c r="QIQ1" s="198"/>
      <c r="QIR1" s="198"/>
      <c r="QIS1" s="198"/>
      <c r="QIT1" s="198"/>
      <c r="QIU1" s="198"/>
      <c r="QIV1" s="198"/>
      <c r="QIW1" s="198"/>
      <c r="QIX1" s="198"/>
      <c r="QIY1" s="198"/>
      <c r="QIZ1" s="199"/>
      <c r="QJA1" s="199"/>
      <c r="QJB1" s="200"/>
      <c r="QJC1" s="200"/>
      <c r="QJD1" s="200"/>
      <c r="QJE1" s="200"/>
      <c r="QJF1" s="200"/>
      <c r="QJG1" s="200"/>
      <c r="QJH1" s="200"/>
      <c r="QJI1" s="198"/>
      <c r="QJJ1" s="198"/>
      <c r="QJK1" s="198"/>
      <c r="QJL1" s="198"/>
      <c r="QJM1" s="198"/>
      <c r="QJN1" s="198"/>
      <c r="QJO1" s="198"/>
      <c r="QJP1" s="198"/>
      <c r="QJQ1" s="198"/>
      <c r="QJR1" s="198"/>
      <c r="QJS1" s="198"/>
      <c r="QJT1" s="198"/>
      <c r="QJU1" s="198"/>
      <c r="QJV1" s="198"/>
      <c r="QJW1" s="198"/>
      <c r="QJX1" s="198"/>
      <c r="QJY1" s="198"/>
      <c r="QJZ1" s="198"/>
      <c r="QKA1" s="198"/>
      <c r="QKB1" s="198"/>
      <c r="QKC1" s="198"/>
      <c r="QKD1" s="198"/>
      <c r="QKE1" s="198"/>
      <c r="QKF1" s="198"/>
      <c r="QKG1" s="198"/>
      <c r="QKH1" s="199"/>
      <c r="QKI1" s="199"/>
      <c r="QKJ1" s="200"/>
      <c r="QKK1" s="200"/>
      <c r="QKL1" s="200"/>
      <c r="QKM1" s="200"/>
      <c r="QKN1" s="200"/>
      <c r="QKO1" s="200"/>
      <c r="QKP1" s="200"/>
      <c r="QKQ1" s="198"/>
      <c r="QKR1" s="198"/>
      <c r="QKS1" s="198"/>
      <c r="QKT1" s="198"/>
      <c r="QKU1" s="198"/>
      <c r="QKV1" s="198"/>
      <c r="QKW1" s="198"/>
      <c r="QKX1" s="198"/>
      <c r="QKY1" s="198"/>
      <c r="QKZ1" s="198"/>
      <c r="QLA1" s="198"/>
      <c r="QLB1" s="198"/>
      <c r="QLC1" s="198"/>
      <c r="QLD1" s="198"/>
      <c r="QLE1" s="198"/>
      <c r="QLF1" s="198"/>
      <c r="QLG1" s="198"/>
      <c r="QLH1" s="198"/>
      <c r="QLI1" s="198"/>
      <c r="QLJ1" s="198"/>
      <c r="QLK1" s="198"/>
      <c r="QLL1" s="198"/>
      <c r="QLM1" s="198"/>
      <c r="QLN1" s="198"/>
      <c r="QLO1" s="198"/>
      <c r="QLP1" s="199"/>
      <c r="QLQ1" s="199"/>
      <c r="QLR1" s="200"/>
      <c r="QLS1" s="200"/>
      <c r="QLT1" s="200"/>
      <c r="QLU1" s="200"/>
      <c r="QLV1" s="200"/>
      <c r="QLW1" s="200"/>
      <c r="QLX1" s="200"/>
      <c r="QLY1" s="198"/>
      <c r="QLZ1" s="198"/>
      <c r="QMA1" s="198"/>
      <c r="QMB1" s="198"/>
      <c r="QMC1" s="198"/>
      <c r="QMD1" s="198"/>
      <c r="QME1" s="198"/>
      <c r="QMF1" s="198"/>
      <c r="QMG1" s="198"/>
      <c r="QMH1" s="198"/>
      <c r="QMI1" s="198"/>
      <c r="QMJ1" s="198"/>
      <c r="QMK1" s="198"/>
      <c r="QML1" s="198"/>
      <c r="QMM1" s="198"/>
      <c r="QMN1" s="198"/>
      <c r="QMO1" s="198"/>
      <c r="QMP1" s="198"/>
      <c r="QMQ1" s="198"/>
      <c r="QMR1" s="198"/>
      <c r="QMS1" s="198"/>
      <c r="QMT1" s="198"/>
      <c r="QMU1" s="198"/>
      <c r="QMV1" s="198"/>
      <c r="QMW1" s="198"/>
      <c r="QMX1" s="199"/>
      <c r="QMY1" s="199"/>
      <c r="QMZ1" s="200"/>
      <c r="QNA1" s="200"/>
      <c r="QNB1" s="200"/>
      <c r="QNC1" s="200"/>
      <c r="QND1" s="200"/>
      <c r="QNE1" s="200"/>
      <c r="QNF1" s="200"/>
      <c r="QNG1" s="198"/>
      <c r="QNH1" s="198"/>
      <c r="QNI1" s="198"/>
      <c r="QNJ1" s="198"/>
      <c r="QNK1" s="198"/>
      <c r="QNL1" s="198"/>
      <c r="QNM1" s="198"/>
      <c r="QNN1" s="198"/>
      <c r="QNO1" s="198"/>
      <c r="QNP1" s="198"/>
      <c r="QNQ1" s="198"/>
      <c r="QNR1" s="198"/>
      <c r="QNS1" s="198"/>
      <c r="QNT1" s="198"/>
      <c r="QNU1" s="198"/>
      <c r="QNV1" s="198"/>
      <c r="QNW1" s="198"/>
      <c r="QNX1" s="198"/>
      <c r="QNY1" s="198"/>
      <c r="QNZ1" s="198"/>
      <c r="QOA1" s="198"/>
      <c r="QOB1" s="198"/>
      <c r="QOC1" s="198"/>
      <c r="QOD1" s="198"/>
      <c r="QOE1" s="198"/>
      <c r="QOF1" s="199"/>
      <c r="QOG1" s="199"/>
      <c r="QOH1" s="200"/>
      <c r="QOI1" s="200"/>
      <c r="QOJ1" s="200"/>
      <c r="QOK1" s="200"/>
      <c r="QOL1" s="200"/>
      <c r="QOM1" s="200"/>
      <c r="QON1" s="200"/>
      <c r="QOO1" s="198"/>
      <c r="QOP1" s="198"/>
      <c r="QOQ1" s="198"/>
      <c r="QOR1" s="198"/>
      <c r="QOS1" s="198"/>
      <c r="QOT1" s="198"/>
      <c r="QOU1" s="198"/>
      <c r="QOV1" s="198"/>
      <c r="QOW1" s="198"/>
      <c r="QOX1" s="198"/>
      <c r="QOY1" s="198"/>
      <c r="QOZ1" s="198"/>
      <c r="QPA1" s="198"/>
      <c r="QPB1" s="198"/>
      <c r="QPC1" s="198"/>
      <c r="QPD1" s="198"/>
      <c r="QPE1" s="198"/>
      <c r="QPF1" s="198"/>
      <c r="QPG1" s="198"/>
      <c r="QPH1" s="198"/>
      <c r="QPI1" s="198"/>
      <c r="QPJ1" s="198"/>
      <c r="QPK1" s="198"/>
      <c r="QPL1" s="198"/>
      <c r="QPM1" s="198"/>
      <c r="QPN1" s="199"/>
      <c r="QPO1" s="199"/>
      <c r="QPP1" s="200"/>
      <c r="QPQ1" s="200"/>
      <c r="QPR1" s="200"/>
      <c r="QPS1" s="200"/>
      <c r="QPT1" s="200"/>
      <c r="QPU1" s="200"/>
      <c r="QPV1" s="200"/>
      <c r="QPW1" s="198"/>
      <c r="QPX1" s="198"/>
      <c r="QPY1" s="198"/>
      <c r="QPZ1" s="198"/>
      <c r="QQA1" s="198"/>
      <c r="QQB1" s="198"/>
      <c r="QQC1" s="198"/>
      <c r="QQD1" s="198"/>
      <c r="QQE1" s="198"/>
      <c r="QQF1" s="198"/>
      <c r="QQG1" s="198"/>
      <c r="QQH1" s="198"/>
      <c r="QQI1" s="198"/>
      <c r="QQJ1" s="198"/>
      <c r="QQK1" s="198"/>
      <c r="QQL1" s="198"/>
      <c r="QQM1" s="198"/>
      <c r="QQN1" s="198"/>
      <c r="QQO1" s="198"/>
      <c r="QQP1" s="198"/>
      <c r="QQQ1" s="198"/>
      <c r="QQR1" s="198"/>
      <c r="QQS1" s="198"/>
      <c r="QQT1" s="198"/>
      <c r="QQU1" s="198"/>
      <c r="QQV1" s="199"/>
      <c r="QQW1" s="199"/>
      <c r="QQX1" s="200"/>
      <c r="QQY1" s="200"/>
      <c r="QQZ1" s="200"/>
      <c r="QRA1" s="200"/>
      <c r="QRB1" s="200"/>
      <c r="QRC1" s="200"/>
      <c r="QRD1" s="200"/>
      <c r="QRE1" s="198"/>
      <c r="QRF1" s="198"/>
      <c r="QRG1" s="198"/>
      <c r="QRH1" s="198"/>
      <c r="QRI1" s="198"/>
      <c r="QRJ1" s="198"/>
      <c r="QRK1" s="198"/>
      <c r="QRL1" s="198"/>
      <c r="QRM1" s="198"/>
      <c r="QRN1" s="198"/>
      <c r="QRO1" s="198"/>
      <c r="QRP1" s="198"/>
      <c r="QRQ1" s="198"/>
      <c r="QRR1" s="198"/>
      <c r="QRS1" s="198"/>
      <c r="QRT1" s="198"/>
      <c r="QRU1" s="198"/>
      <c r="QRV1" s="198"/>
      <c r="QRW1" s="198"/>
      <c r="QRX1" s="198"/>
      <c r="QRY1" s="198"/>
      <c r="QRZ1" s="198"/>
      <c r="QSA1" s="198"/>
      <c r="QSB1" s="198"/>
      <c r="QSC1" s="198"/>
      <c r="QSD1" s="199"/>
      <c r="QSE1" s="199"/>
      <c r="QSF1" s="200"/>
      <c r="QSG1" s="200"/>
      <c r="QSH1" s="200"/>
      <c r="QSI1" s="200"/>
      <c r="QSJ1" s="200"/>
      <c r="QSK1" s="200"/>
      <c r="QSL1" s="200"/>
      <c r="QSM1" s="198"/>
      <c r="QSN1" s="198"/>
      <c r="QSO1" s="198"/>
      <c r="QSP1" s="198"/>
      <c r="QSQ1" s="198"/>
      <c r="QSR1" s="198"/>
      <c r="QSS1" s="198"/>
      <c r="QST1" s="198"/>
      <c r="QSU1" s="198"/>
      <c r="QSV1" s="198"/>
      <c r="QSW1" s="198"/>
      <c r="QSX1" s="198"/>
      <c r="QSY1" s="198"/>
      <c r="QSZ1" s="198"/>
      <c r="QTA1" s="198"/>
      <c r="QTB1" s="198"/>
      <c r="QTC1" s="198"/>
      <c r="QTD1" s="198"/>
      <c r="QTE1" s="198"/>
      <c r="QTF1" s="198"/>
      <c r="QTG1" s="198"/>
      <c r="QTH1" s="198"/>
      <c r="QTI1" s="198"/>
      <c r="QTJ1" s="198"/>
      <c r="QTK1" s="198"/>
      <c r="QTL1" s="199"/>
      <c r="QTM1" s="199"/>
      <c r="QTN1" s="200"/>
      <c r="QTO1" s="200"/>
      <c r="QTP1" s="200"/>
      <c r="QTQ1" s="200"/>
      <c r="QTR1" s="200"/>
      <c r="QTS1" s="200"/>
      <c r="QTT1" s="200"/>
      <c r="QTU1" s="198"/>
      <c r="QTV1" s="198"/>
      <c r="QTW1" s="198"/>
      <c r="QTX1" s="198"/>
      <c r="QTY1" s="198"/>
      <c r="QTZ1" s="198"/>
      <c r="QUA1" s="198"/>
      <c r="QUB1" s="198"/>
      <c r="QUC1" s="198"/>
      <c r="QUD1" s="198"/>
      <c r="QUE1" s="198"/>
      <c r="QUF1" s="198"/>
      <c r="QUG1" s="198"/>
      <c r="QUH1" s="198"/>
      <c r="QUI1" s="198"/>
      <c r="QUJ1" s="198"/>
      <c r="QUK1" s="198"/>
      <c r="QUL1" s="198"/>
      <c r="QUM1" s="198"/>
      <c r="QUN1" s="198"/>
      <c r="QUO1" s="198"/>
      <c r="QUP1" s="198"/>
      <c r="QUQ1" s="198"/>
      <c r="QUR1" s="198"/>
      <c r="QUS1" s="198"/>
      <c r="QUT1" s="199"/>
      <c r="QUU1" s="199"/>
      <c r="QUV1" s="200"/>
      <c r="QUW1" s="200"/>
      <c r="QUX1" s="200"/>
      <c r="QUY1" s="200"/>
      <c r="QUZ1" s="200"/>
      <c r="QVA1" s="200"/>
      <c r="QVB1" s="200"/>
      <c r="QVC1" s="198"/>
      <c r="QVD1" s="198"/>
      <c r="QVE1" s="198"/>
      <c r="QVF1" s="198"/>
      <c r="QVG1" s="198"/>
      <c r="QVH1" s="198"/>
      <c r="QVI1" s="198"/>
      <c r="QVJ1" s="198"/>
      <c r="QVK1" s="198"/>
      <c r="QVL1" s="198"/>
      <c r="QVM1" s="198"/>
      <c r="QVN1" s="198"/>
      <c r="QVO1" s="198"/>
      <c r="QVP1" s="198"/>
      <c r="QVQ1" s="198"/>
      <c r="QVR1" s="198"/>
      <c r="QVS1" s="198"/>
      <c r="QVT1" s="198"/>
      <c r="QVU1" s="198"/>
      <c r="QVV1" s="198"/>
      <c r="QVW1" s="198"/>
      <c r="QVX1" s="198"/>
      <c r="QVY1" s="198"/>
      <c r="QVZ1" s="198"/>
      <c r="QWA1" s="198"/>
      <c r="QWB1" s="199"/>
      <c r="QWC1" s="199"/>
      <c r="QWD1" s="200"/>
      <c r="QWE1" s="200"/>
      <c r="QWF1" s="200"/>
      <c r="QWG1" s="200"/>
      <c r="QWH1" s="200"/>
      <c r="QWI1" s="200"/>
      <c r="QWJ1" s="200"/>
      <c r="QWK1" s="198"/>
      <c r="QWL1" s="198"/>
      <c r="QWM1" s="198"/>
      <c r="QWN1" s="198"/>
      <c r="QWO1" s="198"/>
      <c r="QWP1" s="198"/>
      <c r="QWQ1" s="198"/>
      <c r="QWR1" s="198"/>
      <c r="QWS1" s="198"/>
      <c r="QWT1" s="198"/>
      <c r="QWU1" s="198"/>
      <c r="QWV1" s="198"/>
      <c r="QWW1" s="198"/>
      <c r="QWX1" s="198"/>
      <c r="QWY1" s="198"/>
      <c r="QWZ1" s="198"/>
      <c r="QXA1" s="198"/>
      <c r="QXB1" s="198"/>
      <c r="QXC1" s="198"/>
      <c r="QXD1" s="198"/>
      <c r="QXE1" s="198"/>
      <c r="QXF1" s="198"/>
      <c r="QXG1" s="198"/>
      <c r="QXH1" s="198"/>
      <c r="QXI1" s="198"/>
      <c r="QXJ1" s="199"/>
      <c r="QXK1" s="199"/>
      <c r="QXL1" s="200"/>
      <c r="QXM1" s="200"/>
      <c r="QXN1" s="200"/>
      <c r="QXO1" s="200"/>
      <c r="QXP1" s="200"/>
      <c r="QXQ1" s="200"/>
      <c r="QXR1" s="200"/>
      <c r="QXS1" s="198"/>
      <c r="QXT1" s="198"/>
      <c r="QXU1" s="198"/>
      <c r="QXV1" s="198"/>
      <c r="QXW1" s="198"/>
      <c r="QXX1" s="198"/>
      <c r="QXY1" s="198"/>
      <c r="QXZ1" s="198"/>
      <c r="QYA1" s="198"/>
      <c r="QYB1" s="198"/>
      <c r="QYC1" s="198"/>
      <c r="QYD1" s="198"/>
      <c r="QYE1" s="198"/>
      <c r="QYF1" s="198"/>
      <c r="QYG1" s="198"/>
      <c r="QYH1" s="198"/>
      <c r="QYI1" s="198"/>
      <c r="QYJ1" s="198"/>
      <c r="QYK1" s="198"/>
      <c r="QYL1" s="198"/>
      <c r="QYM1" s="198"/>
      <c r="QYN1" s="198"/>
      <c r="QYO1" s="198"/>
      <c r="QYP1" s="198"/>
      <c r="QYQ1" s="198"/>
      <c r="QYR1" s="199"/>
      <c r="QYS1" s="199"/>
      <c r="QYT1" s="200"/>
      <c r="QYU1" s="200"/>
      <c r="QYV1" s="200"/>
      <c r="QYW1" s="200"/>
      <c r="QYX1" s="200"/>
      <c r="QYY1" s="200"/>
      <c r="QYZ1" s="200"/>
      <c r="QZA1" s="198"/>
      <c r="QZB1" s="198"/>
      <c r="QZC1" s="198"/>
      <c r="QZD1" s="198"/>
      <c r="QZE1" s="198"/>
      <c r="QZF1" s="198"/>
      <c r="QZG1" s="198"/>
      <c r="QZH1" s="198"/>
      <c r="QZI1" s="198"/>
      <c r="QZJ1" s="198"/>
      <c r="QZK1" s="198"/>
      <c r="QZL1" s="198"/>
      <c r="QZM1" s="198"/>
      <c r="QZN1" s="198"/>
      <c r="QZO1" s="198"/>
      <c r="QZP1" s="198"/>
      <c r="QZQ1" s="198"/>
      <c r="QZR1" s="198"/>
      <c r="QZS1" s="198"/>
      <c r="QZT1" s="198"/>
      <c r="QZU1" s="198"/>
      <c r="QZV1" s="198"/>
      <c r="QZW1" s="198"/>
      <c r="QZX1" s="198"/>
      <c r="QZY1" s="198"/>
      <c r="QZZ1" s="199"/>
      <c r="RAA1" s="199"/>
      <c r="RAB1" s="200"/>
      <c r="RAC1" s="200"/>
      <c r="RAD1" s="200"/>
      <c r="RAE1" s="200"/>
      <c r="RAF1" s="200"/>
      <c r="RAG1" s="200"/>
      <c r="RAH1" s="200"/>
      <c r="RAI1" s="198"/>
      <c r="RAJ1" s="198"/>
      <c r="RAK1" s="198"/>
      <c r="RAL1" s="198"/>
      <c r="RAM1" s="198"/>
      <c r="RAN1" s="198"/>
      <c r="RAO1" s="198"/>
      <c r="RAP1" s="198"/>
      <c r="RAQ1" s="198"/>
      <c r="RAR1" s="198"/>
      <c r="RAS1" s="198"/>
      <c r="RAT1" s="198"/>
      <c r="RAU1" s="198"/>
      <c r="RAV1" s="198"/>
      <c r="RAW1" s="198"/>
      <c r="RAX1" s="198"/>
      <c r="RAY1" s="198"/>
      <c r="RAZ1" s="198"/>
      <c r="RBA1" s="198"/>
      <c r="RBB1" s="198"/>
      <c r="RBC1" s="198"/>
      <c r="RBD1" s="198"/>
      <c r="RBE1" s="198"/>
      <c r="RBF1" s="198"/>
      <c r="RBG1" s="198"/>
      <c r="RBH1" s="199"/>
      <c r="RBI1" s="199"/>
      <c r="RBJ1" s="200"/>
      <c r="RBK1" s="200"/>
      <c r="RBL1" s="200"/>
      <c r="RBM1" s="200"/>
      <c r="RBN1" s="200"/>
      <c r="RBO1" s="200"/>
      <c r="RBP1" s="200"/>
      <c r="RBQ1" s="198"/>
      <c r="RBR1" s="198"/>
      <c r="RBS1" s="198"/>
      <c r="RBT1" s="198"/>
      <c r="RBU1" s="198"/>
      <c r="RBV1" s="198"/>
      <c r="RBW1" s="198"/>
      <c r="RBX1" s="198"/>
      <c r="RBY1" s="198"/>
      <c r="RBZ1" s="198"/>
      <c r="RCA1" s="198"/>
      <c r="RCB1" s="198"/>
      <c r="RCC1" s="198"/>
      <c r="RCD1" s="198"/>
      <c r="RCE1" s="198"/>
      <c r="RCF1" s="198"/>
      <c r="RCG1" s="198"/>
      <c r="RCH1" s="198"/>
      <c r="RCI1" s="198"/>
      <c r="RCJ1" s="198"/>
      <c r="RCK1" s="198"/>
      <c r="RCL1" s="198"/>
      <c r="RCM1" s="198"/>
      <c r="RCN1" s="198"/>
      <c r="RCO1" s="198"/>
      <c r="RCP1" s="199"/>
      <c r="RCQ1" s="199"/>
      <c r="RCR1" s="200"/>
      <c r="RCS1" s="200"/>
      <c r="RCT1" s="200"/>
      <c r="RCU1" s="200"/>
      <c r="RCV1" s="200"/>
      <c r="RCW1" s="200"/>
      <c r="RCX1" s="200"/>
      <c r="RCY1" s="198"/>
      <c r="RCZ1" s="198"/>
      <c r="RDA1" s="198"/>
      <c r="RDB1" s="198"/>
      <c r="RDC1" s="198"/>
      <c r="RDD1" s="198"/>
      <c r="RDE1" s="198"/>
      <c r="RDF1" s="198"/>
      <c r="RDG1" s="198"/>
      <c r="RDH1" s="198"/>
      <c r="RDI1" s="198"/>
      <c r="RDJ1" s="198"/>
      <c r="RDK1" s="198"/>
      <c r="RDL1" s="198"/>
      <c r="RDM1" s="198"/>
      <c r="RDN1" s="198"/>
      <c r="RDO1" s="198"/>
      <c r="RDP1" s="198"/>
      <c r="RDQ1" s="198"/>
      <c r="RDR1" s="198"/>
      <c r="RDS1" s="198"/>
      <c r="RDT1" s="198"/>
      <c r="RDU1" s="198"/>
      <c r="RDV1" s="198"/>
      <c r="RDW1" s="198"/>
      <c r="RDX1" s="199"/>
      <c r="RDY1" s="199"/>
      <c r="RDZ1" s="200"/>
      <c r="REA1" s="200"/>
      <c r="REB1" s="200"/>
      <c r="REC1" s="200"/>
      <c r="RED1" s="200"/>
      <c r="REE1" s="200"/>
      <c r="REF1" s="200"/>
      <c r="REG1" s="198"/>
      <c r="REH1" s="198"/>
      <c r="REI1" s="198"/>
      <c r="REJ1" s="198"/>
      <c r="REK1" s="198"/>
      <c r="REL1" s="198"/>
      <c r="REM1" s="198"/>
      <c r="REN1" s="198"/>
      <c r="REO1" s="198"/>
      <c r="REP1" s="198"/>
      <c r="REQ1" s="198"/>
      <c r="RER1" s="198"/>
      <c r="RES1" s="198"/>
      <c r="RET1" s="198"/>
      <c r="REU1" s="198"/>
      <c r="REV1" s="198"/>
      <c r="REW1" s="198"/>
      <c r="REX1" s="198"/>
      <c r="REY1" s="198"/>
      <c r="REZ1" s="198"/>
      <c r="RFA1" s="198"/>
      <c r="RFB1" s="198"/>
      <c r="RFC1" s="198"/>
      <c r="RFD1" s="198"/>
      <c r="RFE1" s="198"/>
      <c r="RFF1" s="199"/>
      <c r="RFG1" s="199"/>
      <c r="RFH1" s="200"/>
      <c r="RFI1" s="200"/>
      <c r="RFJ1" s="200"/>
      <c r="RFK1" s="200"/>
      <c r="RFL1" s="200"/>
      <c r="RFM1" s="200"/>
      <c r="RFN1" s="200"/>
      <c r="RFO1" s="198"/>
      <c r="RFP1" s="198"/>
      <c r="RFQ1" s="198"/>
      <c r="RFR1" s="198"/>
      <c r="RFS1" s="198"/>
      <c r="RFT1" s="198"/>
      <c r="RFU1" s="198"/>
      <c r="RFV1" s="198"/>
      <c r="RFW1" s="198"/>
      <c r="RFX1" s="198"/>
      <c r="RFY1" s="198"/>
      <c r="RFZ1" s="198"/>
      <c r="RGA1" s="198"/>
      <c r="RGB1" s="198"/>
      <c r="RGC1" s="198"/>
      <c r="RGD1" s="198"/>
      <c r="RGE1" s="198"/>
      <c r="RGF1" s="198"/>
      <c r="RGG1" s="198"/>
      <c r="RGH1" s="198"/>
      <c r="RGI1" s="198"/>
      <c r="RGJ1" s="198"/>
      <c r="RGK1" s="198"/>
      <c r="RGL1" s="198"/>
      <c r="RGM1" s="198"/>
      <c r="RGN1" s="199"/>
      <c r="RGO1" s="199"/>
      <c r="RGP1" s="200"/>
      <c r="RGQ1" s="200"/>
      <c r="RGR1" s="200"/>
      <c r="RGS1" s="200"/>
      <c r="RGT1" s="200"/>
      <c r="RGU1" s="200"/>
      <c r="RGV1" s="200"/>
      <c r="RGW1" s="198"/>
      <c r="RGX1" s="198"/>
      <c r="RGY1" s="198"/>
      <c r="RGZ1" s="198"/>
      <c r="RHA1" s="198"/>
      <c r="RHB1" s="198"/>
      <c r="RHC1" s="198"/>
      <c r="RHD1" s="198"/>
      <c r="RHE1" s="198"/>
      <c r="RHF1" s="198"/>
      <c r="RHG1" s="198"/>
      <c r="RHH1" s="198"/>
      <c r="RHI1" s="198"/>
      <c r="RHJ1" s="198"/>
      <c r="RHK1" s="198"/>
      <c r="RHL1" s="198"/>
      <c r="RHM1" s="198"/>
      <c r="RHN1" s="198"/>
      <c r="RHO1" s="198"/>
      <c r="RHP1" s="198"/>
      <c r="RHQ1" s="198"/>
      <c r="RHR1" s="198"/>
      <c r="RHS1" s="198"/>
      <c r="RHT1" s="198"/>
      <c r="RHU1" s="198"/>
      <c r="RHV1" s="199"/>
      <c r="RHW1" s="199"/>
      <c r="RHX1" s="200"/>
      <c r="RHY1" s="200"/>
      <c r="RHZ1" s="200"/>
      <c r="RIA1" s="200"/>
      <c r="RIB1" s="200"/>
      <c r="RIC1" s="200"/>
      <c r="RID1" s="200"/>
      <c r="RIE1" s="198"/>
      <c r="RIF1" s="198"/>
      <c r="RIG1" s="198"/>
      <c r="RIH1" s="198"/>
      <c r="RII1" s="198"/>
      <c r="RIJ1" s="198"/>
      <c r="RIK1" s="198"/>
      <c r="RIL1" s="198"/>
      <c r="RIM1" s="198"/>
      <c r="RIN1" s="198"/>
      <c r="RIO1" s="198"/>
      <c r="RIP1" s="198"/>
      <c r="RIQ1" s="198"/>
      <c r="RIR1" s="198"/>
      <c r="RIS1" s="198"/>
      <c r="RIT1" s="198"/>
      <c r="RIU1" s="198"/>
      <c r="RIV1" s="198"/>
      <c r="RIW1" s="198"/>
      <c r="RIX1" s="198"/>
      <c r="RIY1" s="198"/>
      <c r="RIZ1" s="198"/>
      <c r="RJA1" s="198"/>
      <c r="RJB1" s="198"/>
      <c r="RJC1" s="198"/>
      <c r="RJD1" s="199"/>
      <c r="RJE1" s="199"/>
      <c r="RJF1" s="200"/>
      <c r="RJG1" s="200"/>
      <c r="RJH1" s="200"/>
      <c r="RJI1" s="200"/>
      <c r="RJJ1" s="200"/>
      <c r="RJK1" s="200"/>
      <c r="RJL1" s="200"/>
      <c r="RJM1" s="198"/>
      <c r="RJN1" s="198"/>
      <c r="RJO1" s="198"/>
      <c r="RJP1" s="198"/>
      <c r="RJQ1" s="198"/>
      <c r="RJR1" s="198"/>
      <c r="RJS1" s="198"/>
      <c r="RJT1" s="198"/>
      <c r="RJU1" s="198"/>
      <c r="RJV1" s="198"/>
      <c r="RJW1" s="198"/>
      <c r="RJX1" s="198"/>
      <c r="RJY1" s="198"/>
      <c r="RJZ1" s="198"/>
      <c r="RKA1" s="198"/>
      <c r="RKB1" s="198"/>
      <c r="RKC1" s="198"/>
      <c r="RKD1" s="198"/>
      <c r="RKE1" s="198"/>
      <c r="RKF1" s="198"/>
      <c r="RKG1" s="198"/>
      <c r="RKH1" s="198"/>
      <c r="RKI1" s="198"/>
      <c r="RKJ1" s="198"/>
      <c r="RKK1" s="198"/>
      <c r="RKL1" s="199"/>
      <c r="RKM1" s="199"/>
      <c r="RKN1" s="200"/>
      <c r="RKO1" s="200"/>
      <c r="RKP1" s="200"/>
      <c r="RKQ1" s="200"/>
      <c r="RKR1" s="200"/>
      <c r="RKS1" s="200"/>
      <c r="RKT1" s="200"/>
      <c r="RKU1" s="198"/>
      <c r="RKV1" s="198"/>
      <c r="RKW1" s="198"/>
      <c r="RKX1" s="198"/>
      <c r="RKY1" s="198"/>
      <c r="RKZ1" s="198"/>
      <c r="RLA1" s="198"/>
      <c r="RLB1" s="198"/>
      <c r="RLC1" s="198"/>
      <c r="RLD1" s="198"/>
      <c r="RLE1" s="198"/>
      <c r="RLF1" s="198"/>
      <c r="RLG1" s="198"/>
      <c r="RLH1" s="198"/>
      <c r="RLI1" s="198"/>
      <c r="RLJ1" s="198"/>
      <c r="RLK1" s="198"/>
      <c r="RLL1" s="198"/>
      <c r="RLM1" s="198"/>
      <c r="RLN1" s="198"/>
      <c r="RLO1" s="198"/>
      <c r="RLP1" s="198"/>
      <c r="RLQ1" s="198"/>
      <c r="RLR1" s="198"/>
      <c r="RLS1" s="198"/>
      <c r="RLT1" s="199"/>
      <c r="RLU1" s="199"/>
      <c r="RLV1" s="200"/>
      <c r="RLW1" s="200"/>
      <c r="RLX1" s="200"/>
      <c r="RLY1" s="200"/>
      <c r="RLZ1" s="200"/>
      <c r="RMA1" s="200"/>
      <c r="RMB1" s="200"/>
      <c r="RMC1" s="198"/>
      <c r="RMD1" s="198"/>
      <c r="RME1" s="198"/>
      <c r="RMF1" s="198"/>
      <c r="RMG1" s="198"/>
      <c r="RMH1" s="198"/>
      <c r="RMI1" s="198"/>
      <c r="RMJ1" s="198"/>
      <c r="RMK1" s="198"/>
      <c r="RML1" s="198"/>
      <c r="RMM1" s="198"/>
      <c r="RMN1" s="198"/>
      <c r="RMO1" s="198"/>
      <c r="RMP1" s="198"/>
      <c r="RMQ1" s="198"/>
      <c r="RMR1" s="198"/>
      <c r="RMS1" s="198"/>
      <c r="RMT1" s="198"/>
      <c r="RMU1" s="198"/>
      <c r="RMV1" s="198"/>
      <c r="RMW1" s="198"/>
      <c r="RMX1" s="198"/>
      <c r="RMY1" s="198"/>
      <c r="RMZ1" s="198"/>
      <c r="RNA1" s="198"/>
      <c r="RNB1" s="199"/>
      <c r="RNC1" s="199"/>
      <c r="RND1" s="200"/>
      <c r="RNE1" s="200"/>
      <c r="RNF1" s="200"/>
      <c r="RNG1" s="200"/>
      <c r="RNH1" s="200"/>
      <c r="RNI1" s="200"/>
      <c r="RNJ1" s="200"/>
      <c r="RNK1" s="198"/>
      <c r="RNL1" s="198"/>
      <c r="RNM1" s="198"/>
      <c r="RNN1" s="198"/>
      <c r="RNO1" s="198"/>
      <c r="RNP1" s="198"/>
      <c r="RNQ1" s="198"/>
      <c r="RNR1" s="198"/>
      <c r="RNS1" s="198"/>
      <c r="RNT1" s="198"/>
      <c r="RNU1" s="198"/>
      <c r="RNV1" s="198"/>
      <c r="RNW1" s="198"/>
      <c r="RNX1" s="198"/>
      <c r="RNY1" s="198"/>
      <c r="RNZ1" s="198"/>
      <c r="ROA1" s="198"/>
      <c r="ROB1" s="198"/>
      <c r="ROC1" s="198"/>
      <c r="ROD1" s="198"/>
      <c r="ROE1" s="198"/>
      <c r="ROF1" s="198"/>
      <c r="ROG1" s="198"/>
      <c r="ROH1" s="198"/>
      <c r="ROI1" s="198"/>
      <c r="ROJ1" s="199"/>
      <c r="ROK1" s="199"/>
      <c r="ROL1" s="200"/>
      <c r="ROM1" s="200"/>
      <c r="RON1" s="200"/>
      <c r="ROO1" s="200"/>
      <c r="ROP1" s="200"/>
      <c r="ROQ1" s="200"/>
      <c r="ROR1" s="200"/>
      <c r="ROS1" s="198"/>
      <c r="ROT1" s="198"/>
      <c r="ROU1" s="198"/>
      <c r="ROV1" s="198"/>
      <c r="ROW1" s="198"/>
      <c r="ROX1" s="198"/>
      <c r="ROY1" s="198"/>
      <c r="ROZ1" s="198"/>
      <c r="RPA1" s="198"/>
      <c r="RPB1" s="198"/>
      <c r="RPC1" s="198"/>
      <c r="RPD1" s="198"/>
      <c r="RPE1" s="198"/>
      <c r="RPF1" s="198"/>
      <c r="RPG1" s="198"/>
      <c r="RPH1" s="198"/>
      <c r="RPI1" s="198"/>
      <c r="RPJ1" s="198"/>
      <c r="RPK1" s="198"/>
      <c r="RPL1" s="198"/>
      <c r="RPM1" s="198"/>
      <c r="RPN1" s="198"/>
      <c r="RPO1" s="198"/>
      <c r="RPP1" s="198"/>
      <c r="RPQ1" s="198"/>
      <c r="RPR1" s="199"/>
      <c r="RPS1" s="199"/>
      <c r="RPT1" s="200"/>
      <c r="RPU1" s="200"/>
      <c r="RPV1" s="200"/>
      <c r="RPW1" s="200"/>
      <c r="RPX1" s="200"/>
      <c r="RPY1" s="200"/>
      <c r="RPZ1" s="200"/>
      <c r="RQA1" s="198"/>
      <c r="RQB1" s="198"/>
      <c r="RQC1" s="198"/>
      <c r="RQD1" s="198"/>
      <c r="RQE1" s="198"/>
      <c r="RQF1" s="198"/>
      <c r="RQG1" s="198"/>
      <c r="RQH1" s="198"/>
      <c r="RQI1" s="198"/>
      <c r="RQJ1" s="198"/>
      <c r="RQK1" s="198"/>
      <c r="RQL1" s="198"/>
      <c r="RQM1" s="198"/>
      <c r="RQN1" s="198"/>
      <c r="RQO1" s="198"/>
      <c r="RQP1" s="198"/>
      <c r="RQQ1" s="198"/>
      <c r="RQR1" s="198"/>
      <c r="RQS1" s="198"/>
      <c r="RQT1" s="198"/>
      <c r="RQU1" s="198"/>
      <c r="RQV1" s="198"/>
      <c r="RQW1" s="198"/>
      <c r="RQX1" s="198"/>
      <c r="RQY1" s="198"/>
      <c r="RQZ1" s="199"/>
      <c r="RRA1" s="199"/>
      <c r="RRB1" s="200"/>
      <c r="RRC1" s="200"/>
      <c r="RRD1" s="200"/>
      <c r="RRE1" s="200"/>
      <c r="RRF1" s="200"/>
      <c r="RRG1" s="200"/>
      <c r="RRH1" s="200"/>
      <c r="RRI1" s="198"/>
      <c r="RRJ1" s="198"/>
      <c r="RRK1" s="198"/>
      <c r="RRL1" s="198"/>
      <c r="RRM1" s="198"/>
      <c r="RRN1" s="198"/>
      <c r="RRO1" s="198"/>
      <c r="RRP1" s="198"/>
      <c r="RRQ1" s="198"/>
      <c r="RRR1" s="198"/>
      <c r="RRS1" s="198"/>
      <c r="RRT1" s="198"/>
      <c r="RRU1" s="198"/>
      <c r="RRV1" s="198"/>
      <c r="RRW1" s="198"/>
      <c r="RRX1" s="198"/>
      <c r="RRY1" s="198"/>
      <c r="RRZ1" s="198"/>
      <c r="RSA1" s="198"/>
      <c r="RSB1" s="198"/>
      <c r="RSC1" s="198"/>
      <c r="RSD1" s="198"/>
      <c r="RSE1" s="198"/>
      <c r="RSF1" s="198"/>
      <c r="RSG1" s="198"/>
      <c r="RSH1" s="199"/>
      <c r="RSI1" s="199"/>
      <c r="RSJ1" s="200"/>
      <c r="RSK1" s="200"/>
      <c r="RSL1" s="200"/>
      <c r="RSM1" s="200"/>
      <c r="RSN1" s="200"/>
      <c r="RSO1" s="200"/>
      <c r="RSP1" s="200"/>
      <c r="RSQ1" s="198"/>
      <c r="RSR1" s="198"/>
      <c r="RSS1" s="198"/>
      <c r="RST1" s="198"/>
      <c r="RSU1" s="198"/>
      <c r="RSV1" s="198"/>
      <c r="RSW1" s="198"/>
      <c r="RSX1" s="198"/>
      <c r="RSY1" s="198"/>
      <c r="RSZ1" s="198"/>
      <c r="RTA1" s="198"/>
      <c r="RTB1" s="198"/>
      <c r="RTC1" s="198"/>
      <c r="RTD1" s="198"/>
      <c r="RTE1" s="198"/>
      <c r="RTF1" s="198"/>
      <c r="RTG1" s="198"/>
      <c r="RTH1" s="198"/>
      <c r="RTI1" s="198"/>
      <c r="RTJ1" s="198"/>
      <c r="RTK1" s="198"/>
      <c r="RTL1" s="198"/>
      <c r="RTM1" s="198"/>
      <c r="RTN1" s="198"/>
      <c r="RTO1" s="198"/>
      <c r="RTP1" s="199"/>
      <c r="RTQ1" s="199"/>
      <c r="RTR1" s="200"/>
      <c r="RTS1" s="200"/>
      <c r="RTT1" s="200"/>
      <c r="RTU1" s="200"/>
      <c r="RTV1" s="200"/>
      <c r="RTW1" s="200"/>
      <c r="RTX1" s="200"/>
      <c r="RTY1" s="198"/>
      <c r="RTZ1" s="198"/>
      <c r="RUA1" s="198"/>
      <c r="RUB1" s="198"/>
      <c r="RUC1" s="198"/>
      <c r="RUD1" s="198"/>
      <c r="RUE1" s="198"/>
      <c r="RUF1" s="198"/>
      <c r="RUG1" s="198"/>
      <c r="RUH1" s="198"/>
      <c r="RUI1" s="198"/>
      <c r="RUJ1" s="198"/>
      <c r="RUK1" s="198"/>
      <c r="RUL1" s="198"/>
      <c r="RUM1" s="198"/>
      <c r="RUN1" s="198"/>
      <c r="RUO1" s="198"/>
      <c r="RUP1" s="198"/>
      <c r="RUQ1" s="198"/>
      <c r="RUR1" s="198"/>
      <c r="RUS1" s="198"/>
      <c r="RUT1" s="198"/>
      <c r="RUU1" s="198"/>
      <c r="RUV1" s="198"/>
      <c r="RUW1" s="198"/>
      <c r="RUX1" s="199"/>
      <c r="RUY1" s="199"/>
      <c r="RUZ1" s="200"/>
      <c r="RVA1" s="200"/>
      <c r="RVB1" s="200"/>
      <c r="RVC1" s="200"/>
      <c r="RVD1" s="200"/>
      <c r="RVE1" s="200"/>
      <c r="RVF1" s="200"/>
      <c r="RVG1" s="198"/>
      <c r="RVH1" s="198"/>
      <c r="RVI1" s="198"/>
      <c r="RVJ1" s="198"/>
      <c r="RVK1" s="198"/>
      <c r="RVL1" s="198"/>
      <c r="RVM1" s="198"/>
      <c r="RVN1" s="198"/>
      <c r="RVO1" s="198"/>
      <c r="RVP1" s="198"/>
      <c r="RVQ1" s="198"/>
      <c r="RVR1" s="198"/>
      <c r="RVS1" s="198"/>
      <c r="RVT1" s="198"/>
      <c r="RVU1" s="198"/>
      <c r="RVV1" s="198"/>
      <c r="RVW1" s="198"/>
      <c r="RVX1" s="198"/>
      <c r="RVY1" s="198"/>
      <c r="RVZ1" s="198"/>
      <c r="RWA1" s="198"/>
      <c r="RWB1" s="198"/>
      <c r="RWC1" s="198"/>
      <c r="RWD1" s="198"/>
      <c r="RWE1" s="198"/>
      <c r="RWF1" s="199"/>
      <c r="RWG1" s="199"/>
      <c r="RWH1" s="200"/>
      <c r="RWI1" s="200"/>
      <c r="RWJ1" s="200"/>
      <c r="RWK1" s="200"/>
      <c r="RWL1" s="200"/>
      <c r="RWM1" s="200"/>
      <c r="RWN1" s="200"/>
      <c r="RWO1" s="198"/>
      <c r="RWP1" s="198"/>
      <c r="RWQ1" s="198"/>
      <c r="RWR1" s="198"/>
      <c r="RWS1" s="198"/>
      <c r="RWT1" s="198"/>
      <c r="RWU1" s="198"/>
      <c r="RWV1" s="198"/>
      <c r="RWW1" s="198"/>
      <c r="RWX1" s="198"/>
      <c r="RWY1" s="198"/>
      <c r="RWZ1" s="198"/>
      <c r="RXA1" s="198"/>
      <c r="RXB1" s="198"/>
      <c r="RXC1" s="198"/>
      <c r="RXD1" s="198"/>
      <c r="RXE1" s="198"/>
      <c r="RXF1" s="198"/>
      <c r="RXG1" s="198"/>
      <c r="RXH1" s="198"/>
      <c r="RXI1" s="198"/>
      <c r="RXJ1" s="198"/>
      <c r="RXK1" s="198"/>
      <c r="RXL1" s="198"/>
      <c r="RXM1" s="198"/>
      <c r="RXN1" s="199"/>
      <c r="RXO1" s="199"/>
      <c r="RXP1" s="200"/>
      <c r="RXQ1" s="200"/>
      <c r="RXR1" s="200"/>
      <c r="RXS1" s="200"/>
      <c r="RXT1" s="200"/>
      <c r="RXU1" s="200"/>
      <c r="RXV1" s="200"/>
      <c r="RXW1" s="198"/>
      <c r="RXX1" s="198"/>
      <c r="RXY1" s="198"/>
      <c r="RXZ1" s="198"/>
      <c r="RYA1" s="198"/>
      <c r="RYB1" s="198"/>
      <c r="RYC1" s="198"/>
      <c r="RYD1" s="198"/>
      <c r="RYE1" s="198"/>
      <c r="RYF1" s="198"/>
      <c r="RYG1" s="198"/>
      <c r="RYH1" s="198"/>
      <c r="RYI1" s="198"/>
      <c r="RYJ1" s="198"/>
      <c r="RYK1" s="198"/>
      <c r="RYL1" s="198"/>
      <c r="RYM1" s="198"/>
      <c r="RYN1" s="198"/>
      <c r="RYO1" s="198"/>
      <c r="RYP1" s="198"/>
      <c r="RYQ1" s="198"/>
      <c r="RYR1" s="198"/>
      <c r="RYS1" s="198"/>
      <c r="RYT1" s="198"/>
      <c r="RYU1" s="198"/>
      <c r="RYV1" s="199"/>
      <c r="RYW1" s="199"/>
      <c r="RYX1" s="200"/>
      <c r="RYY1" s="200"/>
      <c r="RYZ1" s="200"/>
      <c r="RZA1" s="200"/>
      <c r="RZB1" s="200"/>
      <c r="RZC1" s="200"/>
      <c r="RZD1" s="200"/>
      <c r="RZE1" s="198"/>
      <c r="RZF1" s="198"/>
      <c r="RZG1" s="198"/>
      <c r="RZH1" s="198"/>
      <c r="RZI1" s="198"/>
      <c r="RZJ1" s="198"/>
      <c r="RZK1" s="198"/>
      <c r="RZL1" s="198"/>
      <c r="RZM1" s="198"/>
      <c r="RZN1" s="198"/>
      <c r="RZO1" s="198"/>
      <c r="RZP1" s="198"/>
      <c r="RZQ1" s="198"/>
      <c r="RZR1" s="198"/>
      <c r="RZS1" s="198"/>
      <c r="RZT1" s="198"/>
      <c r="RZU1" s="198"/>
      <c r="RZV1" s="198"/>
      <c r="RZW1" s="198"/>
      <c r="RZX1" s="198"/>
      <c r="RZY1" s="198"/>
      <c r="RZZ1" s="198"/>
      <c r="SAA1" s="198"/>
      <c r="SAB1" s="198"/>
      <c r="SAC1" s="198"/>
      <c r="SAD1" s="199"/>
      <c r="SAE1" s="199"/>
      <c r="SAF1" s="200"/>
      <c r="SAG1" s="200"/>
      <c r="SAH1" s="200"/>
      <c r="SAI1" s="200"/>
      <c r="SAJ1" s="200"/>
      <c r="SAK1" s="200"/>
      <c r="SAL1" s="200"/>
      <c r="SAM1" s="198"/>
      <c r="SAN1" s="198"/>
      <c r="SAO1" s="198"/>
      <c r="SAP1" s="198"/>
      <c r="SAQ1" s="198"/>
      <c r="SAR1" s="198"/>
      <c r="SAS1" s="198"/>
      <c r="SAT1" s="198"/>
      <c r="SAU1" s="198"/>
      <c r="SAV1" s="198"/>
      <c r="SAW1" s="198"/>
      <c r="SAX1" s="198"/>
      <c r="SAY1" s="198"/>
      <c r="SAZ1" s="198"/>
      <c r="SBA1" s="198"/>
      <c r="SBB1" s="198"/>
      <c r="SBC1" s="198"/>
      <c r="SBD1" s="198"/>
      <c r="SBE1" s="198"/>
      <c r="SBF1" s="198"/>
      <c r="SBG1" s="198"/>
      <c r="SBH1" s="198"/>
      <c r="SBI1" s="198"/>
      <c r="SBJ1" s="198"/>
      <c r="SBK1" s="198"/>
      <c r="SBL1" s="199"/>
      <c r="SBM1" s="199"/>
      <c r="SBN1" s="200"/>
      <c r="SBO1" s="200"/>
      <c r="SBP1" s="200"/>
      <c r="SBQ1" s="200"/>
      <c r="SBR1" s="200"/>
      <c r="SBS1" s="200"/>
      <c r="SBT1" s="200"/>
      <c r="SBU1" s="198"/>
      <c r="SBV1" s="198"/>
      <c r="SBW1" s="198"/>
      <c r="SBX1" s="198"/>
      <c r="SBY1" s="198"/>
      <c r="SBZ1" s="198"/>
      <c r="SCA1" s="198"/>
      <c r="SCB1" s="198"/>
      <c r="SCC1" s="198"/>
      <c r="SCD1" s="198"/>
      <c r="SCE1" s="198"/>
      <c r="SCF1" s="198"/>
      <c r="SCG1" s="198"/>
      <c r="SCH1" s="198"/>
      <c r="SCI1" s="198"/>
      <c r="SCJ1" s="198"/>
      <c r="SCK1" s="198"/>
      <c r="SCL1" s="198"/>
      <c r="SCM1" s="198"/>
      <c r="SCN1" s="198"/>
      <c r="SCO1" s="198"/>
      <c r="SCP1" s="198"/>
      <c r="SCQ1" s="198"/>
      <c r="SCR1" s="198"/>
      <c r="SCS1" s="198"/>
      <c r="SCT1" s="199"/>
      <c r="SCU1" s="199"/>
      <c r="SCV1" s="200"/>
      <c r="SCW1" s="200"/>
      <c r="SCX1" s="200"/>
      <c r="SCY1" s="200"/>
      <c r="SCZ1" s="200"/>
      <c r="SDA1" s="200"/>
      <c r="SDB1" s="200"/>
      <c r="SDC1" s="198"/>
      <c r="SDD1" s="198"/>
      <c r="SDE1" s="198"/>
      <c r="SDF1" s="198"/>
      <c r="SDG1" s="198"/>
      <c r="SDH1" s="198"/>
      <c r="SDI1" s="198"/>
      <c r="SDJ1" s="198"/>
      <c r="SDK1" s="198"/>
      <c r="SDL1" s="198"/>
      <c r="SDM1" s="198"/>
      <c r="SDN1" s="198"/>
      <c r="SDO1" s="198"/>
      <c r="SDP1" s="198"/>
      <c r="SDQ1" s="198"/>
      <c r="SDR1" s="198"/>
      <c r="SDS1" s="198"/>
      <c r="SDT1" s="198"/>
      <c r="SDU1" s="198"/>
      <c r="SDV1" s="198"/>
      <c r="SDW1" s="198"/>
      <c r="SDX1" s="198"/>
      <c r="SDY1" s="198"/>
      <c r="SDZ1" s="198"/>
      <c r="SEA1" s="198"/>
      <c r="SEB1" s="199"/>
      <c r="SEC1" s="199"/>
      <c r="SED1" s="200"/>
      <c r="SEE1" s="200"/>
      <c r="SEF1" s="200"/>
      <c r="SEG1" s="200"/>
      <c r="SEH1" s="200"/>
      <c r="SEI1" s="200"/>
      <c r="SEJ1" s="200"/>
      <c r="SEK1" s="198"/>
      <c r="SEL1" s="198"/>
      <c r="SEM1" s="198"/>
      <c r="SEN1" s="198"/>
      <c r="SEO1" s="198"/>
      <c r="SEP1" s="198"/>
      <c r="SEQ1" s="198"/>
      <c r="SER1" s="198"/>
      <c r="SES1" s="198"/>
      <c r="SET1" s="198"/>
      <c r="SEU1" s="198"/>
      <c r="SEV1" s="198"/>
      <c r="SEW1" s="198"/>
      <c r="SEX1" s="198"/>
      <c r="SEY1" s="198"/>
      <c r="SEZ1" s="198"/>
      <c r="SFA1" s="198"/>
      <c r="SFB1" s="198"/>
      <c r="SFC1" s="198"/>
      <c r="SFD1" s="198"/>
      <c r="SFE1" s="198"/>
      <c r="SFF1" s="198"/>
      <c r="SFG1" s="198"/>
      <c r="SFH1" s="198"/>
      <c r="SFI1" s="198"/>
      <c r="SFJ1" s="199"/>
      <c r="SFK1" s="199"/>
      <c r="SFL1" s="200"/>
      <c r="SFM1" s="200"/>
      <c r="SFN1" s="200"/>
      <c r="SFO1" s="200"/>
      <c r="SFP1" s="200"/>
      <c r="SFQ1" s="200"/>
      <c r="SFR1" s="200"/>
      <c r="SFS1" s="198"/>
      <c r="SFT1" s="198"/>
      <c r="SFU1" s="198"/>
      <c r="SFV1" s="198"/>
      <c r="SFW1" s="198"/>
      <c r="SFX1" s="198"/>
      <c r="SFY1" s="198"/>
      <c r="SFZ1" s="198"/>
      <c r="SGA1" s="198"/>
      <c r="SGB1" s="198"/>
      <c r="SGC1" s="198"/>
      <c r="SGD1" s="198"/>
      <c r="SGE1" s="198"/>
      <c r="SGF1" s="198"/>
      <c r="SGG1" s="198"/>
      <c r="SGH1" s="198"/>
      <c r="SGI1" s="198"/>
      <c r="SGJ1" s="198"/>
      <c r="SGK1" s="198"/>
      <c r="SGL1" s="198"/>
      <c r="SGM1" s="198"/>
      <c r="SGN1" s="198"/>
      <c r="SGO1" s="198"/>
      <c r="SGP1" s="198"/>
      <c r="SGQ1" s="198"/>
      <c r="SGR1" s="199"/>
      <c r="SGS1" s="199"/>
      <c r="SGT1" s="200"/>
      <c r="SGU1" s="200"/>
      <c r="SGV1" s="200"/>
      <c r="SGW1" s="200"/>
      <c r="SGX1" s="200"/>
      <c r="SGY1" s="200"/>
      <c r="SGZ1" s="200"/>
      <c r="SHA1" s="198"/>
      <c r="SHB1" s="198"/>
      <c r="SHC1" s="198"/>
      <c r="SHD1" s="198"/>
      <c r="SHE1" s="198"/>
      <c r="SHF1" s="198"/>
      <c r="SHG1" s="198"/>
      <c r="SHH1" s="198"/>
      <c r="SHI1" s="198"/>
      <c r="SHJ1" s="198"/>
      <c r="SHK1" s="198"/>
      <c r="SHL1" s="198"/>
      <c r="SHM1" s="198"/>
      <c r="SHN1" s="198"/>
      <c r="SHO1" s="198"/>
      <c r="SHP1" s="198"/>
      <c r="SHQ1" s="198"/>
      <c r="SHR1" s="198"/>
      <c r="SHS1" s="198"/>
      <c r="SHT1" s="198"/>
      <c r="SHU1" s="198"/>
      <c r="SHV1" s="198"/>
      <c r="SHW1" s="198"/>
      <c r="SHX1" s="198"/>
      <c r="SHY1" s="198"/>
      <c r="SHZ1" s="199"/>
      <c r="SIA1" s="199"/>
      <c r="SIB1" s="200"/>
      <c r="SIC1" s="200"/>
      <c r="SID1" s="200"/>
      <c r="SIE1" s="200"/>
      <c r="SIF1" s="200"/>
      <c r="SIG1" s="200"/>
      <c r="SIH1" s="200"/>
      <c r="SII1" s="198"/>
      <c r="SIJ1" s="198"/>
      <c r="SIK1" s="198"/>
      <c r="SIL1" s="198"/>
      <c r="SIM1" s="198"/>
      <c r="SIN1" s="198"/>
      <c r="SIO1" s="198"/>
      <c r="SIP1" s="198"/>
      <c r="SIQ1" s="198"/>
      <c r="SIR1" s="198"/>
      <c r="SIS1" s="198"/>
      <c r="SIT1" s="198"/>
      <c r="SIU1" s="198"/>
      <c r="SIV1" s="198"/>
      <c r="SIW1" s="198"/>
      <c r="SIX1" s="198"/>
      <c r="SIY1" s="198"/>
      <c r="SIZ1" s="198"/>
      <c r="SJA1" s="198"/>
      <c r="SJB1" s="198"/>
      <c r="SJC1" s="198"/>
      <c r="SJD1" s="198"/>
      <c r="SJE1" s="198"/>
      <c r="SJF1" s="198"/>
      <c r="SJG1" s="198"/>
      <c r="SJH1" s="199"/>
      <c r="SJI1" s="199"/>
      <c r="SJJ1" s="200"/>
      <c r="SJK1" s="200"/>
      <c r="SJL1" s="200"/>
      <c r="SJM1" s="200"/>
      <c r="SJN1" s="200"/>
      <c r="SJO1" s="200"/>
      <c r="SJP1" s="200"/>
      <c r="SJQ1" s="198"/>
      <c r="SJR1" s="198"/>
      <c r="SJS1" s="198"/>
      <c r="SJT1" s="198"/>
      <c r="SJU1" s="198"/>
      <c r="SJV1" s="198"/>
      <c r="SJW1" s="198"/>
      <c r="SJX1" s="198"/>
      <c r="SJY1" s="198"/>
      <c r="SJZ1" s="198"/>
      <c r="SKA1" s="198"/>
      <c r="SKB1" s="198"/>
      <c r="SKC1" s="198"/>
      <c r="SKD1" s="198"/>
      <c r="SKE1" s="198"/>
      <c r="SKF1" s="198"/>
      <c r="SKG1" s="198"/>
      <c r="SKH1" s="198"/>
      <c r="SKI1" s="198"/>
      <c r="SKJ1" s="198"/>
      <c r="SKK1" s="198"/>
      <c r="SKL1" s="198"/>
      <c r="SKM1" s="198"/>
      <c r="SKN1" s="198"/>
      <c r="SKO1" s="198"/>
      <c r="SKP1" s="199"/>
      <c r="SKQ1" s="199"/>
      <c r="SKR1" s="200"/>
      <c r="SKS1" s="200"/>
      <c r="SKT1" s="200"/>
      <c r="SKU1" s="200"/>
      <c r="SKV1" s="200"/>
      <c r="SKW1" s="200"/>
      <c r="SKX1" s="200"/>
      <c r="SKY1" s="198"/>
      <c r="SKZ1" s="198"/>
      <c r="SLA1" s="198"/>
      <c r="SLB1" s="198"/>
      <c r="SLC1" s="198"/>
      <c r="SLD1" s="198"/>
      <c r="SLE1" s="198"/>
      <c r="SLF1" s="198"/>
      <c r="SLG1" s="198"/>
      <c r="SLH1" s="198"/>
      <c r="SLI1" s="198"/>
      <c r="SLJ1" s="198"/>
      <c r="SLK1" s="198"/>
      <c r="SLL1" s="198"/>
      <c r="SLM1" s="198"/>
      <c r="SLN1" s="198"/>
      <c r="SLO1" s="198"/>
      <c r="SLP1" s="198"/>
      <c r="SLQ1" s="198"/>
      <c r="SLR1" s="198"/>
      <c r="SLS1" s="198"/>
      <c r="SLT1" s="198"/>
      <c r="SLU1" s="198"/>
      <c r="SLV1" s="198"/>
      <c r="SLW1" s="198"/>
      <c r="SLX1" s="199"/>
      <c r="SLY1" s="199"/>
      <c r="SLZ1" s="200"/>
      <c r="SMA1" s="200"/>
      <c r="SMB1" s="200"/>
      <c r="SMC1" s="200"/>
      <c r="SMD1" s="200"/>
      <c r="SME1" s="200"/>
      <c r="SMF1" s="200"/>
      <c r="SMG1" s="198"/>
      <c r="SMH1" s="198"/>
      <c r="SMI1" s="198"/>
      <c r="SMJ1" s="198"/>
      <c r="SMK1" s="198"/>
      <c r="SML1" s="198"/>
      <c r="SMM1" s="198"/>
      <c r="SMN1" s="198"/>
      <c r="SMO1" s="198"/>
      <c r="SMP1" s="198"/>
      <c r="SMQ1" s="198"/>
      <c r="SMR1" s="198"/>
      <c r="SMS1" s="198"/>
      <c r="SMT1" s="198"/>
      <c r="SMU1" s="198"/>
      <c r="SMV1" s="198"/>
      <c r="SMW1" s="198"/>
      <c r="SMX1" s="198"/>
      <c r="SMY1" s="198"/>
      <c r="SMZ1" s="198"/>
      <c r="SNA1" s="198"/>
      <c r="SNB1" s="198"/>
      <c r="SNC1" s="198"/>
      <c r="SND1" s="198"/>
      <c r="SNE1" s="198"/>
      <c r="SNF1" s="199"/>
      <c r="SNG1" s="199"/>
      <c r="SNH1" s="200"/>
      <c r="SNI1" s="200"/>
      <c r="SNJ1" s="200"/>
      <c r="SNK1" s="200"/>
      <c r="SNL1" s="200"/>
      <c r="SNM1" s="200"/>
      <c r="SNN1" s="200"/>
      <c r="SNO1" s="198"/>
      <c r="SNP1" s="198"/>
      <c r="SNQ1" s="198"/>
      <c r="SNR1" s="198"/>
      <c r="SNS1" s="198"/>
      <c r="SNT1" s="198"/>
      <c r="SNU1" s="198"/>
      <c r="SNV1" s="198"/>
      <c r="SNW1" s="198"/>
      <c r="SNX1" s="198"/>
      <c r="SNY1" s="198"/>
      <c r="SNZ1" s="198"/>
      <c r="SOA1" s="198"/>
      <c r="SOB1" s="198"/>
      <c r="SOC1" s="198"/>
      <c r="SOD1" s="198"/>
      <c r="SOE1" s="198"/>
      <c r="SOF1" s="198"/>
      <c r="SOG1" s="198"/>
      <c r="SOH1" s="198"/>
      <c r="SOI1" s="198"/>
      <c r="SOJ1" s="198"/>
      <c r="SOK1" s="198"/>
      <c r="SOL1" s="198"/>
      <c r="SOM1" s="198"/>
      <c r="SON1" s="199"/>
      <c r="SOO1" s="199"/>
      <c r="SOP1" s="200"/>
      <c r="SOQ1" s="200"/>
      <c r="SOR1" s="200"/>
      <c r="SOS1" s="200"/>
      <c r="SOT1" s="200"/>
      <c r="SOU1" s="200"/>
      <c r="SOV1" s="200"/>
      <c r="SOW1" s="198"/>
      <c r="SOX1" s="198"/>
      <c r="SOY1" s="198"/>
      <c r="SOZ1" s="198"/>
      <c r="SPA1" s="198"/>
      <c r="SPB1" s="198"/>
      <c r="SPC1" s="198"/>
      <c r="SPD1" s="198"/>
      <c r="SPE1" s="198"/>
      <c r="SPF1" s="198"/>
      <c r="SPG1" s="198"/>
      <c r="SPH1" s="198"/>
      <c r="SPI1" s="198"/>
      <c r="SPJ1" s="198"/>
      <c r="SPK1" s="198"/>
      <c r="SPL1" s="198"/>
      <c r="SPM1" s="198"/>
      <c r="SPN1" s="198"/>
      <c r="SPO1" s="198"/>
      <c r="SPP1" s="198"/>
      <c r="SPQ1" s="198"/>
      <c r="SPR1" s="198"/>
      <c r="SPS1" s="198"/>
      <c r="SPT1" s="198"/>
      <c r="SPU1" s="198"/>
      <c r="SPV1" s="199"/>
      <c r="SPW1" s="199"/>
      <c r="SPX1" s="200"/>
      <c r="SPY1" s="200"/>
      <c r="SPZ1" s="200"/>
      <c r="SQA1" s="200"/>
      <c r="SQB1" s="200"/>
      <c r="SQC1" s="200"/>
      <c r="SQD1" s="200"/>
      <c r="SQE1" s="198"/>
      <c r="SQF1" s="198"/>
      <c r="SQG1" s="198"/>
      <c r="SQH1" s="198"/>
      <c r="SQI1" s="198"/>
      <c r="SQJ1" s="198"/>
      <c r="SQK1" s="198"/>
      <c r="SQL1" s="198"/>
      <c r="SQM1" s="198"/>
      <c r="SQN1" s="198"/>
      <c r="SQO1" s="198"/>
      <c r="SQP1" s="198"/>
      <c r="SQQ1" s="198"/>
      <c r="SQR1" s="198"/>
      <c r="SQS1" s="198"/>
      <c r="SQT1" s="198"/>
      <c r="SQU1" s="198"/>
      <c r="SQV1" s="198"/>
      <c r="SQW1" s="198"/>
      <c r="SQX1" s="198"/>
      <c r="SQY1" s="198"/>
      <c r="SQZ1" s="198"/>
      <c r="SRA1" s="198"/>
      <c r="SRB1" s="198"/>
      <c r="SRC1" s="198"/>
      <c r="SRD1" s="199"/>
      <c r="SRE1" s="199"/>
      <c r="SRF1" s="200"/>
      <c r="SRG1" s="200"/>
      <c r="SRH1" s="200"/>
      <c r="SRI1" s="200"/>
      <c r="SRJ1" s="200"/>
      <c r="SRK1" s="200"/>
      <c r="SRL1" s="200"/>
      <c r="SRM1" s="198"/>
      <c r="SRN1" s="198"/>
      <c r="SRO1" s="198"/>
      <c r="SRP1" s="198"/>
      <c r="SRQ1" s="198"/>
      <c r="SRR1" s="198"/>
      <c r="SRS1" s="198"/>
      <c r="SRT1" s="198"/>
      <c r="SRU1" s="198"/>
      <c r="SRV1" s="198"/>
      <c r="SRW1" s="198"/>
      <c r="SRX1" s="198"/>
      <c r="SRY1" s="198"/>
      <c r="SRZ1" s="198"/>
      <c r="SSA1" s="198"/>
      <c r="SSB1" s="198"/>
      <c r="SSC1" s="198"/>
      <c r="SSD1" s="198"/>
      <c r="SSE1" s="198"/>
      <c r="SSF1" s="198"/>
      <c r="SSG1" s="198"/>
      <c r="SSH1" s="198"/>
      <c r="SSI1" s="198"/>
      <c r="SSJ1" s="198"/>
      <c r="SSK1" s="198"/>
      <c r="SSL1" s="199"/>
      <c r="SSM1" s="199"/>
      <c r="SSN1" s="200"/>
      <c r="SSO1" s="200"/>
      <c r="SSP1" s="200"/>
      <c r="SSQ1" s="200"/>
      <c r="SSR1" s="200"/>
      <c r="SSS1" s="200"/>
      <c r="SST1" s="200"/>
      <c r="SSU1" s="198"/>
      <c r="SSV1" s="198"/>
      <c r="SSW1" s="198"/>
      <c r="SSX1" s="198"/>
      <c r="SSY1" s="198"/>
      <c r="SSZ1" s="198"/>
      <c r="STA1" s="198"/>
      <c r="STB1" s="198"/>
      <c r="STC1" s="198"/>
      <c r="STD1" s="198"/>
      <c r="STE1" s="198"/>
      <c r="STF1" s="198"/>
      <c r="STG1" s="198"/>
      <c r="STH1" s="198"/>
      <c r="STI1" s="198"/>
      <c r="STJ1" s="198"/>
      <c r="STK1" s="198"/>
      <c r="STL1" s="198"/>
      <c r="STM1" s="198"/>
      <c r="STN1" s="198"/>
      <c r="STO1" s="198"/>
      <c r="STP1" s="198"/>
      <c r="STQ1" s="198"/>
      <c r="STR1" s="198"/>
      <c r="STS1" s="198"/>
      <c r="STT1" s="199"/>
      <c r="STU1" s="199"/>
      <c r="STV1" s="200"/>
      <c r="STW1" s="200"/>
      <c r="STX1" s="200"/>
      <c r="STY1" s="200"/>
      <c r="STZ1" s="200"/>
      <c r="SUA1" s="200"/>
      <c r="SUB1" s="200"/>
      <c r="SUC1" s="198"/>
      <c r="SUD1" s="198"/>
      <c r="SUE1" s="198"/>
      <c r="SUF1" s="198"/>
      <c r="SUG1" s="198"/>
      <c r="SUH1" s="198"/>
      <c r="SUI1" s="198"/>
      <c r="SUJ1" s="198"/>
      <c r="SUK1" s="198"/>
      <c r="SUL1" s="198"/>
      <c r="SUM1" s="198"/>
      <c r="SUN1" s="198"/>
      <c r="SUO1" s="198"/>
      <c r="SUP1" s="198"/>
      <c r="SUQ1" s="198"/>
      <c r="SUR1" s="198"/>
      <c r="SUS1" s="198"/>
      <c r="SUT1" s="198"/>
      <c r="SUU1" s="198"/>
      <c r="SUV1" s="198"/>
      <c r="SUW1" s="198"/>
      <c r="SUX1" s="198"/>
      <c r="SUY1" s="198"/>
      <c r="SUZ1" s="198"/>
      <c r="SVA1" s="198"/>
      <c r="SVB1" s="199"/>
      <c r="SVC1" s="199"/>
      <c r="SVD1" s="200"/>
      <c r="SVE1" s="200"/>
      <c r="SVF1" s="200"/>
      <c r="SVG1" s="200"/>
      <c r="SVH1" s="200"/>
      <c r="SVI1" s="200"/>
      <c r="SVJ1" s="200"/>
      <c r="SVK1" s="198"/>
      <c r="SVL1" s="198"/>
      <c r="SVM1" s="198"/>
      <c r="SVN1" s="198"/>
      <c r="SVO1" s="198"/>
      <c r="SVP1" s="198"/>
      <c r="SVQ1" s="198"/>
      <c r="SVR1" s="198"/>
      <c r="SVS1" s="198"/>
      <c r="SVT1" s="198"/>
      <c r="SVU1" s="198"/>
      <c r="SVV1" s="198"/>
      <c r="SVW1" s="198"/>
      <c r="SVX1" s="198"/>
      <c r="SVY1" s="198"/>
      <c r="SVZ1" s="198"/>
      <c r="SWA1" s="198"/>
      <c r="SWB1" s="198"/>
      <c r="SWC1" s="198"/>
      <c r="SWD1" s="198"/>
      <c r="SWE1" s="198"/>
      <c r="SWF1" s="198"/>
      <c r="SWG1" s="198"/>
      <c r="SWH1" s="198"/>
      <c r="SWI1" s="198"/>
      <c r="SWJ1" s="199"/>
      <c r="SWK1" s="199"/>
      <c r="SWL1" s="200"/>
      <c r="SWM1" s="200"/>
      <c r="SWN1" s="200"/>
      <c r="SWO1" s="200"/>
      <c r="SWP1" s="200"/>
      <c r="SWQ1" s="200"/>
      <c r="SWR1" s="200"/>
      <c r="SWS1" s="198"/>
      <c r="SWT1" s="198"/>
      <c r="SWU1" s="198"/>
      <c r="SWV1" s="198"/>
      <c r="SWW1" s="198"/>
      <c r="SWX1" s="198"/>
      <c r="SWY1" s="198"/>
      <c r="SWZ1" s="198"/>
      <c r="SXA1" s="198"/>
      <c r="SXB1" s="198"/>
      <c r="SXC1" s="198"/>
      <c r="SXD1" s="198"/>
      <c r="SXE1" s="198"/>
      <c r="SXF1" s="198"/>
      <c r="SXG1" s="198"/>
      <c r="SXH1" s="198"/>
      <c r="SXI1" s="198"/>
      <c r="SXJ1" s="198"/>
      <c r="SXK1" s="198"/>
      <c r="SXL1" s="198"/>
      <c r="SXM1" s="198"/>
      <c r="SXN1" s="198"/>
      <c r="SXO1" s="198"/>
      <c r="SXP1" s="198"/>
      <c r="SXQ1" s="198"/>
      <c r="SXR1" s="199"/>
      <c r="SXS1" s="199"/>
      <c r="SXT1" s="200"/>
      <c r="SXU1" s="200"/>
      <c r="SXV1" s="200"/>
      <c r="SXW1" s="200"/>
      <c r="SXX1" s="200"/>
      <c r="SXY1" s="200"/>
      <c r="SXZ1" s="200"/>
      <c r="SYA1" s="198"/>
      <c r="SYB1" s="198"/>
      <c r="SYC1" s="198"/>
      <c r="SYD1" s="198"/>
      <c r="SYE1" s="198"/>
      <c r="SYF1" s="198"/>
      <c r="SYG1" s="198"/>
      <c r="SYH1" s="198"/>
      <c r="SYI1" s="198"/>
      <c r="SYJ1" s="198"/>
      <c r="SYK1" s="198"/>
      <c r="SYL1" s="198"/>
      <c r="SYM1" s="198"/>
      <c r="SYN1" s="198"/>
      <c r="SYO1" s="198"/>
      <c r="SYP1" s="198"/>
      <c r="SYQ1" s="198"/>
      <c r="SYR1" s="198"/>
      <c r="SYS1" s="198"/>
      <c r="SYT1" s="198"/>
      <c r="SYU1" s="198"/>
      <c r="SYV1" s="198"/>
      <c r="SYW1" s="198"/>
      <c r="SYX1" s="198"/>
      <c r="SYY1" s="198"/>
      <c r="SYZ1" s="199"/>
      <c r="SZA1" s="199"/>
      <c r="SZB1" s="200"/>
      <c r="SZC1" s="200"/>
      <c r="SZD1" s="200"/>
      <c r="SZE1" s="200"/>
      <c r="SZF1" s="200"/>
      <c r="SZG1" s="200"/>
      <c r="SZH1" s="200"/>
      <c r="SZI1" s="198"/>
      <c r="SZJ1" s="198"/>
      <c r="SZK1" s="198"/>
      <c r="SZL1" s="198"/>
      <c r="SZM1" s="198"/>
      <c r="SZN1" s="198"/>
      <c r="SZO1" s="198"/>
      <c r="SZP1" s="198"/>
      <c r="SZQ1" s="198"/>
      <c r="SZR1" s="198"/>
      <c r="SZS1" s="198"/>
      <c r="SZT1" s="198"/>
      <c r="SZU1" s="198"/>
      <c r="SZV1" s="198"/>
      <c r="SZW1" s="198"/>
      <c r="SZX1" s="198"/>
      <c r="SZY1" s="198"/>
      <c r="SZZ1" s="198"/>
      <c r="TAA1" s="198"/>
      <c r="TAB1" s="198"/>
      <c r="TAC1" s="198"/>
      <c r="TAD1" s="198"/>
      <c r="TAE1" s="198"/>
      <c r="TAF1" s="198"/>
      <c r="TAG1" s="198"/>
      <c r="TAH1" s="199"/>
      <c r="TAI1" s="199"/>
      <c r="TAJ1" s="200"/>
      <c r="TAK1" s="200"/>
      <c r="TAL1" s="200"/>
      <c r="TAM1" s="200"/>
      <c r="TAN1" s="200"/>
      <c r="TAO1" s="200"/>
      <c r="TAP1" s="200"/>
      <c r="TAQ1" s="198"/>
      <c r="TAR1" s="198"/>
      <c r="TAS1" s="198"/>
      <c r="TAT1" s="198"/>
      <c r="TAU1" s="198"/>
      <c r="TAV1" s="198"/>
      <c r="TAW1" s="198"/>
      <c r="TAX1" s="198"/>
      <c r="TAY1" s="198"/>
      <c r="TAZ1" s="198"/>
      <c r="TBA1" s="198"/>
      <c r="TBB1" s="198"/>
      <c r="TBC1" s="198"/>
      <c r="TBD1" s="198"/>
      <c r="TBE1" s="198"/>
      <c r="TBF1" s="198"/>
      <c r="TBG1" s="198"/>
      <c r="TBH1" s="198"/>
      <c r="TBI1" s="198"/>
      <c r="TBJ1" s="198"/>
      <c r="TBK1" s="198"/>
      <c r="TBL1" s="198"/>
      <c r="TBM1" s="198"/>
      <c r="TBN1" s="198"/>
      <c r="TBO1" s="198"/>
      <c r="TBP1" s="199"/>
      <c r="TBQ1" s="199"/>
      <c r="TBR1" s="200"/>
      <c r="TBS1" s="200"/>
      <c r="TBT1" s="200"/>
      <c r="TBU1" s="200"/>
      <c r="TBV1" s="200"/>
      <c r="TBW1" s="200"/>
      <c r="TBX1" s="200"/>
      <c r="TBY1" s="198"/>
      <c r="TBZ1" s="198"/>
      <c r="TCA1" s="198"/>
      <c r="TCB1" s="198"/>
      <c r="TCC1" s="198"/>
      <c r="TCD1" s="198"/>
      <c r="TCE1" s="198"/>
      <c r="TCF1" s="198"/>
      <c r="TCG1" s="198"/>
      <c r="TCH1" s="198"/>
      <c r="TCI1" s="198"/>
      <c r="TCJ1" s="198"/>
      <c r="TCK1" s="198"/>
      <c r="TCL1" s="198"/>
      <c r="TCM1" s="198"/>
      <c r="TCN1" s="198"/>
      <c r="TCO1" s="198"/>
      <c r="TCP1" s="198"/>
      <c r="TCQ1" s="198"/>
      <c r="TCR1" s="198"/>
      <c r="TCS1" s="198"/>
      <c r="TCT1" s="198"/>
      <c r="TCU1" s="198"/>
      <c r="TCV1" s="198"/>
      <c r="TCW1" s="198"/>
      <c r="TCX1" s="199"/>
      <c r="TCY1" s="199"/>
      <c r="TCZ1" s="200"/>
      <c r="TDA1" s="200"/>
      <c r="TDB1" s="200"/>
      <c r="TDC1" s="200"/>
      <c r="TDD1" s="200"/>
      <c r="TDE1" s="200"/>
      <c r="TDF1" s="200"/>
      <c r="TDG1" s="198"/>
      <c r="TDH1" s="198"/>
      <c r="TDI1" s="198"/>
      <c r="TDJ1" s="198"/>
      <c r="TDK1" s="198"/>
      <c r="TDL1" s="198"/>
      <c r="TDM1" s="198"/>
      <c r="TDN1" s="198"/>
      <c r="TDO1" s="198"/>
      <c r="TDP1" s="198"/>
      <c r="TDQ1" s="198"/>
      <c r="TDR1" s="198"/>
      <c r="TDS1" s="198"/>
      <c r="TDT1" s="198"/>
      <c r="TDU1" s="198"/>
      <c r="TDV1" s="198"/>
      <c r="TDW1" s="198"/>
      <c r="TDX1" s="198"/>
      <c r="TDY1" s="198"/>
      <c r="TDZ1" s="198"/>
      <c r="TEA1" s="198"/>
      <c r="TEB1" s="198"/>
      <c r="TEC1" s="198"/>
      <c r="TED1" s="198"/>
      <c r="TEE1" s="198"/>
      <c r="TEF1" s="199"/>
      <c r="TEG1" s="199"/>
      <c r="TEH1" s="200"/>
      <c r="TEI1" s="200"/>
      <c r="TEJ1" s="200"/>
      <c r="TEK1" s="200"/>
      <c r="TEL1" s="200"/>
      <c r="TEM1" s="200"/>
      <c r="TEN1" s="200"/>
      <c r="TEO1" s="198"/>
      <c r="TEP1" s="198"/>
      <c r="TEQ1" s="198"/>
      <c r="TER1" s="198"/>
      <c r="TES1" s="198"/>
      <c r="TET1" s="198"/>
      <c r="TEU1" s="198"/>
      <c r="TEV1" s="198"/>
      <c r="TEW1" s="198"/>
      <c r="TEX1" s="198"/>
      <c r="TEY1" s="198"/>
      <c r="TEZ1" s="198"/>
      <c r="TFA1" s="198"/>
      <c r="TFB1" s="198"/>
      <c r="TFC1" s="198"/>
      <c r="TFD1" s="198"/>
      <c r="TFE1" s="198"/>
      <c r="TFF1" s="198"/>
      <c r="TFG1" s="198"/>
      <c r="TFH1" s="198"/>
      <c r="TFI1" s="198"/>
      <c r="TFJ1" s="198"/>
      <c r="TFK1" s="198"/>
      <c r="TFL1" s="198"/>
      <c r="TFM1" s="198"/>
      <c r="TFN1" s="199"/>
      <c r="TFO1" s="199"/>
      <c r="TFP1" s="200"/>
      <c r="TFQ1" s="200"/>
      <c r="TFR1" s="200"/>
      <c r="TFS1" s="200"/>
      <c r="TFT1" s="200"/>
      <c r="TFU1" s="200"/>
      <c r="TFV1" s="200"/>
      <c r="TFW1" s="198"/>
      <c r="TFX1" s="198"/>
      <c r="TFY1" s="198"/>
      <c r="TFZ1" s="198"/>
      <c r="TGA1" s="198"/>
      <c r="TGB1" s="198"/>
      <c r="TGC1" s="198"/>
      <c r="TGD1" s="198"/>
      <c r="TGE1" s="198"/>
      <c r="TGF1" s="198"/>
      <c r="TGG1" s="198"/>
      <c r="TGH1" s="198"/>
      <c r="TGI1" s="198"/>
      <c r="TGJ1" s="198"/>
      <c r="TGK1" s="198"/>
      <c r="TGL1" s="198"/>
      <c r="TGM1" s="198"/>
      <c r="TGN1" s="198"/>
      <c r="TGO1" s="198"/>
      <c r="TGP1" s="198"/>
      <c r="TGQ1" s="198"/>
      <c r="TGR1" s="198"/>
      <c r="TGS1" s="198"/>
      <c r="TGT1" s="198"/>
      <c r="TGU1" s="198"/>
      <c r="TGV1" s="199"/>
      <c r="TGW1" s="199"/>
      <c r="TGX1" s="200"/>
      <c r="TGY1" s="200"/>
      <c r="TGZ1" s="200"/>
      <c r="THA1" s="200"/>
      <c r="THB1" s="200"/>
      <c r="THC1" s="200"/>
      <c r="THD1" s="200"/>
      <c r="THE1" s="198"/>
      <c r="THF1" s="198"/>
      <c r="THG1" s="198"/>
      <c r="THH1" s="198"/>
      <c r="THI1" s="198"/>
      <c r="THJ1" s="198"/>
      <c r="THK1" s="198"/>
      <c r="THL1" s="198"/>
      <c r="THM1" s="198"/>
      <c r="THN1" s="198"/>
      <c r="THO1" s="198"/>
      <c r="THP1" s="198"/>
      <c r="THQ1" s="198"/>
      <c r="THR1" s="198"/>
      <c r="THS1" s="198"/>
      <c r="THT1" s="198"/>
      <c r="THU1" s="198"/>
      <c r="THV1" s="198"/>
      <c r="THW1" s="198"/>
      <c r="THX1" s="198"/>
      <c r="THY1" s="198"/>
      <c r="THZ1" s="198"/>
      <c r="TIA1" s="198"/>
      <c r="TIB1" s="198"/>
      <c r="TIC1" s="198"/>
      <c r="TID1" s="199"/>
      <c r="TIE1" s="199"/>
      <c r="TIF1" s="200"/>
      <c r="TIG1" s="200"/>
      <c r="TIH1" s="200"/>
      <c r="TII1" s="200"/>
      <c r="TIJ1" s="200"/>
      <c r="TIK1" s="200"/>
      <c r="TIL1" s="200"/>
      <c r="TIM1" s="198"/>
      <c r="TIN1" s="198"/>
      <c r="TIO1" s="198"/>
      <c r="TIP1" s="198"/>
      <c r="TIQ1" s="198"/>
      <c r="TIR1" s="198"/>
      <c r="TIS1" s="198"/>
      <c r="TIT1" s="198"/>
      <c r="TIU1" s="198"/>
      <c r="TIV1" s="198"/>
      <c r="TIW1" s="198"/>
      <c r="TIX1" s="198"/>
      <c r="TIY1" s="198"/>
      <c r="TIZ1" s="198"/>
      <c r="TJA1" s="198"/>
      <c r="TJB1" s="198"/>
      <c r="TJC1" s="198"/>
      <c r="TJD1" s="198"/>
      <c r="TJE1" s="198"/>
      <c r="TJF1" s="198"/>
      <c r="TJG1" s="198"/>
      <c r="TJH1" s="198"/>
      <c r="TJI1" s="198"/>
      <c r="TJJ1" s="198"/>
      <c r="TJK1" s="198"/>
      <c r="TJL1" s="199"/>
      <c r="TJM1" s="199"/>
      <c r="TJN1" s="200"/>
      <c r="TJO1" s="200"/>
      <c r="TJP1" s="200"/>
      <c r="TJQ1" s="200"/>
      <c r="TJR1" s="200"/>
      <c r="TJS1" s="200"/>
      <c r="TJT1" s="200"/>
      <c r="TJU1" s="198"/>
      <c r="TJV1" s="198"/>
      <c r="TJW1" s="198"/>
      <c r="TJX1" s="198"/>
      <c r="TJY1" s="198"/>
      <c r="TJZ1" s="198"/>
      <c r="TKA1" s="198"/>
      <c r="TKB1" s="198"/>
      <c r="TKC1" s="198"/>
      <c r="TKD1" s="198"/>
      <c r="TKE1" s="198"/>
      <c r="TKF1" s="198"/>
      <c r="TKG1" s="198"/>
      <c r="TKH1" s="198"/>
      <c r="TKI1" s="198"/>
      <c r="TKJ1" s="198"/>
      <c r="TKK1" s="198"/>
      <c r="TKL1" s="198"/>
      <c r="TKM1" s="198"/>
      <c r="TKN1" s="198"/>
      <c r="TKO1" s="198"/>
      <c r="TKP1" s="198"/>
      <c r="TKQ1" s="198"/>
      <c r="TKR1" s="198"/>
      <c r="TKS1" s="198"/>
      <c r="TKT1" s="199"/>
      <c r="TKU1" s="199"/>
      <c r="TKV1" s="200"/>
      <c r="TKW1" s="200"/>
      <c r="TKX1" s="200"/>
      <c r="TKY1" s="200"/>
      <c r="TKZ1" s="200"/>
      <c r="TLA1" s="200"/>
      <c r="TLB1" s="200"/>
      <c r="TLC1" s="198"/>
      <c r="TLD1" s="198"/>
      <c r="TLE1" s="198"/>
      <c r="TLF1" s="198"/>
      <c r="TLG1" s="198"/>
      <c r="TLH1" s="198"/>
      <c r="TLI1" s="198"/>
      <c r="TLJ1" s="198"/>
      <c r="TLK1" s="198"/>
      <c r="TLL1" s="198"/>
      <c r="TLM1" s="198"/>
      <c r="TLN1" s="198"/>
      <c r="TLO1" s="198"/>
      <c r="TLP1" s="198"/>
      <c r="TLQ1" s="198"/>
      <c r="TLR1" s="198"/>
      <c r="TLS1" s="198"/>
      <c r="TLT1" s="198"/>
      <c r="TLU1" s="198"/>
      <c r="TLV1" s="198"/>
      <c r="TLW1" s="198"/>
      <c r="TLX1" s="198"/>
      <c r="TLY1" s="198"/>
      <c r="TLZ1" s="198"/>
      <c r="TMA1" s="198"/>
      <c r="TMB1" s="199"/>
      <c r="TMC1" s="199"/>
      <c r="TMD1" s="200"/>
      <c r="TME1" s="200"/>
      <c r="TMF1" s="200"/>
      <c r="TMG1" s="200"/>
      <c r="TMH1" s="200"/>
      <c r="TMI1" s="200"/>
      <c r="TMJ1" s="200"/>
      <c r="TMK1" s="198"/>
      <c r="TML1" s="198"/>
      <c r="TMM1" s="198"/>
      <c r="TMN1" s="198"/>
      <c r="TMO1" s="198"/>
      <c r="TMP1" s="198"/>
      <c r="TMQ1" s="198"/>
      <c r="TMR1" s="198"/>
      <c r="TMS1" s="198"/>
      <c r="TMT1" s="198"/>
      <c r="TMU1" s="198"/>
      <c r="TMV1" s="198"/>
      <c r="TMW1" s="198"/>
      <c r="TMX1" s="198"/>
      <c r="TMY1" s="198"/>
      <c r="TMZ1" s="198"/>
      <c r="TNA1" s="198"/>
      <c r="TNB1" s="198"/>
      <c r="TNC1" s="198"/>
      <c r="TND1" s="198"/>
      <c r="TNE1" s="198"/>
      <c r="TNF1" s="198"/>
      <c r="TNG1" s="198"/>
      <c r="TNH1" s="198"/>
      <c r="TNI1" s="198"/>
      <c r="TNJ1" s="199"/>
      <c r="TNK1" s="199"/>
      <c r="TNL1" s="200"/>
      <c r="TNM1" s="200"/>
      <c r="TNN1" s="200"/>
      <c r="TNO1" s="200"/>
      <c r="TNP1" s="200"/>
      <c r="TNQ1" s="200"/>
      <c r="TNR1" s="200"/>
      <c r="TNS1" s="198"/>
      <c r="TNT1" s="198"/>
      <c r="TNU1" s="198"/>
      <c r="TNV1" s="198"/>
      <c r="TNW1" s="198"/>
      <c r="TNX1" s="198"/>
      <c r="TNY1" s="198"/>
      <c r="TNZ1" s="198"/>
      <c r="TOA1" s="198"/>
      <c r="TOB1" s="198"/>
      <c r="TOC1" s="198"/>
      <c r="TOD1" s="198"/>
      <c r="TOE1" s="198"/>
      <c r="TOF1" s="198"/>
      <c r="TOG1" s="198"/>
      <c r="TOH1" s="198"/>
      <c r="TOI1" s="198"/>
      <c r="TOJ1" s="198"/>
      <c r="TOK1" s="198"/>
      <c r="TOL1" s="198"/>
      <c r="TOM1" s="198"/>
      <c r="TON1" s="198"/>
      <c r="TOO1" s="198"/>
      <c r="TOP1" s="198"/>
      <c r="TOQ1" s="198"/>
      <c r="TOR1" s="199"/>
      <c r="TOS1" s="199"/>
      <c r="TOT1" s="200"/>
      <c r="TOU1" s="200"/>
      <c r="TOV1" s="200"/>
      <c r="TOW1" s="200"/>
      <c r="TOX1" s="200"/>
      <c r="TOY1" s="200"/>
      <c r="TOZ1" s="200"/>
      <c r="TPA1" s="198"/>
      <c r="TPB1" s="198"/>
      <c r="TPC1" s="198"/>
      <c r="TPD1" s="198"/>
      <c r="TPE1" s="198"/>
      <c r="TPF1" s="198"/>
      <c r="TPG1" s="198"/>
      <c r="TPH1" s="198"/>
      <c r="TPI1" s="198"/>
      <c r="TPJ1" s="198"/>
      <c r="TPK1" s="198"/>
      <c r="TPL1" s="198"/>
      <c r="TPM1" s="198"/>
      <c r="TPN1" s="198"/>
      <c r="TPO1" s="198"/>
      <c r="TPP1" s="198"/>
      <c r="TPQ1" s="198"/>
      <c r="TPR1" s="198"/>
      <c r="TPS1" s="198"/>
      <c r="TPT1" s="198"/>
      <c r="TPU1" s="198"/>
      <c r="TPV1" s="198"/>
      <c r="TPW1" s="198"/>
      <c r="TPX1" s="198"/>
      <c r="TPY1" s="198"/>
      <c r="TPZ1" s="199"/>
      <c r="TQA1" s="199"/>
      <c r="TQB1" s="200"/>
      <c r="TQC1" s="200"/>
      <c r="TQD1" s="200"/>
      <c r="TQE1" s="200"/>
      <c r="TQF1" s="200"/>
      <c r="TQG1" s="200"/>
      <c r="TQH1" s="200"/>
      <c r="TQI1" s="198"/>
      <c r="TQJ1" s="198"/>
      <c r="TQK1" s="198"/>
      <c r="TQL1" s="198"/>
      <c r="TQM1" s="198"/>
      <c r="TQN1" s="198"/>
      <c r="TQO1" s="198"/>
      <c r="TQP1" s="198"/>
      <c r="TQQ1" s="198"/>
      <c r="TQR1" s="198"/>
      <c r="TQS1" s="198"/>
      <c r="TQT1" s="198"/>
      <c r="TQU1" s="198"/>
      <c r="TQV1" s="198"/>
      <c r="TQW1" s="198"/>
      <c r="TQX1" s="198"/>
      <c r="TQY1" s="198"/>
      <c r="TQZ1" s="198"/>
      <c r="TRA1" s="198"/>
      <c r="TRB1" s="198"/>
      <c r="TRC1" s="198"/>
      <c r="TRD1" s="198"/>
      <c r="TRE1" s="198"/>
      <c r="TRF1" s="198"/>
      <c r="TRG1" s="198"/>
      <c r="TRH1" s="199"/>
      <c r="TRI1" s="199"/>
      <c r="TRJ1" s="200"/>
      <c r="TRK1" s="200"/>
      <c r="TRL1" s="200"/>
      <c r="TRM1" s="200"/>
      <c r="TRN1" s="200"/>
      <c r="TRO1" s="200"/>
      <c r="TRP1" s="200"/>
      <c r="TRQ1" s="198"/>
      <c r="TRR1" s="198"/>
      <c r="TRS1" s="198"/>
      <c r="TRT1" s="198"/>
      <c r="TRU1" s="198"/>
      <c r="TRV1" s="198"/>
      <c r="TRW1" s="198"/>
      <c r="TRX1" s="198"/>
      <c r="TRY1" s="198"/>
      <c r="TRZ1" s="198"/>
      <c r="TSA1" s="198"/>
      <c r="TSB1" s="198"/>
      <c r="TSC1" s="198"/>
      <c r="TSD1" s="198"/>
      <c r="TSE1" s="198"/>
      <c r="TSF1" s="198"/>
      <c r="TSG1" s="198"/>
      <c r="TSH1" s="198"/>
      <c r="TSI1" s="198"/>
      <c r="TSJ1" s="198"/>
      <c r="TSK1" s="198"/>
      <c r="TSL1" s="198"/>
      <c r="TSM1" s="198"/>
      <c r="TSN1" s="198"/>
      <c r="TSO1" s="198"/>
      <c r="TSP1" s="199"/>
      <c r="TSQ1" s="199"/>
      <c r="TSR1" s="200"/>
      <c r="TSS1" s="200"/>
      <c r="TST1" s="200"/>
      <c r="TSU1" s="200"/>
      <c r="TSV1" s="200"/>
      <c r="TSW1" s="200"/>
      <c r="TSX1" s="200"/>
      <c r="TSY1" s="198"/>
      <c r="TSZ1" s="198"/>
      <c r="TTA1" s="198"/>
      <c r="TTB1" s="198"/>
      <c r="TTC1" s="198"/>
      <c r="TTD1" s="198"/>
      <c r="TTE1" s="198"/>
      <c r="TTF1" s="198"/>
      <c r="TTG1" s="198"/>
      <c r="TTH1" s="198"/>
      <c r="TTI1" s="198"/>
      <c r="TTJ1" s="198"/>
      <c r="TTK1" s="198"/>
      <c r="TTL1" s="198"/>
      <c r="TTM1" s="198"/>
      <c r="TTN1" s="198"/>
      <c r="TTO1" s="198"/>
      <c r="TTP1" s="198"/>
      <c r="TTQ1" s="198"/>
      <c r="TTR1" s="198"/>
      <c r="TTS1" s="198"/>
      <c r="TTT1" s="198"/>
      <c r="TTU1" s="198"/>
      <c r="TTV1" s="198"/>
      <c r="TTW1" s="198"/>
      <c r="TTX1" s="199"/>
      <c r="TTY1" s="199"/>
      <c r="TTZ1" s="200"/>
      <c r="TUA1" s="200"/>
      <c r="TUB1" s="200"/>
      <c r="TUC1" s="200"/>
      <c r="TUD1" s="200"/>
      <c r="TUE1" s="200"/>
      <c r="TUF1" s="200"/>
      <c r="TUG1" s="198"/>
      <c r="TUH1" s="198"/>
      <c r="TUI1" s="198"/>
      <c r="TUJ1" s="198"/>
      <c r="TUK1" s="198"/>
      <c r="TUL1" s="198"/>
      <c r="TUM1" s="198"/>
      <c r="TUN1" s="198"/>
      <c r="TUO1" s="198"/>
      <c r="TUP1" s="198"/>
      <c r="TUQ1" s="198"/>
      <c r="TUR1" s="198"/>
      <c r="TUS1" s="198"/>
      <c r="TUT1" s="198"/>
      <c r="TUU1" s="198"/>
      <c r="TUV1" s="198"/>
      <c r="TUW1" s="198"/>
      <c r="TUX1" s="198"/>
      <c r="TUY1" s="198"/>
      <c r="TUZ1" s="198"/>
      <c r="TVA1" s="198"/>
      <c r="TVB1" s="198"/>
      <c r="TVC1" s="198"/>
      <c r="TVD1" s="198"/>
      <c r="TVE1" s="198"/>
      <c r="TVF1" s="199"/>
      <c r="TVG1" s="199"/>
      <c r="TVH1" s="200"/>
      <c r="TVI1" s="200"/>
      <c r="TVJ1" s="200"/>
      <c r="TVK1" s="200"/>
      <c r="TVL1" s="200"/>
      <c r="TVM1" s="200"/>
      <c r="TVN1" s="200"/>
      <c r="TVO1" s="198"/>
      <c r="TVP1" s="198"/>
      <c r="TVQ1" s="198"/>
      <c r="TVR1" s="198"/>
      <c r="TVS1" s="198"/>
      <c r="TVT1" s="198"/>
      <c r="TVU1" s="198"/>
      <c r="TVV1" s="198"/>
      <c r="TVW1" s="198"/>
      <c r="TVX1" s="198"/>
      <c r="TVY1" s="198"/>
      <c r="TVZ1" s="198"/>
      <c r="TWA1" s="198"/>
      <c r="TWB1" s="198"/>
      <c r="TWC1" s="198"/>
      <c r="TWD1" s="198"/>
      <c r="TWE1" s="198"/>
      <c r="TWF1" s="198"/>
      <c r="TWG1" s="198"/>
      <c r="TWH1" s="198"/>
      <c r="TWI1" s="198"/>
      <c r="TWJ1" s="198"/>
      <c r="TWK1" s="198"/>
      <c r="TWL1" s="198"/>
      <c r="TWM1" s="198"/>
      <c r="TWN1" s="199"/>
      <c r="TWO1" s="199"/>
      <c r="TWP1" s="200"/>
      <c r="TWQ1" s="200"/>
      <c r="TWR1" s="200"/>
      <c r="TWS1" s="200"/>
      <c r="TWT1" s="200"/>
      <c r="TWU1" s="200"/>
      <c r="TWV1" s="200"/>
      <c r="TWW1" s="198"/>
      <c r="TWX1" s="198"/>
      <c r="TWY1" s="198"/>
      <c r="TWZ1" s="198"/>
      <c r="TXA1" s="198"/>
      <c r="TXB1" s="198"/>
      <c r="TXC1" s="198"/>
      <c r="TXD1" s="198"/>
      <c r="TXE1" s="198"/>
      <c r="TXF1" s="198"/>
      <c r="TXG1" s="198"/>
      <c r="TXH1" s="198"/>
      <c r="TXI1" s="198"/>
      <c r="TXJ1" s="198"/>
      <c r="TXK1" s="198"/>
      <c r="TXL1" s="198"/>
      <c r="TXM1" s="198"/>
      <c r="TXN1" s="198"/>
      <c r="TXO1" s="198"/>
      <c r="TXP1" s="198"/>
      <c r="TXQ1" s="198"/>
      <c r="TXR1" s="198"/>
      <c r="TXS1" s="198"/>
      <c r="TXT1" s="198"/>
      <c r="TXU1" s="198"/>
      <c r="TXV1" s="199"/>
      <c r="TXW1" s="199"/>
      <c r="TXX1" s="200"/>
      <c r="TXY1" s="200"/>
      <c r="TXZ1" s="200"/>
      <c r="TYA1" s="200"/>
      <c r="TYB1" s="200"/>
      <c r="TYC1" s="200"/>
      <c r="TYD1" s="200"/>
      <c r="TYE1" s="198"/>
      <c r="TYF1" s="198"/>
      <c r="TYG1" s="198"/>
      <c r="TYH1" s="198"/>
      <c r="TYI1" s="198"/>
      <c r="TYJ1" s="198"/>
      <c r="TYK1" s="198"/>
      <c r="TYL1" s="198"/>
      <c r="TYM1" s="198"/>
      <c r="TYN1" s="198"/>
      <c r="TYO1" s="198"/>
      <c r="TYP1" s="198"/>
      <c r="TYQ1" s="198"/>
      <c r="TYR1" s="198"/>
      <c r="TYS1" s="198"/>
      <c r="TYT1" s="198"/>
      <c r="TYU1" s="198"/>
      <c r="TYV1" s="198"/>
      <c r="TYW1" s="198"/>
      <c r="TYX1" s="198"/>
      <c r="TYY1" s="198"/>
      <c r="TYZ1" s="198"/>
      <c r="TZA1" s="198"/>
      <c r="TZB1" s="198"/>
      <c r="TZC1" s="198"/>
      <c r="TZD1" s="199"/>
      <c r="TZE1" s="199"/>
      <c r="TZF1" s="200"/>
      <c r="TZG1" s="200"/>
      <c r="TZH1" s="200"/>
      <c r="TZI1" s="200"/>
      <c r="TZJ1" s="200"/>
      <c r="TZK1" s="200"/>
      <c r="TZL1" s="200"/>
      <c r="TZM1" s="198"/>
      <c r="TZN1" s="198"/>
      <c r="TZO1" s="198"/>
      <c r="TZP1" s="198"/>
      <c r="TZQ1" s="198"/>
      <c r="TZR1" s="198"/>
      <c r="TZS1" s="198"/>
      <c r="TZT1" s="198"/>
      <c r="TZU1" s="198"/>
      <c r="TZV1" s="198"/>
      <c r="TZW1" s="198"/>
      <c r="TZX1" s="198"/>
      <c r="TZY1" s="198"/>
      <c r="TZZ1" s="198"/>
      <c r="UAA1" s="198"/>
      <c r="UAB1" s="198"/>
      <c r="UAC1" s="198"/>
      <c r="UAD1" s="198"/>
      <c r="UAE1" s="198"/>
      <c r="UAF1" s="198"/>
      <c r="UAG1" s="198"/>
      <c r="UAH1" s="198"/>
      <c r="UAI1" s="198"/>
      <c r="UAJ1" s="198"/>
      <c r="UAK1" s="198"/>
      <c r="UAL1" s="199"/>
      <c r="UAM1" s="199"/>
      <c r="UAN1" s="200"/>
      <c r="UAO1" s="200"/>
      <c r="UAP1" s="200"/>
      <c r="UAQ1" s="200"/>
      <c r="UAR1" s="200"/>
      <c r="UAS1" s="200"/>
      <c r="UAT1" s="200"/>
      <c r="UAU1" s="198"/>
      <c r="UAV1" s="198"/>
      <c r="UAW1" s="198"/>
      <c r="UAX1" s="198"/>
      <c r="UAY1" s="198"/>
      <c r="UAZ1" s="198"/>
      <c r="UBA1" s="198"/>
      <c r="UBB1" s="198"/>
      <c r="UBC1" s="198"/>
      <c r="UBD1" s="198"/>
      <c r="UBE1" s="198"/>
      <c r="UBF1" s="198"/>
      <c r="UBG1" s="198"/>
      <c r="UBH1" s="198"/>
      <c r="UBI1" s="198"/>
      <c r="UBJ1" s="198"/>
      <c r="UBK1" s="198"/>
      <c r="UBL1" s="198"/>
      <c r="UBM1" s="198"/>
      <c r="UBN1" s="198"/>
      <c r="UBO1" s="198"/>
      <c r="UBP1" s="198"/>
      <c r="UBQ1" s="198"/>
      <c r="UBR1" s="198"/>
      <c r="UBS1" s="198"/>
      <c r="UBT1" s="199"/>
      <c r="UBU1" s="199"/>
      <c r="UBV1" s="200"/>
      <c r="UBW1" s="200"/>
      <c r="UBX1" s="200"/>
      <c r="UBY1" s="200"/>
      <c r="UBZ1" s="200"/>
      <c r="UCA1" s="200"/>
      <c r="UCB1" s="200"/>
      <c r="UCC1" s="198"/>
      <c r="UCD1" s="198"/>
      <c r="UCE1" s="198"/>
      <c r="UCF1" s="198"/>
      <c r="UCG1" s="198"/>
      <c r="UCH1" s="198"/>
      <c r="UCI1" s="198"/>
      <c r="UCJ1" s="198"/>
      <c r="UCK1" s="198"/>
      <c r="UCL1" s="198"/>
      <c r="UCM1" s="198"/>
      <c r="UCN1" s="198"/>
      <c r="UCO1" s="198"/>
      <c r="UCP1" s="198"/>
      <c r="UCQ1" s="198"/>
      <c r="UCR1" s="198"/>
      <c r="UCS1" s="198"/>
      <c r="UCT1" s="198"/>
      <c r="UCU1" s="198"/>
      <c r="UCV1" s="198"/>
      <c r="UCW1" s="198"/>
      <c r="UCX1" s="198"/>
      <c r="UCY1" s="198"/>
      <c r="UCZ1" s="198"/>
      <c r="UDA1" s="198"/>
      <c r="UDB1" s="199"/>
      <c r="UDC1" s="199"/>
      <c r="UDD1" s="200"/>
      <c r="UDE1" s="200"/>
      <c r="UDF1" s="200"/>
      <c r="UDG1" s="200"/>
      <c r="UDH1" s="200"/>
      <c r="UDI1" s="200"/>
      <c r="UDJ1" s="200"/>
      <c r="UDK1" s="198"/>
      <c r="UDL1" s="198"/>
      <c r="UDM1" s="198"/>
      <c r="UDN1" s="198"/>
      <c r="UDO1" s="198"/>
      <c r="UDP1" s="198"/>
      <c r="UDQ1" s="198"/>
      <c r="UDR1" s="198"/>
      <c r="UDS1" s="198"/>
      <c r="UDT1" s="198"/>
      <c r="UDU1" s="198"/>
      <c r="UDV1" s="198"/>
      <c r="UDW1" s="198"/>
      <c r="UDX1" s="198"/>
      <c r="UDY1" s="198"/>
      <c r="UDZ1" s="198"/>
      <c r="UEA1" s="198"/>
      <c r="UEB1" s="198"/>
      <c r="UEC1" s="198"/>
      <c r="UED1" s="198"/>
      <c r="UEE1" s="198"/>
      <c r="UEF1" s="198"/>
      <c r="UEG1" s="198"/>
      <c r="UEH1" s="198"/>
      <c r="UEI1" s="198"/>
      <c r="UEJ1" s="199"/>
      <c r="UEK1" s="199"/>
      <c r="UEL1" s="200"/>
      <c r="UEM1" s="200"/>
      <c r="UEN1" s="200"/>
      <c r="UEO1" s="200"/>
      <c r="UEP1" s="200"/>
      <c r="UEQ1" s="200"/>
      <c r="UER1" s="200"/>
      <c r="UES1" s="198"/>
      <c r="UET1" s="198"/>
      <c r="UEU1" s="198"/>
      <c r="UEV1" s="198"/>
      <c r="UEW1" s="198"/>
      <c r="UEX1" s="198"/>
      <c r="UEY1" s="198"/>
      <c r="UEZ1" s="198"/>
      <c r="UFA1" s="198"/>
      <c r="UFB1" s="198"/>
      <c r="UFC1" s="198"/>
      <c r="UFD1" s="198"/>
      <c r="UFE1" s="198"/>
      <c r="UFF1" s="198"/>
      <c r="UFG1" s="198"/>
      <c r="UFH1" s="198"/>
      <c r="UFI1" s="198"/>
      <c r="UFJ1" s="198"/>
      <c r="UFK1" s="198"/>
      <c r="UFL1" s="198"/>
      <c r="UFM1" s="198"/>
      <c r="UFN1" s="198"/>
      <c r="UFO1" s="198"/>
      <c r="UFP1" s="198"/>
      <c r="UFQ1" s="198"/>
      <c r="UFR1" s="199"/>
      <c r="UFS1" s="199"/>
      <c r="UFT1" s="200"/>
      <c r="UFU1" s="200"/>
      <c r="UFV1" s="200"/>
      <c r="UFW1" s="200"/>
      <c r="UFX1" s="200"/>
      <c r="UFY1" s="200"/>
      <c r="UFZ1" s="200"/>
      <c r="UGA1" s="198"/>
      <c r="UGB1" s="198"/>
      <c r="UGC1" s="198"/>
      <c r="UGD1" s="198"/>
      <c r="UGE1" s="198"/>
      <c r="UGF1" s="198"/>
      <c r="UGG1" s="198"/>
      <c r="UGH1" s="198"/>
      <c r="UGI1" s="198"/>
      <c r="UGJ1" s="198"/>
      <c r="UGK1" s="198"/>
      <c r="UGL1" s="198"/>
      <c r="UGM1" s="198"/>
      <c r="UGN1" s="198"/>
      <c r="UGO1" s="198"/>
      <c r="UGP1" s="198"/>
      <c r="UGQ1" s="198"/>
      <c r="UGR1" s="198"/>
      <c r="UGS1" s="198"/>
      <c r="UGT1" s="198"/>
      <c r="UGU1" s="198"/>
      <c r="UGV1" s="198"/>
      <c r="UGW1" s="198"/>
      <c r="UGX1" s="198"/>
      <c r="UGY1" s="198"/>
      <c r="UGZ1" s="199"/>
      <c r="UHA1" s="199"/>
      <c r="UHB1" s="200"/>
      <c r="UHC1" s="200"/>
      <c r="UHD1" s="200"/>
      <c r="UHE1" s="200"/>
      <c r="UHF1" s="200"/>
      <c r="UHG1" s="200"/>
      <c r="UHH1" s="200"/>
      <c r="UHI1" s="198"/>
      <c r="UHJ1" s="198"/>
      <c r="UHK1" s="198"/>
      <c r="UHL1" s="198"/>
      <c r="UHM1" s="198"/>
      <c r="UHN1" s="198"/>
      <c r="UHO1" s="198"/>
      <c r="UHP1" s="198"/>
      <c r="UHQ1" s="198"/>
      <c r="UHR1" s="198"/>
      <c r="UHS1" s="198"/>
      <c r="UHT1" s="198"/>
      <c r="UHU1" s="198"/>
      <c r="UHV1" s="198"/>
      <c r="UHW1" s="198"/>
      <c r="UHX1" s="198"/>
      <c r="UHY1" s="198"/>
      <c r="UHZ1" s="198"/>
      <c r="UIA1" s="198"/>
      <c r="UIB1" s="198"/>
      <c r="UIC1" s="198"/>
      <c r="UID1" s="198"/>
      <c r="UIE1" s="198"/>
      <c r="UIF1" s="198"/>
      <c r="UIG1" s="198"/>
      <c r="UIH1" s="199"/>
      <c r="UII1" s="199"/>
      <c r="UIJ1" s="200"/>
      <c r="UIK1" s="200"/>
      <c r="UIL1" s="200"/>
      <c r="UIM1" s="200"/>
      <c r="UIN1" s="200"/>
      <c r="UIO1" s="200"/>
      <c r="UIP1" s="200"/>
      <c r="UIQ1" s="198"/>
      <c r="UIR1" s="198"/>
      <c r="UIS1" s="198"/>
      <c r="UIT1" s="198"/>
      <c r="UIU1" s="198"/>
      <c r="UIV1" s="198"/>
      <c r="UIW1" s="198"/>
      <c r="UIX1" s="198"/>
      <c r="UIY1" s="198"/>
      <c r="UIZ1" s="198"/>
      <c r="UJA1" s="198"/>
      <c r="UJB1" s="198"/>
      <c r="UJC1" s="198"/>
      <c r="UJD1" s="198"/>
      <c r="UJE1" s="198"/>
      <c r="UJF1" s="198"/>
      <c r="UJG1" s="198"/>
      <c r="UJH1" s="198"/>
      <c r="UJI1" s="198"/>
      <c r="UJJ1" s="198"/>
      <c r="UJK1" s="198"/>
      <c r="UJL1" s="198"/>
      <c r="UJM1" s="198"/>
      <c r="UJN1" s="198"/>
      <c r="UJO1" s="198"/>
      <c r="UJP1" s="199"/>
      <c r="UJQ1" s="199"/>
      <c r="UJR1" s="200"/>
      <c r="UJS1" s="200"/>
      <c r="UJT1" s="200"/>
      <c r="UJU1" s="200"/>
      <c r="UJV1" s="200"/>
      <c r="UJW1" s="200"/>
      <c r="UJX1" s="200"/>
      <c r="UJY1" s="198"/>
      <c r="UJZ1" s="198"/>
      <c r="UKA1" s="198"/>
      <c r="UKB1" s="198"/>
      <c r="UKC1" s="198"/>
      <c r="UKD1" s="198"/>
      <c r="UKE1" s="198"/>
      <c r="UKF1" s="198"/>
      <c r="UKG1" s="198"/>
      <c r="UKH1" s="198"/>
      <c r="UKI1" s="198"/>
      <c r="UKJ1" s="198"/>
      <c r="UKK1" s="198"/>
      <c r="UKL1" s="198"/>
      <c r="UKM1" s="198"/>
      <c r="UKN1" s="198"/>
      <c r="UKO1" s="198"/>
      <c r="UKP1" s="198"/>
      <c r="UKQ1" s="198"/>
      <c r="UKR1" s="198"/>
      <c r="UKS1" s="198"/>
      <c r="UKT1" s="198"/>
      <c r="UKU1" s="198"/>
      <c r="UKV1" s="198"/>
      <c r="UKW1" s="198"/>
      <c r="UKX1" s="199"/>
      <c r="UKY1" s="199"/>
      <c r="UKZ1" s="200"/>
      <c r="ULA1" s="200"/>
      <c r="ULB1" s="200"/>
      <c r="ULC1" s="200"/>
      <c r="ULD1" s="200"/>
      <c r="ULE1" s="200"/>
      <c r="ULF1" s="200"/>
      <c r="ULG1" s="198"/>
      <c r="ULH1" s="198"/>
      <c r="ULI1" s="198"/>
      <c r="ULJ1" s="198"/>
      <c r="ULK1" s="198"/>
      <c r="ULL1" s="198"/>
      <c r="ULM1" s="198"/>
      <c r="ULN1" s="198"/>
      <c r="ULO1" s="198"/>
      <c r="ULP1" s="198"/>
      <c r="ULQ1" s="198"/>
      <c r="ULR1" s="198"/>
      <c r="ULS1" s="198"/>
      <c r="ULT1" s="198"/>
      <c r="ULU1" s="198"/>
      <c r="ULV1" s="198"/>
      <c r="ULW1" s="198"/>
      <c r="ULX1" s="198"/>
      <c r="ULY1" s="198"/>
      <c r="ULZ1" s="198"/>
      <c r="UMA1" s="198"/>
      <c r="UMB1" s="198"/>
      <c r="UMC1" s="198"/>
      <c r="UMD1" s="198"/>
      <c r="UME1" s="198"/>
      <c r="UMF1" s="199"/>
      <c r="UMG1" s="199"/>
      <c r="UMH1" s="200"/>
      <c r="UMI1" s="200"/>
      <c r="UMJ1" s="200"/>
      <c r="UMK1" s="200"/>
      <c r="UML1" s="200"/>
      <c r="UMM1" s="200"/>
      <c r="UMN1" s="200"/>
      <c r="UMO1" s="198"/>
      <c r="UMP1" s="198"/>
      <c r="UMQ1" s="198"/>
      <c r="UMR1" s="198"/>
      <c r="UMS1" s="198"/>
      <c r="UMT1" s="198"/>
      <c r="UMU1" s="198"/>
      <c r="UMV1" s="198"/>
      <c r="UMW1" s="198"/>
      <c r="UMX1" s="198"/>
      <c r="UMY1" s="198"/>
      <c r="UMZ1" s="198"/>
      <c r="UNA1" s="198"/>
      <c r="UNB1" s="198"/>
      <c r="UNC1" s="198"/>
      <c r="UND1" s="198"/>
      <c r="UNE1" s="198"/>
      <c r="UNF1" s="198"/>
      <c r="UNG1" s="198"/>
      <c r="UNH1" s="198"/>
      <c r="UNI1" s="198"/>
      <c r="UNJ1" s="198"/>
      <c r="UNK1" s="198"/>
      <c r="UNL1" s="198"/>
      <c r="UNM1" s="198"/>
      <c r="UNN1" s="199"/>
      <c r="UNO1" s="199"/>
      <c r="UNP1" s="200"/>
      <c r="UNQ1" s="200"/>
      <c r="UNR1" s="200"/>
      <c r="UNS1" s="200"/>
      <c r="UNT1" s="200"/>
      <c r="UNU1" s="200"/>
      <c r="UNV1" s="200"/>
      <c r="UNW1" s="198"/>
      <c r="UNX1" s="198"/>
      <c r="UNY1" s="198"/>
      <c r="UNZ1" s="198"/>
      <c r="UOA1" s="198"/>
      <c r="UOB1" s="198"/>
      <c r="UOC1" s="198"/>
      <c r="UOD1" s="198"/>
      <c r="UOE1" s="198"/>
      <c r="UOF1" s="198"/>
      <c r="UOG1" s="198"/>
      <c r="UOH1" s="198"/>
      <c r="UOI1" s="198"/>
      <c r="UOJ1" s="198"/>
      <c r="UOK1" s="198"/>
      <c r="UOL1" s="198"/>
      <c r="UOM1" s="198"/>
      <c r="UON1" s="198"/>
      <c r="UOO1" s="198"/>
      <c r="UOP1" s="198"/>
      <c r="UOQ1" s="198"/>
      <c r="UOR1" s="198"/>
      <c r="UOS1" s="198"/>
      <c r="UOT1" s="198"/>
      <c r="UOU1" s="198"/>
      <c r="UOV1" s="199"/>
      <c r="UOW1" s="199"/>
      <c r="UOX1" s="200"/>
      <c r="UOY1" s="200"/>
      <c r="UOZ1" s="200"/>
      <c r="UPA1" s="200"/>
      <c r="UPB1" s="200"/>
      <c r="UPC1" s="200"/>
      <c r="UPD1" s="200"/>
      <c r="UPE1" s="198"/>
      <c r="UPF1" s="198"/>
      <c r="UPG1" s="198"/>
      <c r="UPH1" s="198"/>
      <c r="UPI1" s="198"/>
      <c r="UPJ1" s="198"/>
      <c r="UPK1" s="198"/>
      <c r="UPL1" s="198"/>
      <c r="UPM1" s="198"/>
      <c r="UPN1" s="198"/>
      <c r="UPO1" s="198"/>
      <c r="UPP1" s="198"/>
      <c r="UPQ1" s="198"/>
      <c r="UPR1" s="198"/>
      <c r="UPS1" s="198"/>
      <c r="UPT1" s="198"/>
      <c r="UPU1" s="198"/>
      <c r="UPV1" s="198"/>
      <c r="UPW1" s="198"/>
      <c r="UPX1" s="198"/>
      <c r="UPY1" s="198"/>
      <c r="UPZ1" s="198"/>
      <c r="UQA1" s="198"/>
      <c r="UQB1" s="198"/>
      <c r="UQC1" s="198"/>
      <c r="UQD1" s="199"/>
      <c r="UQE1" s="199"/>
      <c r="UQF1" s="200"/>
      <c r="UQG1" s="200"/>
      <c r="UQH1" s="200"/>
      <c r="UQI1" s="200"/>
      <c r="UQJ1" s="200"/>
      <c r="UQK1" s="200"/>
      <c r="UQL1" s="200"/>
      <c r="UQM1" s="198"/>
      <c r="UQN1" s="198"/>
      <c r="UQO1" s="198"/>
      <c r="UQP1" s="198"/>
      <c r="UQQ1" s="198"/>
      <c r="UQR1" s="198"/>
      <c r="UQS1" s="198"/>
      <c r="UQT1" s="198"/>
      <c r="UQU1" s="198"/>
      <c r="UQV1" s="198"/>
      <c r="UQW1" s="198"/>
      <c r="UQX1" s="198"/>
      <c r="UQY1" s="198"/>
      <c r="UQZ1" s="198"/>
      <c r="URA1" s="198"/>
      <c r="URB1" s="198"/>
      <c r="URC1" s="198"/>
      <c r="URD1" s="198"/>
      <c r="URE1" s="198"/>
      <c r="URF1" s="198"/>
      <c r="URG1" s="198"/>
      <c r="URH1" s="198"/>
      <c r="URI1" s="198"/>
      <c r="URJ1" s="198"/>
      <c r="URK1" s="198"/>
      <c r="URL1" s="199"/>
      <c r="URM1" s="199"/>
      <c r="URN1" s="200"/>
      <c r="URO1" s="200"/>
      <c r="URP1" s="200"/>
      <c r="URQ1" s="200"/>
      <c r="URR1" s="200"/>
      <c r="URS1" s="200"/>
      <c r="URT1" s="200"/>
      <c r="URU1" s="198"/>
      <c r="URV1" s="198"/>
      <c r="URW1" s="198"/>
      <c r="URX1" s="198"/>
      <c r="URY1" s="198"/>
      <c r="URZ1" s="198"/>
      <c r="USA1" s="198"/>
      <c r="USB1" s="198"/>
      <c r="USC1" s="198"/>
      <c r="USD1" s="198"/>
      <c r="USE1" s="198"/>
      <c r="USF1" s="198"/>
      <c r="USG1" s="198"/>
      <c r="USH1" s="198"/>
      <c r="USI1" s="198"/>
      <c r="USJ1" s="198"/>
      <c r="USK1" s="198"/>
      <c r="USL1" s="198"/>
      <c r="USM1" s="198"/>
      <c r="USN1" s="198"/>
      <c r="USO1" s="198"/>
      <c r="USP1" s="198"/>
      <c r="USQ1" s="198"/>
      <c r="USR1" s="198"/>
      <c r="USS1" s="198"/>
      <c r="UST1" s="199"/>
      <c r="USU1" s="199"/>
      <c r="USV1" s="200"/>
      <c r="USW1" s="200"/>
      <c r="USX1" s="200"/>
      <c r="USY1" s="200"/>
      <c r="USZ1" s="200"/>
      <c r="UTA1" s="200"/>
      <c r="UTB1" s="200"/>
      <c r="UTC1" s="198"/>
      <c r="UTD1" s="198"/>
      <c r="UTE1" s="198"/>
      <c r="UTF1" s="198"/>
      <c r="UTG1" s="198"/>
      <c r="UTH1" s="198"/>
      <c r="UTI1" s="198"/>
      <c r="UTJ1" s="198"/>
      <c r="UTK1" s="198"/>
      <c r="UTL1" s="198"/>
      <c r="UTM1" s="198"/>
      <c r="UTN1" s="198"/>
      <c r="UTO1" s="198"/>
      <c r="UTP1" s="198"/>
      <c r="UTQ1" s="198"/>
      <c r="UTR1" s="198"/>
      <c r="UTS1" s="198"/>
      <c r="UTT1" s="198"/>
      <c r="UTU1" s="198"/>
      <c r="UTV1" s="198"/>
      <c r="UTW1" s="198"/>
      <c r="UTX1" s="198"/>
      <c r="UTY1" s="198"/>
      <c r="UTZ1" s="198"/>
      <c r="UUA1" s="198"/>
      <c r="UUB1" s="199"/>
      <c r="UUC1" s="199"/>
      <c r="UUD1" s="200"/>
      <c r="UUE1" s="200"/>
      <c r="UUF1" s="200"/>
      <c r="UUG1" s="200"/>
      <c r="UUH1" s="200"/>
      <c r="UUI1" s="200"/>
      <c r="UUJ1" s="200"/>
      <c r="UUK1" s="198"/>
      <c r="UUL1" s="198"/>
      <c r="UUM1" s="198"/>
      <c r="UUN1" s="198"/>
      <c r="UUO1" s="198"/>
      <c r="UUP1" s="198"/>
      <c r="UUQ1" s="198"/>
      <c r="UUR1" s="198"/>
      <c r="UUS1" s="198"/>
      <c r="UUT1" s="198"/>
      <c r="UUU1" s="198"/>
      <c r="UUV1" s="198"/>
      <c r="UUW1" s="198"/>
      <c r="UUX1" s="198"/>
      <c r="UUY1" s="198"/>
      <c r="UUZ1" s="198"/>
      <c r="UVA1" s="198"/>
      <c r="UVB1" s="198"/>
      <c r="UVC1" s="198"/>
      <c r="UVD1" s="198"/>
      <c r="UVE1" s="198"/>
      <c r="UVF1" s="198"/>
      <c r="UVG1" s="198"/>
      <c r="UVH1" s="198"/>
      <c r="UVI1" s="198"/>
      <c r="UVJ1" s="199"/>
      <c r="UVK1" s="199"/>
      <c r="UVL1" s="200"/>
      <c r="UVM1" s="200"/>
      <c r="UVN1" s="200"/>
      <c r="UVO1" s="200"/>
      <c r="UVP1" s="200"/>
      <c r="UVQ1" s="200"/>
      <c r="UVR1" s="200"/>
      <c r="UVS1" s="198"/>
      <c r="UVT1" s="198"/>
      <c r="UVU1" s="198"/>
      <c r="UVV1" s="198"/>
      <c r="UVW1" s="198"/>
      <c r="UVX1" s="198"/>
      <c r="UVY1" s="198"/>
      <c r="UVZ1" s="198"/>
      <c r="UWA1" s="198"/>
      <c r="UWB1" s="198"/>
      <c r="UWC1" s="198"/>
      <c r="UWD1" s="198"/>
      <c r="UWE1" s="198"/>
      <c r="UWF1" s="198"/>
      <c r="UWG1" s="198"/>
      <c r="UWH1" s="198"/>
      <c r="UWI1" s="198"/>
      <c r="UWJ1" s="198"/>
      <c r="UWK1" s="198"/>
      <c r="UWL1" s="198"/>
      <c r="UWM1" s="198"/>
      <c r="UWN1" s="198"/>
      <c r="UWO1" s="198"/>
      <c r="UWP1" s="198"/>
      <c r="UWQ1" s="198"/>
      <c r="UWR1" s="199"/>
      <c r="UWS1" s="199"/>
      <c r="UWT1" s="200"/>
      <c r="UWU1" s="200"/>
      <c r="UWV1" s="200"/>
      <c r="UWW1" s="200"/>
      <c r="UWX1" s="200"/>
      <c r="UWY1" s="200"/>
      <c r="UWZ1" s="200"/>
      <c r="UXA1" s="198"/>
      <c r="UXB1" s="198"/>
      <c r="UXC1" s="198"/>
      <c r="UXD1" s="198"/>
      <c r="UXE1" s="198"/>
      <c r="UXF1" s="198"/>
      <c r="UXG1" s="198"/>
      <c r="UXH1" s="198"/>
      <c r="UXI1" s="198"/>
      <c r="UXJ1" s="198"/>
      <c r="UXK1" s="198"/>
      <c r="UXL1" s="198"/>
      <c r="UXM1" s="198"/>
      <c r="UXN1" s="198"/>
      <c r="UXO1" s="198"/>
      <c r="UXP1" s="198"/>
      <c r="UXQ1" s="198"/>
      <c r="UXR1" s="198"/>
      <c r="UXS1" s="198"/>
      <c r="UXT1" s="198"/>
      <c r="UXU1" s="198"/>
      <c r="UXV1" s="198"/>
      <c r="UXW1" s="198"/>
      <c r="UXX1" s="198"/>
      <c r="UXY1" s="198"/>
      <c r="UXZ1" s="199"/>
      <c r="UYA1" s="199"/>
      <c r="UYB1" s="200"/>
      <c r="UYC1" s="200"/>
      <c r="UYD1" s="200"/>
      <c r="UYE1" s="200"/>
      <c r="UYF1" s="200"/>
      <c r="UYG1" s="200"/>
      <c r="UYH1" s="200"/>
      <c r="UYI1" s="198"/>
      <c r="UYJ1" s="198"/>
      <c r="UYK1" s="198"/>
      <c r="UYL1" s="198"/>
      <c r="UYM1" s="198"/>
      <c r="UYN1" s="198"/>
      <c r="UYO1" s="198"/>
      <c r="UYP1" s="198"/>
      <c r="UYQ1" s="198"/>
      <c r="UYR1" s="198"/>
      <c r="UYS1" s="198"/>
      <c r="UYT1" s="198"/>
      <c r="UYU1" s="198"/>
      <c r="UYV1" s="198"/>
      <c r="UYW1" s="198"/>
      <c r="UYX1" s="198"/>
      <c r="UYY1" s="198"/>
      <c r="UYZ1" s="198"/>
      <c r="UZA1" s="198"/>
      <c r="UZB1" s="198"/>
      <c r="UZC1" s="198"/>
      <c r="UZD1" s="198"/>
      <c r="UZE1" s="198"/>
      <c r="UZF1" s="198"/>
      <c r="UZG1" s="198"/>
      <c r="UZH1" s="199"/>
      <c r="UZI1" s="199"/>
      <c r="UZJ1" s="200"/>
      <c r="UZK1" s="200"/>
      <c r="UZL1" s="200"/>
      <c r="UZM1" s="200"/>
      <c r="UZN1" s="200"/>
      <c r="UZO1" s="200"/>
      <c r="UZP1" s="200"/>
      <c r="UZQ1" s="198"/>
      <c r="UZR1" s="198"/>
      <c r="UZS1" s="198"/>
      <c r="UZT1" s="198"/>
      <c r="UZU1" s="198"/>
      <c r="UZV1" s="198"/>
      <c r="UZW1" s="198"/>
      <c r="UZX1" s="198"/>
      <c r="UZY1" s="198"/>
      <c r="UZZ1" s="198"/>
      <c r="VAA1" s="198"/>
      <c r="VAB1" s="198"/>
      <c r="VAC1" s="198"/>
      <c r="VAD1" s="198"/>
      <c r="VAE1" s="198"/>
      <c r="VAF1" s="198"/>
      <c r="VAG1" s="198"/>
      <c r="VAH1" s="198"/>
      <c r="VAI1" s="198"/>
      <c r="VAJ1" s="198"/>
      <c r="VAK1" s="198"/>
      <c r="VAL1" s="198"/>
      <c r="VAM1" s="198"/>
      <c r="VAN1" s="198"/>
      <c r="VAO1" s="198"/>
      <c r="VAP1" s="199"/>
      <c r="VAQ1" s="199"/>
      <c r="VAR1" s="200"/>
      <c r="VAS1" s="200"/>
      <c r="VAT1" s="200"/>
      <c r="VAU1" s="200"/>
      <c r="VAV1" s="200"/>
      <c r="VAW1" s="200"/>
      <c r="VAX1" s="200"/>
      <c r="VAY1" s="198"/>
      <c r="VAZ1" s="198"/>
      <c r="VBA1" s="198"/>
      <c r="VBB1" s="198"/>
      <c r="VBC1" s="198"/>
      <c r="VBD1" s="198"/>
      <c r="VBE1" s="198"/>
      <c r="VBF1" s="198"/>
      <c r="VBG1" s="198"/>
      <c r="VBH1" s="198"/>
      <c r="VBI1" s="198"/>
      <c r="VBJ1" s="198"/>
      <c r="VBK1" s="198"/>
      <c r="VBL1" s="198"/>
      <c r="VBM1" s="198"/>
      <c r="VBN1" s="198"/>
      <c r="VBO1" s="198"/>
      <c r="VBP1" s="198"/>
      <c r="VBQ1" s="198"/>
      <c r="VBR1" s="198"/>
      <c r="VBS1" s="198"/>
      <c r="VBT1" s="198"/>
      <c r="VBU1" s="198"/>
      <c r="VBV1" s="198"/>
      <c r="VBW1" s="198"/>
      <c r="VBX1" s="199"/>
      <c r="VBY1" s="199"/>
      <c r="VBZ1" s="200"/>
      <c r="VCA1" s="200"/>
      <c r="VCB1" s="200"/>
      <c r="VCC1" s="200"/>
      <c r="VCD1" s="200"/>
      <c r="VCE1" s="200"/>
      <c r="VCF1" s="200"/>
      <c r="VCG1" s="198"/>
      <c r="VCH1" s="198"/>
      <c r="VCI1" s="198"/>
      <c r="VCJ1" s="198"/>
      <c r="VCK1" s="198"/>
      <c r="VCL1" s="198"/>
      <c r="VCM1" s="198"/>
      <c r="VCN1" s="198"/>
      <c r="VCO1" s="198"/>
      <c r="VCP1" s="198"/>
      <c r="VCQ1" s="198"/>
      <c r="VCR1" s="198"/>
      <c r="VCS1" s="198"/>
      <c r="VCT1" s="198"/>
      <c r="VCU1" s="198"/>
      <c r="VCV1" s="198"/>
      <c r="VCW1" s="198"/>
      <c r="VCX1" s="198"/>
      <c r="VCY1" s="198"/>
      <c r="VCZ1" s="198"/>
      <c r="VDA1" s="198"/>
      <c r="VDB1" s="198"/>
      <c r="VDC1" s="198"/>
      <c r="VDD1" s="198"/>
      <c r="VDE1" s="198"/>
      <c r="VDF1" s="199"/>
      <c r="VDG1" s="199"/>
      <c r="VDH1" s="200"/>
      <c r="VDI1" s="200"/>
      <c r="VDJ1" s="200"/>
      <c r="VDK1" s="200"/>
      <c r="VDL1" s="200"/>
      <c r="VDM1" s="200"/>
      <c r="VDN1" s="200"/>
      <c r="VDO1" s="198"/>
      <c r="VDP1" s="198"/>
      <c r="VDQ1" s="198"/>
      <c r="VDR1" s="198"/>
      <c r="VDS1" s="198"/>
      <c r="VDT1" s="198"/>
      <c r="VDU1" s="198"/>
      <c r="VDV1" s="198"/>
      <c r="VDW1" s="198"/>
      <c r="VDX1" s="198"/>
      <c r="VDY1" s="198"/>
      <c r="VDZ1" s="198"/>
      <c r="VEA1" s="198"/>
      <c r="VEB1" s="198"/>
      <c r="VEC1" s="198"/>
      <c r="VED1" s="198"/>
      <c r="VEE1" s="198"/>
      <c r="VEF1" s="198"/>
      <c r="VEG1" s="198"/>
      <c r="VEH1" s="198"/>
      <c r="VEI1" s="198"/>
      <c r="VEJ1" s="198"/>
      <c r="VEK1" s="198"/>
      <c r="VEL1" s="198"/>
      <c r="VEM1" s="198"/>
      <c r="VEN1" s="199"/>
      <c r="VEO1" s="199"/>
      <c r="VEP1" s="200"/>
      <c r="VEQ1" s="200"/>
      <c r="VER1" s="200"/>
      <c r="VES1" s="200"/>
      <c r="VET1" s="200"/>
      <c r="VEU1" s="200"/>
      <c r="VEV1" s="200"/>
      <c r="VEW1" s="198"/>
      <c r="VEX1" s="198"/>
      <c r="VEY1" s="198"/>
      <c r="VEZ1" s="198"/>
      <c r="VFA1" s="198"/>
      <c r="VFB1" s="198"/>
      <c r="VFC1" s="198"/>
      <c r="VFD1" s="198"/>
      <c r="VFE1" s="198"/>
      <c r="VFF1" s="198"/>
      <c r="VFG1" s="198"/>
      <c r="VFH1" s="198"/>
      <c r="VFI1" s="198"/>
      <c r="VFJ1" s="198"/>
      <c r="VFK1" s="198"/>
      <c r="VFL1" s="198"/>
      <c r="VFM1" s="198"/>
      <c r="VFN1" s="198"/>
      <c r="VFO1" s="198"/>
      <c r="VFP1" s="198"/>
      <c r="VFQ1" s="198"/>
      <c r="VFR1" s="198"/>
      <c r="VFS1" s="198"/>
      <c r="VFT1" s="198"/>
      <c r="VFU1" s="198"/>
      <c r="VFV1" s="199"/>
      <c r="VFW1" s="199"/>
      <c r="VFX1" s="200"/>
      <c r="VFY1" s="200"/>
      <c r="VFZ1" s="200"/>
      <c r="VGA1" s="200"/>
      <c r="VGB1" s="200"/>
      <c r="VGC1" s="200"/>
      <c r="VGD1" s="200"/>
      <c r="VGE1" s="198"/>
      <c r="VGF1" s="198"/>
      <c r="VGG1" s="198"/>
      <c r="VGH1" s="198"/>
      <c r="VGI1" s="198"/>
      <c r="VGJ1" s="198"/>
      <c r="VGK1" s="198"/>
      <c r="VGL1" s="198"/>
      <c r="VGM1" s="198"/>
      <c r="VGN1" s="198"/>
      <c r="VGO1" s="198"/>
      <c r="VGP1" s="198"/>
      <c r="VGQ1" s="198"/>
      <c r="VGR1" s="198"/>
      <c r="VGS1" s="198"/>
      <c r="VGT1" s="198"/>
      <c r="VGU1" s="198"/>
      <c r="VGV1" s="198"/>
      <c r="VGW1" s="198"/>
      <c r="VGX1" s="198"/>
      <c r="VGY1" s="198"/>
      <c r="VGZ1" s="198"/>
      <c r="VHA1" s="198"/>
      <c r="VHB1" s="198"/>
      <c r="VHC1" s="198"/>
      <c r="VHD1" s="199"/>
      <c r="VHE1" s="199"/>
      <c r="VHF1" s="200"/>
      <c r="VHG1" s="200"/>
      <c r="VHH1" s="200"/>
      <c r="VHI1" s="200"/>
      <c r="VHJ1" s="200"/>
      <c r="VHK1" s="200"/>
      <c r="VHL1" s="200"/>
      <c r="VHM1" s="198"/>
      <c r="VHN1" s="198"/>
      <c r="VHO1" s="198"/>
      <c r="VHP1" s="198"/>
      <c r="VHQ1" s="198"/>
      <c r="VHR1" s="198"/>
      <c r="VHS1" s="198"/>
      <c r="VHT1" s="198"/>
      <c r="VHU1" s="198"/>
      <c r="VHV1" s="198"/>
      <c r="VHW1" s="198"/>
      <c r="VHX1" s="198"/>
      <c r="VHY1" s="198"/>
      <c r="VHZ1" s="198"/>
      <c r="VIA1" s="198"/>
      <c r="VIB1" s="198"/>
      <c r="VIC1" s="198"/>
      <c r="VID1" s="198"/>
      <c r="VIE1" s="198"/>
      <c r="VIF1" s="198"/>
      <c r="VIG1" s="198"/>
      <c r="VIH1" s="198"/>
      <c r="VII1" s="198"/>
      <c r="VIJ1" s="198"/>
      <c r="VIK1" s="198"/>
      <c r="VIL1" s="199"/>
      <c r="VIM1" s="199"/>
      <c r="VIN1" s="200"/>
      <c r="VIO1" s="200"/>
      <c r="VIP1" s="200"/>
      <c r="VIQ1" s="200"/>
      <c r="VIR1" s="200"/>
      <c r="VIS1" s="200"/>
      <c r="VIT1" s="200"/>
      <c r="VIU1" s="198"/>
      <c r="VIV1" s="198"/>
      <c r="VIW1" s="198"/>
      <c r="VIX1" s="198"/>
      <c r="VIY1" s="198"/>
      <c r="VIZ1" s="198"/>
      <c r="VJA1" s="198"/>
      <c r="VJB1" s="198"/>
      <c r="VJC1" s="198"/>
      <c r="VJD1" s="198"/>
      <c r="VJE1" s="198"/>
      <c r="VJF1" s="198"/>
      <c r="VJG1" s="198"/>
      <c r="VJH1" s="198"/>
      <c r="VJI1" s="198"/>
      <c r="VJJ1" s="198"/>
      <c r="VJK1" s="198"/>
      <c r="VJL1" s="198"/>
      <c r="VJM1" s="198"/>
      <c r="VJN1" s="198"/>
      <c r="VJO1" s="198"/>
      <c r="VJP1" s="198"/>
      <c r="VJQ1" s="198"/>
      <c r="VJR1" s="198"/>
      <c r="VJS1" s="198"/>
      <c r="VJT1" s="199"/>
      <c r="VJU1" s="199"/>
      <c r="VJV1" s="200"/>
      <c r="VJW1" s="200"/>
      <c r="VJX1" s="200"/>
      <c r="VJY1" s="200"/>
      <c r="VJZ1" s="200"/>
      <c r="VKA1" s="200"/>
      <c r="VKB1" s="200"/>
      <c r="VKC1" s="198"/>
      <c r="VKD1" s="198"/>
      <c r="VKE1" s="198"/>
      <c r="VKF1" s="198"/>
      <c r="VKG1" s="198"/>
      <c r="VKH1" s="198"/>
      <c r="VKI1" s="198"/>
      <c r="VKJ1" s="198"/>
      <c r="VKK1" s="198"/>
      <c r="VKL1" s="198"/>
      <c r="VKM1" s="198"/>
      <c r="VKN1" s="198"/>
      <c r="VKO1" s="198"/>
      <c r="VKP1" s="198"/>
      <c r="VKQ1" s="198"/>
      <c r="VKR1" s="198"/>
      <c r="VKS1" s="198"/>
      <c r="VKT1" s="198"/>
      <c r="VKU1" s="198"/>
      <c r="VKV1" s="198"/>
      <c r="VKW1" s="198"/>
      <c r="VKX1" s="198"/>
      <c r="VKY1" s="198"/>
      <c r="VKZ1" s="198"/>
      <c r="VLA1" s="198"/>
      <c r="VLB1" s="199"/>
      <c r="VLC1" s="199"/>
      <c r="VLD1" s="200"/>
      <c r="VLE1" s="200"/>
      <c r="VLF1" s="200"/>
      <c r="VLG1" s="200"/>
      <c r="VLH1" s="200"/>
      <c r="VLI1" s="200"/>
      <c r="VLJ1" s="200"/>
      <c r="VLK1" s="198"/>
      <c r="VLL1" s="198"/>
      <c r="VLM1" s="198"/>
      <c r="VLN1" s="198"/>
      <c r="VLO1" s="198"/>
      <c r="VLP1" s="198"/>
      <c r="VLQ1" s="198"/>
      <c r="VLR1" s="198"/>
      <c r="VLS1" s="198"/>
      <c r="VLT1" s="198"/>
      <c r="VLU1" s="198"/>
      <c r="VLV1" s="198"/>
      <c r="VLW1" s="198"/>
      <c r="VLX1" s="198"/>
      <c r="VLY1" s="198"/>
      <c r="VLZ1" s="198"/>
      <c r="VMA1" s="198"/>
      <c r="VMB1" s="198"/>
      <c r="VMC1" s="198"/>
      <c r="VMD1" s="198"/>
      <c r="VME1" s="198"/>
      <c r="VMF1" s="198"/>
      <c r="VMG1" s="198"/>
      <c r="VMH1" s="198"/>
      <c r="VMI1" s="198"/>
      <c r="VMJ1" s="199"/>
      <c r="VMK1" s="199"/>
      <c r="VML1" s="200"/>
      <c r="VMM1" s="200"/>
      <c r="VMN1" s="200"/>
      <c r="VMO1" s="200"/>
      <c r="VMP1" s="200"/>
      <c r="VMQ1" s="200"/>
      <c r="VMR1" s="200"/>
      <c r="VMS1" s="198"/>
      <c r="VMT1" s="198"/>
      <c r="VMU1" s="198"/>
      <c r="VMV1" s="198"/>
      <c r="VMW1" s="198"/>
      <c r="VMX1" s="198"/>
      <c r="VMY1" s="198"/>
      <c r="VMZ1" s="198"/>
      <c r="VNA1" s="198"/>
      <c r="VNB1" s="198"/>
      <c r="VNC1" s="198"/>
      <c r="VND1" s="198"/>
      <c r="VNE1" s="198"/>
      <c r="VNF1" s="198"/>
      <c r="VNG1" s="198"/>
      <c r="VNH1" s="198"/>
      <c r="VNI1" s="198"/>
      <c r="VNJ1" s="198"/>
      <c r="VNK1" s="198"/>
      <c r="VNL1" s="198"/>
      <c r="VNM1" s="198"/>
      <c r="VNN1" s="198"/>
      <c r="VNO1" s="198"/>
      <c r="VNP1" s="198"/>
      <c r="VNQ1" s="198"/>
      <c r="VNR1" s="199"/>
      <c r="VNS1" s="199"/>
      <c r="VNT1" s="200"/>
      <c r="VNU1" s="200"/>
      <c r="VNV1" s="200"/>
      <c r="VNW1" s="200"/>
      <c r="VNX1" s="200"/>
      <c r="VNY1" s="200"/>
      <c r="VNZ1" s="200"/>
      <c r="VOA1" s="198"/>
      <c r="VOB1" s="198"/>
      <c r="VOC1" s="198"/>
      <c r="VOD1" s="198"/>
      <c r="VOE1" s="198"/>
      <c r="VOF1" s="198"/>
      <c r="VOG1" s="198"/>
      <c r="VOH1" s="198"/>
      <c r="VOI1" s="198"/>
      <c r="VOJ1" s="198"/>
      <c r="VOK1" s="198"/>
      <c r="VOL1" s="198"/>
      <c r="VOM1" s="198"/>
      <c r="VON1" s="198"/>
      <c r="VOO1" s="198"/>
      <c r="VOP1" s="198"/>
      <c r="VOQ1" s="198"/>
      <c r="VOR1" s="198"/>
      <c r="VOS1" s="198"/>
      <c r="VOT1" s="198"/>
      <c r="VOU1" s="198"/>
      <c r="VOV1" s="198"/>
      <c r="VOW1" s="198"/>
      <c r="VOX1" s="198"/>
      <c r="VOY1" s="198"/>
      <c r="VOZ1" s="199"/>
      <c r="VPA1" s="199"/>
      <c r="VPB1" s="200"/>
      <c r="VPC1" s="200"/>
      <c r="VPD1" s="200"/>
      <c r="VPE1" s="200"/>
      <c r="VPF1" s="200"/>
      <c r="VPG1" s="200"/>
      <c r="VPH1" s="200"/>
      <c r="VPI1" s="198"/>
      <c r="VPJ1" s="198"/>
      <c r="VPK1" s="198"/>
      <c r="VPL1" s="198"/>
      <c r="VPM1" s="198"/>
      <c r="VPN1" s="198"/>
      <c r="VPO1" s="198"/>
      <c r="VPP1" s="198"/>
      <c r="VPQ1" s="198"/>
      <c r="VPR1" s="198"/>
      <c r="VPS1" s="198"/>
      <c r="VPT1" s="198"/>
      <c r="VPU1" s="198"/>
      <c r="VPV1" s="198"/>
      <c r="VPW1" s="198"/>
      <c r="VPX1" s="198"/>
      <c r="VPY1" s="198"/>
      <c r="VPZ1" s="198"/>
      <c r="VQA1" s="198"/>
      <c r="VQB1" s="198"/>
      <c r="VQC1" s="198"/>
      <c r="VQD1" s="198"/>
      <c r="VQE1" s="198"/>
      <c r="VQF1" s="198"/>
      <c r="VQG1" s="198"/>
      <c r="VQH1" s="199"/>
      <c r="VQI1" s="199"/>
      <c r="VQJ1" s="200"/>
      <c r="VQK1" s="200"/>
      <c r="VQL1" s="200"/>
      <c r="VQM1" s="200"/>
      <c r="VQN1" s="200"/>
      <c r="VQO1" s="200"/>
      <c r="VQP1" s="200"/>
      <c r="VQQ1" s="198"/>
      <c r="VQR1" s="198"/>
      <c r="VQS1" s="198"/>
      <c r="VQT1" s="198"/>
      <c r="VQU1" s="198"/>
      <c r="VQV1" s="198"/>
      <c r="VQW1" s="198"/>
      <c r="VQX1" s="198"/>
      <c r="VQY1" s="198"/>
      <c r="VQZ1" s="198"/>
      <c r="VRA1" s="198"/>
      <c r="VRB1" s="198"/>
      <c r="VRC1" s="198"/>
      <c r="VRD1" s="198"/>
      <c r="VRE1" s="198"/>
      <c r="VRF1" s="198"/>
      <c r="VRG1" s="198"/>
      <c r="VRH1" s="198"/>
      <c r="VRI1" s="198"/>
      <c r="VRJ1" s="198"/>
      <c r="VRK1" s="198"/>
      <c r="VRL1" s="198"/>
      <c r="VRM1" s="198"/>
      <c r="VRN1" s="198"/>
      <c r="VRO1" s="198"/>
      <c r="VRP1" s="199"/>
      <c r="VRQ1" s="199"/>
      <c r="VRR1" s="200"/>
      <c r="VRS1" s="200"/>
      <c r="VRT1" s="200"/>
      <c r="VRU1" s="200"/>
      <c r="VRV1" s="200"/>
      <c r="VRW1" s="200"/>
      <c r="VRX1" s="200"/>
      <c r="VRY1" s="198"/>
      <c r="VRZ1" s="198"/>
      <c r="VSA1" s="198"/>
      <c r="VSB1" s="198"/>
      <c r="VSC1" s="198"/>
      <c r="VSD1" s="198"/>
      <c r="VSE1" s="198"/>
      <c r="VSF1" s="198"/>
      <c r="VSG1" s="198"/>
      <c r="VSH1" s="198"/>
      <c r="VSI1" s="198"/>
      <c r="VSJ1" s="198"/>
      <c r="VSK1" s="198"/>
      <c r="VSL1" s="198"/>
      <c r="VSM1" s="198"/>
      <c r="VSN1" s="198"/>
      <c r="VSO1" s="198"/>
      <c r="VSP1" s="198"/>
      <c r="VSQ1" s="198"/>
      <c r="VSR1" s="198"/>
      <c r="VSS1" s="198"/>
      <c r="VST1" s="198"/>
      <c r="VSU1" s="198"/>
      <c r="VSV1" s="198"/>
      <c r="VSW1" s="198"/>
      <c r="VSX1" s="199"/>
      <c r="VSY1" s="199"/>
      <c r="VSZ1" s="200"/>
      <c r="VTA1" s="200"/>
      <c r="VTB1" s="200"/>
      <c r="VTC1" s="200"/>
      <c r="VTD1" s="200"/>
      <c r="VTE1" s="200"/>
      <c r="VTF1" s="200"/>
      <c r="VTG1" s="198"/>
      <c r="VTH1" s="198"/>
      <c r="VTI1" s="198"/>
      <c r="VTJ1" s="198"/>
      <c r="VTK1" s="198"/>
      <c r="VTL1" s="198"/>
      <c r="VTM1" s="198"/>
      <c r="VTN1" s="198"/>
      <c r="VTO1" s="198"/>
      <c r="VTP1" s="198"/>
      <c r="VTQ1" s="198"/>
      <c r="VTR1" s="198"/>
      <c r="VTS1" s="198"/>
      <c r="VTT1" s="198"/>
      <c r="VTU1" s="198"/>
      <c r="VTV1" s="198"/>
      <c r="VTW1" s="198"/>
      <c r="VTX1" s="198"/>
      <c r="VTY1" s="198"/>
      <c r="VTZ1" s="198"/>
      <c r="VUA1" s="198"/>
      <c r="VUB1" s="198"/>
      <c r="VUC1" s="198"/>
      <c r="VUD1" s="198"/>
      <c r="VUE1" s="198"/>
      <c r="VUF1" s="199"/>
      <c r="VUG1" s="199"/>
      <c r="VUH1" s="200"/>
      <c r="VUI1" s="200"/>
      <c r="VUJ1" s="200"/>
      <c r="VUK1" s="200"/>
      <c r="VUL1" s="200"/>
      <c r="VUM1" s="200"/>
      <c r="VUN1" s="200"/>
      <c r="VUO1" s="198"/>
      <c r="VUP1" s="198"/>
      <c r="VUQ1" s="198"/>
      <c r="VUR1" s="198"/>
      <c r="VUS1" s="198"/>
      <c r="VUT1" s="198"/>
      <c r="VUU1" s="198"/>
      <c r="VUV1" s="198"/>
      <c r="VUW1" s="198"/>
      <c r="VUX1" s="198"/>
      <c r="VUY1" s="198"/>
      <c r="VUZ1" s="198"/>
      <c r="VVA1" s="198"/>
      <c r="VVB1" s="198"/>
      <c r="VVC1" s="198"/>
      <c r="VVD1" s="198"/>
      <c r="VVE1" s="198"/>
      <c r="VVF1" s="198"/>
      <c r="VVG1" s="198"/>
      <c r="VVH1" s="198"/>
      <c r="VVI1" s="198"/>
      <c r="VVJ1" s="198"/>
      <c r="VVK1" s="198"/>
      <c r="VVL1" s="198"/>
      <c r="VVM1" s="198"/>
      <c r="VVN1" s="199"/>
      <c r="VVO1" s="199"/>
      <c r="VVP1" s="200"/>
      <c r="VVQ1" s="200"/>
      <c r="VVR1" s="200"/>
      <c r="VVS1" s="200"/>
      <c r="VVT1" s="200"/>
      <c r="VVU1" s="200"/>
      <c r="VVV1" s="200"/>
      <c r="VVW1" s="198"/>
      <c r="VVX1" s="198"/>
      <c r="VVY1" s="198"/>
      <c r="VVZ1" s="198"/>
      <c r="VWA1" s="198"/>
      <c r="VWB1" s="198"/>
      <c r="VWC1" s="198"/>
      <c r="VWD1" s="198"/>
      <c r="VWE1" s="198"/>
      <c r="VWF1" s="198"/>
      <c r="VWG1" s="198"/>
      <c r="VWH1" s="198"/>
      <c r="VWI1" s="198"/>
      <c r="VWJ1" s="198"/>
      <c r="VWK1" s="198"/>
      <c r="VWL1" s="198"/>
      <c r="VWM1" s="198"/>
      <c r="VWN1" s="198"/>
      <c r="VWO1" s="198"/>
      <c r="VWP1" s="198"/>
      <c r="VWQ1" s="198"/>
      <c r="VWR1" s="198"/>
      <c r="VWS1" s="198"/>
      <c r="VWT1" s="198"/>
      <c r="VWU1" s="198"/>
      <c r="VWV1" s="199"/>
      <c r="VWW1" s="199"/>
      <c r="VWX1" s="200"/>
      <c r="VWY1" s="200"/>
      <c r="VWZ1" s="200"/>
      <c r="VXA1" s="200"/>
      <c r="VXB1" s="200"/>
      <c r="VXC1" s="200"/>
      <c r="VXD1" s="200"/>
      <c r="VXE1" s="198"/>
      <c r="VXF1" s="198"/>
      <c r="VXG1" s="198"/>
      <c r="VXH1" s="198"/>
      <c r="VXI1" s="198"/>
      <c r="VXJ1" s="198"/>
      <c r="VXK1" s="198"/>
      <c r="VXL1" s="198"/>
      <c r="VXM1" s="198"/>
      <c r="VXN1" s="198"/>
      <c r="VXO1" s="198"/>
      <c r="VXP1" s="198"/>
      <c r="VXQ1" s="198"/>
      <c r="VXR1" s="198"/>
      <c r="VXS1" s="198"/>
      <c r="VXT1" s="198"/>
      <c r="VXU1" s="198"/>
      <c r="VXV1" s="198"/>
      <c r="VXW1" s="198"/>
      <c r="VXX1" s="198"/>
      <c r="VXY1" s="198"/>
      <c r="VXZ1" s="198"/>
      <c r="VYA1" s="198"/>
      <c r="VYB1" s="198"/>
      <c r="VYC1" s="198"/>
      <c r="VYD1" s="199"/>
      <c r="VYE1" s="199"/>
      <c r="VYF1" s="200"/>
      <c r="VYG1" s="200"/>
      <c r="VYH1" s="200"/>
      <c r="VYI1" s="200"/>
      <c r="VYJ1" s="200"/>
      <c r="VYK1" s="200"/>
      <c r="VYL1" s="200"/>
      <c r="VYM1" s="198"/>
      <c r="VYN1" s="198"/>
      <c r="VYO1" s="198"/>
      <c r="VYP1" s="198"/>
      <c r="VYQ1" s="198"/>
      <c r="VYR1" s="198"/>
      <c r="VYS1" s="198"/>
      <c r="VYT1" s="198"/>
      <c r="VYU1" s="198"/>
      <c r="VYV1" s="198"/>
      <c r="VYW1" s="198"/>
      <c r="VYX1" s="198"/>
      <c r="VYY1" s="198"/>
      <c r="VYZ1" s="198"/>
      <c r="VZA1" s="198"/>
      <c r="VZB1" s="198"/>
      <c r="VZC1" s="198"/>
      <c r="VZD1" s="198"/>
      <c r="VZE1" s="198"/>
      <c r="VZF1" s="198"/>
      <c r="VZG1" s="198"/>
      <c r="VZH1" s="198"/>
      <c r="VZI1" s="198"/>
      <c r="VZJ1" s="198"/>
      <c r="VZK1" s="198"/>
      <c r="VZL1" s="199"/>
      <c r="VZM1" s="199"/>
      <c r="VZN1" s="200"/>
      <c r="VZO1" s="200"/>
      <c r="VZP1" s="200"/>
      <c r="VZQ1" s="200"/>
      <c r="VZR1" s="200"/>
      <c r="VZS1" s="200"/>
      <c r="VZT1" s="200"/>
      <c r="VZU1" s="198"/>
      <c r="VZV1" s="198"/>
      <c r="VZW1" s="198"/>
      <c r="VZX1" s="198"/>
      <c r="VZY1" s="198"/>
      <c r="VZZ1" s="198"/>
      <c r="WAA1" s="198"/>
      <c r="WAB1" s="198"/>
      <c r="WAC1" s="198"/>
      <c r="WAD1" s="198"/>
      <c r="WAE1" s="198"/>
      <c r="WAF1" s="198"/>
      <c r="WAG1" s="198"/>
      <c r="WAH1" s="198"/>
      <c r="WAI1" s="198"/>
      <c r="WAJ1" s="198"/>
      <c r="WAK1" s="198"/>
      <c r="WAL1" s="198"/>
      <c r="WAM1" s="198"/>
      <c r="WAN1" s="198"/>
      <c r="WAO1" s="198"/>
      <c r="WAP1" s="198"/>
      <c r="WAQ1" s="198"/>
      <c r="WAR1" s="198"/>
      <c r="WAS1" s="198"/>
      <c r="WAT1" s="199"/>
      <c r="WAU1" s="199"/>
      <c r="WAV1" s="200"/>
      <c r="WAW1" s="200"/>
      <c r="WAX1" s="200"/>
      <c r="WAY1" s="200"/>
      <c r="WAZ1" s="200"/>
      <c r="WBA1" s="200"/>
      <c r="WBB1" s="200"/>
      <c r="WBC1" s="198"/>
      <c r="WBD1" s="198"/>
      <c r="WBE1" s="198"/>
      <c r="WBF1" s="198"/>
      <c r="WBG1" s="198"/>
      <c r="WBH1" s="198"/>
      <c r="WBI1" s="198"/>
      <c r="WBJ1" s="198"/>
      <c r="WBK1" s="198"/>
      <c r="WBL1" s="198"/>
      <c r="WBM1" s="198"/>
      <c r="WBN1" s="198"/>
      <c r="WBO1" s="198"/>
      <c r="WBP1" s="198"/>
      <c r="WBQ1" s="198"/>
      <c r="WBR1" s="198"/>
      <c r="WBS1" s="198"/>
      <c r="WBT1" s="198"/>
      <c r="WBU1" s="198"/>
      <c r="WBV1" s="198"/>
      <c r="WBW1" s="198"/>
      <c r="WBX1" s="198"/>
      <c r="WBY1" s="198"/>
      <c r="WBZ1" s="198"/>
      <c r="WCA1" s="198"/>
      <c r="WCB1" s="199"/>
      <c r="WCC1" s="199"/>
      <c r="WCD1" s="200"/>
      <c r="WCE1" s="200"/>
      <c r="WCF1" s="200"/>
      <c r="WCG1" s="200"/>
      <c r="WCH1" s="200"/>
      <c r="WCI1" s="200"/>
      <c r="WCJ1" s="200"/>
      <c r="WCK1" s="198"/>
      <c r="WCL1" s="198"/>
      <c r="WCM1" s="198"/>
      <c r="WCN1" s="198"/>
      <c r="WCO1" s="198"/>
      <c r="WCP1" s="198"/>
      <c r="WCQ1" s="198"/>
      <c r="WCR1" s="198"/>
      <c r="WCS1" s="198"/>
      <c r="WCT1" s="198"/>
      <c r="WCU1" s="198"/>
      <c r="WCV1" s="198"/>
      <c r="WCW1" s="198"/>
      <c r="WCX1" s="198"/>
      <c r="WCY1" s="198"/>
      <c r="WCZ1" s="198"/>
      <c r="WDA1" s="198"/>
      <c r="WDB1" s="198"/>
      <c r="WDC1" s="198"/>
      <c r="WDD1" s="198"/>
      <c r="WDE1" s="198"/>
      <c r="WDF1" s="198"/>
      <c r="WDG1" s="198"/>
      <c r="WDH1" s="198"/>
      <c r="WDI1" s="198"/>
      <c r="WDJ1" s="199"/>
      <c r="WDK1" s="199"/>
      <c r="WDL1" s="200"/>
      <c r="WDM1" s="200"/>
      <c r="WDN1" s="200"/>
      <c r="WDO1" s="200"/>
      <c r="WDP1" s="200"/>
      <c r="WDQ1" s="200"/>
      <c r="WDR1" s="200"/>
      <c r="WDS1" s="198"/>
      <c r="WDT1" s="198"/>
      <c r="WDU1" s="198"/>
      <c r="WDV1" s="198"/>
      <c r="WDW1" s="198"/>
      <c r="WDX1" s="198"/>
      <c r="WDY1" s="198"/>
      <c r="WDZ1" s="198"/>
      <c r="WEA1" s="198"/>
      <c r="WEB1" s="198"/>
      <c r="WEC1" s="198"/>
      <c r="WED1" s="198"/>
      <c r="WEE1" s="198"/>
      <c r="WEF1" s="198"/>
      <c r="WEG1" s="198"/>
      <c r="WEH1" s="198"/>
      <c r="WEI1" s="198"/>
      <c r="WEJ1" s="198"/>
      <c r="WEK1" s="198"/>
      <c r="WEL1" s="198"/>
      <c r="WEM1" s="198"/>
      <c r="WEN1" s="198"/>
      <c r="WEO1" s="198"/>
      <c r="WEP1" s="198"/>
      <c r="WEQ1" s="198"/>
      <c r="WER1" s="199"/>
      <c r="WES1" s="199"/>
      <c r="WET1" s="200"/>
      <c r="WEU1" s="200"/>
      <c r="WEV1" s="200"/>
      <c r="WEW1" s="200"/>
      <c r="WEX1" s="200"/>
      <c r="WEY1" s="200"/>
      <c r="WEZ1" s="200"/>
      <c r="WFA1" s="198"/>
      <c r="WFB1" s="198"/>
      <c r="WFC1" s="198"/>
      <c r="WFD1" s="198"/>
      <c r="WFE1" s="198"/>
      <c r="WFF1" s="198"/>
      <c r="WFG1" s="198"/>
      <c r="WFH1" s="198"/>
      <c r="WFI1" s="198"/>
      <c r="WFJ1" s="198"/>
      <c r="WFK1" s="198"/>
      <c r="WFL1" s="198"/>
      <c r="WFM1" s="198"/>
      <c r="WFN1" s="198"/>
      <c r="WFO1" s="198"/>
      <c r="WFP1" s="198"/>
      <c r="WFQ1" s="198"/>
      <c r="WFR1" s="198"/>
      <c r="WFS1" s="198"/>
      <c r="WFT1" s="198"/>
      <c r="WFU1" s="198"/>
      <c r="WFV1" s="198"/>
      <c r="WFW1" s="198"/>
      <c r="WFX1" s="198"/>
      <c r="WFY1" s="198"/>
      <c r="WFZ1" s="199"/>
      <c r="WGA1" s="199"/>
      <c r="WGB1" s="200"/>
      <c r="WGC1" s="200"/>
      <c r="WGD1" s="200"/>
      <c r="WGE1" s="200"/>
      <c r="WGF1" s="200"/>
      <c r="WGG1" s="200"/>
      <c r="WGH1" s="200"/>
      <c r="WGI1" s="198"/>
      <c r="WGJ1" s="198"/>
      <c r="WGK1" s="198"/>
      <c r="WGL1" s="198"/>
      <c r="WGM1" s="198"/>
      <c r="WGN1" s="198"/>
      <c r="WGO1" s="198"/>
      <c r="WGP1" s="198"/>
      <c r="WGQ1" s="198"/>
      <c r="WGR1" s="198"/>
      <c r="WGS1" s="198"/>
      <c r="WGT1" s="198"/>
      <c r="WGU1" s="198"/>
      <c r="WGV1" s="198"/>
      <c r="WGW1" s="198"/>
      <c r="WGX1" s="198"/>
      <c r="WGY1" s="198"/>
      <c r="WGZ1" s="198"/>
      <c r="WHA1" s="198"/>
      <c r="WHB1" s="198"/>
      <c r="WHC1" s="198"/>
      <c r="WHD1" s="198"/>
      <c r="WHE1" s="198"/>
      <c r="WHF1" s="198"/>
      <c r="WHG1" s="198"/>
      <c r="WHH1" s="199"/>
      <c r="WHI1" s="199"/>
      <c r="WHJ1" s="200"/>
      <c r="WHK1" s="200"/>
      <c r="WHL1" s="200"/>
      <c r="WHM1" s="200"/>
      <c r="WHN1" s="200"/>
      <c r="WHO1" s="200"/>
      <c r="WHP1" s="200"/>
      <c r="WHQ1" s="198"/>
      <c r="WHR1" s="198"/>
      <c r="WHS1" s="198"/>
      <c r="WHT1" s="198"/>
      <c r="WHU1" s="198"/>
      <c r="WHV1" s="198"/>
      <c r="WHW1" s="198"/>
      <c r="WHX1" s="198"/>
      <c r="WHY1" s="198"/>
      <c r="WHZ1" s="198"/>
      <c r="WIA1" s="198"/>
      <c r="WIB1" s="198"/>
      <c r="WIC1" s="198"/>
      <c r="WID1" s="198"/>
      <c r="WIE1" s="198"/>
      <c r="WIF1" s="198"/>
      <c r="WIG1" s="198"/>
      <c r="WIH1" s="198"/>
      <c r="WII1" s="198"/>
      <c r="WIJ1" s="198"/>
      <c r="WIK1" s="198"/>
      <c r="WIL1" s="198"/>
      <c r="WIM1" s="198"/>
      <c r="WIN1" s="198"/>
      <c r="WIO1" s="198"/>
      <c r="WIP1" s="199"/>
      <c r="WIQ1" s="199"/>
      <c r="WIR1" s="200"/>
      <c r="WIS1" s="200"/>
      <c r="WIT1" s="200"/>
      <c r="WIU1" s="200"/>
      <c r="WIV1" s="200"/>
      <c r="WIW1" s="200"/>
      <c r="WIX1" s="200"/>
      <c r="WIY1" s="198"/>
      <c r="WIZ1" s="198"/>
      <c r="WJA1" s="198"/>
      <c r="WJB1" s="198"/>
      <c r="WJC1" s="198"/>
      <c r="WJD1" s="198"/>
      <c r="WJE1" s="198"/>
      <c r="WJF1" s="198"/>
      <c r="WJG1" s="198"/>
      <c r="WJH1" s="198"/>
      <c r="WJI1" s="198"/>
      <c r="WJJ1" s="198"/>
      <c r="WJK1" s="198"/>
      <c r="WJL1" s="198"/>
      <c r="WJM1" s="198"/>
      <c r="WJN1" s="198"/>
      <c r="WJO1" s="198"/>
      <c r="WJP1" s="198"/>
      <c r="WJQ1" s="198"/>
      <c r="WJR1" s="198"/>
      <c r="WJS1" s="198"/>
      <c r="WJT1" s="198"/>
      <c r="WJU1" s="198"/>
      <c r="WJV1" s="198"/>
      <c r="WJW1" s="198"/>
      <c r="WJX1" s="199"/>
      <c r="WJY1" s="199"/>
      <c r="WJZ1" s="200"/>
      <c r="WKA1" s="200"/>
      <c r="WKB1" s="200"/>
      <c r="WKC1" s="200"/>
      <c r="WKD1" s="200"/>
      <c r="WKE1" s="200"/>
      <c r="WKF1" s="200"/>
      <c r="WKG1" s="198"/>
      <c r="WKH1" s="198"/>
      <c r="WKI1" s="198"/>
      <c r="WKJ1" s="198"/>
      <c r="WKK1" s="198"/>
      <c r="WKL1" s="198"/>
      <c r="WKM1" s="198"/>
      <c r="WKN1" s="198"/>
      <c r="WKO1" s="198"/>
      <c r="WKP1" s="198"/>
      <c r="WKQ1" s="198"/>
      <c r="WKR1" s="198"/>
      <c r="WKS1" s="198"/>
      <c r="WKT1" s="198"/>
      <c r="WKU1" s="198"/>
      <c r="WKV1" s="198"/>
      <c r="WKW1" s="198"/>
      <c r="WKX1" s="198"/>
      <c r="WKY1" s="198"/>
      <c r="WKZ1" s="198"/>
      <c r="WLA1" s="198"/>
      <c r="WLB1" s="198"/>
      <c r="WLC1" s="198"/>
      <c r="WLD1" s="198"/>
      <c r="WLE1" s="198"/>
      <c r="WLF1" s="199"/>
      <c r="WLG1" s="199"/>
      <c r="WLH1" s="200"/>
      <c r="WLI1" s="200"/>
      <c r="WLJ1" s="200"/>
      <c r="WLK1" s="200"/>
      <c r="WLL1" s="200"/>
      <c r="WLM1" s="200"/>
      <c r="WLN1" s="200"/>
      <c r="WLO1" s="198"/>
      <c r="WLP1" s="198"/>
      <c r="WLQ1" s="198"/>
      <c r="WLR1" s="198"/>
      <c r="WLS1" s="198"/>
      <c r="WLT1" s="198"/>
      <c r="WLU1" s="198"/>
      <c r="WLV1" s="198"/>
      <c r="WLW1" s="198"/>
      <c r="WLX1" s="198"/>
      <c r="WLY1" s="198"/>
      <c r="WLZ1" s="198"/>
      <c r="WMA1" s="198"/>
      <c r="WMB1" s="198"/>
      <c r="WMC1" s="198"/>
      <c r="WMD1" s="198"/>
      <c r="WME1" s="198"/>
      <c r="WMF1" s="198"/>
      <c r="WMG1" s="198"/>
      <c r="WMH1" s="198"/>
      <c r="WMI1" s="198"/>
      <c r="WMJ1" s="198"/>
      <c r="WMK1" s="198"/>
      <c r="WML1" s="198"/>
      <c r="WMM1" s="198"/>
      <c r="WMN1" s="199"/>
      <c r="WMO1" s="199"/>
      <c r="WMP1" s="200"/>
      <c r="WMQ1" s="200"/>
      <c r="WMR1" s="200"/>
      <c r="WMS1" s="200"/>
      <c r="WMT1" s="200"/>
      <c r="WMU1" s="200"/>
      <c r="WMV1" s="200"/>
      <c r="WMW1" s="198"/>
      <c r="WMX1" s="198"/>
      <c r="WMY1" s="198"/>
      <c r="WMZ1" s="198"/>
      <c r="WNA1" s="198"/>
      <c r="WNB1" s="198"/>
      <c r="WNC1" s="198"/>
      <c r="WND1" s="198"/>
      <c r="WNE1" s="198"/>
      <c r="WNF1" s="198"/>
      <c r="WNG1" s="198"/>
      <c r="WNH1" s="198"/>
      <c r="WNI1" s="198"/>
      <c r="WNJ1" s="198"/>
      <c r="WNK1" s="198"/>
      <c r="WNL1" s="198"/>
      <c r="WNM1" s="198"/>
      <c r="WNN1" s="198"/>
      <c r="WNO1" s="198"/>
      <c r="WNP1" s="198"/>
      <c r="WNQ1" s="198"/>
      <c r="WNR1" s="198"/>
      <c r="WNS1" s="198"/>
      <c r="WNT1" s="198"/>
      <c r="WNU1" s="198"/>
      <c r="WNV1" s="199"/>
      <c r="WNW1" s="199"/>
      <c r="WNX1" s="200"/>
      <c r="WNY1" s="200"/>
      <c r="WNZ1" s="200"/>
      <c r="WOA1" s="200"/>
      <c r="WOB1" s="200"/>
      <c r="WOC1" s="200"/>
      <c r="WOD1" s="200"/>
      <c r="WOE1" s="198"/>
      <c r="WOF1" s="198"/>
      <c r="WOG1" s="198"/>
      <c r="WOH1" s="198"/>
      <c r="WOI1" s="198"/>
      <c r="WOJ1" s="198"/>
      <c r="WOK1" s="198"/>
      <c r="WOL1" s="198"/>
      <c r="WOM1" s="198"/>
      <c r="WON1" s="198"/>
      <c r="WOO1" s="198"/>
      <c r="WOP1" s="198"/>
      <c r="WOQ1" s="198"/>
      <c r="WOR1" s="198"/>
      <c r="WOS1" s="198"/>
      <c r="WOT1" s="198"/>
      <c r="WOU1" s="198"/>
      <c r="WOV1" s="198"/>
      <c r="WOW1" s="198"/>
      <c r="WOX1" s="198"/>
      <c r="WOY1" s="198"/>
      <c r="WOZ1" s="198"/>
      <c r="WPA1" s="198"/>
      <c r="WPB1" s="198"/>
      <c r="WPC1" s="198"/>
      <c r="WPD1" s="199"/>
      <c r="WPE1" s="199"/>
      <c r="WPF1" s="200"/>
      <c r="WPG1" s="200"/>
      <c r="WPH1" s="200"/>
      <c r="WPI1" s="200"/>
      <c r="WPJ1" s="200"/>
      <c r="WPK1" s="200"/>
      <c r="WPL1" s="200"/>
      <c r="WPM1" s="198"/>
      <c r="WPN1" s="198"/>
      <c r="WPO1" s="198"/>
      <c r="WPP1" s="198"/>
      <c r="WPQ1" s="198"/>
      <c r="WPR1" s="198"/>
      <c r="WPS1" s="198"/>
      <c r="WPT1" s="198"/>
      <c r="WPU1" s="198"/>
      <c r="WPV1" s="198"/>
      <c r="WPW1" s="198"/>
      <c r="WPX1" s="198"/>
      <c r="WPY1" s="198"/>
      <c r="WPZ1" s="198"/>
      <c r="WQA1" s="198"/>
      <c r="WQB1" s="198"/>
      <c r="WQC1" s="198"/>
      <c r="WQD1" s="198"/>
      <c r="WQE1" s="198"/>
      <c r="WQF1" s="198"/>
      <c r="WQG1" s="198"/>
      <c r="WQH1" s="198"/>
      <c r="WQI1" s="198"/>
      <c r="WQJ1" s="198"/>
      <c r="WQK1" s="198"/>
      <c r="WQL1" s="199"/>
      <c r="WQM1" s="199"/>
      <c r="WQN1" s="200"/>
      <c r="WQO1" s="200"/>
      <c r="WQP1" s="200"/>
      <c r="WQQ1" s="200"/>
      <c r="WQR1" s="200"/>
      <c r="WQS1" s="200"/>
      <c r="WQT1" s="200"/>
      <c r="WQU1" s="198"/>
      <c r="WQV1" s="198"/>
      <c r="WQW1" s="198"/>
      <c r="WQX1" s="198"/>
      <c r="WQY1" s="198"/>
      <c r="WQZ1" s="198"/>
      <c r="WRA1" s="198"/>
      <c r="WRB1" s="198"/>
      <c r="WRC1" s="198"/>
      <c r="WRD1" s="198"/>
      <c r="WRE1" s="198"/>
      <c r="WRF1" s="198"/>
      <c r="WRG1" s="198"/>
      <c r="WRH1" s="198"/>
      <c r="WRI1" s="198"/>
      <c r="WRJ1" s="198"/>
      <c r="WRK1" s="198"/>
      <c r="WRL1" s="198"/>
      <c r="WRM1" s="198"/>
      <c r="WRN1" s="198"/>
      <c r="WRO1" s="198"/>
      <c r="WRP1" s="198"/>
      <c r="WRQ1" s="198"/>
      <c r="WRR1" s="198"/>
      <c r="WRS1" s="198"/>
      <c r="WRT1" s="199"/>
      <c r="WRU1" s="199"/>
      <c r="WRV1" s="200"/>
      <c r="WRW1" s="200"/>
      <c r="WRX1" s="200"/>
      <c r="WRY1" s="200"/>
      <c r="WRZ1" s="200"/>
      <c r="WSA1" s="200"/>
      <c r="WSB1" s="200"/>
      <c r="WSC1" s="198"/>
      <c r="WSD1" s="198"/>
      <c r="WSE1" s="198"/>
      <c r="WSF1" s="198"/>
      <c r="WSG1" s="198"/>
      <c r="WSH1" s="198"/>
      <c r="WSI1" s="198"/>
      <c r="WSJ1" s="198"/>
      <c r="WSK1" s="198"/>
      <c r="WSL1" s="198"/>
      <c r="WSM1" s="198"/>
      <c r="WSN1" s="198"/>
      <c r="WSO1" s="198"/>
      <c r="WSP1" s="198"/>
      <c r="WSQ1" s="198"/>
      <c r="WSR1" s="198"/>
      <c r="WSS1" s="198"/>
      <c r="WST1" s="198"/>
      <c r="WSU1" s="198"/>
      <c r="WSV1" s="198"/>
      <c r="WSW1" s="198"/>
      <c r="WSX1" s="198"/>
      <c r="WSY1" s="198"/>
      <c r="WSZ1" s="198"/>
      <c r="WTA1" s="198"/>
      <c r="WTB1" s="199"/>
      <c r="WTC1" s="199"/>
      <c r="WTD1" s="200"/>
      <c r="WTE1" s="200"/>
      <c r="WTF1" s="200"/>
      <c r="WTG1" s="200"/>
      <c r="WTH1" s="200"/>
      <c r="WTI1" s="200"/>
      <c r="WTJ1" s="200"/>
      <c r="WTK1" s="198"/>
      <c r="WTL1" s="198"/>
      <c r="WTM1" s="198"/>
      <c r="WTN1" s="198"/>
      <c r="WTO1" s="198"/>
      <c r="WTP1" s="198"/>
      <c r="WTQ1" s="198"/>
      <c r="WTR1" s="198"/>
      <c r="WTS1" s="198"/>
      <c r="WTT1" s="198"/>
      <c r="WTU1" s="198"/>
      <c r="WTV1" s="198"/>
      <c r="WTW1" s="198"/>
      <c r="WTX1" s="198"/>
      <c r="WTY1" s="198"/>
      <c r="WTZ1" s="198"/>
      <c r="WUA1" s="198"/>
      <c r="WUB1" s="198"/>
      <c r="WUC1" s="198"/>
      <c r="WUD1" s="198"/>
      <c r="WUE1" s="198"/>
      <c r="WUF1" s="198"/>
      <c r="WUG1" s="198"/>
      <c r="WUH1" s="198"/>
      <c r="WUI1" s="198"/>
      <c r="WUJ1" s="199"/>
      <c r="WUK1" s="199"/>
      <c r="WUL1" s="200"/>
      <c r="WUM1" s="200"/>
      <c r="WUN1" s="200"/>
      <c r="WUO1" s="200"/>
      <c r="WUP1" s="200"/>
      <c r="WUQ1" s="200"/>
      <c r="WUR1" s="200"/>
      <c r="WUS1" s="198"/>
      <c r="WUT1" s="198"/>
      <c r="WUU1" s="198"/>
      <c r="WUV1" s="198"/>
      <c r="WUW1" s="198"/>
      <c r="WUX1" s="198"/>
      <c r="WUY1" s="198"/>
      <c r="WUZ1" s="198"/>
      <c r="WVA1" s="198"/>
      <c r="WVB1" s="198"/>
      <c r="WVC1" s="198"/>
      <c r="WVD1" s="198"/>
      <c r="WVE1" s="198"/>
      <c r="WVF1" s="198"/>
      <c r="WVG1" s="198"/>
      <c r="WVH1" s="198"/>
      <c r="WVI1" s="198"/>
      <c r="WVJ1" s="198"/>
      <c r="WVK1" s="198"/>
      <c r="WVL1" s="198"/>
      <c r="WVM1" s="198"/>
      <c r="WVN1" s="198"/>
      <c r="WVO1" s="198"/>
      <c r="WVP1" s="198"/>
      <c r="WVQ1" s="198"/>
      <c r="WVR1" s="199"/>
      <c r="WVS1" s="199"/>
      <c r="WVT1" s="200"/>
      <c r="WVU1" s="200"/>
      <c r="WVV1" s="200"/>
      <c r="WVW1" s="200"/>
      <c r="WVX1" s="200"/>
      <c r="WVY1" s="200"/>
      <c r="WVZ1" s="200"/>
      <c r="WWA1" s="198"/>
      <c r="WWB1" s="198"/>
      <c r="WWC1" s="198"/>
      <c r="WWD1" s="198"/>
      <c r="WWE1" s="198"/>
      <c r="WWF1" s="198"/>
      <c r="WWG1" s="198"/>
      <c r="WWH1" s="198"/>
      <c r="WWI1" s="198"/>
      <c r="WWJ1" s="198"/>
      <c r="WWK1" s="198"/>
      <c r="WWL1" s="198"/>
      <c r="WWM1" s="198"/>
      <c r="WWN1" s="198"/>
      <c r="WWO1" s="198"/>
      <c r="WWP1" s="198"/>
      <c r="WWQ1" s="198"/>
      <c r="WWR1" s="198"/>
      <c r="WWS1" s="198"/>
      <c r="WWT1" s="198"/>
      <c r="WWU1" s="198"/>
      <c r="WWV1" s="198"/>
      <c r="WWW1" s="198"/>
      <c r="WWX1" s="198"/>
      <c r="WWY1" s="198"/>
      <c r="WWZ1" s="199"/>
      <c r="WXA1" s="199"/>
      <c r="WXB1" s="200"/>
      <c r="WXC1" s="200"/>
      <c r="WXD1" s="200"/>
      <c r="WXE1" s="200"/>
      <c r="WXF1" s="200"/>
      <c r="WXG1" s="200"/>
      <c r="WXH1" s="200"/>
      <c r="WXI1" s="198"/>
      <c r="WXJ1" s="198"/>
      <c r="WXK1" s="198"/>
      <c r="WXL1" s="198"/>
      <c r="WXM1" s="198"/>
      <c r="WXN1" s="198"/>
      <c r="WXO1" s="198"/>
      <c r="WXP1" s="198"/>
      <c r="WXQ1" s="198"/>
      <c r="WXR1" s="198"/>
      <c r="WXS1" s="198"/>
      <c r="WXT1" s="198"/>
      <c r="WXU1" s="198"/>
      <c r="WXV1" s="198"/>
      <c r="WXW1" s="198"/>
      <c r="WXX1" s="198"/>
      <c r="WXY1" s="198"/>
      <c r="WXZ1" s="198"/>
      <c r="WYA1" s="198"/>
      <c r="WYB1" s="198"/>
      <c r="WYC1" s="198"/>
      <c r="WYD1" s="198"/>
      <c r="WYE1" s="198"/>
      <c r="WYF1" s="198"/>
      <c r="WYG1" s="198"/>
      <c r="WYH1" s="199"/>
      <c r="WYI1" s="199"/>
      <c r="WYJ1" s="200"/>
      <c r="WYK1" s="200"/>
      <c r="WYL1" s="200"/>
      <c r="WYM1" s="200"/>
      <c r="WYN1" s="200"/>
      <c r="WYO1" s="200"/>
      <c r="WYP1" s="200"/>
      <c r="WYQ1" s="198"/>
      <c r="WYR1" s="198"/>
      <c r="WYS1" s="198"/>
      <c r="WYT1" s="198"/>
      <c r="WYU1" s="198"/>
      <c r="WYV1" s="198"/>
      <c r="WYW1" s="198"/>
      <c r="WYX1" s="198"/>
      <c r="WYY1" s="198"/>
      <c r="WYZ1" s="198"/>
      <c r="WZA1" s="198"/>
      <c r="WZB1" s="198"/>
      <c r="WZC1" s="198"/>
      <c r="WZD1" s="198"/>
      <c r="WZE1" s="198"/>
      <c r="WZF1" s="198"/>
      <c r="WZG1" s="198"/>
      <c r="WZH1" s="198"/>
      <c r="WZI1" s="198"/>
      <c r="WZJ1" s="198"/>
      <c r="WZK1" s="198"/>
      <c r="WZL1" s="198"/>
      <c r="WZM1" s="198"/>
      <c r="WZN1" s="198"/>
      <c r="WZO1" s="198"/>
      <c r="WZP1" s="199"/>
      <c r="WZQ1" s="199"/>
      <c r="WZR1" s="200"/>
      <c r="WZS1" s="200"/>
      <c r="WZT1" s="200"/>
      <c r="WZU1" s="200"/>
      <c r="WZV1" s="200"/>
      <c r="WZW1" s="200"/>
      <c r="WZX1" s="200"/>
      <c r="WZY1" s="198"/>
      <c r="WZZ1" s="198"/>
      <c r="XAA1" s="198"/>
      <c r="XAB1" s="198"/>
      <c r="XAC1" s="198"/>
      <c r="XAD1" s="198"/>
      <c r="XAE1" s="198"/>
      <c r="XAF1" s="198"/>
      <c r="XAG1" s="198"/>
      <c r="XAH1" s="198"/>
      <c r="XAI1" s="198"/>
      <c r="XAJ1" s="198"/>
      <c r="XAK1" s="198"/>
      <c r="XAL1" s="198"/>
      <c r="XAM1" s="198"/>
      <c r="XAN1" s="198"/>
      <c r="XAO1" s="198"/>
      <c r="XAP1" s="198"/>
      <c r="XAQ1" s="198"/>
      <c r="XAR1" s="198"/>
      <c r="XAS1" s="198"/>
      <c r="XAT1" s="198"/>
      <c r="XAU1" s="198"/>
      <c r="XAV1" s="198"/>
      <c r="XAW1" s="198"/>
      <c r="XAX1" s="199"/>
      <c r="XAY1" s="199"/>
      <c r="XAZ1" s="200"/>
      <c r="XBA1" s="200"/>
      <c r="XBB1" s="200"/>
      <c r="XBC1" s="200"/>
      <c r="XBD1" s="200"/>
      <c r="XBE1" s="200"/>
      <c r="XBF1" s="200"/>
      <c r="XBG1" s="198"/>
      <c r="XBH1" s="198"/>
      <c r="XBI1" s="198"/>
      <c r="XBJ1" s="198"/>
      <c r="XBK1" s="198"/>
      <c r="XBL1" s="198"/>
      <c r="XBM1" s="198"/>
      <c r="XBN1" s="198"/>
      <c r="XBO1" s="198"/>
      <c r="XBP1" s="198"/>
      <c r="XBQ1" s="198"/>
      <c r="XBR1" s="198"/>
      <c r="XBS1" s="198"/>
      <c r="XBT1" s="198"/>
      <c r="XBU1" s="198"/>
      <c r="XBV1" s="198"/>
      <c r="XBW1" s="198"/>
      <c r="XBX1" s="198"/>
      <c r="XBY1" s="198"/>
      <c r="XBZ1" s="198"/>
      <c r="XCA1" s="198"/>
      <c r="XCB1" s="198"/>
      <c r="XCC1" s="198"/>
      <c r="XCD1" s="198"/>
      <c r="XCE1" s="198"/>
      <c r="XCF1" s="199"/>
      <c r="XCG1" s="199"/>
      <c r="XCH1" s="200"/>
      <c r="XCI1" s="200"/>
      <c r="XCJ1" s="200"/>
      <c r="XCK1" s="200"/>
      <c r="XCL1" s="200"/>
      <c r="XCM1" s="200"/>
      <c r="XCN1" s="200"/>
      <c r="XCO1" s="198"/>
      <c r="XCP1" s="198"/>
      <c r="XCQ1" s="198"/>
      <c r="XCR1" s="198"/>
      <c r="XCS1" s="198"/>
      <c r="XCT1" s="198"/>
      <c r="XCU1" s="198"/>
      <c r="XCV1" s="198"/>
      <c r="XCW1" s="198"/>
      <c r="XCX1" s="198"/>
      <c r="XCY1" s="198"/>
      <c r="XCZ1" s="198"/>
      <c r="XDA1" s="198"/>
      <c r="XDB1" s="198"/>
      <c r="XDC1" s="198"/>
      <c r="XDD1" s="198"/>
      <c r="XDE1" s="198"/>
      <c r="XDF1" s="198"/>
      <c r="XDG1" s="198"/>
      <c r="XDH1" s="198"/>
      <c r="XDI1" s="198"/>
      <c r="XDJ1" s="198"/>
      <c r="XDK1" s="198"/>
      <c r="XDL1" s="198"/>
      <c r="XDM1" s="198"/>
      <c r="XDN1" s="199"/>
      <c r="XDO1" s="199"/>
      <c r="XDP1" s="200"/>
      <c r="XDQ1" s="200"/>
      <c r="XDR1" s="200"/>
      <c r="XDS1" s="200"/>
      <c r="XDT1" s="200"/>
      <c r="XDU1" s="200"/>
      <c r="XDV1" s="200"/>
      <c r="XDW1" s="198"/>
      <c r="XDX1" s="198"/>
      <c r="XDY1" s="198"/>
      <c r="XDZ1" s="198"/>
      <c r="XEA1" s="198"/>
      <c r="XEB1" s="198"/>
      <c r="XEC1" s="198"/>
      <c r="XED1" s="198"/>
      <c r="XEE1" s="198"/>
      <c r="XEF1" s="198"/>
      <c r="XEG1" s="198"/>
      <c r="XEH1" s="198"/>
      <c r="XEI1" s="198"/>
      <c r="XEJ1" s="198"/>
      <c r="XEK1" s="198"/>
      <c r="XEL1" s="198"/>
      <c r="XEM1" s="198"/>
      <c r="XEN1" s="198"/>
      <c r="XEO1" s="198"/>
      <c r="XEP1" s="198"/>
      <c r="XEQ1" s="198"/>
    </row>
    <row r="2" spans="2:16371">
      <c r="B2" s="201"/>
      <c r="C2" s="201"/>
      <c r="D2" s="201"/>
      <c r="E2" s="201"/>
    </row>
    <row r="3" spans="2:16371" ht="15.75">
      <c r="B3" s="1005" t="s">
        <v>19</v>
      </c>
      <c r="C3" s="1005"/>
      <c r="D3" s="1005"/>
      <c r="E3" s="1005"/>
    </row>
    <row r="4" spans="2:16371" s="202" customFormat="1" ht="360" customHeight="1">
      <c r="B4" s="1003" t="s">
        <v>20</v>
      </c>
      <c r="C4" s="1003"/>
      <c r="D4" s="1003"/>
      <c r="E4" s="1003"/>
    </row>
    <row r="5" spans="2:16371" ht="15.75">
      <c r="B5" s="1006" t="s">
        <v>21</v>
      </c>
      <c r="C5" s="1006"/>
      <c r="D5" s="1006"/>
      <c r="E5" s="1006"/>
    </row>
    <row r="6" spans="2:16371" s="202" customFormat="1" ht="108.95" customHeight="1">
      <c r="B6" s="1003" t="s">
        <v>22</v>
      </c>
      <c r="C6" s="1003"/>
      <c r="D6" s="1003"/>
      <c r="E6" s="1003"/>
    </row>
    <row r="7" spans="2:16371" s="202" customFormat="1" ht="15.75" customHeight="1">
      <c r="B7" s="1007" t="s">
        <v>23</v>
      </c>
      <c r="C7" s="1007"/>
      <c r="D7" s="1007"/>
      <c r="E7" s="1007"/>
    </row>
    <row r="8" spans="2:16371" s="204" customFormat="1" ht="54.95" customHeight="1">
      <c r="B8" s="1003" t="s">
        <v>24</v>
      </c>
      <c r="C8" s="1003"/>
      <c r="D8" s="1003"/>
      <c r="E8" s="1003"/>
    </row>
    <row r="9" spans="2:16371" s="204" customFormat="1" ht="15">
      <c r="B9" s="309" t="s">
        <v>25</v>
      </c>
      <c r="C9" s="310"/>
      <c r="D9" s="310"/>
      <c r="E9" s="310"/>
    </row>
    <row r="10" spans="2:16371" s="202" customFormat="1" ht="38.25" customHeight="1">
      <c r="B10" s="1003" t="s">
        <v>26</v>
      </c>
      <c r="C10" s="1003"/>
      <c r="D10" s="1003"/>
      <c r="E10" s="1003"/>
    </row>
    <row r="11" spans="2:16371" s="202" customFormat="1" ht="15">
      <c r="B11" s="1007" t="s">
        <v>27</v>
      </c>
      <c r="C11" s="1007"/>
      <c r="D11" s="1007"/>
      <c r="E11" s="1007"/>
    </row>
    <row r="12" spans="2:16371" s="202" customFormat="1" ht="50.45" customHeight="1">
      <c r="B12" s="1003" t="s">
        <v>28</v>
      </c>
      <c r="C12" s="1003"/>
      <c r="D12" s="1003"/>
      <c r="E12" s="1003"/>
    </row>
    <row r="13" spans="2:16371" s="202" customFormat="1" ht="15.75">
      <c r="B13" s="1006" t="s">
        <v>29</v>
      </c>
      <c r="C13" s="1006"/>
      <c r="D13" s="1006"/>
      <c r="E13" s="1006"/>
    </row>
    <row r="14" spans="2:16371" s="202" customFormat="1" ht="156" customHeight="1">
      <c r="B14" s="1003" t="s">
        <v>30</v>
      </c>
      <c r="C14" s="1003"/>
      <c r="D14" s="1003"/>
      <c r="E14" s="1003"/>
    </row>
    <row r="15" spans="2:16371" s="202" customFormat="1" ht="15">
      <c r="B15" s="1007" t="s">
        <v>31</v>
      </c>
      <c r="C15" s="1007"/>
      <c r="D15" s="1007"/>
      <c r="E15" s="1007"/>
    </row>
    <row r="16" spans="2:16371" ht="105" customHeight="1">
      <c r="B16" s="1009" t="s">
        <v>32</v>
      </c>
      <c r="C16" s="1009"/>
      <c r="D16" s="1009"/>
      <c r="E16" s="1009"/>
    </row>
    <row r="17" spans="2:6" ht="16.5" customHeight="1">
      <c r="B17" s="1007" t="s">
        <v>33</v>
      </c>
      <c r="C17" s="1007"/>
      <c r="D17" s="1007"/>
      <c r="E17" s="1007"/>
    </row>
    <row r="18" spans="2:6" ht="134.25" customHeight="1">
      <c r="B18" s="1009" t="s">
        <v>34</v>
      </c>
      <c r="C18" s="1009"/>
      <c r="D18" s="1009"/>
      <c r="E18" s="1009"/>
    </row>
    <row r="19" spans="2:6" ht="15.75">
      <c r="B19" s="364" t="s">
        <v>35</v>
      </c>
      <c r="C19" s="363"/>
      <c r="D19" s="363"/>
      <c r="E19" s="311"/>
      <c r="F19" s="206"/>
    </row>
    <row r="20" spans="2:6" ht="125.25" customHeight="1">
      <c r="B20" s="1010" t="s">
        <v>36</v>
      </c>
      <c r="C20" s="1010"/>
      <c r="D20" s="1010"/>
      <c r="E20" s="1010"/>
      <c r="F20" s="206"/>
    </row>
    <row r="21" spans="2:6" ht="15">
      <c r="B21" s="207" t="s">
        <v>37</v>
      </c>
      <c r="C21" s="208" t="s">
        <v>38</v>
      </c>
      <c r="D21" s="209" t="s">
        <v>39</v>
      </c>
      <c r="E21" s="210" t="s">
        <v>40</v>
      </c>
    </row>
    <row r="22" spans="2:6" ht="14.25">
      <c r="B22" s="211" t="s">
        <v>41</v>
      </c>
      <c r="C22" s="212" t="s">
        <v>42</v>
      </c>
      <c r="D22" s="214" t="s">
        <v>43</v>
      </c>
      <c r="E22" s="213" t="s">
        <v>44</v>
      </c>
    </row>
    <row r="23" spans="2:6" ht="14.25">
      <c r="B23" s="211" t="s">
        <v>45</v>
      </c>
      <c r="C23" s="212" t="s">
        <v>46</v>
      </c>
      <c r="D23" s="214" t="s">
        <v>47</v>
      </c>
      <c r="E23" s="213" t="s">
        <v>44</v>
      </c>
    </row>
    <row r="24" spans="2:6" ht="14.25">
      <c r="B24" s="211" t="s">
        <v>48</v>
      </c>
      <c r="C24" s="212" t="s">
        <v>49</v>
      </c>
      <c r="D24" s="214" t="s">
        <v>50</v>
      </c>
      <c r="E24" s="213" t="s">
        <v>44</v>
      </c>
    </row>
    <row r="25" spans="2:6" ht="14.25">
      <c r="B25" s="211" t="s">
        <v>51</v>
      </c>
      <c r="C25" s="212" t="s">
        <v>52</v>
      </c>
      <c r="D25" s="214" t="s">
        <v>53</v>
      </c>
      <c r="E25" s="213" t="s">
        <v>44</v>
      </c>
    </row>
    <row r="26" spans="2:6" s="213" customFormat="1" ht="14.25">
      <c r="B26" s="211" t="s">
        <v>54</v>
      </c>
      <c r="C26" s="212" t="s">
        <v>55</v>
      </c>
      <c r="D26" s="214" t="s">
        <v>56</v>
      </c>
      <c r="E26" s="213" t="s">
        <v>57</v>
      </c>
    </row>
    <row r="27" spans="2:6" s="213" customFormat="1" ht="15" customHeight="1">
      <c r="B27" s="211" t="s">
        <v>58</v>
      </c>
      <c r="C27" s="213" t="s">
        <v>59</v>
      </c>
      <c r="D27" s="214" t="s">
        <v>60</v>
      </c>
      <c r="E27" s="213" t="s">
        <v>57</v>
      </c>
    </row>
    <row r="28" spans="2:6" ht="15" customHeight="1">
      <c r="B28" s="211" t="s">
        <v>61</v>
      </c>
      <c r="C28" s="213" t="s">
        <v>62</v>
      </c>
      <c r="D28" s="215" t="s">
        <v>63</v>
      </c>
      <c r="E28" s="213" t="s">
        <v>64</v>
      </c>
    </row>
    <row r="29" spans="2:6" ht="15" customHeight="1">
      <c r="B29" s="211" t="s">
        <v>65</v>
      </c>
      <c r="C29" s="216" t="s">
        <v>66</v>
      </c>
      <c r="D29" s="215" t="s">
        <v>67</v>
      </c>
      <c r="E29" s="213" t="s">
        <v>64</v>
      </c>
    </row>
    <row r="30" spans="2:6" ht="15" customHeight="1">
      <c r="B30" s="211" t="s">
        <v>68</v>
      </c>
      <c r="C30" s="216" t="s">
        <v>69</v>
      </c>
      <c r="D30" s="215" t="s">
        <v>70</v>
      </c>
      <c r="E30" s="213" t="s">
        <v>64</v>
      </c>
    </row>
    <row r="31" spans="2:6" ht="14.25">
      <c r="B31" s="211" t="s">
        <v>71</v>
      </c>
      <c r="C31" s="216" t="s">
        <v>72</v>
      </c>
      <c r="D31" s="215" t="s">
        <v>73</v>
      </c>
      <c r="E31" s="213" t="s">
        <v>64</v>
      </c>
    </row>
    <row r="32" spans="2:6" ht="14.25">
      <c r="B32" s="211" t="s">
        <v>74</v>
      </c>
      <c r="C32" s="216" t="s">
        <v>75</v>
      </c>
      <c r="D32" s="215" t="s">
        <v>76</v>
      </c>
      <c r="E32" s="213" t="s">
        <v>77</v>
      </c>
    </row>
    <row r="33" spans="2:5" ht="14.25">
      <c r="B33" s="211" t="s">
        <v>78</v>
      </c>
      <c r="C33" s="216" t="s">
        <v>79</v>
      </c>
      <c r="D33" s="213" t="s">
        <v>80</v>
      </c>
      <c r="E33" s="213" t="s">
        <v>81</v>
      </c>
    </row>
    <row r="34" spans="2:5" ht="14.25">
      <c r="B34" s="211" t="s">
        <v>82</v>
      </c>
      <c r="C34" s="216" t="s">
        <v>83</v>
      </c>
      <c r="D34" s="213" t="s">
        <v>84</v>
      </c>
      <c r="E34" s="213" t="s">
        <v>85</v>
      </c>
    </row>
    <row r="35" spans="2:5" ht="14.25">
      <c r="B35" s="211" t="s">
        <v>86</v>
      </c>
      <c r="C35" s="216" t="s">
        <v>87</v>
      </c>
      <c r="D35" s="213" t="s">
        <v>88</v>
      </c>
      <c r="E35" s="213" t="s">
        <v>89</v>
      </c>
    </row>
    <row r="36" spans="2:5" ht="14.25">
      <c r="B36" s="217" t="s">
        <v>90</v>
      </c>
      <c r="C36" s="216" t="s">
        <v>91</v>
      </c>
      <c r="D36" s="213" t="s">
        <v>92</v>
      </c>
      <c r="E36" s="213" t="s">
        <v>93</v>
      </c>
    </row>
    <row r="37" spans="2:5" ht="14.25">
      <c r="B37" s="217" t="s">
        <v>94</v>
      </c>
      <c r="C37" s="216" t="s">
        <v>95</v>
      </c>
      <c r="D37" s="213" t="s">
        <v>96</v>
      </c>
      <c r="E37" s="213" t="s">
        <v>93</v>
      </c>
    </row>
    <row r="38" spans="2:5" ht="14.25">
      <c r="B38" s="217" t="s">
        <v>97</v>
      </c>
      <c r="C38" s="216" t="s">
        <v>98</v>
      </c>
      <c r="D38" s="213" t="s">
        <v>99</v>
      </c>
      <c r="E38" s="213" t="s">
        <v>93</v>
      </c>
    </row>
    <row r="39" spans="2:5" ht="14.25">
      <c r="B39" s="217" t="s">
        <v>100</v>
      </c>
      <c r="C39" s="216" t="s">
        <v>101</v>
      </c>
      <c r="D39" s="213" t="s">
        <v>102</v>
      </c>
      <c r="E39" s="213" t="s">
        <v>93</v>
      </c>
    </row>
    <row r="40" spans="2:5" ht="14.25">
      <c r="B40" s="217" t="s">
        <v>103</v>
      </c>
      <c r="C40" s="216" t="s">
        <v>104</v>
      </c>
      <c r="D40" s="213" t="s">
        <v>105</v>
      </c>
      <c r="E40" s="213" t="s">
        <v>106</v>
      </c>
    </row>
    <row r="41" spans="2:5" ht="14.25">
      <c r="B41" s="217" t="s">
        <v>107</v>
      </c>
      <c r="C41" s="216" t="s">
        <v>108</v>
      </c>
      <c r="D41" s="213" t="s">
        <v>109</v>
      </c>
      <c r="E41" s="213" t="s">
        <v>106</v>
      </c>
    </row>
    <row r="42" spans="2:5" ht="14.25">
      <c r="B42" s="217" t="s">
        <v>110</v>
      </c>
      <c r="C42" s="216" t="s">
        <v>111</v>
      </c>
      <c r="D42" s="213" t="s">
        <v>112</v>
      </c>
      <c r="E42" s="213" t="s">
        <v>106</v>
      </c>
    </row>
    <row r="43" spans="2:5" ht="14.25">
      <c r="B43" s="211" t="s">
        <v>113</v>
      </c>
      <c r="C43" s="216" t="s">
        <v>114</v>
      </c>
      <c r="D43" s="213" t="s">
        <v>115</v>
      </c>
      <c r="E43" s="213" t="s">
        <v>106</v>
      </c>
    </row>
    <row r="44" spans="2:5" ht="14.25">
      <c r="B44" s="211" t="s">
        <v>116</v>
      </c>
      <c r="C44" s="216" t="s">
        <v>117</v>
      </c>
      <c r="D44" s="213" t="s">
        <v>118</v>
      </c>
      <c r="E44" s="213" t="s">
        <v>106</v>
      </c>
    </row>
    <row r="45" spans="2:5" ht="14.25">
      <c r="B45" s="211" t="s">
        <v>119</v>
      </c>
      <c r="C45" s="216" t="s">
        <v>120</v>
      </c>
      <c r="D45" s="213" t="s">
        <v>121</v>
      </c>
      <c r="E45" s="213" t="s">
        <v>106</v>
      </c>
    </row>
    <row r="46" spans="2:5" ht="14.25">
      <c r="B46" s="211" t="s">
        <v>122</v>
      </c>
      <c r="C46" s="216" t="s">
        <v>123</v>
      </c>
      <c r="D46" s="213" t="s">
        <v>124</v>
      </c>
      <c r="E46" s="213" t="s">
        <v>44</v>
      </c>
    </row>
    <row r="47" spans="2:5" ht="14.25">
      <c r="B47" s="211" t="s">
        <v>125</v>
      </c>
      <c r="C47" s="216" t="s">
        <v>126</v>
      </c>
      <c r="D47" s="213" t="s">
        <v>127</v>
      </c>
      <c r="E47" s="213" t="s">
        <v>44</v>
      </c>
    </row>
    <row r="48" spans="2:5" ht="14.25">
      <c r="B48" s="211" t="s">
        <v>128</v>
      </c>
      <c r="C48" s="216" t="s">
        <v>129</v>
      </c>
      <c r="D48" s="213" t="s">
        <v>130</v>
      </c>
      <c r="E48" s="213" t="s">
        <v>44</v>
      </c>
    </row>
    <row r="49" spans="2:5" ht="14.25">
      <c r="B49" s="211" t="s">
        <v>131</v>
      </c>
      <c r="C49" s="216" t="s">
        <v>132</v>
      </c>
      <c r="D49" s="213" t="s">
        <v>133</v>
      </c>
      <c r="E49" s="213" t="s">
        <v>134</v>
      </c>
    </row>
    <row r="50" spans="2:5" ht="14.25">
      <c r="B50" s="211" t="s">
        <v>135</v>
      </c>
      <c r="C50" s="216" t="s">
        <v>136</v>
      </c>
      <c r="D50" s="213" t="s">
        <v>137</v>
      </c>
      <c r="E50" s="213" t="s">
        <v>134</v>
      </c>
    </row>
    <row r="51" spans="2:5" ht="14.25">
      <c r="B51" s="211" t="s">
        <v>138</v>
      </c>
      <c r="C51" s="216" t="s">
        <v>139</v>
      </c>
      <c r="D51" s="213" t="s">
        <v>140</v>
      </c>
      <c r="E51" s="213" t="s">
        <v>134</v>
      </c>
    </row>
    <row r="52" spans="2:5" ht="14.25">
      <c r="B52" s="211" t="s">
        <v>141</v>
      </c>
      <c r="C52" s="216" t="s">
        <v>142</v>
      </c>
      <c r="D52" s="213" t="s">
        <v>143</v>
      </c>
      <c r="E52" s="213" t="s">
        <v>144</v>
      </c>
    </row>
    <row r="53" spans="2:5" ht="14.25">
      <c r="B53" s="211" t="s">
        <v>145</v>
      </c>
      <c r="C53" s="216" t="s">
        <v>146</v>
      </c>
      <c r="D53" s="213" t="s">
        <v>147</v>
      </c>
      <c r="E53" s="213" t="s">
        <v>144</v>
      </c>
    </row>
    <row r="54" spans="2:5" ht="14.25">
      <c r="B54" s="211" t="s">
        <v>148</v>
      </c>
      <c r="C54" s="216" t="s">
        <v>149</v>
      </c>
      <c r="D54" s="213" t="s">
        <v>150</v>
      </c>
      <c r="E54" s="213" t="s">
        <v>151</v>
      </c>
    </row>
    <row r="55" spans="2:5" ht="14.25">
      <c r="B55" s="211" t="s">
        <v>152</v>
      </c>
      <c r="C55" s="216" t="s">
        <v>153</v>
      </c>
      <c r="D55" s="213" t="s">
        <v>154</v>
      </c>
      <c r="E55" s="213" t="s">
        <v>155</v>
      </c>
    </row>
    <row r="56" spans="2:5" ht="14.25">
      <c r="B56" s="211" t="s">
        <v>156</v>
      </c>
      <c r="C56" s="216" t="s">
        <v>157</v>
      </c>
      <c r="D56" s="213" t="s">
        <v>158</v>
      </c>
      <c r="E56" s="213" t="s">
        <v>155</v>
      </c>
    </row>
    <row r="57" spans="2:5" ht="14.25">
      <c r="B57" s="211" t="s">
        <v>159</v>
      </c>
      <c r="C57" s="216" t="s">
        <v>160</v>
      </c>
      <c r="D57" s="213" t="s">
        <v>161</v>
      </c>
      <c r="E57" s="213" t="s">
        <v>155</v>
      </c>
    </row>
    <row r="58" spans="2:5" ht="14.25">
      <c r="B58" s="211" t="s">
        <v>162</v>
      </c>
      <c r="C58" s="216" t="s">
        <v>163</v>
      </c>
      <c r="D58" s="213" t="s">
        <v>164</v>
      </c>
      <c r="E58" s="213" t="s">
        <v>155</v>
      </c>
    </row>
    <row r="59" spans="2:5" ht="14.25">
      <c r="B59" s="211" t="s">
        <v>165</v>
      </c>
      <c r="C59" s="216" t="s">
        <v>166</v>
      </c>
      <c r="D59" s="213" t="s">
        <v>165</v>
      </c>
      <c r="E59" s="213" t="s">
        <v>165</v>
      </c>
    </row>
    <row r="60" spans="2:5" ht="14.25">
      <c r="B60" s="211" t="s">
        <v>167</v>
      </c>
      <c r="C60" s="216" t="s">
        <v>168</v>
      </c>
      <c r="D60" s="213" t="s">
        <v>169</v>
      </c>
      <c r="E60" s="213" t="s">
        <v>155</v>
      </c>
    </row>
    <row r="61" spans="2:5" ht="14.25">
      <c r="B61" s="211" t="s">
        <v>170</v>
      </c>
      <c r="C61" s="216" t="s">
        <v>171</v>
      </c>
      <c r="D61" s="213" t="s">
        <v>172</v>
      </c>
      <c r="E61" s="213" t="s">
        <v>173</v>
      </c>
    </row>
    <row r="62" spans="2:5" ht="14.25">
      <c r="B62" s="211" t="s">
        <v>174</v>
      </c>
      <c r="C62" s="216" t="s">
        <v>175</v>
      </c>
      <c r="D62" s="213" t="s">
        <v>176</v>
      </c>
      <c r="E62" s="213" t="s">
        <v>173</v>
      </c>
    </row>
    <row r="63" spans="2:5" ht="14.25">
      <c r="B63" s="211" t="s">
        <v>177</v>
      </c>
      <c r="C63" s="216" t="s">
        <v>178</v>
      </c>
      <c r="D63" s="213" t="s">
        <v>179</v>
      </c>
      <c r="E63" s="213" t="s">
        <v>173</v>
      </c>
    </row>
    <row r="64" spans="2:5" ht="14.25">
      <c r="B64" s="211" t="s">
        <v>180</v>
      </c>
      <c r="C64" s="216" t="s">
        <v>181</v>
      </c>
      <c r="D64" s="213" t="s">
        <v>182</v>
      </c>
      <c r="E64" s="213" t="s">
        <v>183</v>
      </c>
    </row>
    <row r="65" spans="2:33" ht="14.25">
      <c r="B65" s="211" t="s">
        <v>184</v>
      </c>
      <c r="C65" s="216" t="s">
        <v>185</v>
      </c>
      <c r="D65" s="213" t="s">
        <v>186</v>
      </c>
      <c r="E65" s="213" t="s">
        <v>183</v>
      </c>
    </row>
    <row r="66" spans="2:33" ht="14.25">
      <c r="B66" s="211" t="s">
        <v>187</v>
      </c>
      <c r="C66" s="216" t="s">
        <v>188</v>
      </c>
      <c r="D66" s="213" t="s">
        <v>189</v>
      </c>
      <c r="E66" s="213" t="s">
        <v>183</v>
      </c>
    </row>
    <row r="67" spans="2:33" ht="14.25">
      <c r="B67" s="211" t="s">
        <v>190</v>
      </c>
      <c r="C67" s="216" t="s">
        <v>191</v>
      </c>
      <c r="D67" s="213" t="s">
        <v>192</v>
      </c>
      <c r="E67" s="213" t="s">
        <v>183</v>
      </c>
    </row>
    <row r="68" spans="2:33" ht="14.25">
      <c r="B68" s="211" t="s">
        <v>193</v>
      </c>
      <c r="C68" s="216" t="s">
        <v>194</v>
      </c>
      <c r="D68" s="213" t="s">
        <v>195</v>
      </c>
      <c r="E68" s="213" t="s">
        <v>196</v>
      </c>
    </row>
    <row r="69" spans="2:33" s="218" customFormat="1" ht="14.25" customHeight="1">
      <c r="B69" s="219"/>
      <c r="C69" s="1"/>
      <c r="D69" s="1"/>
      <c r="E69" s="1"/>
      <c r="O69" s="220"/>
      <c r="P69" s="220"/>
      <c r="Q69" s="221"/>
      <c r="R69" s="221"/>
      <c r="U69" s="221"/>
      <c r="V69" s="221"/>
      <c r="W69" s="221"/>
      <c r="X69" s="221"/>
      <c r="Y69" s="222"/>
      <c r="Z69" s="222"/>
      <c r="AG69" s="223"/>
    </row>
    <row r="70" spans="2:33" ht="63.95" customHeight="1">
      <c r="B70" s="1008" t="s">
        <v>197</v>
      </c>
      <c r="C70" s="1008"/>
      <c r="D70" s="226"/>
      <c r="E70" s="226"/>
      <c r="F70" s="224"/>
    </row>
    <row r="71" spans="2:33">
      <c r="B71" s="14"/>
    </row>
    <row r="72" spans="2:33">
      <c r="B72" s="13"/>
    </row>
    <row r="73" spans="2:33">
      <c r="B73" s="14"/>
    </row>
    <row r="74" spans="2:33">
      <c r="B74" s="14"/>
    </row>
    <row r="75" spans="2:33">
      <c r="B75" s="14"/>
    </row>
    <row r="76" spans="2:33">
      <c r="B76" s="14"/>
    </row>
  </sheetData>
  <mergeCells count="18">
    <mergeCell ref="B70:C70"/>
    <mergeCell ref="B15:E15"/>
    <mergeCell ref="B16:E16"/>
    <mergeCell ref="B17:E17"/>
    <mergeCell ref="B18:E18"/>
    <mergeCell ref="B20:E20"/>
    <mergeCell ref="B14:E14"/>
    <mergeCell ref="B1:E1"/>
    <mergeCell ref="B3:E3"/>
    <mergeCell ref="B4:E4"/>
    <mergeCell ref="B5:E5"/>
    <mergeCell ref="B6:E6"/>
    <mergeCell ref="B7:E7"/>
    <mergeCell ref="B8:E8"/>
    <mergeCell ref="B10:E10"/>
    <mergeCell ref="B11:E11"/>
    <mergeCell ref="B12:E12"/>
    <mergeCell ref="B13:E13"/>
  </mergeCells>
  <hyperlinks>
    <hyperlink ref="B70" r:id="rId1" display="https://www.industry.gov.au/data-and-publications/science-research-and-innovation-sri-budget-tables" xr:uid="{268F6CD7-650F-4129-811A-C89B78F1EDF4}"/>
  </hyperlinks>
  <pageMargins left="0.7" right="0.7" top="0.75" bottom="0.75" header="0.3" footer="0.3"/>
  <pageSetup paperSize="9" orientation="portrait" horizontalDpi="300" verticalDpi="300" r:id="rId2"/>
  <headerFooter>
    <oddHeader>&amp;C&amp;"Calibri"&amp;12&amp;KC00000 OFFICIAL&amp;1#_x000D_</oddHeader>
    <oddFooter>&amp;C_x000D_&amp;1#&amp;"Calibri"&amp;12&amp;KC00000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E7846-9912-42DF-B969-7586BFFB59B4}">
  <sheetPr>
    <tabColor rgb="FF1B9590"/>
  </sheetPr>
  <dimension ref="A1:CD1084"/>
  <sheetViews>
    <sheetView zoomScale="80" zoomScaleNormal="80" workbookViewId="0"/>
  </sheetViews>
  <sheetFormatPr defaultColWidth="8.7109375" defaultRowHeight="12.75"/>
  <cols>
    <col min="1" max="1" width="42.5703125" style="1" customWidth="1"/>
    <col min="2" max="2" width="60.5703125" style="1" customWidth="1"/>
    <col min="3" max="48" width="12.140625" style="1" customWidth="1"/>
    <col min="49" max="50" width="13.42578125" style="8" customWidth="1"/>
    <col min="51" max="51" width="12.140625" style="8" customWidth="1"/>
    <col min="52" max="52" width="12.140625" style="9" customWidth="1"/>
    <col min="53" max="55" width="12.140625" style="8" customWidth="1"/>
    <col min="56" max="57" width="12.42578125" style="8" customWidth="1"/>
    <col min="58" max="58" width="27.42578125" style="1" customWidth="1"/>
    <col min="59" max="59" width="36.7109375" style="1" customWidth="1"/>
    <col min="60" max="60" width="27.85546875" style="1" customWidth="1"/>
    <col min="61" max="61" width="13.140625" style="1" customWidth="1"/>
    <col min="62" max="62" width="15.5703125" style="1" customWidth="1"/>
    <col min="63" max="63" width="18.85546875" style="1" customWidth="1"/>
    <col min="64" max="64" width="14.28515625" style="1" customWidth="1"/>
    <col min="65" max="66" width="13.140625" style="1" customWidth="1"/>
    <col min="67" max="67" width="19.7109375" style="1" customWidth="1"/>
    <col min="68" max="68" width="37.42578125" style="1" customWidth="1"/>
    <col min="69" max="69" width="37.42578125" style="7" customWidth="1"/>
    <col min="70" max="72" width="37.42578125" style="1" customWidth="1"/>
    <col min="73" max="73" width="9.140625" style="1" customWidth="1"/>
    <col min="74" max="74" width="8.7109375" style="2"/>
    <col min="75" max="75" width="23.28515625" style="1" bestFit="1" customWidth="1"/>
    <col min="76" max="16384" width="8.7109375" style="1"/>
  </cols>
  <sheetData>
    <row r="1" spans="1:74" s="715" customFormat="1" ht="42" customHeight="1">
      <c r="A1" s="711" t="s">
        <v>198</v>
      </c>
      <c r="B1" s="711"/>
      <c r="C1" s="713"/>
      <c r="D1" s="713"/>
      <c r="E1" s="713"/>
      <c r="F1" s="713"/>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c r="AQ1" s="713"/>
      <c r="AR1" s="713"/>
      <c r="AS1" s="713"/>
      <c r="AT1" s="713"/>
      <c r="AU1" s="713"/>
      <c r="AV1" s="713"/>
      <c r="AW1" s="713"/>
      <c r="AX1" s="713"/>
      <c r="AY1" s="713"/>
      <c r="AZ1" s="713"/>
      <c r="BA1" s="713"/>
      <c r="BB1" s="713"/>
      <c r="BC1" s="713"/>
      <c r="BD1" s="713"/>
      <c r="BE1" s="713"/>
      <c r="BF1" s="713"/>
      <c r="BG1" s="713"/>
      <c r="BH1" s="713"/>
      <c r="BI1" s="713"/>
      <c r="BJ1" s="713"/>
      <c r="BK1" s="713"/>
      <c r="BL1" s="713"/>
      <c r="BM1" s="713"/>
      <c r="BN1" s="713"/>
      <c r="BO1" s="713"/>
      <c r="BP1" s="713"/>
      <c r="BQ1" s="713"/>
      <c r="BR1" s="714"/>
      <c r="BS1" s="714"/>
      <c r="BT1" s="734"/>
    </row>
    <row r="2" spans="1:74" ht="23.1" customHeight="1" thickBot="1">
      <c r="A2" s="462" t="s">
        <v>199</v>
      </c>
      <c r="AN2" s="7"/>
      <c r="AR2" s="2"/>
      <c r="AW2" s="744"/>
      <c r="AX2" s="744"/>
      <c r="AY2" s="744"/>
      <c r="AZ2" s="744"/>
      <c r="BA2" s="744"/>
      <c r="BB2" s="1"/>
      <c r="BC2" s="1"/>
      <c r="BD2" s="1"/>
      <c r="BE2" s="1"/>
      <c r="BQ2" s="1"/>
      <c r="BV2" s="1"/>
    </row>
    <row r="3" spans="1:74" ht="30.75" customHeight="1" thickTop="1">
      <c r="A3" s="738" t="s">
        <v>200</v>
      </c>
      <c r="B3" s="739"/>
      <c r="C3" s="740"/>
      <c r="D3" s="740"/>
      <c r="E3" s="740"/>
      <c r="F3" s="740"/>
      <c r="G3" s="740"/>
      <c r="H3" s="740"/>
      <c r="I3" s="740"/>
      <c r="J3" s="740"/>
      <c r="K3" s="740"/>
      <c r="L3" s="740"/>
      <c r="M3" s="740"/>
      <c r="N3" s="740"/>
      <c r="O3" s="740"/>
      <c r="P3" s="740"/>
      <c r="Q3" s="740"/>
      <c r="R3" s="740"/>
      <c r="S3" s="740"/>
      <c r="T3" s="740"/>
      <c r="U3" s="740"/>
      <c r="V3" s="740"/>
      <c r="W3" s="740"/>
      <c r="X3" s="740"/>
      <c r="Y3" s="740"/>
      <c r="Z3" s="740"/>
      <c r="AA3" s="740"/>
      <c r="AB3" s="740"/>
      <c r="AC3" s="740"/>
      <c r="AD3" s="740"/>
      <c r="AE3" s="740"/>
      <c r="AF3" s="740"/>
      <c r="AG3" s="742"/>
      <c r="AH3" s="742"/>
      <c r="AI3" s="740"/>
      <c r="AJ3" s="740"/>
      <c r="AK3" s="740"/>
      <c r="AL3" s="740"/>
      <c r="AM3" s="740"/>
      <c r="AN3" s="740"/>
      <c r="AO3" s="740"/>
      <c r="AP3" s="740"/>
      <c r="AQ3" s="740"/>
      <c r="AR3" s="740"/>
      <c r="AS3" s="740"/>
      <c r="AT3" s="740"/>
      <c r="AU3" s="740"/>
      <c r="AV3" s="745"/>
      <c r="AW3" s="749" t="s">
        <v>201</v>
      </c>
      <c r="AX3" s="747" t="s">
        <v>202</v>
      </c>
      <c r="AY3" s="1013" t="s">
        <v>203</v>
      </c>
      <c r="AZ3" s="1013"/>
      <c r="BA3" s="1014"/>
      <c r="BB3" s="741"/>
      <c r="BC3" s="741"/>
      <c r="BD3" s="741"/>
      <c r="BE3" s="741"/>
      <c r="BF3" s="740"/>
      <c r="BG3" s="740"/>
      <c r="BH3" s="740"/>
      <c r="BI3" s="1011" t="s">
        <v>204</v>
      </c>
      <c r="BJ3" s="1012"/>
      <c r="BK3" s="1012"/>
      <c r="BL3" s="1012"/>
      <c r="BM3" s="1012"/>
      <c r="BN3" s="1012"/>
      <c r="BO3" s="740"/>
      <c r="BP3" s="740"/>
      <c r="BQ3" s="740"/>
      <c r="BR3" s="740"/>
      <c r="BS3" s="740"/>
      <c r="BT3" s="366"/>
    </row>
    <row r="4" spans="1:74" ht="73.5" customHeight="1" thickBot="1">
      <c r="A4" s="736" t="s">
        <v>205</v>
      </c>
      <c r="B4" s="737" t="s">
        <v>206</v>
      </c>
      <c r="C4" s="736" t="s">
        <v>207</v>
      </c>
      <c r="D4" s="736" t="s">
        <v>194</v>
      </c>
      <c r="E4" s="736" t="s">
        <v>191</v>
      </c>
      <c r="F4" s="736" t="s">
        <v>188</v>
      </c>
      <c r="G4" s="736" t="s">
        <v>185</v>
      </c>
      <c r="H4" s="736" t="s">
        <v>181</v>
      </c>
      <c r="I4" s="736" t="s">
        <v>178</v>
      </c>
      <c r="J4" s="736" t="s">
        <v>175</v>
      </c>
      <c r="K4" s="736" t="s">
        <v>171</v>
      </c>
      <c r="L4" s="736" t="s">
        <v>168</v>
      </c>
      <c r="M4" s="736" t="s">
        <v>166</v>
      </c>
      <c r="N4" s="736" t="s">
        <v>163</v>
      </c>
      <c r="O4" s="736" t="s">
        <v>160</v>
      </c>
      <c r="P4" s="736" t="s">
        <v>157</v>
      </c>
      <c r="Q4" s="736" t="s">
        <v>153</v>
      </c>
      <c r="R4" s="736" t="s">
        <v>149</v>
      </c>
      <c r="S4" s="736" t="s">
        <v>146</v>
      </c>
      <c r="T4" s="736" t="s">
        <v>142</v>
      </c>
      <c r="U4" s="736" t="s">
        <v>139</v>
      </c>
      <c r="V4" s="736" t="s">
        <v>136</v>
      </c>
      <c r="W4" s="736" t="s">
        <v>132</v>
      </c>
      <c r="X4" s="736" t="s">
        <v>208</v>
      </c>
      <c r="Y4" s="736" t="s">
        <v>126</v>
      </c>
      <c r="Z4" s="736" t="s">
        <v>123</v>
      </c>
      <c r="AA4" s="736" t="s">
        <v>120</v>
      </c>
      <c r="AB4" s="736" t="s">
        <v>117</v>
      </c>
      <c r="AC4" s="736" t="s">
        <v>114</v>
      </c>
      <c r="AD4" s="736" t="s">
        <v>111</v>
      </c>
      <c r="AE4" s="736" t="s">
        <v>108</v>
      </c>
      <c r="AF4" s="736" t="s">
        <v>104</v>
      </c>
      <c r="AG4" s="736" t="s">
        <v>101</v>
      </c>
      <c r="AH4" s="736" t="s">
        <v>98</v>
      </c>
      <c r="AI4" s="736" t="s">
        <v>95</v>
      </c>
      <c r="AJ4" s="736" t="s">
        <v>91</v>
      </c>
      <c r="AK4" s="736" t="s">
        <v>87</v>
      </c>
      <c r="AL4" s="736" t="s">
        <v>83</v>
      </c>
      <c r="AM4" s="736" t="s">
        <v>79</v>
      </c>
      <c r="AN4" s="736" t="s">
        <v>75</v>
      </c>
      <c r="AO4" s="736" t="s">
        <v>72</v>
      </c>
      <c r="AP4" s="736" t="s">
        <v>69</v>
      </c>
      <c r="AQ4" s="736" t="s">
        <v>66</v>
      </c>
      <c r="AR4" s="736" t="s">
        <v>62</v>
      </c>
      <c r="AS4" s="10" t="s">
        <v>59</v>
      </c>
      <c r="AT4" s="10" t="s">
        <v>55</v>
      </c>
      <c r="AU4" s="10" t="s">
        <v>52</v>
      </c>
      <c r="AV4" s="746" t="s">
        <v>49</v>
      </c>
      <c r="AW4" s="750" t="s">
        <v>46</v>
      </c>
      <c r="AX4" s="748" t="s">
        <v>42</v>
      </c>
      <c r="AY4" s="751" t="s">
        <v>209</v>
      </c>
      <c r="AZ4" s="735" t="s">
        <v>210</v>
      </c>
      <c r="BA4" s="752" t="s">
        <v>211</v>
      </c>
      <c r="BB4" s="743" t="s">
        <v>212</v>
      </c>
      <c r="BC4" s="735" t="s">
        <v>213</v>
      </c>
      <c r="BD4" s="735" t="s">
        <v>214</v>
      </c>
      <c r="BE4" s="735" t="s">
        <v>215</v>
      </c>
      <c r="BF4" s="11" t="s">
        <v>216</v>
      </c>
      <c r="BG4" s="11" t="s">
        <v>217</v>
      </c>
      <c r="BH4" s="11" t="s">
        <v>218</v>
      </c>
      <c r="BI4" s="10" t="s">
        <v>219</v>
      </c>
      <c r="BJ4" s="10" t="s">
        <v>220</v>
      </c>
      <c r="BK4" s="10" t="s">
        <v>221</v>
      </c>
      <c r="BL4" s="10" t="s">
        <v>222</v>
      </c>
      <c r="BM4" s="10" t="s">
        <v>223</v>
      </c>
      <c r="BN4" s="12" t="s">
        <v>224</v>
      </c>
      <c r="BO4" s="10" t="s">
        <v>225</v>
      </c>
      <c r="BP4" s="10" t="s">
        <v>226</v>
      </c>
      <c r="BQ4" s="10" t="s">
        <v>227</v>
      </c>
      <c r="BR4" s="10" t="s">
        <v>228</v>
      </c>
      <c r="BS4" s="10" t="s">
        <v>229</v>
      </c>
      <c r="BT4" s="10" t="s">
        <v>230</v>
      </c>
      <c r="BU4" s="3"/>
      <c r="BV4" s="4"/>
    </row>
    <row r="5" spans="1:74" ht="12.75" customHeight="1" thickTop="1">
      <c r="A5" s="793" t="s">
        <v>231</v>
      </c>
      <c r="B5" s="794" t="s">
        <v>232</v>
      </c>
      <c r="C5" s="795">
        <v>0</v>
      </c>
      <c r="D5" s="795">
        <v>0</v>
      </c>
      <c r="E5" s="795">
        <v>0</v>
      </c>
      <c r="F5" s="795">
        <v>0</v>
      </c>
      <c r="G5" s="795">
        <v>0</v>
      </c>
      <c r="H5" s="795">
        <v>0</v>
      </c>
      <c r="I5" s="795">
        <v>0</v>
      </c>
      <c r="J5" s="795">
        <v>0</v>
      </c>
      <c r="K5" s="795">
        <v>0</v>
      </c>
      <c r="L5" s="795">
        <v>0</v>
      </c>
      <c r="M5" s="795">
        <v>0</v>
      </c>
      <c r="N5" s="795">
        <v>0</v>
      </c>
      <c r="O5" s="795">
        <v>0</v>
      </c>
      <c r="P5" s="795">
        <v>0</v>
      </c>
      <c r="Q5" s="795">
        <v>0</v>
      </c>
      <c r="R5" s="795">
        <v>0</v>
      </c>
      <c r="S5" s="795">
        <v>0</v>
      </c>
      <c r="T5" s="795">
        <v>0</v>
      </c>
      <c r="U5" s="795">
        <v>0</v>
      </c>
      <c r="V5" s="795">
        <v>0</v>
      </c>
      <c r="W5" s="795">
        <v>0</v>
      </c>
      <c r="X5" s="795">
        <v>0</v>
      </c>
      <c r="Y5" s="795">
        <v>0</v>
      </c>
      <c r="Z5" s="795">
        <v>0</v>
      </c>
      <c r="AA5" s="795">
        <v>0</v>
      </c>
      <c r="AB5" s="795">
        <v>0</v>
      </c>
      <c r="AC5" s="795">
        <v>0</v>
      </c>
      <c r="AD5" s="795">
        <v>0</v>
      </c>
      <c r="AE5" s="795">
        <v>0</v>
      </c>
      <c r="AF5" s="795">
        <v>0</v>
      </c>
      <c r="AG5" s="795">
        <v>0</v>
      </c>
      <c r="AH5" s="795">
        <v>0</v>
      </c>
      <c r="AI5" s="795">
        <v>0</v>
      </c>
      <c r="AJ5" s="795">
        <v>0</v>
      </c>
      <c r="AK5" s="795">
        <v>0</v>
      </c>
      <c r="AL5" s="795">
        <v>0</v>
      </c>
      <c r="AM5" s="795">
        <v>19.291</v>
      </c>
      <c r="AN5" s="795">
        <v>29.295000000000002</v>
      </c>
      <c r="AO5" s="795">
        <v>18.399999999999999</v>
      </c>
      <c r="AP5" s="796">
        <v>13.590999999999999</v>
      </c>
      <c r="AQ5" s="796">
        <v>21.151</v>
      </c>
      <c r="AR5" s="795">
        <v>16.59</v>
      </c>
      <c r="AS5" s="5">
        <v>17.768999999999998</v>
      </c>
      <c r="AT5" s="5">
        <v>12.727</v>
      </c>
      <c r="AU5" s="5">
        <v>5.5949999999999998</v>
      </c>
      <c r="AV5" s="5">
        <v>0</v>
      </c>
      <c r="AW5" s="797">
        <v>0</v>
      </c>
      <c r="AX5" s="798">
        <v>0</v>
      </c>
      <c r="AY5" s="799">
        <v>0</v>
      </c>
      <c r="AZ5" s="800"/>
      <c r="BA5" s="801"/>
      <c r="BB5" s="802" t="str" cm="1">
        <f t="array" ref="BB5">INDEX(C$4:BA$4,MATCH(TRUE,INDEX(C5:BA5&lt;&gt;0,),0))</f>
        <v>2014-15</v>
      </c>
      <c r="BC5" s="803" t="str" cm="1">
        <f t="array" ref="BC5">LOOKUP(2,1/(C5:BA5&lt;&gt;0),$C$4:$BA$4)</f>
        <v>2022-23</v>
      </c>
      <c r="BD5" s="804">
        <f>COUNTIF(RDprograms[[#This Row],[1978-79]:[2028-29]], "&gt;0")</f>
        <v>9</v>
      </c>
      <c r="BE5" s="805">
        <f>SUM(C5:BA5)/RDprograms[[#This Row],[Years with &gt; $0 investment]]</f>
        <v>17.156555555555556</v>
      </c>
      <c r="BF5" s="806" t="s">
        <v>233</v>
      </c>
      <c r="BG5" s="807" t="s">
        <v>234</v>
      </c>
      <c r="BH5" s="808" t="s">
        <v>235</v>
      </c>
      <c r="BI5" s="809"/>
      <c r="BJ5" s="809"/>
      <c r="BK5" s="809"/>
      <c r="BL5" s="809"/>
      <c r="BM5" s="809"/>
      <c r="BN5" s="810"/>
      <c r="BO5" s="811" t="s">
        <v>236</v>
      </c>
      <c r="BP5" s="812" t="s">
        <v>237</v>
      </c>
      <c r="BQ5" s="812"/>
      <c r="BR5" s="812"/>
      <c r="BS5" s="812"/>
      <c r="BT5" s="812" t="s">
        <v>238</v>
      </c>
    </row>
    <row r="6" spans="1:74" ht="12.75" customHeight="1">
      <c r="A6" s="813" t="s">
        <v>231</v>
      </c>
      <c r="B6" s="814" t="s">
        <v>239</v>
      </c>
      <c r="C6" s="5">
        <v>0</v>
      </c>
      <c r="D6" s="5">
        <v>0</v>
      </c>
      <c r="E6" s="5">
        <v>0</v>
      </c>
      <c r="F6" s="5">
        <v>0</v>
      </c>
      <c r="G6" s="5">
        <v>0</v>
      </c>
      <c r="H6" s="5">
        <v>0</v>
      </c>
      <c r="I6" s="5">
        <v>0</v>
      </c>
      <c r="J6" s="5">
        <v>0</v>
      </c>
      <c r="K6" s="5">
        <v>0</v>
      </c>
      <c r="L6" s="5">
        <v>0</v>
      </c>
      <c r="M6" s="5">
        <v>0</v>
      </c>
      <c r="N6" s="5">
        <v>0</v>
      </c>
      <c r="O6" s="5">
        <v>0</v>
      </c>
      <c r="P6" s="5">
        <v>0</v>
      </c>
      <c r="Q6" s="5">
        <v>0</v>
      </c>
      <c r="R6" s="5">
        <v>0</v>
      </c>
      <c r="S6" s="5">
        <v>0</v>
      </c>
      <c r="T6" s="5">
        <v>0</v>
      </c>
      <c r="U6" s="5">
        <v>0</v>
      </c>
      <c r="V6" s="5">
        <v>0</v>
      </c>
      <c r="W6" s="5">
        <v>0</v>
      </c>
      <c r="X6" s="5">
        <v>0</v>
      </c>
      <c r="Y6" s="5">
        <v>0</v>
      </c>
      <c r="Z6" s="5">
        <v>0</v>
      </c>
      <c r="AA6" s="5">
        <v>0</v>
      </c>
      <c r="AB6" s="5">
        <v>0</v>
      </c>
      <c r="AC6" s="5">
        <v>0</v>
      </c>
      <c r="AD6" s="5">
        <v>0</v>
      </c>
      <c r="AE6" s="5">
        <v>0</v>
      </c>
      <c r="AF6" s="5">
        <v>0</v>
      </c>
      <c r="AG6" s="5">
        <v>0</v>
      </c>
      <c r="AH6" s="5">
        <v>0</v>
      </c>
      <c r="AI6" s="5">
        <v>0</v>
      </c>
      <c r="AJ6" s="5">
        <v>0</v>
      </c>
      <c r="AK6" s="5">
        <v>0</v>
      </c>
      <c r="AL6" s="5">
        <v>0</v>
      </c>
      <c r="AM6" s="5">
        <v>0</v>
      </c>
      <c r="AN6" s="5">
        <v>0</v>
      </c>
      <c r="AO6" s="5">
        <v>0</v>
      </c>
      <c r="AP6" s="5">
        <v>0</v>
      </c>
      <c r="AQ6" s="5">
        <v>0</v>
      </c>
      <c r="AR6" s="5">
        <v>0</v>
      </c>
      <c r="AS6" s="5">
        <v>3.3740000000000001</v>
      </c>
      <c r="AT6" s="5">
        <v>5.89</v>
      </c>
      <c r="AU6" s="5">
        <v>5.0490000000000004</v>
      </c>
      <c r="AV6" s="5">
        <v>1.867</v>
      </c>
      <c r="AW6" s="815">
        <v>0.60899999999999999</v>
      </c>
      <c r="AX6" s="816">
        <v>0.7</v>
      </c>
      <c r="AY6" s="817">
        <v>0</v>
      </c>
      <c r="AZ6" s="816">
        <v>0</v>
      </c>
      <c r="BA6" s="818">
        <v>0</v>
      </c>
      <c r="BB6" s="802" t="str" cm="1">
        <f t="array" ref="BB6">INDEX(C$4:BA$4,MATCH(TRUE,INDEX(C6:BA6&lt;&gt;0,),0))</f>
        <v>2020-21</v>
      </c>
      <c r="BC6" s="803" t="str" cm="1">
        <f t="array" ref="BC6">LOOKUP(2,1/(C6:BA6&lt;&gt;0),$C$4:$BA$4)</f>
        <v>2025-26</v>
      </c>
      <c r="BD6" s="804">
        <f>COUNTIF(RDprograms[[#This Row],[1978-79]:[2028-29]], "&gt;0")</f>
        <v>6</v>
      </c>
      <c r="BE6" s="805">
        <f>SUM(C6:BA6)/RDprograms[[#This Row],[Years with &gt; $0 investment]]</f>
        <v>2.9148333333333336</v>
      </c>
      <c r="BF6" s="806" t="s">
        <v>240</v>
      </c>
      <c r="BG6" s="807" t="s">
        <v>234</v>
      </c>
      <c r="BH6" s="807" t="s">
        <v>241</v>
      </c>
      <c r="BI6" s="809"/>
      <c r="BJ6" s="809"/>
      <c r="BK6" s="809"/>
      <c r="BL6" s="809">
        <v>1</v>
      </c>
      <c r="BM6" s="809">
        <v>1</v>
      </c>
      <c r="BN6" s="810"/>
      <c r="BO6" s="811" t="s">
        <v>236</v>
      </c>
      <c r="BP6" s="812" t="s">
        <v>242</v>
      </c>
      <c r="BQ6" s="812" t="s">
        <v>243</v>
      </c>
      <c r="BR6" s="812"/>
      <c r="BS6" s="812"/>
      <c r="BT6" s="812" t="s">
        <v>244</v>
      </c>
    </row>
    <row r="7" spans="1:74" ht="12.75" customHeight="1">
      <c r="A7" s="813" t="s">
        <v>231</v>
      </c>
      <c r="B7" s="814" t="s">
        <v>245</v>
      </c>
      <c r="C7" s="5">
        <v>0</v>
      </c>
      <c r="D7" s="5">
        <v>0</v>
      </c>
      <c r="E7" s="5">
        <v>0</v>
      </c>
      <c r="F7" s="5">
        <v>0</v>
      </c>
      <c r="G7" s="5">
        <v>0</v>
      </c>
      <c r="H7" s="5">
        <v>0</v>
      </c>
      <c r="I7" s="5">
        <v>0</v>
      </c>
      <c r="J7" s="5">
        <v>0</v>
      </c>
      <c r="K7" s="5">
        <v>0</v>
      </c>
      <c r="L7" s="5">
        <v>0</v>
      </c>
      <c r="M7" s="5">
        <v>0</v>
      </c>
      <c r="N7" s="5">
        <v>0</v>
      </c>
      <c r="O7" s="5">
        <v>0</v>
      </c>
      <c r="P7" s="5">
        <v>0</v>
      </c>
      <c r="Q7" s="5">
        <v>0</v>
      </c>
      <c r="R7" s="5">
        <v>0</v>
      </c>
      <c r="S7" s="5">
        <v>0</v>
      </c>
      <c r="T7" s="5">
        <v>0</v>
      </c>
      <c r="U7" s="5">
        <v>0</v>
      </c>
      <c r="V7" s="5">
        <v>0</v>
      </c>
      <c r="W7" s="5">
        <v>0</v>
      </c>
      <c r="X7" s="5">
        <v>0</v>
      </c>
      <c r="Y7" s="5">
        <v>0</v>
      </c>
      <c r="Z7" s="5">
        <v>0</v>
      </c>
      <c r="AA7" s="5">
        <v>0</v>
      </c>
      <c r="AB7" s="5">
        <v>0</v>
      </c>
      <c r="AC7" s="5">
        <v>0</v>
      </c>
      <c r="AD7" s="5">
        <v>0</v>
      </c>
      <c r="AE7" s="5">
        <v>0</v>
      </c>
      <c r="AF7" s="5">
        <v>0</v>
      </c>
      <c r="AG7" s="5">
        <v>0</v>
      </c>
      <c r="AH7" s="5">
        <v>11.037000000000001</v>
      </c>
      <c r="AI7" s="5">
        <v>10.513999999999999</v>
      </c>
      <c r="AJ7" s="5">
        <v>11.757</v>
      </c>
      <c r="AK7" s="5">
        <v>11.618</v>
      </c>
      <c r="AL7" s="5">
        <v>11.319000000000001</v>
      </c>
      <c r="AM7" s="5">
        <v>9.4489999999999998</v>
      </c>
      <c r="AN7" s="5">
        <v>8.6280000000000001</v>
      </c>
      <c r="AO7" s="5">
        <v>9.17</v>
      </c>
      <c r="AP7" s="5">
        <v>9.3420000000000005</v>
      </c>
      <c r="AQ7" s="5">
        <v>11.478999999999999</v>
      </c>
      <c r="AR7" s="5">
        <v>9.2200000000000006</v>
      </c>
      <c r="AS7" s="5">
        <v>9.3580000000000005</v>
      </c>
      <c r="AT7" s="5">
        <v>9.4600000000000009</v>
      </c>
      <c r="AU7" s="5">
        <v>9.64</v>
      </c>
      <c r="AV7" s="5">
        <v>10.085000000000001</v>
      </c>
      <c r="AW7" s="815">
        <v>10.435</v>
      </c>
      <c r="AX7" s="816">
        <v>10.645</v>
      </c>
      <c r="AY7" s="819">
        <v>10.920999999999999</v>
      </c>
      <c r="AZ7" s="816">
        <v>11.151</v>
      </c>
      <c r="BA7" s="818">
        <v>11.407</v>
      </c>
      <c r="BB7" s="802" t="str" cm="1">
        <f t="array" ref="BB7">INDEX(C$4:BA$4,MATCH(TRUE,INDEX(C7:BA7&lt;&gt;0,),0))</f>
        <v>2009-10</v>
      </c>
      <c r="BC7" s="803" t="str" cm="1">
        <f t="array" ref="BC7">LOOKUP(2,1/(C7:BA7&lt;&gt;0),$C$4:$BA$4)</f>
        <v>2028-29</v>
      </c>
      <c r="BD7" s="804">
        <f>COUNTIF(RDprograms[[#This Row],[1978-79]:[2028-29]], "&gt;0")</f>
        <v>20</v>
      </c>
      <c r="BE7" s="805">
        <f>SUM(C7:BA7)/RDprograms[[#This Row],[Years with &gt; $0 investment]]</f>
        <v>10.331750000000001</v>
      </c>
      <c r="BF7" s="806" t="s">
        <v>246</v>
      </c>
      <c r="BG7" s="807" t="s">
        <v>234</v>
      </c>
      <c r="BH7" s="807" t="s">
        <v>235</v>
      </c>
      <c r="BI7" s="809">
        <v>1</v>
      </c>
      <c r="BJ7" s="809">
        <v>1</v>
      </c>
      <c r="BK7" s="809"/>
      <c r="BL7" s="809">
        <v>1</v>
      </c>
      <c r="BM7" s="809">
        <v>1</v>
      </c>
      <c r="BN7" s="810">
        <v>1</v>
      </c>
      <c r="BO7" s="811" t="s">
        <v>236</v>
      </c>
      <c r="BP7" s="812" t="s">
        <v>247</v>
      </c>
      <c r="BQ7" s="812"/>
      <c r="BR7" s="812"/>
      <c r="BS7" s="812"/>
      <c r="BT7" s="812" t="s">
        <v>238</v>
      </c>
    </row>
    <row r="8" spans="1:74" ht="12.75" customHeight="1">
      <c r="A8" s="813" t="s">
        <v>231</v>
      </c>
      <c r="B8" s="820" t="s">
        <v>248</v>
      </c>
      <c r="C8" s="5">
        <v>0</v>
      </c>
      <c r="D8" s="5">
        <v>0</v>
      </c>
      <c r="E8" s="5">
        <v>0</v>
      </c>
      <c r="F8" s="5">
        <v>0</v>
      </c>
      <c r="G8" s="5">
        <v>0</v>
      </c>
      <c r="H8" s="5">
        <v>0</v>
      </c>
      <c r="I8" s="5">
        <v>0</v>
      </c>
      <c r="J8" s="5">
        <v>0</v>
      </c>
      <c r="K8" s="5">
        <v>0</v>
      </c>
      <c r="L8" s="5">
        <v>0</v>
      </c>
      <c r="M8" s="5">
        <v>0</v>
      </c>
      <c r="N8" s="5">
        <v>0</v>
      </c>
      <c r="O8" s="5">
        <v>0</v>
      </c>
      <c r="P8" s="5">
        <v>0</v>
      </c>
      <c r="Q8" s="5">
        <v>0</v>
      </c>
      <c r="R8" s="5">
        <v>0</v>
      </c>
      <c r="S8" s="5">
        <v>0</v>
      </c>
      <c r="T8" s="5">
        <v>0</v>
      </c>
      <c r="U8" s="5">
        <v>0</v>
      </c>
      <c r="V8" s="5">
        <v>0</v>
      </c>
      <c r="W8" s="5">
        <v>0</v>
      </c>
      <c r="X8" s="5">
        <v>0</v>
      </c>
      <c r="Y8" s="5">
        <v>0</v>
      </c>
      <c r="Z8" s="5">
        <v>0</v>
      </c>
      <c r="AA8" s="5">
        <v>0</v>
      </c>
      <c r="AB8" s="5">
        <v>0</v>
      </c>
      <c r="AC8" s="5">
        <v>0</v>
      </c>
      <c r="AD8" s="5">
        <v>0</v>
      </c>
      <c r="AE8" s="5">
        <v>0</v>
      </c>
      <c r="AF8" s="5">
        <v>0</v>
      </c>
      <c r="AG8" s="5">
        <v>0</v>
      </c>
      <c r="AH8" s="5">
        <v>0</v>
      </c>
      <c r="AI8" s="5">
        <v>0</v>
      </c>
      <c r="AJ8" s="5">
        <v>0</v>
      </c>
      <c r="AK8" s="5">
        <v>0</v>
      </c>
      <c r="AL8" s="5">
        <v>0</v>
      </c>
      <c r="AM8" s="5">
        <v>0</v>
      </c>
      <c r="AN8" s="5">
        <v>0</v>
      </c>
      <c r="AO8" s="5">
        <v>3.52</v>
      </c>
      <c r="AP8" s="5">
        <v>4.0190000000000001</v>
      </c>
      <c r="AQ8" s="5">
        <v>5.6</v>
      </c>
      <c r="AR8" s="5">
        <v>37.462000000000003</v>
      </c>
      <c r="AS8" s="5">
        <v>21.582999999999998</v>
      </c>
      <c r="AT8" s="5">
        <v>20.370999999999999</v>
      </c>
      <c r="AU8" s="5">
        <v>26.306999999999999</v>
      </c>
      <c r="AV8" s="5">
        <v>31.762</v>
      </c>
      <c r="AW8" s="815">
        <v>26.6</v>
      </c>
      <c r="AX8" s="816">
        <v>27.6</v>
      </c>
      <c r="AY8" s="819">
        <v>28.2</v>
      </c>
      <c r="AZ8" s="816">
        <v>29.5</v>
      </c>
      <c r="BA8" s="818">
        <v>30.6</v>
      </c>
      <c r="BB8" s="802" t="str" cm="1">
        <f t="array" ref="BB8">INDEX(C$4:BA$4,MATCH(TRUE,INDEX(C8:BA8&lt;&gt;0,),0))</f>
        <v>2016-17</v>
      </c>
      <c r="BC8" s="803" t="str" cm="1">
        <f t="array" ref="BC8">LOOKUP(2,1/(C8:BA8&lt;&gt;0),$C$4:$BA$4)</f>
        <v>2028-29</v>
      </c>
      <c r="BD8" s="804">
        <f>COUNTIF(RDprograms[[#This Row],[1978-79]:[2028-29]], "&gt;0")</f>
        <v>13</v>
      </c>
      <c r="BE8" s="805">
        <f>SUM(C8:BA8)/RDprograms[[#This Row],[Years with &gt; $0 investment]]</f>
        <v>22.548000000000002</v>
      </c>
      <c r="BF8" s="806" t="s">
        <v>249</v>
      </c>
      <c r="BG8" s="807" t="s">
        <v>234</v>
      </c>
      <c r="BH8" s="807" t="s">
        <v>250</v>
      </c>
      <c r="BI8" s="809">
        <v>1</v>
      </c>
      <c r="BJ8" s="809">
        <v>1</v>
      </c>
      <c r="BK8" s="809"/>
      <c r="BL8" s="809">
        <v>1</v>
      </c>
      <c r="BM8" s="809">
        <v>1</v>
      </c>
      <c r="BN8" s="810">
        <v>1</v>
      </c>
      <c r="BO8" s="811" t="s">
        <v>251</v>
      </c>
      <c r="BP8" s="812" t="s">
        <v>252</v>
      </c>
      <c r="BQ8" s="812" t="s">
        <v>253</v>
      </c>
      <c r="BR8" s="812"/>
      <c r="BS8" s="812"/>
      <c r="BT8" s="812"/>
    </row>
    <row r="9" spans="1:74" ht="12.75" customHeight="1">
      <c r="A9" s="813" t="s">
        <v>231</v>
      </c>
      <c r="B9" s="820" t="s">
        <v>254</v>
      </c>
      <c r="C9" s="5">
        <v>0</v>
      </c>
      <c r="D9" s="5">
        <v>0</v>
      </c>
      <c r="E9" s="5">
        <v>0</v>
      </c>
      <c r="F9" s="5">
        <v>0</v>
      </c>
      <c r="G9" s="5">
        <v>0</v>
      </c>
      <c r="H9" s="5">
        <v>0</v>
      </c>
      <c r="I9" s="5">
        <v>0</v>
      </c>
      <c r="J9" s="5">
        <v>0</v>
      </c>
      <c r="K9" s="5">
        <v>0</v>
      </c>
      <c r="L9" s="5">
        <v>0</v>
      </c>
      <c r="M9" s="5">
        <v>0</v>
      </c>
      <c r="N9" s="5">
        <v>0</v>
      </c>
      <c r="O9" s="5">
        <v>0</v>
      </c>
      <c r="P9" s="5">
        <v>0</v>
      </c>
      <c r="Q9" s="5">
        <v>0</v>
      </c>
      <c r="R9" s="5">
        <v>0</v>
      </c>
      <c r="S9" s="5">
        <v>0</v>
      </c>
      <c r="T9" s="5">
        <v>0</v>
      </c>
      <c r="U9" s="5">
        <v>0</v>
      </c>
      <c r="V9" s="5">
        <v>0</v>
      </c>
      <c r="W9" s="5">
        <v>0</v>
      </c>
      <c r="X9" s="5">
        <v>0</v>
      </c>
      <c r="Y9" s="5">
        <v>0</v>
      </c>
      <c r="Z9" s="5">
        <v>0</v>
      </c>
      <c r="AA9" s="5">
        <v>0</v>
      </c>
      <c r="AB9" s="5">
        <v>0</v>
      </c>
      <c r="AC9" s="5">
        <v>0</v>
      </c>
      <c r="AD9" s="5">
        <v>0</v>
      </c>
      <c r="AE9" s="5">
        <v>0</v>
      </c>
      <c r="AF9" s="5">
        <v>0</v>
      </c>
      <c r="AG9" s="5">
        <v>0</v>
      </c>
      <c r="AH9" s="5">
        <v>0</v>
      </c>
      <c r="AI9" s="5">
        <v>0</v>
      </c>
      <c r="AJ9" s="5">
        <v>0</v>
      </c>
      <c r="AK9" s="5">
        <v>0</v>
      </c>
      <c r="AL9" s="5">
        <v>0</v>
      </c>
      <c r="AM9" s="5">
        <v>0</v>
      </c>
      <c r="AN9" s="5">
        <v>1.536</v>
      </c>
      <c r="AO9" s="5">
        <v>1.968</v>
      </c>
      <c r="AP9" s="5">
        <v>2.3519999999999999</v>
      </c>
      <c r="AQ9" s="5">
        <v>3.657</v>
      </c>
      <c r="AR9" s="5">
        <v>3.35</v>
      </c>
      <c r="AS9" s="5">
        <v>2.5249999999999999</v>
      </c>
      <c r="AT9" s="5">
        <v>2.4620000000000002</v>
      </c>
      <c r="AU9" s="5">
        <v>2.661</v>
      </c>
      <c r="AV9" s="5">
        <v>2.6230000000000002</v>
      </c>
      <c r="AW9" s="815">
        <v>3.101</v>
      </c>
      <c r="AX9" s="816">
        <v>3.1749999999999998</v>
      </c>
      <c r="AY9" s="819">
        <v>3.2509999999999999</v>
      </c>
      <c r="AZ9" s="816">
        <v>3.3290000000000002</v>
      </c>
      <c r="BA9" s="818">
        <v>3.4089999999999998</v>
      </c>
      <c r="BB9" s="802" t="str" cm="1">
        <f t="array" ref="BB9">INDEX(C$4:BA$4,MATCH(TRUE,INDEX(C9:BA9&lt;&gt;0,),0))</f>
        <v>2015-16</v>
      </c>
      <c r="BC9" s="803" t="str" cm="1">
        <f t="array" ref="BC9">LOOKUP(2,1/(C9:BA9&lt;&gt;0),$C$4:$BA$4)</f>
        <v>2028-29</v>
      </c>
      <c r="BD9" s="804">
        <f>COUNTIF(RDprograms[[#This Row],[1978-79]:[2028-29]], "&gt;0")</f>
        <v>14</v>
      </c>
      <c r="BE9" s="805">
        <f>SUM(C9:BA9)/RDprograms[[#This Row],[Years with &gt; $0 investment]]</f>
        <v>2.8142142857142858</v>
      </c>
      <c r="BF9" s="806" t="s">
        <v>249</v>
      </c>
      <c r="BG9" s="807" t="s">
        <v>234</v>
      </c>
      <c r="BH9" s="807" t="s">
        <v>250</v>
      </c>
      <c r="BI9" s="809"/>
      <c r="BJ9" s="809"/>
      <c r="BK9" s="809"/>
      <c r="BL9" s="809"/>
      <c r="BM9" s="809"/>
      <c r="BN9" s="810">
        <v>1</v>
      </c>
      <c r="BO9" s="811" t="s">
        <v>251</v>
      </c>
      <c r="BP9" s="812" t="s">
        <v>255</v>
      </c>
      <c r="BQ9" s="812" t="s">
        <v>256</v>
      </c>
      <c r="BR9" s="812"/>
      <c r="BS9" s="812"/>
      <c r="BT9" s="812" t="s">
        <v>238</v>
      </c>
    </row>
    <row r="10" spans="1:74" ht="12.75" customHeight="1">
      <c r="A10" s="813" t="s">
        <v>231</v>
      </c>
      <c r="B10" s="820" t="s">
        <v>257</v>
      </c>
      <c r="C10" s="5">
        <v>0</v>
      </c>
      <c r="D10" s="5">
        <v>0</v>
      </c>
      <c r="E10" s="5">
        <v>0</v>
      </c>
      <c r="F10" s="5">
        <v>0</v>
      </c>
      <c r="G10" s="5">
        <v>0</v>
      </c>
      <c r="H10" s="5">
        <v>0</v>
      </c>
      <c r="I10" s="5">
        <v>0</v>
      </c>
      <c r="J10" s="5">
        <v>0</v>
      </c>
      <c r="K10" s="5">
        <v>0</v>
      </c>
      <c r="L10" s="5">
        <v>0</v>
      </c>
      <c r="M10" s="5">
        <v>0</v>
      </c>
      <c r="N10" s="5">
        <v>0</v>
      </c>
      <c r="O10" s="5">
        <v>0</v>
      </c>
      <c r="P10" s="5">
        <v>0</v>
      </c>
      <c r="Q10" s="5">
        <v>0</v>
      </c>
      <c r="R10" s="5">
        <v>0</v>
      </c>
      <c r="S10" s="5">
        <v>0</v>
      </c>
      <c r="T10" s="5">
        <v>0</v>
      </c>
      <c r="U10" s="5">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5">
        <v>0</v>
      </c>
      <c r="AS10" s="5">
        <v>0</v>
      </c>
      <c r="AT10" s="5">
        <v>1.117</v>
      </c>
      <c r="AU10" s="5">
        <v>1.1919999999999999</v>
      </c>
      <c r="AV10" s="5">
        <v>1.0109999999999999</v>
      </c>
      <c r="AW10" s="815">
        <v>1.238</v>
      </c>
      <c r="AX10" s="816"/>
      <c r="AY10" s="819"/>
      <c r="AZ10" s="5"/>
      <c r="BA10" s="821"/>
      <c r="BB10" s="822" t="str" cm="1">
        <f t="array" ref="BB10">INDEX(C$4:BA$4,MATCH(TRUE,INDEX(C10:BA10&lt;&gt;0,),0))</f>
        <v>2021-22</v>
      </c>
      <c r="BC10" s="823" t="str" cm="1">
        <f t="array" ref="BC10">LOOKUP(2,1/(C10:BA10&lt;&gt;0),$C$4:$BA$4)</f>
        <v>2024-25</v>
      </c>
      <c r="BD10" s="824">
        <f>COUNTIF(RDprograms[[#This Row],[1978-79]:[2028-29]], "&gt;0")</f>
        <v>4</v>
      </c>
      <c r="BE10" s="805">
        <f>SUM(C10:BA10)/RDprograms[[#This Row],[Years with &gt; $0 investment]]</f>
        <v>1.1395</v>
      </c>
      <c r="BF10" s="806" t="s">
        <v>249</v>
      </c>
      <c r="BG10" s="807" t="s">
        <v>234</v>
      </c>
      <c r="BH10" s="807" t="s">
        <v>258</v>
      </c>
      <c r="BI10" s="809"/>
      <c r="BJ10" s="809"/>
      <c r="BK10" s="809"/>
      <c r="BL10" s="809"/>
      <c r="BM10" s="809"/>
      <c r="BN10" s="810"/>
      <c r="BO10" s="811" t="s">
        <v>236</v>
      </c>
      <c r="BP10" s="812"/>
      <c r="BQ10" s="812"/>
      <c r="BR10" s="812"/>
      <c r="BS10" s="812"/>
      <c r="BT10" s="812"/>
    </row>
    <row r="11" spans="1:74" ht="12.75" customHeight="1">
      <c r="A11" s="813" t="s">
        <v>231</v>
      </c>
      <c r="B11" s="820" t="s">
        <v>259</v>
      </c>
      <c r="C11" s="5">
        <v>0</v>
      </c>
      <c r="D11" s="5">
        <v>0</v>
      </c>
      <c r="E11" s="5">
        <v>0</v>
      </c>
      <c r="F11" s="5">
        <v>0</v>
      </c>
      <c r="G11" s="5">
        <v>0</v>
      </c>
      <c r="H11" s="5">
        <v>0</v>
      </c>
      <c r="I11" s="5">
        <v>0</v>
      </c>
      <c r="J11" s="5">
        <v>0</v>
      </c>
      <c r="K11" s="5">
        <v>0</v>
      </c>
      <c r="L11" s="5">
        <v>0</v>
      </c>
      <c r="M11" s="5">
        <v>0</v>
      </c>
      <c r="N11" s="5">
        <v>0</v>
      </c>
      <c r="O11" s="5">
        <v>0</v>
      </c>
      <c r="P11" s="5">
        <v>0</v>
      </c>
      <c r="Q11" s="5">
        <v>0</v>
      </c>
      <c r="R11" s="5">
        <v>0</v>
      </c>
      <c r="S11" s="5">
        <v>0</v>
      </c>
      <c r="T11" s="5">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4.9400000000000004</v>
      </c>
      <c r="AP11" s="5">
        <v>5.3220000000000001</v>
      </c>
      <c r="AQ11" s="5">
        <v>5.181</v>
      </c>
      <c r="AR11" s="5">
        <v>4.4329999999999998</v>
      </c>
      <c r="AS11" s="5">
        <v>5.2990000000000004</v>
      </c>
      <c r="AT11" s="5">
        <v>6.335</v>
      </c>
      <c r="AU11" s="5">
        <v>6.718</v>
      </c>
      <c r="AV11" s="5">
        <v>5.9729999999999999</v>
      </c>
      <c r="AW11" s="815">
        <v>5.75</v>
      </c>
      <c r="AX11" s="816">
        <v>5.8</v>
      </c>
      <c r="AY11" s="819">
        <v>5.8</v>
      </c>
      <c r="AZ11" s="5">
        <v>5.8</v>
      </c>
      <c r="BA11" s="821">
        <v>5.8</v>
      </c>
      <c r="BB11" s="822" t="str" cm="1">
        <f t="array" ref="BB11">INDEX(C$4:BA$4,MATCH(TRUE,INDEX(C11:BA11&lt;&gt;0,),0))</f>
        <v>2016-17</v>
      </c>
      <c r="BC11" s="823" t="str" cm="1">
        <f t="array" ref="BC11">LOOKUP(2,1/(C11:BA11&lt;&gt;0),$C$4:$BA$4)</f>
        <v>2028-29</v>
      </c>
      <c r="BD11" s="824">
        <f>COUNTIF(RDprograms[[#This Row],[1978-79]:[2028-29]], "&gt;0")</f>
        <v>13</v>
      </c>
      <c r="BE11" s="805">
        <f>SUM(C11:BA11)/RDprograms[[#This Row],[Years with &gt; $0 investment]]</f>
        <v>5.6269999999999998</v>
      </c>
      <c r="BF11" s="806" t="s">
        <v>249</v>
      </c>
      <c r="BG11" s="807" t="s">
        <v>234</v>
      </c>
      <c r="BH11" s="807" t="s">
        <v>250</v>
      </c>
      <c r="BI11" s="809"/>
      <c r="BJ11" s="809"/>
      <c r="BK11" s="809"/>
      <c r="BL11" s="809"/>
      <c r="BM11" s="809"/>
      <c r="BN11" s="810">
        <v>1</v>
      </c>
      <c r="BO11" s="811" t="s">
        <v>251</v>
      </c>
      <c r="BP11" s="812" t="s">
        <v>260</v>
      </c>
      <c r="BQ11" s="812" t="s">
        <v>261</v>
      </c>
      <c r="BR11" s="812"/>
      <c r="BS11" s="812"/>
      <c r="BT11" s="812"/>
    </row>
    <row r="12" spans="1:74" ht="12.75" customHeight="1">
      <c r="A12" s="813" t="s">
        <v>231</v>
      </c>
      <c r="B12" s="825" t="s">
        <v>262</v>
      </c>
      <c r="C12" s="5">
        <v>0</v>
      </c>
      <c r="D12" s="5">
        <v>0</v>
      </c>
      <c r="E12" s="5">
        <v>0</v>
      </c>
      <c r="F12" s="5">
        <v>0</v>
      </c>
      <c r="G12" s="5">
        <v>0</v>
      </c>
      <c r="H12" s="5">
        <v>0</v>
      </c>
      <c r="I12" s="5">
        <v>0</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0</v>
      </c>
      <c r="AQ12" s="5">
        <v>0</v>
      </c>
      <c r="AR12" s="5">
        <v>0</v>
      </c>
      <c r="AS12" s="5">
        <v>0</v>
      </c>
      <c r="AT12" s="5">
        <v>0</v>
      </c>
      <c r="AU12" s="5">
        <v>25.068000000000001</v>
      </c>
      <c r="AV12" s="5">
        <v>11.916</v>
      </c>
      <c r="AW12" s="815">
        <v>7.6980000000000004</v>
      </c>
      <c r="AX12" s="826">
        <v>3.5</v>
      </c>
      <c r="AY12" s="819">
        <v>0</v>
      </c>
      <c r="AZ12" s="816">
        <v>0</v>
      </c>
      <c r="BA12" s="818"/>
      <c r="BB12" s="802" t="str" cm="1">
        <f t="array" ref="BB12">INDEX(C$4:BA$4,MATCH(TRUE,INDEX(C12:BA12&lt;&gt;0,),0))</f>
        <v>2022-23</v>
      </c>
      <c r="BC12" s="803" t="str" cm="1">
        <f t="array" ref="BC12">LOOKUP(2,1/(C12:BA12&lt;&gt;0),$C$4:$BA$4)</f>
        <v>2025-26</v>
      </c>
      <c r="BD12" s="804">
        <f>COUNTIF(RDprograms[[#This Row],[1978-79]:[2028-29]], "&gt;0")</f>
        <v>4</v>
      </c>
      <c r="BE12" s="805">
        <f>SUM(C12:BA12)/RDprograms[[#This Row],[Years with &gt; $0 investment]]</f>
        <v>12.045500000000001</v>
      </c>
      <c r="BF12" s="806" t="s">
        <v>263</v>
      </c>
      <c r="BG12" s="807" t="s">
        <v>234</v>
      </c>
      <c r="BH12" s="807" t="s">
        <v>264</v>
      </c>
      <c r="BI12" s="809">
        <v>1</v>
      </c>
      <c r="BJ12" s="809"/>
      <c r="BK12" s="809">
        <v>1</v>
      </c>
      <c r="BL12" s="809"/>
      <c r="BM12" s="809">
        <v>1</v>
      </c>
      <c r="BN12" s="810">
        <v>1</v>
      </c>
      <c r="BO12" s="811" t="s">
        <v>236</v>
      </c>
      <c r="BP12" s="812" t="s">
        <v>265</v>
      </c>
      <c r="BQ12" s="812"/>
      <c r="BR12" s="812"/>
      <c r="BS12" s="812"/>
      <c r="BT12" s="812"/>
    </row>
    <row r="13" spans="1:74" ht="12.75" customHeight="1">
      <c r="A13" s="813" t="s">
        <v>231</v>
      </c>
      <c r="B13" s="820" t="s">
        <v>266</v>
      </c>
      <c r="C13" s="5">
        <v>3.1</v>
      </c>
      <c r="D13" s="5">
        <v>10.4</v>
      </c>
      <c r="E13" s="5">
        <v>6.9</v>
      </c>
      <c r="F13" s="5">
        <v>7.9</v>
      </c>
      <c r="G13" s="5">
        <v>8.6</v>
      </c>
      <c r="H13" s="5">
        <v>10</v>
      </c>
      <c r="I13" s="5">
        <v>11.7</v>
      </c>
      <c r="J13" s="5">
        <v>13</v>
      </c>
      <c r="K13" s="5">
        <v>14.4</v>
      </c>
      <c r="L13" s="5">
        <v>12.1</v>
      </c>
      <c r="M13" s="5">
        <v>21.7</v>
      </c>
      <c r="N13" s="5">
        <v>20.8</v>
      </c>
      <c r="O13" s="5">
        <v>11.7</v>
      </c>
      <c r="P13" s="5">
        <v>13.8</v>
      </c>
      <c r="Q13" s="5">
        <v>13.2</v>
      </c>
      <c r="R13" s="5">
        <v>12</v>
      </c>
      <c r="S13" s="5">
        <v>15.1</v>
      </c>
      <c r="T13" s="5">
        <v>11.7</v>
      </c>
      <c r="U13" s="5">
        <v>10.4</v>
      </c>
      <c r="V13" s="5">
        <v>7.2</v>
      </c>
      <c r="W13" s="5">
        <v>9.6</v>
      </c>
      <c r="X13" s="5">
        <v>9.1999999999999993</v>
      </c>
      <c r="Y13" s="5">
        <v>9</v>
      </c>
      <c r="Z13" s="5">
        <v>22.5</v>
      </c>
      <c r="AA13" s="5">
        <v>16.2</v>
      </c>
      <c r="AB13" s="5">
        <v>16.2</v>
      </c>
      <c r="AC13" s="5">
        <v>13.7</v>
      </c>
      <c r="AD13" s="5">
        <v>16.2</v>
      </c>
      <c r="AE13" s="5">
        <v>11.6</v>
      </c>
      <c r="AF13" s="5">
        <v>12.1</v>
      </c>
      <c r="AG13" s="5">
        <v>12.2</v>
      </c>
      <c r="AH13" s="5">
        <v>10.321999999999999</v>
      </c>
      <c r="AI13" s="5">
        <v>9.6</v>
      </c>
      <c r="AJ13" s="5">
        <v>11.5</v>
      </c>
      <c r="AK13" s="5">
        <v>13.746</v>
      </c>
      <c r="AL13" s="5">
        <v>12.97</v>
      </c>
      <c r="AM13" s="5">
        <v>12.478474390000001</v>
      </c>
      <c r="AN13" s="5">
        <v>13.423999999999999</v>
      </c>
      <c r="AO13" s="5">
        <v>14.016</v>
      </c>
      <c r="AP13" s="5">
        <v>15.797000000000001</v>
      </c>
      <c r="AQ13" s="5">
        <v>20.372</v>
      </c>
      <c r="AR13" s="5">
        <v>26.475999999999999</v>
      </c>
      <c r="AS13" s="5">
        <v>16.582999999999998</v>
      </c>
      <c r="AT13" s="5">
        <v>13.930999999999999</v>
      </c>
      <c r="AU13" s="5">
        <v>14.988</v>
      </c>
      <c r="AV13" s="5">
        <v>11.99</v>
      </c>
      <c r="AW13" s="815">
        <v>17</v>
      </c>
      <c r="AX13" s="816">
        <v>17</v>
      </c>
      <c r="AY13" s="819">
        <v>18</v>
      </c>
      <c r="AZ13" s="816">
        <v>18.5</v>
      </c>
      <c r="BA13" s="818">
        <v>19</v>
      </c>
      <c r="BB13" s="802" t="str" cm="1">
        <f t="array" ref="BB13">INDEX(C$4:BA$4,MATCH(TRUE,INDEX(C13:BA13&lt;&gt;0,),0))</f>
        <v>1978-79</v>
      </c>
      <c r="BC13" s="803" t="str" cm="1">
        <f t="array" ref="BC13">LOOKUP(2,1/(C13:BA13&lt;&gt;0),$C$4:$BA$4)</f>
        <v>2028-29</v>
      </c>
      <c r="BD13" s="804">
        <f>COUNTIF(RDprograms[[#This Row],[1978-79]:[2028-29]], "&gt;0")</f>
        <v>51</v>
      </c>
      <c r="BE13" s="805">
        <f>SUM(C13:BA13)/RDprograms[[#This Row],[Years with &gt; $0 investment]]</f>
        <v>13.566538713529411</v>
      </c>
      <c r="BF13" s="806" t="s">
        <v>249</v>
      </c>
      <c r="BG13" s="807" t="s">
        <v>234</v>
      </c>
      <c r="BH13" s="807" t="s">
        <v>250</v>
      </c>
      <c r="BI13" s="809"/>
      <c r="BJ13" s="809"/>
      <c r="BK13" s="809"/>
      <c r="BL13" s="809"/>
      <c r="BM13" s="809"/>
      <c r="BN13" s="810">
        <v>1</v>
      </c>
      <c r="BO13" s="811" t="s">
        <v>251</v>
      </c>
      <c r="BP13" s="812" t="s">
        <v>267</v>
      </c>
      <c r="BQ13" s="812" t="s">
        <v>256</v>
      </c>
      <c r="BR13" s="812"/>
      <c r="BS13" s="812"/>
      <c r="BT13" s="812"/>
    </row>
    <row r="14" spans="1:74" ht="12.75" customHeight="1">
      <c r="A14" s="813" t="s">
        <v>231</v>
      </c>
      <c r="B14" s="820" t="s">
        <v>268</v>
      </c>
      <c r="C14" s="5">
        <v>0</v>
      </c>
      <c r="D14" s="5">
        <v>0</v>
      </c>
      <c r="E14" s="5">
        <v>0</v>
      </c>
      <c r="F14" s="5">
        <v>0</v>
      </c>
      <c r="G14" s="5">
        <v>0</v>
      </c>
      <c r="H14" s="5">
        <v>0</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0.2</v>
      </c>
      <c r="AP14" s="816">
        <v>1</v>
      </c>
      <c r="AQ14" s="816">
        <v>1</v>
      </c>
      <c r="AR14" s="5">
        <v>1</v>
      </c>
      <c r="AS14" s="5">
        <v>0.8</v>
      </c>
      <c r="AT14" s="5">
        <v>1.2</v>
      </c>
      <c r="AU14" s="5">
        <v>3.16</v>
      </c>
      <c r="AV14" s="5">
        <v>24</v>
      </c>
      <c r="AW14" s="815">
        <v>25</v>
      </c>
      <c r="AX14" s="816">
        <v>25</v>
      </c>
      <c r="AY14" s="819">
        <v>25</v>
      </c>
      <c r="AZ14" s="816">
        <v>0</v>
      </c>
      <c r="BA14" s="818"/>
      <c r="BB14" s="802" t="str" cm="1">
        <f t="array" ref="BB14">INDEX(C$4:BA$4,MATCH(TRUE,INDEX(C14:BA14&lt;&gt;0,),0))</f>
        <v>2016-17</v>
      </c>
      <c r="BC14" s="803" t="str" cm="1">
        <f t="array" ref="BC14">LOOKUP(2,1/(C14:BA14&lt;&gt;0),$C$4:$BA$4)</f>
        <v>2026-27</v>
      </c>
      <c r="BD14" s="804">
        <f>COUNTIF(RDprograms[[#This Row],[1978-79]:[2028-29]], "&gt;0")</f>
        <v>11</v>
      </c>
      <c r="BE14" s="805">
        <f>SUM(C14:BA14)/RDprograms[[#This Row],[Years with &gt; $0 investment]]</f>
        <v>9.76</v>
      </c>
      <c r="BF14" s="806" t="s">
        <v>240</v>
      </c>
      <c r="BG14" s="807" t="s">
        <v>234</v>
      </c>
      <c r="BH14" s="807" t="s">
        <v>269</v>
      </c>
      <c r="BI14" s="809"/>
      <c r="BJ14" s="809"/>
      <c r="BK14" s="809"/>
      <c r="BL14" s="809"/>
      <c r="BM14" s="809">
        <v>1</v>
      </c>
      <c r="BN14" s="810">
        <v>1</v>
      </c>
      <c r="BO14" s="811" t="s">
        <v>236</v>
      </c>
      <c r="BP14" s="812" t="s">
        <v>270</v>
      </c>
      <c r="BQ14" s="812" t="s">
        <v>271</v>
      </c>
      <c r="BR14" s="812"/>
      <c r="BS14" s="812"/>
      <c r="BT14" s="812"/>
    </row>
    <row r="15" spans="1:74" ht="12.75" customHeight="1">
      <c r="A15" s="813" t="s">
        <v>231</v>
      </c>
      <c r="B15" s="820" t="s">
        <v>272</v>
      </c>
      <c r="C15" s="5">
        <v>0</v>
      </c>
      <c r="D15" s="5">
        <v>0</v>
      </c>
      <c r="E15" s="5">
        <v>0</v>
      </c>
      <c r="F15" s="5">
        <v>0</v>
      </c>
      <c r="G15" s="5">
        <v>0</v>
      </c>
      <c r="H15" s="5">
        <v>0</v>
      </c>
      <c r="I15" s="5">
        <v>0</v>
      </c>
      <c r="J15" s="5">
        <v>0</v>
      </c>
      <c r="K15" s="5">
        <v>0</v>
      </c>
      <c r="L15" s="5">
        <v>0</v>
      </c>
      <c r="M15" s="5">
        <v>0</v>
      </c>
      <c r="N15" s="5">
        <v>0</v>
      </c>
      <c r="O15" s="5">
        <v>0</v>
      </c>
      <c r="P15" s="5">
        <v>0</v>
      </c>
      <c r="Q15" s="5">
        <v>0</v>
      </c>
      <c r="R15" s="5">
        <v>0</v>
      </c>
      <c r="S15" s="5">
        <v>0</v>
      </c>
      <c r="T15" s="5">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c r="AS15" s="5">
        <v>0</v>
      </c>
      <c r="AT15" s="5">
        <v>0</v>
      </c>
      <c r="AU15" s="5">
        <v>0</v>
      </c>
      <c r="AV15" s="5">
        <v>0</v>
      </c>
      <c r="AW15" s="815">
        <v>3.7</v>
      </c>
      <c r="AX15" s="816">
        <v>0.9</v>
      </c>
      <c r="AY15" s="819">
        <v>0</v>
      </c>
      <c r="AZ15" s="826">
        <v>0</v>
      </c>
      <c r="BA15" s="818">
        <v>0</v>
      </c>
      <c r="BB15" s="802" t="str" cm="1">
        <f t="array" ref="BB15">INDEX(C$4:BA$4,MATCH(TRUE,INDEX(C15:BA15&lt;&gt;0,),0))</f>
        <v>2024-25</v>
      </c>
      <c r="BC15" s="803" t="str" cm="1">
        <f t="array" ref="BC15">LOOKUP(2,1/(C15:BA15&lt;&gt;0),$C$4:$BA$4)</f>
        <v>2025-26</v>
      </c>
      <c r="BD15" s="804">
        <f>COUNTIF(RDprograms[[#This Row],[1978-79]:[2028-29]], "&gt;0")</f>
        <v>2</v>
      </c>
      <c r="BE15" s="805">
        <f>SUM(C15:BA15)/RDprograms[[#This Row],[Years with &gt; $0 investment]]</f>
        <v>2.3000000000000003</v>
      </c>
      <c r="BF15" s="806" t="s">
        <v>273</v>
      </c>
      <c r="BG15" s="807" t="s">
        <v>234</v>
      </c>
      <c r="BH15" s="827" t="s">
        <v>241</v>
      </c>
      <c r="BI15" s="809"/>
      <c r="BJ15" s="809"/>
      <c r="BK15" s="809"/>
      <c r="BL15" s="809"/>
      <c r="BM15" s="809">
        <v>1</v>
      </c>
      <c r="BN15" s="810"/>
      <c r="BO15" s="811" t="s">
        <v>236</v>
      </c>
      <c r="BP15" s="812" t="s">
        <v>274</v>
      </c>
      <c r="BQ15" s="812"/>
      <c r="BR15" s="812"/>
      <c r="BS15" s="812"/>
      <c r="BT15" s="812"/>
    </row>
    <row r="16" spans="1:74" ht="12.75" customHeight="1">
      <c r="A16" s="813" t="s">
        <v>231</v>
      </c>
      <c r="B16" s="820" t="s">
        <v>275</v>
      </c>
      <c r="C16" s="5">
        <v>0</v>
      </c>
      <c r="D16" s="5">
        <v>0</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c r="AQ16" s="5">
        <v>0</v>
      </c>
      <c r="AR16" s="5">
        <v>0</v>
      </c>
      <c r="AS16" s="5">
        <v>0</v>
      </c>
      <c r="AT16" s="5">
        <v>0</v>
      </c>
      <c r="AU16" s="5">
        <v>0</v>
      </c>
      <c r="AV16" s="5">
        <v>9.4920000000000009</v>
      </c>
      <c r="AW16" s="815">
        <v>6.6539999999999999</v>
      </c>
      <c r="AX16" s="816">
        <v>0</v>
      </c>
      <c r="AY16" s="819">
        <v>0</v>
      </c>
      <c r="AZ16" s="826">
        <v>0</v>
      </c>
      <c r="BA16" s="818">
        <v>0</v>
      </c>
      <c r="BB16" s="802" t="str" cm="1">
        <f t="array" ref="BB16">INDEX(C$4:BA$4,MATCH(TRUE,INDEX(C16:BA16&lt;&gt;0,),0))</f>
        <v>2023-24</v>
      </c>
      <c r="BC16" s="803" t="str" cm="1">
        <f t="array" ref="BC16">LOOKUP(2,1/(C16:BA16&lt;&gt;0),$C$4:$BA$4)</f>
        <v>2024-25</v>
      </c>
      <c r="BD16" s="804">
        <f>COUNTIF(RDprograms[[#This Row],[1978-79]:[2028-29]], "&gt;0")</f>
        <v>2</v>
      </c>
      <c r="BE16" s="805">
        <f>SUM(C16:BA16)/RDprograms[[#This Row],[Years with &gt; $0 investment]]</f>
        <v>8.0730000000000004</v>
      </c>
      <c r="BF16" s="806" t="s">
        <v>249</v>
      </c>
      <c r="BG16" s="807" t="s">
        <v>234</v>
      </c>
      <c r="BH16" s="827" t="s">
        <v>264</v>
      </c>
      <c r="BI16" s="809"/>
      <c r="BJ16" s="809"/>
      <c r="BK16" s="809"/>
      <c r="BL16" s="809"/>
      <c r="BM16" s="809"/>
      <c r="BN16" s="810"/>
      <c r="BO16" s="811" t="s">
        <v>236</v>
      </c>
      <c r="BP16" s="812" t="s">
        <v>276</v>
      </c>
      <c r="BQ16" s="812"/>
      <c r="BR16" s="812"/>
      <c r="BS16" s="812"/>
      <c r="BT16" s="828" t="s">
        <v>277</v>
      </c>
    </row>
    <row r="17" spans="1:72" ht="12.75" customHeight="1">
      <c r="A17" s="813" t="s">
        <v>231</v>
      </c>
      <c r="B17" s="820" t="s">
        <v>278</v>
      </c>
      <c r="C17" s="5">
        <v>0</v>
      </c>
      <c r="D17" s="5">
        <v>0</v>
      </c>
      <c r="E17" s="5">
        <v>0</v>
      </c>
      <c r="F17" s="5">
        <v>0</v>
      </c>
      <c r="G17" s="5">
        <v>0</v>
      </c>
      <c r="H17" s="5">
        <v>0</v>
      </c>
      <c r="I17" s="5">
        <v>0</v>
      </c>
      <c r="J17" s="5">
        <v>0</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4</v>
      </c>
      <c r="AQ17" s="5">
        <v>4</v>
      </c>
      <c r="AR17" s="5">
        <v>4</v>
      </c>
      <c r="AS17" s="5">
        <v>4</v>
      </c>
      <c r="AT17" s="5">
        <v>4</v>
      </c>
      <c r="AU17" s="5">
        <v>0</v>
      </c>
      <c r="AV17" s="5">
        <v>0.70199999999999996</v>
      </c>
      <c r="AW17" s="815">
        <v>0.79500000000000004</v>
      </c>
      <c r="AX17" s="816">
        <v>0</v>
      </c>
      <c r="AY17" s="817">
        <v>0</v>
      </c>
      <c r="AZ17" s="816">
        <v>0</v>
      </c>
      <c r="BA17" s="818">
        <v>0</v>
      </c>
      <c r="BB17" s="802" t="str" cm="1">
        <f t="array" ref="BB17">INDEX(C$4:BA$4,MATCH(TRUE,INDEX(C17:BA17&lt;&gt;0,),0))</f>
        <v>2017-18</v>
      </c>
      <c r="BC17" s="803" t="str" cm="1">
        <f t="array" ref="BC17">LOOKUP(2,1/(C17:BA17&lt;&gt;0),$C$4:$BA$4)</f>
        <v>2024-25</v>
      </c>
      <c r="BD17" s="804">
        <f>COUNTIF(RDprograms[[#This Row],[1978-79]:[2028-29]], "&gt;0")</f>
        <v>7</v>
      </c>
      <c r="BE17" s="805">
        <f>SUM(C17:BA17)/RDprograms[[#This Row],[Years with &gt; $0 investment]]</f>
        <v>3.0710000000000002</v>
      </c>
      <c r="BF17" s="806" t="s">
        <v>273</v>
      </c>
      <c r="BG17" s="807" t="s">
        <v>234</v>
      </c>
      <c r="BH17" s="807" t="s">
        <v>235</v>
      </c>
      <c r="BI17" s="809"/>
      <c r="BJ17" s="809"/>
      <c r="BK17" s="809"/>
      <c r="BL17" s="809"/>
      <c r="BM17" s="809"/>
      <c r="BN17" s="810"/>
      <c r="BO17" s="811" t="s">
        <v>236</v>
      </c>
      <c r="BP17" s="812" t="s">
        <v>279</v>
      </c>
      <c r="BQ17" s="812"/>
      <c r="BR17" s="812"/>
      <c r="BS17" s="812" t="s">
        <v>280</v>
      </c>
      <c r="BT17" s="828" t="s">
        <v>277</v>
      </c>
    </row>
    <row r="18" spans="1:72" ht="12.75" customHeight="1">
      <c r="A18" s="813" t="s">
        <v>231</v>
      </c>
      <c r="B18" s="820" t="s">
        <v>281</v>
      </c>
      <c r="C18" s="5">
        <v>0</v>
      </c>
      <c r="D18" s="5">
        <v>0</v>
      </c>
      <c r="E18" s="5">
        <v>0</v>
      </c>
      <c r="F18" s="5">
        <v>0</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0.4</v>
      </c>
      <c r="AD18" s="5">
        <v>1.7</v>
      </c>
      <c r="AE18" s="5">
        <v>1.7</v>
      </c>
      <c r="AF18" s="5">
        <v>1.7</v>
      </c>
      <c r="AG18" s="5">
        <v>1.6890000000000001</v>
      </c>
      <c r="AH18" s="5">
        <v>1.6890000000000001</v>
      </c>
      <c r="AI18" s="5">
        <v>1.6890000000000001</v>
      </c>
      <c r="AJ18" s="5">
        <v>1.7190000000000001</v>
      </c>
      <c r="AK18" s="5">
        <v>1.6890000000000001</v>
      </c>
      <c r="AL18" s="5">
        <v>1.784</v>
      </c>
      <c r="AM18" s="5">
        <v>1.7929999999999999</v>
      </c>
      <c r="AN18" s="5">
        <v>1.782</v>
      </c>
      <c r="AO18" s="5">
        <v>1.7929999999999999</v>
      </c>
      <c r="AP18" s="5">
        <v>1.7809999999999999</v>
      </c>
      <c r="AQ18" s="5">
        <v>1.7809999999999999</v>
      </c>
      <c r="AR18" s="5">
        <v>1.8069999999999999</v>
      </c>
      <c r="AS18" s="5">
        <v>1.8360000000000001</v>
      </c>
      <c r="AT18" s="5">
        <v>1.8540000000000001</v>
      </c>
      <c r="AU18" s="5">
        <v>1.8819999999999999</v>
      </c>
      <c r="AV18" s="5">
        <v>1.9079999999999999</v>
      </c>
      <c r="AW18" s="815">
        <v>1.9350000000000001</v>
      </c>
      <c r="AX18" s="816">
        <v>2.09</v>
      </c>
      <c r="AY18" s="819">
        <v>2.1440000000000001</v>
      </c>
      <c r="AZ18" s="816">
        <v>2.194</v>
      </c>
      <c r="BA18" s="818">
        <v>2.2440000000000002</v>
      </c>
      <c r="BB18" s="802" t="str" cm="1">
        <f t="array" ref="BB18">INDEX(C$4:BA$4,MATCH(TRUE,INDEX(C18:BA18&lt;&gt;0,),0))</f>
        <v>2004-05</v>
      </c>
      <c r="BC18" s="803" t="str" cm="1">
        <f t="array" ref="BC18">LOOKUP(2,1/(C18:BA18&lt;&gt;0),$C$4:$BA$4)</f>
        <v>2028-29</v>
      </c>
      <c r="BD18" s="804">
        <f>COUNTIF(RDprograms[[#This Row],[1978-79]:[2028-29]], "&gt;0")</f>
        <v>25</v>
      </c>
      <c r="BE18" s="805">
        <f>SUM(C18:BA18)/RDprograms[[#This Row],[Years with &gt; $0 investment]]</f>
        <v>1.7833199999999996</v>
      </c>
      <c r="BF18" s="806" t="s">
        <v>240</v>
      </c>
      <c r="BG18" s="807" t="s">
        <v>234</v>
      </c>
      <c r="BH18" s="807" t="s">
        <v>241</v>
      </c>
      <c r="BI18" s="809"/>
      <c r="BJ18" s="809"/>
      <c r="BK18" s="809"/>
      <c r="BL18" s="809"/>
      <c r="BM18" s="809">
        <v>1</v>
      </c>
      <c r="BN18" s="810"/>
      <c r="BO18" s="811" t="s">
        <v>236</v>
      </c>
      <c r="BP18" s="812" t="s">
        <v>282</v>
      </c>
      <c r="BQ18" s="812" t="s">
        <v>283</v>
      </c>
      <c r="BR18" s="812"/>
      <c r="BS18" s="812"/>
      <c r="BT18" s="812" t="s">
        <v>238</v>
      </c>
    </row>
    <row r="19" spans="1:72" ht="12.75" customHeight="1">
      <c r="A19" s="813" t="s">
        <v>231</v>
      </c>
      <c r="B19" s="820" t="s">
        <v>284</v>
      </c>
      <c r="C19" s="5">
        <v>0</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5.9569999999999999</v>
      </c>
      <c r="AP19" s="5">
        <v>8.8780000000000001</v>
      </c>
      <c r="AQ19" s="5">
        <v>9.5410000000000004</v>
      </c>
      <c r="AR19" s="5">
        <v>4.335</v>
      </c>
      <c r="AS19" s="5">
        <v>1.3260000000000001</v>
      </c>
      <c r="AT19" s="5">
        <v>6.3860000000000001</v>
      </c>
      <c r="AU19" s="5">
        <v>12.186999999999999</v>
      </c>
      <c r="AV19" s="5">
        <v>11.381</v>
      </c>
      <c r="AW19" s="815">
        <v>10.351000000000001</v>
      </c>
      <c r="AX19" s="816">
        <v>14.507</v>
      </c>
      <c r="AY19" s="819">
        <v>12.608000000000001</v>
      </c>
      <c r="AZ19" s="816">
        <v>10.621</v>
      </c>
      <c r="BA19" s="818">
        <v>10.404</v>
      </c>
      <c r="BB19" s="802" t="str" cm="1">
        <f t="array" ref="BB19">INDEX(C$4:BA$4,MATCH(TRUE,INDEX(C19:BA19&lt;&gt;0,),0))</f>
        <v>2016-17</v>
      </c>
      <c r="BC19" s="803" t="str" cm="1">
        <f t="array" ref="BC19">LOOKUP(2,1/(C19:BA19&lt;&gt;0),$C$4:$BA$4)</f>
        <v>2028-29</v>
      </c>
      <c r="BD19" s="804">
        <f>COUNTIF(RDprograms[[#This Row],[1978-79]:[2028-29]], "&gt;0")</f>
        <v>13</v>
      </c>
      <c r="BE19" s="805">
        <f>SUM(C19:BA19)/RDprograms[[#This Row],[Years with &gt; $0 investment]]</f>
        <v>9.1140000000000008</v>
      </c>
      <c r="BF19" s="806" t="s">
        <v>249</v>
      </c>
      <c r="BG19" s="807" t="s">
        <v>234</v>
      </c>
      <c r="BH19" s="807" t="s">
        <v>250</v>
      </c>
      <c r="BI19" s="809">
        <v>1</v>
      </c>
      <c r="BJ19" s="809"/>
      <c r="BK19" s="809"/>
      <c r="BL19" s="809">
        <v>1</v>
      </c>
      <c r="BM19" s="809">
        <v>1</v>
      </c>
      <c r="BN19" s="810"/>
      <c r="BO19" s="811" t="s">
        <v>251</v>
      </c>
      <c r="BP19" s="812" t="s">
        <v>285</v>
      </c>
      <c r="BQ19" s="812" t="s">
        <v>286</v>
      </c>
      <c r="BR19" s="812"/>
      <c r="BS19" s="812"/>
      <c r="BT19" s="812" t="s">
        <v>238</v>
      </c>
    </row>
    <row r="20" spans="1:72" ht="12.75" customHeight="1">
      <c r="A20" s="813" t="s">
        <v>231</v>
      </c>
      <c r="B20" s="820" t="s">
        <v>287</v>
      </c>
      <c r="C20" s="5">
        <v>0</v>
      </c>
      <c r="D20" s="5">
        <v>0</v>
      </c>
      <c r="E20" s="5">
        <v>0</v>
      </c>
      <c r="F20" s="5">
        <v>0</v>
      </c>
      <c r="G20" s="5">
        <v>0</v>
      </c>
      <c r="H20" s="5">
        <v>0</v>
      </c>
      <c r="I20" s="5">
        <v>0</v>
      </c>
      <c r="J20" s="5">
        <v>0</v>
      </c>
      <c r="K20" s="5">
        <v>0</v>
      </c>
      <c r="L20" s="5">
        <v>0</v>
      </c>
      <c r="M20" s="5">
        <v>0</v>
      </c>
      <c r="N20" s="5">
        <v>0</v>
      </c>
      <c r="O20" s="5">
        <v>0</v>
      </c>
      <c r="P20" s="5">
        <v>0</v>
      </c>
      <c r="Q20" s="5">
        <v>0</v>
      </c>
      <c r="R20" s="5">
        <v>0</v>
      </c>
      <c r="S20" s="5">
        <v>0</v>
      </c>
      <c r="T20" s="5">
        <v>0</v>
      </c>
      <c r="U20" s="5">
        <v>0</v>
      </c>
      <c r="V20" s="5">
        <v>0</v>
      </c>
      <c r="W20" s="5">
        <v>0</v>
      </c>
      <c r="X20" s="5">
        <v>0</v>
      </c>
      <c r="Y20" s="5">
        <v>0</v>
      </c>
      <c r="Z20" s="5">
        <v>0</v>
      </c>
      <c r="AA20" s="5">
        <v>0</v>
      </c>
      <c r="AB20" s="5">
        <v>15.351667000000001</v>
      </c>
      <c r="AC20" s="5">
        <v>14.532978</v>
      </c>
      <c r="AD20" s="5">
        <v>15.359</v>
      </c>
      <c r="AE20" s="5">
        <v>15.997999999999999</v>
      </c>
      <c r="AF20" s="5">
        <v>18.297000000000001</v>
      </c>
      <c r="AG20" s="5">
        <v>19.167000000000002</v>
      </c>
      <c r="AH20" s="5">
        <v>19.641999999999999</v>
      </c>
      <c r="AI20" s="5">
        <v>17.748999999999999</v>
      </c>
      <c r="AJ20" s="5">
        <v>18.431999999999999</v>
      </c>
      <c r="AK20" s="5">
        <v>19.28</v>
      </c>
      <c r="AL20" s="5">
        <v>20.388000000000002</v>
      </c>
      <c r="AM20" s="5">
        <v>21.392051980000002</v>
      </c>
      <c r="AN20" s="5">
        <v>22.224</v>
      </c>
      <c r="AO20" s="5">
        <v>25.838000000000001</v>
      </c>
      <c r="AP20" s="816">
        <v>16.702999999999999</v>
      </c>
      <c r="AQ20" s="816">
        <v>22.181000000000001</v>
      </c>
      <c r="AR20" s="816">
        <v>22.841000000000001</v>
      </c>
      <c r="AS20" s="5">
        <v>18.913</v>
      </c>
      <c r="AT20" s="5">
        <v>21.911000000000001</v>
      </c>
      <c r="AU20" s="816">
        <v>29.259</v>
      </c>
      <c r="AV20" s="5">
        <v>27.016999999999999</v>
      </c>
      <c r="AW20" s="815">
        <v>28.2</v>
      </c>
      <c r="AX20" s="816">
        <v>28.2</v>
      </c>
      <c r="AY20" s="819">
        <v>28.244</v>
      </c>
      <c r="AZ20" s="816">
        <v>27.138999999999999</v>
      </c>
      <c r="BA20" s="818">
        <v>27.382999999999999</v>
      </c>
      <c r="BB20" s="802" t="str" cm="1">
        <f t="array" ref="BB20">INDEX(C$4:BA$4,MATCH(TRUE,INDEX(C20:BA20&lt;&gt;0,),0))</f>
        <v>2003-04</v>
      </c>
      <c r="BC20" s="803" t="str" cm="1">
        <f t="array" ref="BC20">LOOKUP(2,1/(C20:BA20&lt;&gt;0),$C$4:$BA$4)</f>
        <v>2028-29</v>
      </c>
      <c r="BD20" s="804">
        <f>COUNTIF(RDprograms[[#This Row],[1978-79]:[2028-29]], "&gt;0")</f>
        <v>26</v>
      </c>
      <c r="BE20" s="805">
        <f>SUM(C20:BA20)/RDprograms[[#This Row],[Years with &gt; $0 investment]]</f>
        <v>21.601603730000001</v>
      </c>
      <c r="BF20" s="806" t="s">
        <v>249</v>
      </c>
      <c r="BG20" s="807" t="s">
        <v>234</v>
      </c>
      <c r="BH20" s="807" t="s">
        <v>250</v>
      </c>
      <c r="BI20" s="809">
        <v>1</v>
      </c>
      <c r="BJ20" s="809">
        <v>1</v>
      </c>
      <c r="BK20" s="809"/>
      <c r="BL20" s="809">
        <v>1</v>
      </c>
      <c r="BM20" s="809">
        <v>1</v>
      </c>
      <c r="BN20" s="810"/>
      <c r="BO20" s="811" t="s">
        <v>251</v>
      </c>
      <c r="BP20" s="812" t="s">
        <v>288</v>
      </c>
      <c r="BQ20" s="812" t="s">
        <v>256</v>
      </c>
      <c r="BR20" s="812"/>
      <c r="BS20" s="812"/>
      <c r="BT20" s="812" t="s">
        <v>238</v>
      </c>
    </row>
    <row r="21" spans="1:72" ht="12.75" customHeight="1">
      <c r="A21" s="813" t="s">
        <v>231</v>
      </c>
      <c r="B21" s="820" t="s">
        <v>289</v>
      </c>
      <c r="C21" s="5">
        <v>0</v>
      </c>
      <c r="D21" s="5">
        <v>0</v>
      </c>
      <c r="E21" s="5">
        <v>0</v>
      </c>
      <c r="F21" s="5">
        <v>0</v>
      </c>
      <c r="G21" s="5">
        <v>0</v>
      </c>
      <c r="H21" s="5">
        <v>0</v>
      </c>
      <c r="I21" s="5">
        <v>0</v>
      </c>
      <c r="J21" s="5">
        <v>0</v>
      </c>
      <c r="K21" s="5">
        <v>0</v>
      </c>
      <c r="L21" s="5">
        <v>0</v>
      </c>
      <c r="M21" s="5">
        <v>0</v>
      </c>
      <c r="N21" s="5">
        <v>0</v>
      </c>
      <c r="O21" s="5">
        <v>0</v>
      </c>
      <c r="P21" s="5">
        <v>0</v>
      </c>
      <c r="Q21" s="5">
        <v>0</v>
      </c>
      <c r="R21" s="5">
        <v>0</v>
      </c>
      <c r="S21" s="5">
        <v>0</v>
      </c>
      <c r="T21" s="5">
        <v>0</v>
      </c>
      <c r="U21" s="5">
        <v>0</v>
      </c>
      <c r="V21" s="5">
        <v>0</v>
      </c>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c r="AQ21" s="5">
        <v>0</v>
      </c>
      <c r="AR21" s="5">
        <v>0</v>
      </c>
      <c r="AS21" s="5">
        <v>0</v>
      </c>
      <c r="AT21" s="5">
        <v>0</v>
      </c>
      <c r="AU21" s="5">
        <v>2.4</v>
      </c>
      <c r="AV21" s="5">
        <v>3.6</v>
      </c>
      <c r="AW21" s="815">
        <v>2</v>
      </c>
      <c r="AX21" s="816">
        <v>0</v>
      </c>
      <c r="AY21" s="817">
        <v>0</v>
      </c>
      <c r="AZ21" s="816"/>
      <c r="BA21" s="818"/>
      <c r="BB21" s="802" t="str" cm="1">
        <f t="array" ref="BB21">INDEX(C$4:BA$4,MATCH(TRUE,INDEX(C21:BA21&lt;&gt;0,),0))</f>
        <v>2022-23</v>
      </c>
      <c r="BC21" s="803" t="str" cm="1">
        <f t="array" ref="BC21">LOOKUP(2,1/(C21:BA21&lt;&gt;0),$C$4:$BA$4)</f>
        <v>2024-25</v>
      </c>
      <c r="BD21" s="804">
        <f>COUNTIF(RDprograms[[#This Row],[1978-79]:[2028-29]], "&gt;0")</f>
        <v>3</v>
      </c>
      <c r="BE21" s="805">
        <f>SUM(C21:BA21)/RDprograms[[#This Row],[Years with &gt; $0 investment]]</f>
        <v>2.6666666666666665</v>
      </c>
      <c r="BF21" s="806" t="s">
        <v>273</v>
      </c>
      <c r="BG21" s="807" t="s">
        <v>234</v>
      </c>
      <c r="BH21" s="807" t="s">
        <v>264</v>
      </c>
      <c r="BI21" s="809"/>
      <c r="BJ21" s="809"/>
      <c r="BK21" s="809"/>
      <c r="BL21" s="809"/>
      <c r="BM21" s="809"/>
      <c r="BN21" s="810"/>
      <c r="BO21" s="811" t="s">
        <v>236</v>
      </c>
      <c r="BP21" s="812" t="s">
        <v>290</v>
      </c>
      <c r="BQ21" s="812"/>
      <c r="BR21" s="812"/>
      <c r="BS21" s="812"/>
      <c r="BT21" s="812"/>
    </row>
    <row r="22" spans="1:72" ht="12.75" customHeight="1">
      <c r="A22" s="813" t="s">
        <v>231</v>
      </c>
      <c r="B22" s="820" t="s">
        <v>291</v>
      </c>
      <c r="C22" s="5">
        <v>0.7</v>
      </c>
      <c r="D22" s="5">
        <v>0.9</v>
      </c>
      <c r="E22" s="5">
        <v>1.3</v>
      </c>
      <c r="F22" s="5">
        <v>1.5</v>
      </c>
      <c r="G22" s="5">
        <v>2.5</v>
      </c>
      <c r="H22" s="5">
        <v>3.1</v>
      </c>
      <c r="I22" s="5">
        <v>4.3</v>
      </c>
      <c r="J22" s="5">
        <v>5</v>
      </c>
      <c r="K22" s="5">
        <v>6.2</v>
      </c>
      <c r="L22" s="5">
        <v>6.2</v>
      </c>
      <c r="M22" s="5">
        <v>5.4</v>
      </c>
      <c r="N22" s="5">
        <v>8.1</v>
      </c>
      <c r="O22" s="5">
        <v>8.4</v>
      </c>
      <c r="P22" s="5">
        <v>6.6</v>
      </c>
      <c r="Q22" s="5">
        <v>7.5</v>
      </c>
      <c r="R22" s="5">
        <v>8.5</v>
      </c>
      <c r="S22" s="5">
        <v>9.1999999999999993</v>
      </c>
      <c r="T22" s="5">
        <v>10.4</v>
      </c>
      <c r="U22" s="5">
        <v>11.3</v>
      </c>
      <c r="V22" s="5">
        <v>11.2</v>
      </c>
      <c r="W22" s="5">
        <v>12.1</v>
      </c>
      <c r="X22" s="5">
        <v>13.1</v>
      </c>
      <c r="Y22" s="5">
        <v>12.8</v>
      </c>
      <c r="Z22" s="5">
        <v>15.8</v>
      </c>
      <c r="AA22" s="5">
        <v>25.5</v>
      </c>
      <c r="AB22" s="5">
        <v>27.9</v>
      </c>
      <c r="AC22" s="5">
        <v>31.7</v>
      </c>
      <c r="AD22" s="5">
        <v>32.799999999999997</v>
      </c>
      <c r="AE22" s="5">
        <v>28</v>
      </c>
      <c r="AF22" s="5">
        <v>14.9</v>
      </c>
      <c r="AG22" s="5">
        <v>21.35</v>
      </c>
      <c r="AH22" s="5">
        <v>16.335000000000001</v>
      </c>
      <c r="AI22" s="5">
        <v>16.527999999999999</v>
      </c>
      <c r="AJ22" s="5">
        <v>17.494</v>
      </c>
      <c r="AK22" s="5">
        <v>17.041</v>
      </c>
      <c r="AL22" s="5">
        <v>18.120999999999999</v>
      </c>
      <c r="AM22" s="5">
        <v>18.708153619999997</v>
      </c>
      <c r="AN22" s="5">
        <v>19.783000000000001</v>
      </c>
      <c r="AO22" s="5">
        <v>19.41</v>
      </c>
      <c r="AP22" s="5">
        <v>26.986999999999998</v>
      </c>
      <c r="AQ22" s="5">
        <v>22.207000000000001</v>
      </c>
      <c r="AR22" s="5">
        <v>23.439</v>
      </c>
      <c r="AS22" s="5">
        <v>22.219000000000001</v>
      </c>
      <c r="AT22" s="5">
        <v>25.283999999999999</v>
      </c>
      <c r="AU22" s="5">
        <v>21.334</v>
      </c>
      <c r="AV22" s="5">
        <v>26.591999999999999</v>
      </c>
      <c r="AW22" s="815">
        <v>26.652999999999999</v>
      </c>
      <c r="AX22" s="816">
        <v>27.878</v>
      </c>
      <c r="AY22" s="819">
        <v>29.69</v>
      </c>
      <c r="AZ22" s="816">
        <v>30.946999999999999</v>
      </c>
      <c r="BA22" s="818">
        <v>31.826000000000001</v>
      </c>
      <c r="BB22" s="802" t="str" cm="1">
        <f t="array" ref="BB22">INDEX(C$4:BA$4,MATCH(TRUE,INDEX(C22:BA22&lt;&gt;0,),0))</f>
        <v>1978-79</v>
      </c>
      <c r="BC22" s="803" t="str" cm="1">
        <f t="array" ref="BC22">LOOKUP(2,1/(C22:BA22&lt;&gt;0),$C$4:$BA$4)</f>
        <v>2028-29</v>
      </c>
      <c r="BD22" s="804">
        <f>COUNTIF(RDprograms[[#This Row],[1978-79]:[2028-29]], "&gt;0")</f>
        <v>51</v>
      </c>
      <c r="BE22" s="805">
        <f>SUM(C22:BA22)/RDprograms[[#This Row],[Years with &gt; $0 investment]]</f>
        <v>15.935806933725495</v>
      </c>
      <c r="BF22" s="806" t="s">
        <v>249</v>
      </c>
      <c r="BG22" s="807" t="s">
        <v>234</v>
      </c>
      <c r="BH22" s="807" t="s">
        <v>250</v>
      </c>
      <c r="BI22" s="809"/>
      <c r="BJ22" s="809"/>
      <c r="BK22" s="809"/>
      <c r="BL22" s="809"/>
      <c r="BM22" s="809"/>
      <c r="BN22" s="810">
        <v>1</v>
      </c>
      <c r="BO22" s="811" t="s">
        <v>251</v>
      </c>
      <c r="BP22" s="812" t="s">
        <v>292</v>
      </c>
      <c r="BQ22" s="812" t="s">
        <v>256</v>
      </c>
      <c r="BR22" s="812"/>
      <c r="BS22" s="812"/>
      <c r="BT22" s="812" t="s">
        <v>238</v>
      </c>
    </row>
    <row r="23" spans="1:72" ht="12.75" customHeight="1">
      <c r="A23" s="813" t="s">
        <v>231</v>
      </c>
      <c r="B23" s="820" t="s">
        <v>293</v>
      </c>
      <c r="C23" s="5">
        <v>0</v>
      </c>
      <c r="D23" s="5">
        <v>0</v>
      </c>
      <c r="E23" s="5">
        <v>0</v>
      </c>
      <c r="F23" s="5">
        <v>0</v>
      </c>
      <c r="G23" s="5">
        <v>0</v>
      </c>
      <c r="H23" s="5">
        <v>0</v>
      </c>
      <c r="I23" s="5">
        <v>0</v>
      </c>
      <c r="J23" s="5">
        <v>0</v>
      </c>
      <c r="K23" s="5">
        <v>0</v>
      </c>
      <c r="L23" s="5">
        <v>0</v>
      </c>
      <c r="M23" s="5">
        <v>0</v>
      </c>
      <c r="N23" s="5">
        <v>0</v>
      </c>
      <c r="O23" s="5">
        <v>0</v>
      </c>
      <c r="P23" s="5">
        <v>0</v>
      </c>
      <c r="Q23" s="5">
        <v>0</v>
      </c>
      <c r="R23" s="5">
        <v>0</v>
      </c>
      <c r="S23" s="5">
        <v>0</v>
      </c>
      <c r="T23" s="5">
        <v>0</v>
      </c>
      <c r="U23" s="5">
        <v>0</v>
      </c>
      <c r="V23" s="5">
        <v>0</v>
      </c>
      <c r="W23" s="5">
        <v>0</v>
      </c>
      <c r="X23" s="5">
        <v>0</v>
      </c>
      <c r="Y23" s="5">
        <v>0</v>
      </c>
      <c r="Z23" s="5">
        <v>0</v>
      </c>
      <c r="AA23" s="5">
        <v>0</v>
      </c>
      <c r="AB23" s="5">
        <v>0</v>
      </c>
      <c r="AC23" s="5">
        <v>3.84</v>
      </c>
      <c r="AD23" s="5">
        <v>3.0649999999999999</v>
      </c>
      <c r="AE23" s="5">
        <v>3.0760000000000001</v>
      </c>
      <c r="AF23" s="5">
        <v>3.0859999999999999</v>
      </c>
      <c r="AG23" s="5">
        <v>3.1509999999999998</v>
      </c>
      <c r="AH23" s="5">
        <v>3.76</v>
      </c>
      <c r="AI23" s="5">
        <v>1.5509999999999999</v>
      </c>
      <c r="AJ23" s="5">
        <v>0.13900000000000001</v>
      </c>
      <c r="AK23" s="5">
        <v>2.0939999999999999</v>
      </c>
      <c r="AL23" s="5">
        <v>2.0750000000000002</v>
      </c>
      <c r="AM23" s="5">
        <v>0.33900000000000002</v>
      </c>
      <c r="AN23" s="5">
        <v>0.38200000000000001</v>
      </c>
      <c r="AO23" s="5">
        <v>0.43999999999999995</v>
      </c>
      <c r="AP23" s="5">
        <v>0.496</v>
      </c>
      <c r="AQ23" s="5">
        <v>0.52900000000000003</v>
      </c>
      <c r="AR23" s="5">
        <v>0.61599999999999999</v>
      </c>
      <c r="AS23" s="5">
        <v>0.58899999999999997</v>
      </c>
      <c r="AT23" s="5">
        <v>0.626</v>
      </c>
      <c r="AU23" s="5">
        <v>0.63800000000000001</v>
      </c>
      <c r="AV23" s="5">
        <v>0.67600000000000005</v>
      </c>
      <c r="AW23" s="815">
        <v>0.77600000000000002</v>
      </c>
      <c r="AX23" s="816">
        <v>0.83799999999999997</v>
      </c>
      <c r="AY23" s="819">
        <v>0.89800000000000002</v>
      </c>
      <c r="AZ23" s="816">
        <v>0.91600000000000004</v>
      </c>
      <c r="BA23" s="818"/>
      <c r="BB23" s="802" t="str" cm="1">
        <f t="array" ref="BB23">INDEX(C$4:BA$4,MATCH(TRUE,INDEX(C23:BA23&lt;&gt;0,),0))</f>
        <v>2004-05</v>
      </c>
      <c r="BC23" s="803" t="str" cm="1">
        <f t="array" ref="BC23">LOOKUP(2,1/(C23:BA23&lt;&gt;0),$C$4:$BA$4)</f>
        <v>2027-28</v>
      </c>
      <c r="BD23" s="804">
        <f>COUNTIF(RDprograms[[#This Row],[1978-79]:[2028-29]], "&gt;0")</f>
        <v>24</v>
      </c>
      <c r="BE23" s="805">
        <f>SUM(C23:BA23)/RDprograms[[#This Row],[Years with &gt; $0 investment]]</f>
        <v>1.4414999999999998</v>
      </c>
      <c r="BF23" s="806" t="s">
        <v>273</v>
      </c>
      <c r="BG23" s="807" t="s">
        <v>234</v>
      </c>
      <c r="BH23" s="807" t="s">
        <v>235</v>
      </c>
      <c r="BI23" s="809"/>
      <c r="BJ23" s="809"/>
      <c r="BK23" s="809"/>
      <c r="BL23" s="809">
        <v>1</v>
      </c>
      <c r="BM23" s="809"/>
      <c r="BN23" s="810"/>
      <c r="BO23" s="811" t="s">
        <v>236</v>
      </c>
      <c r="BP23" s="812" t="s">
        <v>294</v>
      </c>
      <c r="BQ23" s="812"/>
      <c r="BR23" s="812"/>
      <c r="BS23" s="812"/>
      <c r="BT23" s="812" t="s">
        <v>238</v>
      </c>
    </row>
    <row r="24" spans="1:72" ht="12.75" customHeight="1">
      <c r="A24" s="813" t="s">
        <v>231</v>
      </c>
      <c r="B24" s="820" t="s">
        <v>295</v>
      </c>
      <c r="C24" s="5">
        <v>0</v>
      </c>
      <c r="D24" s="5">
        <v>0</v>
      </c>
      <c r="E24" s="5">
        <v>0</v>
      </c>
      <c r="F24" s="5">
        <v>0</v>
      </c>
      <c r="G24" s="5">
        <v>0</v>
      </c>
      <c r="H24" s="5">
        <v>0</v>
      </c>
      <c r="I24" s="5">
        <v>0</v>
      </c>
      <c r="J24" s="5">
        <v>0</v>
      </c>
      <c r="K24" s="5">
        <v>0</v>
      </c>
      <c r="L24" s="5">
        <v>0</v>
      </c>
      <c r="M24" s="5">
        <v>0</v>
      </c>
      <c r="N24" s="5">
        <v>0</v>
      </c>
      <c r="O24" s="5">
        <v>0</v>
      </c>
      <c r="P24" s="5">
        <v>0</v>
      </c>
      <c r="Q24" s="5">
        <v>0</v>
      </c>
      <c r="R24" s="5">
        <v>0</v>
      </c>
      <c r="S24" s="5">
        <v>0</v>
      </c>
      <c r="T24" s="5">
        <v>0</v>
      </c>
      <c r="U24" s="5">
        <v>0</v>
      </c>
      <c r="V24" s="5">
        <v>0</v>
      </c>
      <c r="W24" s="5">
        <v>0</v>
      </c>
      <c r="X24" s="5">
        <v>0</v>
      </c>
      <c r="Y24" s="5">
        <v>0</v>
      </c>
      <c r="Z24" s="5">
        <v>0</v>
      </c>
      <c r="AA24" s="5">
        <v>0</v>
      </c>
      <c r="AB24" s="5">
        <v>0</v>
      </c>
      <c r="AC24" s="5">
        <v>0</v>
      </c>
      <c r="AD24" s="5">
        <v>0</v>
      </c>
      <c r="AE24" s="5">
        <v>0</v>
      </c>
      <c r="AF24" s="5">
        <v>0</v>
      </c>
      <c r="AG24" s="5">
        <v>0</v>
      </c>
      <c r="AH24" s="5">
        <v>0</v>
      </c>
      <c r="AI24" s="5">
        <v>0</v>
      </c>
      <c r="AJ24" s="5">
        <v>0</v>
      </c>
      <c r="AK24" s="5">
        <v>0</v>
      </c>
      <c r="AL24" s="5">
        <v>0</v>
      </c>
      <c r="AM24" s="5">
        <v>3.3042346999999999</v>
      </c>
      <c r="AN24" s="5">
        <v>4.1609999999999996</v>
      </c>
      <c r="AO24" s="5">
        <v>6.0060000000000002</v>
      </c>
      <c r="AP24" s="5">
        <v>6.02</v>
      </c>
      <c r="AQ24" s="5">
        <v>5.5419999999999998</v>
      </c>
      <c r="AR24" s="5">
        <v>4.7519999999999998</v>
      </c>
      <c r="AS24" s="5">
        <v>4.2210000000000001</v>
      </c>
      <c r="AT24" s="5">
        <v>5.492</v>
      </c>
      <c r="AU24" s="5">
        <v>7.218</v>
      </c>
      <c r="AV24" s="5">
        <v>6.7480000000000002</v>
      </c>
      <c r="AW24" s="815">
        <v>9.1189999999999998</v>
      </c>
      <c r="AX24" s="816">
        <v>9.673</v>
      </c>
      <c r="AY24" s="819">
        <v>9.5229999999999997</v>
      </c>
      <c r="AZ24" s="816">
        <v>9.6560000000000006</v>
      </c>
      <c r="BA24" s="818">
        <v>9.89</v>
      </c>
      <c r="BB24" s="802" t="str" cm="1">
        <f t="array" ref="BB24">INDEX(C$4:BA$4,MATCH(TRUE,INDEX(C24:BA24&lt;&gt;0,),0))</f>
        <v>2014-15</v>
      </c>
      <c r="BC24" s="803" t="str" cm="1">
        <f t="array" ref="BC24">LOOKUP(2,1/(C24:BA24&lt;&gt;0),$C$4:$BA$4)</f>
        <v>2028-29</v>
      </c>
      <c r="BD24" s="804">
        <f>COUNTIF(RDprograms[[#This Row],[1978-79]:[2028-29]], "&gt;0")</f>
        <v>15</v>
      </c>
      <c r="BE24" s="805">
        <f>SUM(C24:BA24)/RDprograms[[#This Row],[Years with &gt; $0 investment]]</f>
        <v>6.7550156466666662</v>
      </c>
      <c r="BF24" s="806" t="s">
        <v>249</v>
      </c>
      <c r="BG24" s="807" t="s">
        <v>234</v>
      </c>
      <c r="BH24" s="807" t="s">
        <v>250</v>
      </c>
      <c r="BI24" s="809"/>
      <c r="BJ24" s="809"/>
      <c r="BK24" s="809"/>
      <c r="BL24" s="809"/>
      <c r="BM24" s="809"/>
      <c r="BN24" s="810">
        <v>1</v>
      </c>
      <c r="BO24" s="811" t="s">
        <v>251</v>
      </c>
      <c r="BP24" s="812" t="s">
        <v>296</v>
      </c>
      <c r="BQ24" s="812" t="s">
        <v>256</v>
      </c>
      <c r="BR24" s="812"/>
      <c r="BS24" s="812"/>
      <c r="BT24" s="812"/>
    </row>
    <row r="25" spans="1:72" ht="12.75" customHeight="1">
      <c r="A25" s="813" t="s">
        <v>231</v>
      </c>
      <c r="B25" s="820" t="s">
        <v>297</v>
      </c>
      <c r="C25" s="5">
        <v>0</v>
      </c>
      <c r="D25" s="5">
        <v>0</v>
      </c>
      <c r="E25" s="5">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D25" s="5">
        <v>0</v>
      </c>
      <c r="AE25" s="5">
        <v>0</v>
      </c>
      <c r="AF25" s="5">
        <v>0</v>
      </c>
      <c r="AG25" s="5">
        <v>0</v>
      </c>
      <c r="AH25" s="5">
        <v>3.4729999999999999</v>
      </c>
      <c r="AI25" s="5">
        <v>1.294</v>
      </c>
      <c r="AJ25" s="5">
        <v>0</v>
      </c>
      <c r="AK25" s="5">
        <v>0</v>
      </c>
      <c r="AL25" s="5">
        <v>0</v>
      </c>
      <c r="AM25" s="5">
        <v>0</v>
      </c>
      <c r="AN25" s="5">
        <v>0</v>
      </c>
      <c r="AO25" s="5">
        <v>0</v>
      </c>
      <c r="AP25" s="5">
        <v>0</v>
      </c>
      <c r="AQ25" s="5">
        <v>0</v>
      </c>
      <c r="AR25" s="5">
        <v>0</v>
      </c>
      <c r="AS25" s="5">
        <v>0</v>
      </c>
      <c r="AT25" s="5">
        <v>0</v>
      </c>
      <c r="AU25" s="5">
        <v>0</v>
      </c>
      <c r="AV25" s="5">
        <v>0</v>
      </c>
      <c r="AW25" s="815">
        <v>0</v>
      </c>
      <c r="AX25" s="816">
        <v>0</v>
      </c>
      <c r="AY25" s="819">
        <v>0</v>
      </c>
      <c r="AZ25" s="816">
        <v>0</v>
      </c>
      <c r="BA25" s="818"/>
      <c r="BB25" s="802" t="str" cm="1">
        <f t="array" ref="BB25">INDEX(C$4:BA$4,MATCH(TRUE,INDEX(C25:BA25&lt;&gt;0,),0))</f>
        <v>2009-10</v>
      </c>
      <c r="BC25" s="803" t="str" cm="1">
        <f t="array" ref="BC25">LOOKUP(2,1/(C25:BA25&lt;&gt;0),$C$4:$BA$4)</f>
        <v>2010-11</v>
      </c>
      <c r="BD25" s="804">
        <f>COUNTIF(RDprograms[[#This Row],[1978-79]:[2028-29]], "&gt;0")</f>
        <v>2</v>
      </c>
      <c r="BE25" s="805">
        <f>SUM(C25:BA25)/RDprograms[[#This Row],[Years with &gt; $0 investment]]</f>
        <v>2.3834999999999997</v>
      </c>
      <c r="BF25" s="806" t="s">
        <v>249</v>
      </c>
      <c r="BG25" s="807" t="s">
        <v>234</v>
      </c>
      <c r="BH25" s="807" t="s">
        <v>264</v>
      </c>
      <c r="BI25" s="809"/>
      <c r="BJ25" s="809"/>
      <c r="BK25" s="809"/>
      <c r="BL25" s="809"/>
      <c r="BM25" s="809"/>
      <c r="BN25" s="810"/>
      <c r="BO25" s="811" t="s">
        <v>236</v>
      </c>
      <c r="BP25" s="812"/>
      <c r="BQ25" s="812" t="s">
        <v>298</v>
      </c>
      <c r="BR25" s="812"/>
      <c r="BS25" s="812"/>
      <c r="BT25" s="812" t="s">
        <v>238</v>
      </c>
    </row>
    <row r="26" spans="1:72" ht="12.75" customHeight="1">
      <c r="A26" s="813" t="s">
        <v>231</v>
      </c>
      <c r="B26" s="820" t="s">
        <v>299</v>
      </c>
      <c r="C26" s="5">
        <v>0</v>
      </c>
      <c r="D26" s="5">
        <v>0</v>
      </c>
      <c r="E26" s="5">
        <v>0</v>
      </c>
      <c r="F26" s="5">
        <v>0</v>
      </c>
      <c r="G26" s="5">
        <v>0</v>
      </c>
      <c r="H26" s="5">
        <v>0</v>
      </c>
      <c r="I26" s="5">
        <v>0</v>
      </c>
      <c r="J26" s="5">
        <v>0</v>
      </c>
      <c r="K26" s="5">
        <v>0</v>
      </c>
      <c r="L26" s="5">
        <v>0</v>
      </c>
      <c r="M26" s="5">
        <v>0</v>
      </c>
      <c r="N26" s="5">
        <v>0</v>
      </c>
      <c r="O26" s="5">
        <v>0</v>
      </c>
      <c r="P26" s="5">
        <v>0</v>
      </c>
      <c r="Q26" s="5">
        <v>0</v>
      </c>
      <c r="R26" s="5">
        <v>0</v>
      </c>
      <c r="S26" s="5">
        <v>0</v>
      </c>
      <c r="T26" s="5">
        <v>0</v>
      </c>
      <c r="U26" s="5">
        <v>0</v>
      </c>
      <c r="V26" s="5">
        <v>0</v>
      </c>
      <c r="W26" s="5">
        <v>0</v>
      </c>
      <c r="X26" s="5">
        <v>0</v>
      </c>
      <c r="Y26" s="5">
        <v>0</v>
      </c>
      <c r="Z26" s="5">
        <v>0</v>
      </c>
      <c r="AA26" s="5">
        <v>0</v>
      </c>
      <c r="AB26" s="5">
        <v>0</v>
      </c>
      <c r="AC26" s="5">
        <v>0</v>
      </c>
      <c r="AD26" s="5">
        <v>0</v>
      </c>
      <c r="AE26" s="5">
        <v>0</v>
      </c>
      <c r="AF26" s="5">
        <v>0</v>
      </c>
      <c r="AG26" s="5">
        <v>0</v>
      </c>
      <c r="AH26" s="5">
        <v>0</v>
      </c>
      <c r="AI26" s="5">
        <v>0</v>
      </c>
      <c r="AJ26" s="5">
        <v>0</v>
      </c>
      <c r="AK26" s="5">
        <v>0</v>
      </c>
      <c r="AL26" s="5">
        <v>0</v>
      </c>
      <c r="AM26" s="5">
        <v>0</v>
      </c>
      <c r="AN26" s="5">
        <v>0</v>
      </c>
      <c r="AO26" s="5">
        <v>0</v>
      </c>
      <c r="AP26" s="5">
        <v>0</v>
      </c>
      <c r="AQ26" s="5">
        <v>0</v>
      </c>
      <c r="AR26" s="5">
        <v>0</v>
      </c>
      <c r="AS26" s="5">
        <v>0</v>
      </c>
      <c r="AT26" s="5">
        <v>0</v>
      </c>
      <c r="AU26" s="5">
        <v>20.097000000000001</v>
      </c>
      <c r="AV26" s="5">
        <v>0</v>
      </c>
      <c r="AW26" s="815">
        <v>0</v>
      </c>
      <c r="AX26" s="816">
        <v>0</v>
      </c>
      <c r="AY26" s="819">
        <v>0</v>
      </c>
      <c r="AZ26" s="816">
        <v>0</v>
      </c>
      <c r="BA26" s="818"/>
      <c r="BB26" s="802" t="str" cm="1">
        <f t="array" ref="BB26">INDEX(C$4:BA$4,MATCH(TRUE,INDEX(C26:BA26&lt;&gt;0,),0))</f>
        <v>2022-23</v>
      </c>
      <c r="BC26" s="803" t="str" cm="1">
        <f t="array" ref="BC26">LOOKUP(2,1/(C26:BA26&lt;&gt;0),$C$4:$BA$4)</f>
        <v>2022-23</v>
      </c>
      <c r="BD26" s="804">
        <f>COUNTIF(RDprograms[[#This Row],[1978-79]:[2028-29]], "&gt;0")</f>
        <v>1</v>
      </c>
      <c r="BE26" s="805">
        <f>SUM(C26:BA26)/RDprograms[[#This Row],[Years with &gt; $0 investment]]</f>
        <v>20.097000000000001</v>
      </c>
      <c r="BF26" s="806" t="s">
        <v>233</v>
      </c>
      <c r="BG26" s="807" t="s">
        <v>234</v>
      </c>
      <c r="BH26" s="807" t="s">
        <v>235</v>
      </c>
      <c r="BI26" s="809"/>
      <c r="BJ26" s="809"/>
      <c r="BK26" s="809"/>
      <c r="BL26" s="809"/>
      <c r="BM26" s="809"/>
      <c r="BN26" s="810"/>
      <c r="BO26" s="811" t="s">
        <v>251</v>
      </c>
      <c r="BP26" s="812" t="s">
        <v>300</v>
      </c>
      <c r="BQ26" s="812"/>
      <c r="BR26" s="812"/>
      <c r="BS26" s="812"/>
      <c r="BT26" s="812" t="s">
        <v>238</v>
      </c>
    </row>
    <row r="27" spans="1:72" ht="12.75" customHeight="1">
      <c r="A27" s="813" t="s">
        <v>231</v>
      </c>
      <c r="B27" s="820" t="s">
        <v>301</v>
      </c>
      <c r="C27" s="5">
        <v>0</v>
      </c>
      <c r="D27" s="5">
        <v>0</v>
      </c>
      <c r="E27" s="5">
        <v>0</v>
      </c>
      <c r="F27" s="5">
        <v>0</v>
      </c>
      <c r="G27" s="5">
        <v>0</v>
      </c>
      <c r="H27" s="5">
        <v>0</v>
      </c>
      <c r="I27" s="5">
        <v>0</v>
      </c>
      <c r="J27" s="5">
        <v>0</v>
      </c>
      <c r="K27" s="5">
        <v>0</v>
      </c>
      <c r="L27" s="5">
        <v>0</v>
      </c>
      <c r="M27" s="5">
        <v>0</v>
      </c>
      <c r="N27" s="5">
        <v>0</v>
      </c>
      <c r="O27" s="5">
        <v>0</v>
      </c>
      <c r="P27" s="5">
        <v>0</v>
      </c>
      <c r="Q27" s="5">
        <v>0</v>
      </c>
      <c r="R27" s="5">
        <v>0</v>
      </c>
      <c r="S27" s="5">
        <v>0</v>
      </c>
      <c r="T27" s="5">
        <v>0</v>
      </c>
      <c r="U27" s="5">
        <v>0</v>
      </c>
      <c r="V27" s="5">
        <v>0</v>
      </c>
      <c r="W27" s="5">
        <v>0</v>
      </c>
      <c r="X27" s="5">
        <v>0</v>
      </c>
      <c r="Y27" s="5">
        <v>0</v>
      </c>
      <c r="Z27" s="5">
        <v>0</v>
      </c>
      <c r="AA27" s="5">
        <v>0</v>
      </c>
      <c r="AB27" s="5">
        <v>0</v>
      </c>
      <c r="AC27" s="5">
        <v>0</v>
      </c>
      <c r="AD27" s="5">
        <v>0</v>
      </c>
      <c r="AE27" s="5">
        <v>0</v>
      </c>
      <c r="AF27" s="5">
        <v>0</v>
      </c>
      <c r="AG27" s="5">
        <v>0</v>
      </c>
      <c r="AH27" s="5">
        <v>0</v>
      </c>
      <c r="AI27" s="5">
        <v>0</v>
      </c>
      <c r="AJ27" s="5">
        <v>0</v>
      </c>
      <c r="AK27" s="5">
        <v>0</v>
      </c>
      <c r="AL27" s="5">
        <v>0</v>
      </c>
      <c r="AM27" s="5">
        <v>0</v>
      </c>
      <c r="AN27" s="5">
        <v>0</v>
      </c>
      <c r="AO27" s="5">
        <v>0</v>
      </c>
      <c r="AP27" s="816">
        <v>0</v>
      </c>
      <c r="AQ27" s="816">
        <v>30.8</v>
      </c>
      <c r="AR27" s="5">
        <v>0</v>
      </c>
      <c r="AS27" s="5">
        <v>7.33</v>
      </c>
      <c r="AT27" s="5">
        <v>27.736999999999998</v>
      </c>
      <c r="AU27" s="5">
        <v>27.544</v>
      </c>
      <c r="AV27" s="5">
        <v>21.774000000000001</v>
      </c>
      <c r="AW27" s="815">
        <v>45.2</v>
      </c>
      <c r="AX27" s="816">
        <v>52.174999999999997</v>
      </c>
      <c r="AY27" s="819">
        <v>52.988</v>
      </c>
      <c r="AZ27" s="816">
        <v>50.238</v>
      </c>
      <c r="BA27" s="818">
        <v>30.875</v>
      </c>
      <c r="BB27" s="802" t="str" cm="1">
        <f t="array" ref="BB27">INDEX(C$4:BA$4,MATCH(TRUE,INDEX(C27:BA27&lt;&gt;0,),0))</f>
        <v>2018-19</v>
      </c>
      <c r="BC27" s="803" t="str" cm="1">
        <f t="array" ref="BC27">LOOKUP(2,1/(C27:BA27&lt;&gt;0),$C$4:$BA$4)</f>
        <v>2028-29</v>
      </c>
      <c r="BD27" s="804">
        <f>COUNTIF(RDprograms[[#This Row],[1978-79]:[2028-29]], "&gt;0")</f>
        <v>10</v>
      </c>
      <c r="BE27" s="805">
        <f>SUM(C27:BA27)/RDprograms[[#This Row],[Years with &gt; $0 investment]]</f>
        <v>34.6661</v>
      </c>
      <c r="BF27" s="806" t="s">
        <v>233</v>
      </c>
      <c r="BG27" s="807" t="s">
        <v>234</v>
      </c>
      <c r="BH27" s="807" t="s">
        <v>235</v>
      </c>
      <c r="BI27" s="809"/>
      <c r="BJ27" s="809"/>
      <c r="BK27" s="809"/>
      <c r="BL27" s="809"/>
      <c r="BM27" s="809">
        <v>1</v>
      </c>
      <c r="BN27" s="810"/>
      <c r="BO27" s="811" t="s">
        <v>251</v>
      </c>
      <c r="BP27" s="812" t="s">
        <v>302</v>
      </c>
      <c r="BQ27" s="812"/>
      <c r="BR27" s="812"/>
      <c r="BS27" s="812"/>
      <c r="BT27" s="812" t="s">
        <v>238</v>
      </c>
    </row>
    <row r="28" spans="1:72" ht="12.75" customHeight="1">
      <c r="A28" s="813" t="s">
        <v>231</v>
      </c>
      <c r="B28" s="820" t="s">
        <v>303</v>
      </c>
      <c r="C28" s="5">
        <v>0</v>
      </c>
      <c r="D28" s="5">
        <v>6</v>
      </c>
      <c r="E28" s="5">
        <v>5.8</v>
      </c>
      <c r="F28" s="5">
        <v>7.5</v>
      </c>
      <c r="G28" s="5">
        <v>6.8</v>
      </c>
      <c r="H28" s="5">
        <v>10.8</v>
      </c>
      <c r="I28" s="5">
        <v>14.1</v>
      </c>
      <c r="J28" s="5">
        <v>15.2</v>
      </c>
      <c r="K28" s="5">
        <v>17.899999999999999</v>
      </c>
      <c r="L28" s="5">
        <v>11.2</v>
      </c>
      <c r="M28" s="5">
        <v>11.1</v>
      </c>
      <c r="N28" s="5">
        <v>13.3</v>
      </c>
      <c r="O28" s="5">
        <v>14.4</v>
      </c>
      <c r="P28" s="5">
        <v>14.8</v>
      </c>
      <c r="Q28" s="5">
        <v>15.7</v>
      </c>
      <c r="R28" s="5">
        <v>21.2</v>
      </c>
      <c r="S28" s="5">
        <v>23.3</v>
      </c>
      <c r="T28" s="5">
        <v>21.3</v>
      </c>
      <c r="U28" s="5">
        <v>29.1</v>
      </c>
      <c r="V28" s="5">
        <v>33.799999999999997</v>
      </c>
      <c r="W28" s="5">
        <v>33.6</v>
      </c>
      <c r="X28" s="5">
        <v>31.9</v>
      </c>
      <c r="Y28" s="5">
        <v>34</v>
      </c>
      <c r="Z28" s="5">
        <v>40.799999999999997</v>
      </c>
      <c r="AA28" s="5">
        <v>39.200000000000003</v>
      </c>
      <c r="AB28" s="5">
        <v>39.200000000000003</v>
      </c>
      <c r="AC28" s="5">
        <v>35.1</v>
      </c>
      <c r="AD28" s="5">
        <v>35.1</v>
      </c>
      <c r="AE28" s="5">
        <v>35.799999999999997</v>
      </c>
      <c r="AF28" s="5">
        <v>37.5</v>
      </c>
      <c r="AG28" s="5">
        <v>42.22</v>
      </c>
      <c r="AH28" s="5">
        <v>50.070999999999998</v>
      </c>
      <c r="AI28" s="5">
        <v>53.404000000000003</v>
      </c>
      <c r="AJ28" s="5">
        <v>57.567999999999998</v>
      </c>
      <c r="AK28" s="5">
        <v>62.845999999999997</v>
      </c>
      <c r="AL28" s="5">
        <v>68.742000000000004</v>
      </c>
      <c r="AM28" s="5">
        <v>67.848254620000006</v>
      </c>
      <c r="AN28" s="5">
        <v>70.224999999999994</v>
      </c>
      <c r="AO28" s="5">
        <v>71.891000000000005</v>
      </c>
      <c r="AP28" s="816">
        <v>84.658000000000001</v>
      </c>
      <c r="AQ28" s="816">
        <v>60.667000000000002</v>
      </c>
      <c r="AR28" s="5">
        <v>72.537000000000006</v>
      </c>
      <c r="AS28" s="5">
        <v>64.778000000000006</v>
      </c>
      <c r="AT28" s="5">
        <v>90.391000000000005</v>
      </c>
      <c r="AU28" s="5">
        <v>83.802999999999997</v>
      </c>
      <c r="AV28" s="5">
        <v>159.73400000000001</v>
      </c>
      <c r="AW28" s="815">
        <v>126.78</v>
      </c>
      <c r="AX28" s="816">
        <v>109.15300000000001</v>
      </c>
      <c r="AY28" s="819">
        <v>111.261</v>
      </c>
      <c r="AZ28" s="816">
        <v>111.29300000000001</v>
      </c>
      <c r="BA28" s="818">
        <v>113.361</v>
      </c>
      <c r="BB28" s="802" t="str" cm="1">
        <f t="array" ref="BB28">INDEX(C$4:BA$4,MATCH(TRUE,INDEX(C28:BA28&lt;&gt;0,),0))</f>
        <v>1979-80</v>
      </c>
      <c r="BC28" s="803" t="str" cm="1">
        <f t="array" ref="BC28">LOOKUP(2,1/(C28:BA28&lt;&gt;0),$C$4:$BA$4)</f>
        <v>2028-29</v>
      </c>
      <c r="BD28" s="804">
        <f>COUNTIF(RDprograms[[#This Row],[1978-79]:[2028-29]], "&gt;0")</f>
        <v>50</v>
      </c>
      <c r="BE28" s="805">
        <f>SUM(C28:BA28)/RDprograms[[#This Row],[Years with &gt; $0 investment]]</f>
        <v>47.774625092399994</v>
      </c>
      <c r="BF28" s="806" t="s">
        <v>249</v>
      </c>
      <c r="BG28" s="807" t="s">
        <v>234</v>
      </c>
      <c r="BH28" s="807" t="s">
        <v>250</v>
      </c>
      <c r="BI28" s="809">
        <v>1</v>
      </c>
      <c r="BJ28" s="809">
        <v>1</v>
      </c>
      <c r="BK28" s="809"/>
      <c r="BL28" s="809">
        <v>1</v>
      </c>
      <c r="BM28" s="809">
        <v>1</v>
      </c>
      <c r="BN28" s="810"/>
      <c r="BO28" s="811" t="s">
        <v>251</v>
      </c>
      <c r="BP28" s="812" t="s">
        <v>304</v>
      </c>
      <c r="BQ28" s="812" t="s">
        <v>256</v>
      </c>
      <c r="BR28" s="812"/>
      <c r="BS28" s="812"/>
      <c r="BT28" s="812"/>
    </row>
    <row r="29" spans="1:72" ht="12.75" customHeight="1">
      <c r="A29" s="813" t="s">
        <v>231</v>
      </c>
      <c r="B29" s="820" t="s">
        <v>305</v>
      </c>
      <c r="C29" s="5">
        <v>0</v>
      </c>
      <c r="D29" s="5">
        <v>0</v>
      </c>
      <c r="E29" s="5">
        <v>0</v>
      </c>
      <c r="F29" s="5">
        <v>0</v>
      </c>
      <c r="G29" s="5">
        <v>0</v>
      </c>
      <c r="H29" s="5">
        <v>0</v>
      </c>
      <c r="I29" s="5">
        <v>0</v>
      </c>
      <c r="J29" s="5">
        <v>0</v>
      </c>
      <c r="K29" s="5">
        <v>0</v>
      </c>
      <c r="L29" s="5">
        <v>0</v>
      </c>
      <c r="M29" s="5">
        <v>0.6</v>
      </c>
      <c r="N29" s="5">
        <v>1.2</v>
      </c>
      <c r="O29" s="5">
        <v>3.1</v>
      </c>
      <c r="P29" s="5">
        <v>4.4000000000000004</v>
      </c>
      <c r="Q29" s="5">
        <v>8.3000000000000007</v>
      </c>
      <c r="R29" s="5">
        <v>9.6</v>
      </c>
      <c r="S29" s="5">
        <v>10.7</v>
      </c>
      <c r="T29" s="5">
        <v>11.4</v>
      </c>
      <c r="U29" s="5">
        <v>12</v>
      </c>
      <c r="V29" s="5">
        <v>11.4</v>
      </c>
      <c r="W29" s="5">
        <v>15.3</v>
      </c>
      <c r="X29" s="5">
        <v>15.8</v>
      </c>
      <c r="Y29" s="5">
        <v>15.8</v>
      </c>
      <c r="Z29" s="5">
        <v>29.5</v>
      </c>
      <c r="AA29" s="5">
        <v>30.2</v>
      </c>
      <c r="AB29" s="5">
        <v>30</v>
      </c>
      <c r="AC29" s="5">
        <v>30</v>
      </c>
      <c r="AD29" s="5">
        <v>32.9</v>
      </c>
      <c r="AE29" s="5">
        <v>34</v>
      </c>
      <c r="AF29" s="5">
        <v>36.200000000000003</v>
      </c>
      <c r="AG29" s="5">
        <v>32.351999999999997</v>
      </c>
      <c r="AH29" s="5">
        <v>40.186999999999998</v>
      </c>
      <c r="AI29" s="5">
        <v>39.229999999999997</v>
      </c>
      <c r="AJ29" s="5">
        <v>42</v>
      </c>
      <c r="AK29" s="5">
        <v>41.887999999999998</v>
      </c>
      <c r="AL29" s="5">
        <v>41.258000000000003</v>
      </c>
      <c r="AM29" s="5">
        <v>41.021000000000001</v>
      </c>
      <c r="AN29" s="5">
        <v>44.067</v>
      </c>
      <c r="AO29" s="5">
        <v>49.503999999999998</v>
      </c>
      <c r="AP29" s="5">
        <v>51.542999999999999</v>
      </c>
      <c r="AQ29" s="5">
        <v>46.558</v>
      </c>
      <c r="AR29" s="5">
        <v>53.456000000000003</v>
      </c>
      <c r="AS29" s="5">
        <v>49.546999999999997</v>
      </c>
      <c r="AT29" s="5">
        <v>53.790999999999997</v>
      </c>
      <c r="AU29" s="5">
        <v>59.222000000000001</v>
      </c>
      <c r="AV29" s="5">
        <v>81.593999999999994</v>
      </c>
      <c r="AW29" s="815">
        <v>82.338999999999999</v>
      </c>
      <c r="AX29" s="816">
        <v>87.210999999999999</v>
      </c>
      <c r="AY29" s="819">
        <v>93.283000000000001</v>
      </c>
      <c r="AZ29" s="816">
        <v>97.947000000000003</v>
      </c>
      <c r="BA29" s="818">
        <v>98</v>
      </c>
      <c r="BB29" s="802" t="str" cm="1">
        <f t="array" ref="BB29">INDEX(C$4:BA$4,MATCH(TRUE,INDEX(C29:BA29&lt;&gt;0,),0))</f>
        <v>1988-89</v>
      </c>
      <c r="BC29" s="803" t="str" cm="1">
        <f t="array" ref="BC29">LOOKUP(2,1/(C29:BA29&lt;&gt;0),$C$4:$BA$4)</f>
        <v>2028-29</v>
      </c>
      <c r="BD29" s="804">
        <f>COUNTIF(RDprograms[[#This Row],[1978-79]:[2028-29]], "&gt;0")</f>
        <v>41</v>
      </c>
      <c r="BE29" s="805">
        <f>SUM(C29:BA29)/RDprograms[[#This Row],[Years with &gt; $0 investment]]</f>
        <v>38.253609756097568</v>
      </c>
      <c r="BF29" s="806" t="s">
        <v>249</v>
      </c>
      <c r="BG29" s="807" t="s">
        <v>234</v>
      </c>
      <c r="BH29" s="807" t="s">
        <v>250</v>
      </c>
      <c r="BI29" s="809"/>
      <c r="BJ29" s="809"/>
      <c r="BK29" s="809"/>
      <c r="BL29" s="809"/>
      <c r="BM29" s="809"/>
      <c r="BN29" s="810">
        <v>1</v>
      </c>
      <c r="BO29" s="811" t="s">
        <v>251</v>
      </c>
      <c r="BP29" s="812" t="s">
        <v>306</v>
      </c>
      <c r="BQ29" s="812" t="s">
        <v>256</v>
      </c>
      <c r="BR29" s="812"/>
      <c r="BS29" s="812"/>
      <c r="BT29" s="812"/>
    </row>
    <row r="30" spans="1:72" ht="12.75" customHeight="1">
      <c r="A30" s="813" t="s">
        <v>231</v>
      </c>
      <c r="B30" s="820" t="s">
        <v>307</v>
      </c>
      <c r="C30" s="5">
        <v>0</v>
      </c>
      <c r="D30" s="5">
        <v>0</v>
      </c>
      <c r="E30" s="5">
        <v>0</v>
      </c>
      <c r="F30" s="5">
        <v>0</v>
      </c>
      <c r="G30" s="5">
        <v>0</v>
      </c>
      <c r="H30" s="5">
        <v>0</v>
      </c>
      <c r="I30" s="5">
        <v>0</v>
      </c>
      <c r="J30" s="5">
        <v>0</v>
      </c>
      <c r="K30" s="5">
        <v>0</v>
      </c>
      <c r="L30" s="5">
        <v>0</v>
      </c>
      <c r="M30" s="5">
        <v>0</v>
      </c>
      <c r="N30" s="5">
        <v>0</v>
      </c>
      <c r="O30" s="5">
        <v>0</v>
      </c>
      <c r="P30" s="5">
        <v>0</v>
      </c>
      <c r="Q30" s="5">
        <v>0</v>
      </c>
      <c r="R30" s="5">
        <v>0</v>
      </c>
      <c r="S30" s="5">
        <v>0</v>
      </c>
      <c r="T30" s="5">
        <v>0</v>
      </c>
      <c r="U30" s="5">
        <v>0</v>
      </c>
      <c r="V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1.698</v>
      </c>
      <c r="AO30" s="5">
        <v>2.5</v>
      </c>
      <c r="AP30" s="816">
        <v>1.756</v>
      </c>
      <c r="AQ30" s="816">
        <v>2</v>
      </c>
      <c r="AR30" s="5">
        <v>2.0499999999999998</v>
      </c>
      <c r="AS30" s="5">
        <v>2.0499999999999998</v>
      </c>
      <c r="AT30" s="5">
        <v>2.0499999999999998</v>
      </c>
      <c r="AU30" s="5">
        <v>1.2450000000000001</v>
      </c>
      <c r="AV30" s="5">
        <v>2.855</v>
      </c>
      <c r="AW30" s="815">
        <v>2.0499999999999998</v>
      </c>
      <c r="AX30" s="816">
        <v>0</v>
      </c>
      <c r="AY30" s="819">
        <v>0</v>
      </c>
      <c r="AZ30" s="816">
        <v>0</v>
      </c>
      <c r="BA30" s="818"/>
      <c r="BB30" s="802" t="str" cm="1">
        <f t="array" ref="BB30">INDEX(C$4:BA$4,MATCH(TRUE,INDEX(C30:BA30&lt;&gt;0,),0))</f>
        <v>2015-16</v>
      </c>
      <c r="BC30" s="803" t="str" cm="1">
        <f t="array" ref="BC30">LOOKUP(2,1/(C30:BA30&lt;&gt;0),$C$4:$BA$4)</f>
        <v>2024-25</v>
      </c>
      <c r="BD30" s="804">
        <f>COUNTIF(RDprograms[[#This Row],[1978-79]:[2028-29]], "&gt;0")</f>
        <v>10</v>
      </c>
      <c r="BE30" s="805">
        <f>SUM(C30:BA30)/RDprograms[[#This Row],[Years with &gt; $0 investment]]</f>
        <v>2.0254000000000003</v>
      </c>
      <c r="BF30" s="806" t="s">
        <v>273</v>
      </c>
      <c r="BG30" s="807" t="s">
        <v>234</v>
      </c>
      <c r="BH30" s="807" t="s">
        <v>250</v>
      </c>
      <c r="BI30" s="809"/>
      <c r="BJ30" s="809"/>
      <c r="BK30" s="809"/>
      <c r="BL30" s="809"/>
      <c r="BM30" s="809"/>
      <c r="BN30" s="810"/>
      <c r="BO30" s="811" t="s">
        <v>236</v>
      </c>
      <c r="BP30" s="812" t="s">
        <v>308</v>
      </c>
      <c r="BQ30" s="812" t="s">
        <v>309</v>
      </c>
      <c r="BR30" s="812"/>
      <c r="BS30" s="812"/>
      <c r="BT30" s="812" t="s">
        <v>238</v>
      </c>
    </row>
    <row r="31" spans="1:72" ht="12.75" customHeight="1">
      <c r="A31" s="813" t="s">
        <v>231</v>
      </c>
      <c r="B31" s="820" t="s">
        <v>310</v>
      </c>
      <c r="C31" s="5">
        <v>0</v>
      </c>
      <c r="D31" s="5">
        <v>0</v>
      </c>
      <c r="E31" s="5">
        <v>0</v>
      </c>
      <c r="F31" s="5">
        <v>0</v>
      </c>
      <c r="G31" s="5">
        <v>0</v>
      </c>
      <c r="H31" s="5">
        <v>0</v>
      </c>
      <c r="I31" s="5">
        <v>0</v>
      </c>
      <c r="J31" s="5">
        <v>0</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0</v>
      </c>
      <c r="AC31" s="5">
        <v>0</v>
      </c>
      <c r="AD31" s="5">
        <v>0</v>
      </c>
      <c r="AE31" s="5">
        <v>0</v>
      </c>
      <c r="AF31" s="5">
        <v>0</v>
      </c>
      <c r="AG31" s="5">
        <v>0</v>
      </c>
      <c r="AH31" s="5">
        <v>0</v>
      </c>
      <c r="AI31" s="5">
        <v>0</v>
      </c>
      <c r="AJ31" s="5">
        <v>0</v>
      </c>
      <c r="AK31" s="5">
        <v>0</v>
      </c>
      <c r="AL31" s="5">
        <v>0</v>
      </c>
      <c r="AM31" s="5">
        <v>0</v>
      </c>
      <c r="AN31" s="5">
        <v>0</v>
      </c>
      <c r="AO31" s="5">
        <v>49.302999999999997</v>
      </c>
      <c r="AP31" s="816">
        <v>70.972999999999999</v>
      </c>
      <c r="AQ31" s="816">
        <v>79.125</v>
      </c>
      <c r="AR31" s="5">
        <v>77.022999999999996</v>
      </c>
      <c r="AS31" s="5">
        <v>80.694999999999993</v>
      </c>
      <c r="AT31" s="5">
        <v>104.116</v>
      </c>
      <c r="AU31" s="5">
        <v>105.26</v>
      </c>
      <c r="AV31" s="5">
        <v>86.3</v>
      </c>
      <c r="AW31" s="815">
        <v>100.646</v>
      </c>
      <c r="AX31" s="816">
        <v>100.646</v>
      </c>
      <c r="AY31" s="819">
        <v>105.21599999999999</v>
      </c>
      <c r="AZ31" s="816">
        <v>111.783</v>
      </c>
      <c r="BA31" s="818">
        <v>109.803</v>
      </c>
      <c r="BB31" s="802" t="str" cm="1">
        <f t="array" ref="BB31">INDEX(C$4:BA$4,MATCH(TRUE,INDEX(C31:BA31&lt;&gt;0,),0))</f>
        <v>2016-17</v>
      </c>
      <c r="BC31" s="803" t="str" cm="1">
        <f t="array" ref="BC31">LOOKUP(2,1/(C31:BA31&lt;&gt;0),$C$4:$BA$4)</f>
        <v>2028-29</v>
      </c>
      <c r="BD31" s="804">
        <f>COUNTIF(RDprograms[[#This Row],[1978-79]:[2028-29]], "&gt;0")</f>
        <v>13</v>
      </c>
      <c r="BE31" s="805">
        <f>SUM(C31:BA31)/RDprograms[[#This Row],[Years with &gt; $0 investment]]</f>
        <v>90.837615384615361</v>
      </c>
      <c r="BF31" s="806" t="s">
        <v>249</v>
      </c>
      <c r="BG31" s="807" t="s">
        <v>234</v>
      </c>
      <c r="BH31" s="807" t="s">
        <v>250</v>
      </c>
      <c r="BI31" s="809"/>
      <c r="BJ31" s="809"/>
      <c r="BK31" s="809"/>
      <c r="BL31" s="809"/>
      <c r="BM31" s="809"/>
      <c r="BN31" s="810">
        <v>1</v>
      </c>
      <c r="BO31" s="811" t="s">
        <v>251</v>
      </c>
      <c r="BP31" s="812" t="s">
        <v>311</v>
      </c>
      <c r="BQ31" s="812" t="s">
        <v>312</v>
      </c>
      <c r="BR31" s="812"/>
      <c r="BS31" s="812"/>
      <c r="BT31" s="812"/>
    </row>
    <row r="32" spans="1:72" ht="12.75" customHeight="1">
      <c r="A32" s="813" t="s">
        <v>231</v>
      </c>
      <c r="B32" s="820" t="s">
        <v>313</v>
      </c>
      <c r="C32" s="5">
        <v>6.5</v>
      </c>
      <c r="D32" s="5">
        <v>6.8</v>
      </c>
      <c r="E32" s="5">
        <v>3.7</v>
      </c>
      <c r="F32" s="5">
        <v>4</v>
      </c>
      <c r="G32" s="5">
        <v>4.5999999999999996</v>
      </c>
      <c r="H32" s="5">
        <v>5.4</v>
      </c>
      <c r="I32" s="5">
        <v>4</v>
      </c>
      <c r="J32" s="5">
        <v>5.5</v>
      </c>
      <c r="K32" s="5">
        <v>8.4</v>
      </c>
      <c r="L32" s="5">
        <v>8.6</v>
      </c>
      <c r="M32" s="5">
        <v>11.9</v>
      </c>
      <c r="N32" s="5">
        <v>13.8</v>
      </c>
      <c r="O32" s="5">
        <v>13.6</v>
      </c>
      <c r="P32" s="5">
        <v>20.8</v>
      </c>
      <c r="Q32" s="5">
        <v>22.9</v>
      </c>
      <c r="R32" s="5">
        <v>22.1</v>
      </c>
      <c r="S32" s="5">
        <v>25.1</v>
      </c>
      <c r="T32" s="5">
        <v>22.6</v>
      </c>
      <c r="U32" s="5">
        <v>21.1</v>
      </c>
      <c r="V32" s="5">
        <v>22.8</v>
      </c>
      <c r="W32" s="5">
        <v>21.4</v>
      </c>
      <c r="X32" s="5">
        <v>20.2</v>
      </c>
      <c r="Y32" s="5">
        <v>20.2</v>
      </c>
      <c r="Z32" s="5">
        <v>23.5</v>
      </c>
      <c r="AA32" s="5">
        <v>26.3</v>
      </c>
      <c r="AB32" s="5">
        <v>28.5</v>
      </c>
      <c r="AC32" s="5">
        <v>35.6</v>
      </c>
      <c r="AD32" s="5">
        <v>36.299999999999997</v>
      </c>
      <c r="AE32" s="5">
        <v>37.6</v>
      </c>
      <c r="AF32" s="5">
        <v>45</v>
      </c>
      <c r="AG32" s="5">
        <v>42.807000000000002</v>
      </c>
      <c r="AH32" s="5">
        <v>41.972000000000001</v>
      </c>
      <c r="AI32" s="5">
        <v>37.844000000000001</v>
      </c>
      <c r="AJ32" s="5">
        <v>49.447000000000003</v>
      </c>
      <c r="AK32" s="5">
        <v>40.585999999999999</v>
      </c>
      <c r="AL32" s="5">
        <v>51.142000000000003</v>
      </c>
      <c r="AM32" s="5">
        <v>47.447172259999995</v>
      </c>
      <c r="AN32" s="5">
        <v>50.843000000000004</v>
      </c>
      <c r="AO32" s="5">
        <v>0</v>
      </c>
      <c r="AP32" s="5">
        <v>0</v>
      </c>
      <c r="AQ32" s="5">
        <v>0</v>
      </c>
      <c r="AR32" s="5">
        <v>0</v>
      </c>
      <c r="AS32" s="5">
        <v>0</v>
      </c>
      <c r="AT32" s="5">
        <v>0</v>
      </c>
      <c r="AU32" s="5">
        <v>0</v>
      </c>
      <c r="AV32" s="5">
        <v>0</v>
      </c>
      <c r="AW32" s="815">
        <v>0</v>
      </c>
      <c r="AX32" s="816">
        <v>0</v>
      </c>
      <c r="AY32" s="819">
        <v>0</v>
      </c>
      <c r="AZ32" s="816"/>
      <c r="BA32" s="818"/>
      <c r="BB32" s="802" t="str" cm="1">
        <f t="array" ref="BB32">INDEX(C$4:BA$4,MATCH(TRUE,INDEX(C32:BA32&lt;&gt;0,),0))</f>
        <v>1978-79</v>
      </c>
      <c r="BC32" s="803" t="str" cm="1">
        <f t="array" ref="BC32">LOOKUP(2,1/(C32:BA32&lt;&gt;0),$C$4:$BA$4)</f>
        <v>2015-16</v>
      </c>
      <c r="BD32" s="804">
        <f>COUNTIF(RDprograms[[#This Row],[1978-79]:[2028-29]], "&gt;0")</f>
        <v>38</v>
      </c>
      <c r="BE32" s="805">
        <f>SUM(C32:BA32)/RDprograms[[#This Row],[Years with &gt; $0 investment]]</f>
        <v>23.97074137526316</v>
      </c>
      <c r="BF32" s="806" t="s">
        <v>249</v>
      </c>
      <c r="BG32" s="807" t="s">
        <v>234</v>
      </c>
      <c r="BH32" s="807" t="s">
        <v>250</v>
      </c>
      <c r="BI32" s="809"/>
      <c r="BJ32" s="809"/>
      <c r="BK32" s="809"/>
      <c r="BL32" s="809"/>
      <c r="BM32" s="809"/>
      <c r="BN32" s="810"/>
      <c r="BO32" s="811" t="s">
        <v>251</v>
      </c>
      <c r="BP32" s="812" t="s">
        <v>314</v>
      </c>
      <c r="BQ32" s="812" t="s">
        <v>315</v>
      </c>
      <c r="BR32" s="812"/>
      <c r="BS32" s="812"/>
      <c r="BT32" s="812" t="s">
        <v>238</v>
      </c>
    </row>
    <row r="33" spans="1:72" ht="12.75" customHeight="1">
      <c r="A33" s="813" t="s">
        <v>231</v>
      </c>
      <c r="B33" s="820" t="s">
        <v>316</v>
      </c>
      <c r="C33" s="5">
        <v>0</v>
      </c>
      <c r="D33" s="5">
        <v>0</v>
      </c>
      <c r="E33" s="5">
        <v>0</v>
      </c>
      <c r="F33" s="5">
        <v>0</v>
      </c>
      <c r="G33" s="5">
        <v>0</v>
      </c>
      <c r="H33" s="5">
        <v>0</v>
      </c>
      <c r="I33" s="5">
        <v>0</v>
      </c>
      <c r="J33" s="5">
        <v>0</v>
      </c>
      <c r="K33" s="5">
        <v>0</v>
      </c>
      <c r="L33" s="5">
        <v>0</v>
      </c>
      <c r="M33" s="5">
        <v>0</v>
      </c>
      <c r="N33" s="5">
        <v>0</v>
      </c>
      <c r="O33" s="5">
        <v>0</v>
      </c>
      <c r="P33" s="5">
        <v>0</v>
      </c>
      <c r="Q33" s="5">
        <v>0</v>
      </c>
      <c r="R33" s="5">
        <v>0</v>
      </c>
      <c r="S33" s="5">
        <v>0</v>
      </c>
      <c r="T33" s="5">
        <v>0</v>
      </c>
      <c r="U33" s="5">
        <v>0</v>
      </c>
      <c r="V33" s="5">
        <v>0</v>
      </c>
      <c r="W33" s="5">
        <v>0</v>
      </c>
      <c r="X33" s="5">
        <v>0</v>
      </c>
      <c r="Y33" s="5">
        <v>0</v>
      </c>
      <c r="Z33" s="5">
        <v>0</v>
      </c>
      <c r="AA33" s="5">
        <v>0</v>
      </c>
      <c r="AB33" s="5">
        <v>0</v>
      </c>
      <c r="AC33" s="5">
        <v>0</v>
      </c>
      <c r="AD33" s="5">
        <v>0</v>
      </c>
      <c r="AE33" s="5">
        <v>0</v>
      </c>
      <c r="AF33" s="5">
        <v>0</v>
      </c>
      <c r="AG33" s="5">
        <v>0</v>
      </c>
      <c r="AH33" s="5">
        <v>0</v>
      </c>
      <c r="AI33" s="5">
        <v>0</v>
      </c>
      <c r="AJ33" s="5">
        <v>0</v>
      </c>
      <c r="AK33" s="5">
        <v>0</v>
      </c>
      <c r="AL33" s="5">
        <v>0</v>
      </c>
      <c r="AM33" s="5">
        <v>0</v>
      </c>
      <c r="AN33" s="5">
        <v>0</v>
      </c>
      <c r="AO33" s="5">
        <v>4.2910000000000004</v>
      </c>
      <c r="AP33" s="5">
        <v>3.9049999999999998</v>
      </c>
      <c r="AQ33" s="5">
        <v>1.0149999999999999</v>
      </c>
      <c r="AR33" s="5">
        <v>0.5</v>
      </c>
      <c r="AS33" s="5">
        <v>0.4</v>
      </c>
      <c r="AT33" s="5">
        <v>0.1</v>
      </c>
      <c r="AU33" s="5">
        <v>0</v>
      </c>
      <c r="AV33" s="5">
        <v>0</v>
      </c>
      <c r="AW33" s="815">
        <v>1.8380000000000001</v>
      </c>
      <c r="AX33" s="816">
        <v>1.839</v>
      </c>
      <c r="AY33" s="819">
        <v>0</v>
      </c>
      <c r="AZ33" s="816">
        <v>0</v>
      </c>
      <c r="BA33" s="818">
        <v>0</v>
      </c>
      <c r="BB33" s="802" t="str" cm="1">
        <f t="array" ref="BB33">INDEX(C$4:BA$4,MATCH(TRUE,INDEX(C33:BA33&lt;&gt;0,),0))</f>
        <v>2016-17</v>
      </c>
      <c r="BC33" s="803" t="str" cm="1">
        <f t="array" ref="BC33">LOOKUP(2,1/(C33:BA33&lt;&gt;0),$C$4:$BA$4)</f>
        <v>2025-26</v>
      </c>
      <c r="BD33" s="804">
        <f>COUNTIF(RDprograms[[#This Row],[1978-79]:[2028-29]], "&gt;0")</f>
        <v>8</v>
      </c>
      <c r="BE33" s="805">
        <f>SUM(C33:BA33)/RDprograms[[#This Row],[Years with &gt; $0 investment]]</f>
        <v>1.736</v>
      </c>
      <c r="BF33" s="806" t="s">
        <v>249</v>
      </c>
      <c r="BG33" s="807" t="s">
        <v>234</v>
      </c>
      <c r="BH33" s="807" t="s">
        <v>235</v>
      </c>
      <c r="BI33" s="809"/>
      <c r="BJ33" s="809"/>
      <c r="BK33" s="809"/>
      <c r="BL33" s="809">
        <v>1</v>
      </c>
      <c r="BM33" s="809">
        <v>1</v>
      </c>
      <c r="BN33" s="810"/>
      <c r="BO33" s="811" t="s">
        <v>236</v>
      </c>
      <c r="BP33" s="812" t="s">
        <v>317</v>
      </c>
      <c r="BQ33" s="812" t="s">
        <v>318</v>
      </c>
      <c r="BR33" s="812"/>
      <c r="BS33" s="812"/>
      <c r="BT33" s="812" t="s">
        <v>238</v>
      </c>
    </row>
    <row r="34" spans="1:72" ht="12.75" customHeight="1">
      <c r="A34" s="813" t="s">
        <v>231</v>
      </c>
      <c r="B34" s="820" t="s">
        <v>319</v>
      </c>
      <c r="C34" s="5">
        <v>0</v>
      </c>
      <c r="D34" s="5">
        <v>0</v>
      </c>
      <c r="E34" s="5">
        <v>0</v>
      </c>
      <c r="F34" s="5">
        <v>0</v>
      </c>
      <c r="G34" s="5">
        <v>0</v>
      </c>
      <c r="H34" s="5">
        <v>0</v>
      </c>
      <c r="I34" s="5">
        <v>0</v>
      </c>
      <c r="J34" s="5">
        <v>0</v>
      </c>
      <c r="K34" s="5">
        <v>0</v>
      </c>
      <c r="L34" s="5">
        <v>0</v>
      </c>
      <c r="M34" s="5">
        <v>0</v>
      </c>
      <c r="N34" s="5">
        <v>0</v>
      </c>
      <c r="O34" s="5">
        <v>0</v>
      </c>
      <c r="P34" s="5">
        <v>0</v>
      </c>
      <c r="Q34" s="5">
        <v>0</v>
      </c>
      <c r="R34" s="5">
        <v>0</v>
      </c>
      <c r="S34" s="5">
        <v>0</v>
      </c>
      <c r="T34" s="5">
        <v>0</v>
      </c>
      <c r="U34" s="5">
        <v>0</v>
      </c>
      <c r="V34" s="5">
        <v>0</v>
      </c>
      <c r="W34" s="5">
        <v>0</v>
      </c>
      <c r="X34" s="5">
        <v>0</v>
      </c>
      <c r="Y34" s="5">
        <v>0</v>
      </c>
      <c r="Z34" s="5">
        <v>0</v>
      </c>
      <c r="AA34" s="5">
        <v>0</v>
      </c>
      <c r="AB34" s="5">
        <v>0</v>
      </c>
      <c r="AC34" s="5">
        <v>0</v>
      </c>
      <c r="AD34" s="5">
        <v>0</v>
      </c>
      <c r="AE34" s="5">
        <v>0</v>
      </c>
      <c r="AF34" s="5">
        <v>0</v>
      </c>
      <c r="AG34" s="5">
        <v>0</v>
      </c>
      <c r="AH34" s="5">
        <v>0</v>
      </c>
      <c r="AI34" s="5">
        <v>0</v>
      </c>
      <c r="AJ34" s="5">
        <v>0</v>
      </c>
      <c r="AK34" s="5">
        <v>0</v>
      </c>
      <c r="AL34" s="5">
        <v>0</v>
      </c>
      <c r="AM34" s="5">
        <v>0</v>
      </c>
      <c r="AN34" s="5">
        <v>0</v>
      </c>
      <c r="AO34" s="5">
        <v>0</v>
      </c>
      <c r="AP34" s="5">
        <v>0</v>
      </c>
      <c r="AQ34" s="5">
        <v>0</v>
      </c>
      <c r="AR34" s="5">
        <v>0</v>
      </c>
      <c r="AS34" s="5">
        <v>1.0669999999999999</v>
      </c>
      <c r="AT34" s="5">
        <v>2.25</v>
      </c>
      <c r="AU34" s="5">
        <v>0.67600000000000005</v>
      </c>
      <c r="AV34" s="5">
        <v>3.097</v>
      </c>
      <c r="AW34" s="815">
        <v>2.0289999999999999</v>
      </c>
      <c r="AX34" s="816">
        <v>1.69</v>
      </c>
      <c r="AY34" s="819">
        <v>1.69</v>
      </c>
      <c r="AZ34" s="816"/>
      <c r="BA34" s="818"/>
      <c r="BB34" s="802" t="str" cm="1">
        <f t="array" ref="BB34">INDEX(C$4:BA$4,MATCH(TRUE,INDEX(C34:BA34&lt;&gt;0,),0))</f>
        <v>2020-21</v>
      </c>
      <c r="BC34" s="803" t="str" cm="1">
        <f t="array" ref="BC34">LOOKUP(2,1/(C34:BA34&lt;&gt;0),$C$4:$BA$4)</f>
        <v>2026-27</v>
      </c>
      <c r="BD34" s="804">
        <f>COUNTIF(RDprograms[[#This Row],[1978-79]:[2028-29]], "&gt;0")</f>
        <v>7</v>
      </c>
      <c r="BE34" s="805">
        <f>SUM(C34:BA34)/RDprograms[[#This Row],[Years with &gt; $0 investment]]</f>
        <v>1.7855714285714284</v>
      </c>
      <c r="BF34" s="806" t="s">
        <v>249</v>
      </c>
      <c r="BG34" s="807" t="s">
        <v>234</v>
      </c>
      <c r="BH34" s="807" t="s">
        <v>241</v>
      </c>
      <c r="BI34" s="809"/>
      <c r="BJ34" s="809"/>
      <c r="BK34" s="809"/>
      <c r="BL34" s="809">
        <v>1</v>
      </c>
      <c r="BM34" s="809">
        <v>1</v>
      </c>
      <c r="BN34" s="810"/>
      <c r="BO34" s="811" t="s">
        <v>236</v>
      </c>
      <c r="BP34" s="812" t="s">
        <v>320</v>
      </c>
      <c r="BQ34" s="812"/>
      <c r="BR34" s="812"/>
      <c r="BS34" s="812"/>
      <c r="BT34" s="812"/>
    </row>
    <row r="35" spans="1:72" ht="12.75" customHeight="1">
      <c r="A35" s="813" t="s">
        <v>231</v>
      </c>
      <c r="B35" s="820" t="s">
        <v>321</v>
      </c>
      <c r="C35" s="5">
        <v>0</v>
      </c>
      <c r="D35" s="5">
        <v>0</v>
      </c>
      <c r="E35" s="5">
        <v>0</v>
      </c>
      <c r="F35" s="5">
        <v>0</v>
      </c>
      <c r="G35" s="5">
        <v>0</v>
      </c>
      <c r="H35" s="5">
        <v>0</v>
      </c>
      <c r="I35" s="5">
        <v>0</v>
      </c>
      <c r="J35" s="5">
        <v>0</v>
      </c>
      <c r="K35" s="5">
        <v>0</v>
      </c>
      <c r="L35" s="5">
        <v>0</v>
      </c>
      <c r="M35" s="5">
        <v>0</v>
      </c>
      <c r="N35" s="5">
        <v>0</v>
      </c>
      <c r="O35" s="5">
        <v>0</v>
      </c>
      <c r="P35" s="5">
        <v>0</v>
      </c>
      <c r="Q35" s="5">
        <v>0</v>
      </c>
      <c r="R35" s="5">
        <v>0</v>
      </c>
      <c r="S35" s="5">
        <v>0</v>
      </c>
      <c r="T35" s="5">
        <v>0</v>
      </c>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5">
        <v>0</v>
      </c>
      <c r="AN35" s="5">
        <v>0</v>
      </c>
      <c r="AO35" s="5">
        <v>0</v>
      </c>
      <c r="AP35" s="816">
        <v>0</v>
      </c>
      <c r="AQ35" s="816">
        <v>9.9160000000000004</v>
      </c>
      <c r="AR35" s="5">
        <v>17.399000000000001</v>
      </c>
      <c r="AS35" s="5">
        <v>15.221</v>
      </c>
      <c r="AT35" s="5">
        <v>6.6429999999999998</v>
      </c>
      <c r="AU35" s="5">
        <v>10</v>
      </c>
      <c r="AV35" s="5">
        <v>0</v>
      </c>
      <c r="AW35" s="815">
        <v>0</v>
      </c>
      <c r="AX35" s="816">
        <v>0</v>
      </c>
      <c r="AY35" s="817">
        <v>0</v>
      </c>
      <c r="AZ35" s="816"/>
      <c r="BA35" s="818"/>
      <c r="BB35" s="802" t="str" cm="1">
        <f t="array" ref="BB35">INDEX(C$4:BA$4,MATCH(TRUE,INDEX(C35:BA35&lt;&gt;0,),0))</f>
        <v>2018-19</v>
      </c>
      <c r="BC35" s="803" t="str" cm="1">
        <f t="array" ref="BC35">LOOKUP(2,1/(C35:BA35&lt;&gt;0),$C$4:$BA$4)</f>
        <v>2022-23</v>
      </c>
      <c r="BD35" s="804">
        <f>COUNTIF(RDprograms[[#This Row],[1978-79]:[2028-29]], "&gt;0")</f>
        <v>5</v>
      </c>
      <c r="BE35" s="805">
        <f>SUM(C35:BA35)/RDprograms[[#This Row],[Years with &gt; $0 investment]]</f>
        <v>11.835800000000001</v>
      </c>
      <c r="BF35" s="806" t="s">
        <v>233</v>
      </c>
      <c r="BG35" s="807" t="s">
        <v>234</v>
      </c>
      <c r="BH35" s="807" t="s">
        <v>258</v>
      </c>
      <c r="BI35" s="809"/>
      <c r="BJ35" s="809"/>
      <c r="BK35" s="809"/>
      <c r="BL35" s="809"/>
      <c r="BM35" s="809"/>
      <c r="BN35" s="810"/>
      <c r="BO35" s="811" t="s">
        <v>236</v>
      </c>
      <c r="BP35" s="812" t="s">
        <v>322</v>
      </c>
      <c r="BQ35" s="812"/>
      <c r="BR35" s="812"/>
      <c r="BS35" s="812"/>
      <c r="BT35" s="812"/>
    </row>
    <row r="36" spans="1:72" ht="12.75" customHeight="1">
      <c r="A36" s="813" t="s">
        <v>231</v>
      </c>
      <c r="B36" s="820" t="s">
        <v>323</v>
      </c>
      <c r="C36" s="5">
        <v>0</v>
      </c>
      <c r="D36" s="5">
        <v>0</v>
      </c>
      <c r="E36" s="5">
        <v>0</v>
      </c>
      <c r="F36" s="5">
        <v>0</v>
      </c>
      <c r="G36" s="5">
        <v>0</v>
      </c>
      <c r="H36" s="5">
        <v>0</v>
      </c>
      <c r="I36" s="5">
        <v>0</v>
      </c>
      <c r="J36" s="5">
        <v>0</v>
      </c>
      <c r="K36" s="5">
        <v>0</v>
      </c>
      <c r="L36" s="5">
        <v>0</v>
      </c>
      <c r="M36" s="5">
        <v>0</v>
      </c>
      <c r="N36" s="5">
        <v>0</v>
      </c>
      <c r="O36" s="5">
        <v>0</v>
      </c>
      <c r="P36" s="5">
        <v>0</v>
      </c>
      <c r="Q36" s="5">
        <v>0</v>
      </c>
      <c r="R36" s="5">
        <v>0</v>
      </c>
      <c r="S36" s="5">
        <v>0</v>
      </c>
      <c r="T36" s="5">
        <v>0</v>
      </c>
      <c r="U36" s="5">
        <v>0</v>
      </c>
      <c r="V36" s="5">
        <v>0</v>
      </c>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816">
        <v>0</v>
      </c>
      <c r="AQ36" s="816">
        <v>14</v>
      </c>
      <c r="AR36" s="5">
        <v>5</v>
      </c>
      <c r="AS36" s="5">
        <v>6.5</v>
      </c>
      <c r="AT36" s="5">
        <v>9</v>
      </c>
      <c r="AU36" s="5">
        <v>9</v>
      </c>
      <c r="AV36" s="5">
        <v>0</v>
      </c>
      <c r="AW36" s="815">
        <v>0</v>
      </c>
      <c r="AX36" s="816">
        <v>0</v>
      </c>
      <c r="AY36" s="817">
        <v>0</v>
      </c>
      <c r="AZ36" s="816"/>
      <c r="BA36" s="818"/>
      <c r="BB36" s="802" t="str" cm="1">
        <f t="array" ref="BB36">INDEX(C$4:BA$4,MATCH(TRUE,INDEX(C36:BA36&lt;&gt;0,),0))</f>
        <v>2018-19</v>
      </c>
      <c r="BC36" s="803" t="str" cm="1">
        <f t="array" ref="BC36">LOOKUP(2,1/(C36:BA36&lt;&gt;0),$C$4:$BA$4)</f>
        <v>2022-23</v>
      </c>
      <c r="BD36" s="804">
        <f>COUNTIF(RDprograms[[#This Row],[1978-79]:[2028-29]], "&gt;0")</f>
        <v>5</v>
      </c>
      <c r="BE36" s="805">
        <f>SUM(C36:BA36)/RDprograms[[#This Row],[Years with &gt; $0 investment]]</f>
        <v>8.6999999999999993</v>
      </c>
      <c r="BF36" s="806" t="s">
        <v>233</v>
      </c>
      <c r="BG36" s="807" t="s">
        <v>234</v>
      </c>
      <c r="BH36" s="807" t="s">
        <v>258</v>
      </c>
      <c r="BI36" s="809"/>
      <c r="BJ36" s="809"/>
      <c r="BK36" s="809"/>
      <c r="BL36" s="809"/>
      <c r="BM36" s="809"/>
      <c r="BN36" s="810"/>
      <c r="BO36" s="811" t="s">
        <v>236</v>
      </c>
      <c r="BP36" s="812" t="s">
        <v>324</v>
      </c>
      <c r="BQ36" s="812"/>
      <c r="BR36" s="812"/>
      <c r="BS36" s="812"/>
      <c r="BT36" s="812"/>
    </row>
    <row r="37" spans="1:72" ht="12.75" customHeight="1">
      <c r="A37" s="813" t="s">
        <v>231</v>
      </c>
      <c r="B37" s="820" t="s">
        <v>325</v>
      </c>
      <c r="C37" s="5">
        <v>0</v>
      </c>
      <c r="D37" s="5">
        <v>0</v>
      </c>
      <c r="E37" s="5">
        <v>0</v>
      </c>
      <c r="F37" s="5">
        <v>0</v>
      </c>
      <c r="G37" s="5">
        <v>0</v>
      </c>
      <c r="H37" s="5">
        <v>0</v>
      </c>
      <c r="I37" s="5">
        <v>0</v>
      </c>
      <c r="J37" s="5">
        <v>0</v>
      </c>
      <c r="K37" s="5">
        <v>0</v>
      </c>
      <c r="L37" s="5">
        <v>0</v>
      </c>
      <c r="M37" s="5">
        <v>0</v>
      </c>
      <c r="N37" s="5">
        <v>0</v>
      </c>
      <c r="O37" s="5">
        <v>0</v>
      </c>
      <c r="P37" s="5">
        <v>0</v>
      </c>
      <c r="Q37" s="5">
        <v>0</v>
      </c>
      <c r="R37" s="5">
        <v>0</v>
      </c>
      <c r="S37" s="5">
        <v>0</v>
      </c>
      <c r="T37" s="5">
        <v>0</v>
      </c>
      <c r="U37" s="5">
        <v>0</v>
      </c>
      <c r="V37" s="5">
        <v>0</v>
      </c>
      <c r="W37" s="5">
        <v>0</v>
      </c>
      <c r="X37" s="5">
        <v>0</v>
      </c>
      <c r="Y37" s="5">
        <v>0</v>
      </c>
      <c r="Z37" s="5">
        <v>0</v>
      </c>
      <c r="AA37" s="5">
        <v>0</v>
      </c>
      <c r="AB37" s="5">
        <v>0</v>
      </c>
      <c r="AC37" s="5">
        <v>0</v>
      </c>
      <c r="AD37" s="5">
        <v>0</v>
      </c>
      <c r="AE37" s="5">
        <v>0</v>
      </c>
      <c r="AF37" s="5">
        <v>0</v>
      </c>
      <c r="AG37" s="5">
        <v>3.1459999999999999</v>
      </c>
      <c r="AH37" s="5">
        <v>4.0890000000000004</v>
      </c>
      <c r="AI37" s="5">
        <v>3.9889999999999999</v>
      </c>
      <c r="AJ37" s="5">
        <v>4</v>
      </c>
      <c r="AK37" s="5">
        <v>0</v>
      </c>
      <c r="AL37" s="5">
        <v>0</v>
      </c>
      <c r="AM37" s="5">
        <v>0</v>
      </c>
      <c r="AN37" s="5">
        <v>0</v>
      </c>
      <c r="AO37" s="5">
        <v>0</v>
      </c>
      <c r="AP37" s="5">
        <v>0</v>
      </c>
      <c r="AQ37" s="5">
        <v>0</v>
      </c>
      <c r="AR37" s="5">
        <v>0</v>
      </c>
      <c r="AS37" s="5">
        <v>0</v>
      </c>
      <c r="AT37" s="5">
        <v>0</v>
      </c>
      <c r="AU37" s="5">
        <v>0</v>
      </c>
      <c r="AV37" s="5">
        <v>0</v>
      </c>
      <c r="AW37" s="815">
        <v>0</v>
      </c>
      <c r="AX37" s="816">
        <v>0</v>
      </c>
      <c r="AY37" s="819">
        <v>0</v>
      </c>
      <c r="AZ37" s="816"/>
      <c r="BA37" s="818"/>
      <c r="BB37" s="802" t="str" cm="1">
        <f t="array" ref="BB37">INDEX(C$4:BA$4,MATCH(TRUE,INDEX(C37:BA37&lt;&gt;0,),0))</f>
        <v>2008-09</v>
      </c>
      <c r="BC37" s="803" t="str" cm="1">
        <f t="array" ref="BC37">LOOKUP(2,1/(C37:BA37&lt;&gt;0),$C$4:$BA$4)</f>
        <v>2011-12</v>
      </c>
      <c r="BD37" s="804">
        <f>COUNTIF(RDprograms[[#This Row],[1978-79]:[2028-29]], "&gt;0")</f>
        <v>4</v>
      </c>
      <c r="BE37" s="805">
        <f>SUM(C37:BA37)/RDprograms[[#This Row],[Years with &gt; $0 investment]]</f>
        <v>3.806</v>
      </c>
      <c r="BF37" s="806" t="s">
        <v>249</v>
      </c>
      <c r="BG37" s="807" t="s">
        <v>234</v>
      </c>
      <c r="BH37" s="807" t="s">
        <v>241</v>
      </c>
      <c r="BI37" s="809"/>
      <c r="BJ37" s="809"/>
      <c r="BK37" s="809"/>
      <c r="BL37" s="809"/>
      <c r="BM37" s="809"/>
      <c r="BN37" s="810"/>
      <c r="BO37" s="811" t="s">
        <v>236</v>
      </c>
      <c r="BP37" s="812"/>
      <c r="BQ37" s="812"/>
      <c r="BR37" s="812"/>
      <c r="BS37" s="812"/>
      <c r="BT37" s="812" t="s">
        <v>238</v>
      </c>
    </row>
    <row r="38" spans="1:72" ht="12.75" customHeight="1">
      <c r="A38" s="813" t="s">
        <v>231</v>
      </c>
      <c r="B38" s="820" t="s">
        <v>326</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1.1000000000000001</v>
      </c>
      <c r="AP38" s="816">
        <v>1</v>
      </c>
      <c r="AQ38" s="816">
        <v>1</v>
      </c>
      <c r="AR38" s="5">
        <v>1</v>
      </c>
      <c r="AS38" s="5">
        <v>0</v>
      </c>
      <c r="AT38" s="5">
        <v>0</v>
      </c>
      <c r="AU38" s="5">
        <v>0</v>
      </c>
      <c r="AV38" s="5">
        <v>0</v>
      </c>
      <c r="AW38" s="815">
        <v>0</v>
      </c>
      <c r="AX38" s="816">
        <v>0</v>
      </c>
      <c r="AY38" s="819">
        <v>0</v>
      </c>
      <c r="AZ38" s="816"/>
      <c r="BA38" s="818"/>
      <c r="BB38" s="802" t="str" cm="1">
        <f t="array" ref="BB38">INDEX(C$4:BA$4,MATCH(TRUE,INDEX(C38:BA38&lt;&gt;0,),0))</f>
        <v>2016-17</v>
      </c>
      <c r="BC38" s="803" t="str" cm="1">
        <f t="array" ref="BC38">LOOKUP(2,1/(C38:BA38&lt;&gt;0),$C$4:$BA$4)</f>
        <v>2019-20</v>
      </c>
      <c r="BD38" s="804">
        <f>COUNTIF(RDprograms[[#This Row],[1978-79]:[2028-29]], "&gt;0")</f>
        <v>4</v>
      </c>
      <c r="BE38" s="805">
        <f>SUM(C38:BA38)/RDprograms[[#This Row],[Years with &gt; $0 investment]]</f>
        <v>1.0249999999999999</v>
      </c>
      <c r="BF38" s="806" t="s">
        <v>273</v>
      </c>
      <c r="BG38" s="807" t="s">
        <v>234</v>
      </c>
      <c r="BH38" s="807" t="s">
        <v>235</v>
      </c>
      <c r="BI38" s="809"/>
      <c r="BJ38" s="809"/>
      <c r="BK38" s="809"/>
      <c r="BL38" s="809"/>
      <c r="BM38" s="809"/>
      <c r="BN38" s="810"/>
      <c r="BO38" s="811" t="s">
        <v>236</v>
      </c>
      <c r="BP38" s="812" t="s">
        <v>327</v>
      </c>
      <c r="BQ38" s="812"/>
      <c r="BR38" s="812"/>
      <c r="BS38" s="812"/>
      <c r="BT38" s="812" t="s">
        <v>238</v>
      </c>
    </row>
    <row r="39" spans="1:72" ht="12.75" customHeight="1">
      <c r="A39" s="813" t="s">
        <v>231</v>
      </c>
      <c r="B39" s="820" t="s">
        <v>328</v>
      </c>
      <c r="C39" s="5">
        <v>6.5</v>
      </c>
      <c r="D39" s="5">
        <v>2.2000000000000002</v>
      </c>
      <c r="E39" s="5">
        <v>2.8</v>
      </c>
      <c r="F39" s="5">
        <v>2.8</v>
      </c>
      <c r="G39" s="5">
        <v>3.6</v>
      </c>
      <c r="H39" s="5">
        <v>4.5999999999999996</v>
      </c>
      <c r="I39" s="5">
        <v>5.4</v>
      </c>
      <c r="J39" s="5">
        <v>7</v>
      </c>
      <c r="K39" s="5">
        <v>10.6</v>
      </c>
      <c r="L39" s="5">
        <v>5.5</v>
      </c>
      <c r="M39" s="5">
        <v>8</v>
      </c>
      <c r="N39" s="5">
        <v>10.1</v>
      </c>
      <c r="O39" s="5">
        <v>11.7</v>
      </c>
      <c r="P39" s="5">
        <v>12.4</v>
      </c>
      <c r="Q39" s="5">
        <v>18.8</v>
      </c>
      <c r="R39" s="5">
        <v>21.3</v>
      </c>
      <c r="S39" s="5">
        <v>25.5</v>
      </c>
      <c r="T39" s="5">
        <v>28</v>
      </c>
      <c r="U39" s="5">
        <v>26.7</v>
      </c>
      <c r="V39" s="5">
        <v>32.5</v>
      </c>
      <c r="W39" s="5">
        <v>36.200000000000003</v>
      </c>
      <c r="X39" s="5">
        <v>33.200000000000003</v>
      </c>
      <c r="Y39" s="5">
        <v>34.5</v>
      </c>
      <c r="Z39" s="5">
        <v>36.6</v>
      </c>
      <c r="AA39" s="5">
        <v>40.1</v>
      </c>
      <c r="AB39" s="5">
        <v>41.9</v>
      </c>
      <c r="AC39" s="5">
        <v>37.700000000000003</v>
      </c>
      <c r="AD39" s="5">
        <v>37.799999999999997</v>
      </c>
      <c r="AE39" s="5">
        <v>47.6</v>
      </c>
      <c r="AF39" s="5">
        <v>50.8</v>
      </c>
      <c r="AG39" s="5">
        <v>45.923000000000002</v>
      </c>
      <c r="AH39" s="5">
        <v>22.315999999999999</v>
      </c>
      <c r="AI39" s="5">
        <v>23.657</v>
      </c>
      <c r="AJ39" s="5">
        <v>29.283000000000001</v>
      </c>
      <c r="AK39" s="5">
        <v>24.957000000000001</v>
      </c>
      <c r="AL39" s="5">
        <v>28.858000000000001</v>
      </c>
      <c r="AM39" s="5">
        <v>27.494</v>
      </c>
      <c r="AN39" s="5">
        <v>24.373999999999999</v>
      </c>
      <c r="AO39" s="5">
        <v>0</v>
      </c>
      <c r="AP39" s="5">
        <v>0</v>
      </c>
      <c r="AQ39" s="5">
        <v>0</v>
      </c>
      <c r="AR39" s="5">
        <v>0</v>
      </c>
      <c r="AS39" s="5">
        <v>0</v>
      </c>
      <c r="AT39" s="5">
        <v>0</v>
      </c>
      <c r="AU39" s="5">
        <v>0</v>
      </c>
      <c r="AV39" s="5">
        <v>0</v>
      </c>
      <c r="AW39" s="815">
        <v>0</v>
      </c>
      <c r="AX39" s="816">
        <v>0</v>
      </c>
      <c r="AY39" s="819">
        <v>0</v>
      </c>
      <c r="AZ39" s="816"/>
      <c r="BA39" s="818"/>
      <c r="BB39" s="802" t="str" cm="1">
        <f t="array" ref="BB39">INDEX(C$4:BA$4,MATCH(TRUE,INDEX(C39:BA39&lt;&gt;0,),0))</f>
        <v>1978-79</v>
      </c>
      <c r="BC39" s="803" t="str" cm="1">
        <f t="array" ref="BC39">LOOKUP(2,1/(C39:BA39&lt;&gt;0),$C$4:$BA$4)</f>
        <v>2015-16</v>
      </c>
      <c r="BD39" s="804">
        <f>COUNTIF(RDprograms[[#This Row],[1978-79]:[2028-29]], "&gt;0")</f>
        <v>38</v>
      </c>
      <c r="BE39" s="805">
        <f>SUM(C39:BA39)/RDprograms[[#This Row],[Years with &gt; $0 investment]]</f>
        <v>22.875315789473685</v>
      </c>
      <c r="BF39" s="806" t="s">
        <v>249</v>
      </c>
      <c r="BG39" s="807" t="s">
        <v>234</v>
      </c>
      <c r="BH39" s="807" t="s">
        <v>250</v>
      </c>
      <c r="BI39" s="809"/>
      <c r="BJ39" s="809"/>
      <c r="BK39" s="809"/>
      <c r="BL39" s="809"/>
      <c r="BM39" s="809"/>
      <c r="BN39" s="810"/>
      <c r="BO39" s="811" t="s">
        <v>251</v>
      </c>
      <c r="BP39" s="812" t="s">
        <v>329</v>
      </c>
      <c r="BQ39" s="812" t="s">
        <v>330</v>
      </c>
      <c r="BR39" s="812"/>
      <c r="BS39" s="812"/>
      <c r="BT39" s="812" t="s">
        <v>238</v>
      </c>
    </row>
    <row r="40" spans="1:72" ht="12.75" customHeight="1">
      <c r="A40" s="813" t="s">
        <v>231</v>
      </c>
      <c r="B40" s="820" t="s">
        <v>331</v>
      </c>
      <c r="C40" s="5">
        <v>0</v>
      </c>
      <c r="D40" s="5">
        <v>0</v>
      </c>
      <c r="E40" s="5">
        <v>0</v>
      </c>
      <c r="F40" s="5">
        <v>0</v>
      </c>
      <c r="G40" s="5">
        <v>0</v>
      </c>
      <c r="H40" s="5">
        <v>0</v>
      </c>
      <c r="I40" s="5">
        <v>0</v>
      </c>
      <c r="J40" s="5">
        <v>0</v>
      </c>
      <c r="K40" s="5">
        <v>0</v>
      </c>
      <c r="L40" s="5">
        <v>0</v>
      </c>
      <c r="M40" s="5">
        <v>0</v>
      </c>
      <c r="N40" s="5">
        <v>0</v>
      </c>
      <c r="O40" s="5">
        <v>0</v>
      </c>
      <c r="P40" s="5">
        <v>0</v>
      </c>
      <c r="Q40" s="5">
        <v>0</v>
      </c>
      <c r="R40" s="5">
        <v>0</v>
      </c>
      <c r="S40" s="5">
        <v>0</v>
      </c>
      <c r="T40" s="5">
        <v>0</v>
      </c>
      <c r="U40" s="5">
        <v>0</v>
      </c>
      <c r="V40" s="5">
        <v>0</v>
      </c>
      <c r="W40" s="5">
        <v>0</v>
      </c>
      <c r="X40" s="5">
        <v>0</v>
      </c>
      <c r="Y40" s="5">
        <v>0</v>
      </c>
      <c r="Z40" s="5">
        <v>0</v>
      </c>
      <c r="AA40" s="5">
        <v>0</v>
      </c>
      <c r="AB40" s="5">
        <v>0</v>
      </c>
      <c r="AC40" s="5">
        <v>0</v>
      </c>
      <c r="AD40" s="5">
        <v>0</v>
      </c>
      <c r="AE40" s="5">
        <v>0</v>
      </c>
      <c r="AF40" s="5">
        <v>0</v>
      </c>
      <c r="AG40" s="5">
        <v>0</v>
      </c>
      <c r="AH40" s="5">
        <v>0</v>
      </c>
      <c r="AI40" s="5">
        <v>0.1</v>
      </c>
      <c r="AJ40" s="5">
        <v>0.1</v>
      </c>
      <c r="AK40" s="5">
        <v>0.1</v>
      </c>
      <c r="AL40" s="5">
        <v>0.1</v>
      </c>
      <c r="AM40" s="5">
        <v>0.1</v>
      </c>
      <c r="AN40" s="5">
        <v>0.1</v>
      </c>
      <c r="AO40" s="5">
        <v>0.1</v>
      </c>
      <c r="AP40" s="816">
        <v>0</v>
      </c>
      <c r="AQ40" s="816">
        <v>0</v>
      </c>
      <c r="AR40" s="5">
        <v>0</v>
      </c>
      <c r="AS40" s="5">
        <v>0</v>
      </c>
      <c r="AT40" s="5">
        <v>0</v>
      </c>
      <c r="AU40" s="5">
        <v>0</v>
      </c>
      <c r="AV40" s="5">
        <v>0</v>
      </c>
      <c r="AW40" s="815">
        <v>0</v>
      </c>
      <c r="AX40" s="826">
        <v>0</v>
      </c>
      <c r="AY40" s="819">
        <v>0</v>
      </c>
      <c r="AZ40" s="816"/>
      <c r="BA40" s="818"/>
      <c r="BB40" s="802" t="str" cm="1">
        <f t="array" ref="BB40">INDEX(C$4:BA$4,MATCH(TRUE,INDEX(C40:BA40&lt;&gt;0,),0))</f>
        <v>2010-11</v>
      </c>
      <c r="BC40" s="803" t="str" cm="1">
        <f t="array" ref="BC40">LOOKUP(2,1/(C40:BA40&lt;&gt;0),$C$4:$BA$4)</f>
        <v>2016-17</v>
      </c>
      <c r="BD40" s="804">
        <f>COUNTIF(RDprograms[[#This Row],[1978-79]:[2028-29]], "&gt;0")</f>
        <v>7</v>
      </c>
      <c r="BE40" s="805">
        <f>SUM(C40:BA40)/RDprograms[[#This Row],[Years with &gt; $0 investment]]</f>
        <v>9.9999999999999992E-2</v>
      </c>
      <c r="BF40" s="806" t="s">
        <v>273</v>
      </c>
      <c r="BG40" s="807" t="s">
        <v>234</v>
      </c>
      <c r="BH40" s="807" t="s">
        <v>241</v>
      </c>
      <c r="BI40" s="809"/>
      <c r="BJ40" s="809"/>
      <c r="BK40" s="809"/>
      <c r="BL40" s="809"/>
      <c r="BM40" s="809"/>
      <c r="BN40" s="810"/>
      <c r="BO40" s="811" t="s">
        <v>236</v>
      </c>
      <c r="BP40" s="812" t="s">
        <v>332</v>
      </c>
      <c r="BQ40" s="812"/>
      <c r="BR40" s="812"/>
      <c r="BS40" s="812"/>
      <c r="BT40" s="812" t="s">
        <v>333</v>
      </c>
    </row>
    <row r="41" spans="1:72" ht="12.75" customHeight="1">
      <c r="A41" s="813" t="s">
        <v>231</v>
      </c>
      <c r="B41" s="820" t="s">
        <v>334</v>
      </c>
      <c r="C41" s="5">
        <v>0</v>
      </c>
      <c r="D41" s="5">
        <v>0</v>
      </c>
      <c r="E41" s="5">
        <v>0</v>
      </c>
      <c r="F41" s="5">
        <v>0</v>
      </c>
      <c r="G41" s="5">
        <v>0</v>
      </c>
      <c r="H41" s="5">
        <v>0</v>
      </c>
      <c r="I41" s="5">
        <v>0</v>
      </c>
      <c r="J41" s="5">
        <v>0</v>
      </c>
      <c r="K41" s="5">
        <v>0</v>
      </c>
      <c r="L41" s="5">
        <v>0</v>
      </c>
      <c r="M41" s="5">
        <v>0</v>
      </c>
      <c r="N41" s="5">
        <v>0</v>
      </c>
      <c r="O41" s="5">
        <v>0</v>
      </c>
      <c r="P41" s="5">
        <v>0</v>
      </c>
      <c r="Q41" s="5">
        <v>0</v>
      </c>
      <c r="R41" s="5">
        <v>0</v>
      </c>
      <c r="S41" s="5">
        <v>0</v>
      </c>
      <c r="T41" s="5">
        <v>0</v>
      </c>
      <c r="U41" s="5">
        <v>0</v>
      </c>
      <c r="V41" s="5">
        <v>0</v>
      </c>
      <c r="W41" s="5">
        <v>0</v>
      </c>
      <c r="X41" s="5">
        <v>0</v>
      </c>
      <c r="Y41" s="5">
        <v>0</v>
      </c>
      <c r="Z41" s="5">
        <v>0</v>
      </c>
      <c r="AA41" s="5">
        <v>0</v>
      </c>
      <c r="AB41" s="5">
        <v>0</v>
      </c>
      <c r="AC41" s="5">
        <v>0</v>
      </c>
      <c r="AD41" s="5">
        <v>0</v>
      </c>
      <c r="AE41" s="5">
        <v>0</v>
      </c>
      <c r="AF41" s="5">
        <v>0</v>
      </c>
      <c r="AG41" s="5">
        <v>0</v>
      </c>
      <c r="AH41" s="5">
        <v>0</v>
      </c>
      <c r="AI41" s="5">
        <v>0</v>
      </c>
      <c r="AJ41" s="5">
        <v>0</v>
      </c>
      <c r="AK41" s="5">
        <v>0</v>
      </c>
      <c r="AL41" s="5">
        <v>0</v>
      </c>
      <c r="AM41" s="5">
        <v>0</v>
      </c>
      <c r="AN41" s="5">
        <v>0</v>
      </c>
      <c r="AO41" s="5">
        <v>0</v>
      </c>
      <c r="AP41" s="5">
        <v>0</v>
      </c>
      <c r="AQ41" s="5">
        <v>0</v>
      </c>
      <c r="AR41" s="5">
        <v>0</v>
      </c>
      <c r="AS41" s="5">
        <v>0</v>
      </c>
      <c r="AT41" s="5">
        <v>0</v>
      </c>
      <c r="AU41" s="5">
        <v>0.25</v>
      </c>
      <c r="AV41" s="5">
        <v>0.11</v>
      </c>
      <c r="AW41" s="815">
        <v>2.1000000000000001E-2</v>
      </c>
      <c r="AX41" s="826">
        <v>0</v>
      </c>
      <c r="AY41" s="819">
        <v>0</v>
      </c>
      <c r="AZ41" s="816">
        <v>0</v>
      </c>
      <c r="BA41" s="818"/>
      <c r="BB41" s="802" t="str" cm="1">
        <f t="array" ref="BB41">INDEX(C$4:BA$4,MATCH(TRUE,INDEX(C41:BA41&lt;&gt;0,),0))</f>
        <v>2022-23</v>
      </c>
      <c r="BC41" s="803" t="str" cm="1">
        <f t="array" ref="BC41">LOOKUP(2,1/(C41:BA41&lt;&gt;0),$C$4:$BA$4)</f>
        <v>2024-25</v>
      </c>
      <c r="BD41" s="804">
        <f>COUNTIF(RDprograms[[#This Row],[1978-79]:[2028-29]], "&gt;0")</f>
        <v>3</v>
      </c>
      <c r="BE41" s="805">
        <f>SUM(C41:BA41)/RDprograms[[#This Row],[Years with &gt; $0 investment]]</f>
        <v>0.127</v>
      </c>
      <c r="BF41" s="806" t="s">
        <v>273</v>
      </c>
      <c r="BG41" s="807" t="s">
        <v>234</v>
      </c>
      <c r="BH41" s="807" t="s">
        <v>258</v>
      </c>
      <c r="BI41" s="809"/>
      <c r="BJ41" s="809"/>
      <c r="BK41" s="809"/>
      <c r="BL41" s="809"/>
      <c r="BM41" s="809"/>
      <c r="BN41" s="810"/>
      <c r="BO41" s="811" t="s">
        <v>251</v>
      </c>
      <c r="BP41" s="812" t="s">
        <v>335</v>
      </c>
      <c r="BQ41" s="812" t="s">
        <v>336</v>
      </c>
      <c r="BR41" s="812"/>
      <c r="BS41" s="812"/>
      <c r="BT41" s="812"/>
    </row>
    <row r="42" spans="1:72" ht="12.75" customHeight="1">
      <c r="A42" s="813" t="s">
        <v>231</v>
      </c>
      <c r="B42" s="820" t="s">
        <v>337</v>
      </c>
      <c r="C42" s="5">
        <v>0</v>
      </c>
      <c r="D42" s="5">
        <v>0</v>
      </c>
      <c r="E42" s="5">
        <v>0</v>
      </c>
      <c r="F42" s="5">
        <v>0</v>
      </c>
      <c r="G42" s="5">
        <v>0</v>
      </c>
      <c r="H42" s="5">
        <v>0</v>
      </c>
      <c r="I42" s="5">
        <v>0</v>
      </c>
      <c r="J42" s="5">
        <v>0</v>
      </c>
      <c r="K42" s="5">
        <v>0</v>
      </c>
      <c r="L42" s="5">
        <v>0</v>
      </c>
      <c r="M42" s="5">
        <v>0</v>
      </c>
      <c r="N42" s="5">
        <v>0</v>
      </c>
      <c r="O42" s="5">
        <v>0</v>
      </c>
      <c r="P42" s="5">
        <v>0</v>
      </c>
      <c r="Q42" s="5">
        <v>0</v>
      </c>
      <c r="R42" s="5">
        <v>0</v>
      </c>
      <c r="S42" s="5">
        <v>0</v>
      </c>
      <c r="T42" s="5">
        <v>0</v>
      </c>
      <c r="U42" s="5">
        <v>0</v>
      </c>
      <c r="V42" s="5">
        <v>0</v>
      </c>
      <c r="W42" s="5">
        <v>0</v>
      </c>
      <c r="X42" s="5">
        <v>0</v>
      </c>
      <c r="Y42" s="5">
        <v>0</v>
      </c>
      <c r="Z42" s="5">
        <v>0</v>
      </c>
      <c r="AA42" s="5">
        <v>0</v>
      </c>
      <c r="AB42" s="5">
        <v>0</v>
      </c>
      <c r="AC42" s="5">
        <v>0</v>
      </c>
      <c r="AD42" s="5">
        <v>0</v>
      </c>
      <c r="AE42" s="5">
        <v>0</v>
      </c>
      <c r="AF42" s="5">
        <v>0</v>
      </c>
      <c r="AG42" s="5">
        <v>0</v>
      </c>
      <c r="AH42" s="5">
        <v>0</v>
      </c>
      <c r="AI42" s="5">
        <v>0</v>
      </c>
      <c r="AJ42" s="5">
        <v>0</v>
      </c>
      <c r="AK42" s="5">
        <v>0</v>
      </c>
      <c r="AL42" s="5">
        <v>0</v>
      </c>
      <c r="AM42" s="5">
        <v>0</v>
      </c>
      <c r="AN42" s="5">
        <v>7.5</v>
      </c>
      <c r="AO42" s="5">
        <v>3</v>
      </c>
      <c r="AP42" s="5">
        <v>1.6459999999999999</v>
      </c>
      <c r="AQ42" s="5">
        <v>6.7830000000000004</v>
      </c>
      <c r="AR42" s="5">
        <v>0</v>
      </c>
      <c r="AS42" s="5">
        <v>0</v>
      </c>
      <c r="AT42" s="5">
        <v>0</v>
      </c>
      <c r="AU42" s="5">
        <v>0</v>
      </c>
      <c r="AV42" s="5">
        <v>0</v>
      </c>
      <c r="AW42" s="815">
        <v>0</v>
      </c>
      <c r="AX42" s="826">
        <v>0</v>
      </c>
      <c r="AY42" s="819">
        <v>0</v>
      </c>
      <c r="AZ42" s="816"/>
      <c r="BA42" s="818"/>
      <c r="BB42" s="802" t="str" cm="1">
        <f t="array" ref="BB42">INDEX(C$4:BA$4,MATCH(TRUE,INDEX(C42:BA42&lt;&gt;0,),0))</f>
        <v>2015-16</v>
      </c>
      <c r="BC42" s="803" t="str" cm="1">
        <f t="array" ref="BC42">LOOKUP(2,1/(C42:BA42&lt;&gt;0),$C$4:$BA$4)</f>
        <v>2018-19</v>
      </c>
      <c r="BD42" s="804">
        <f>COUNTIF(RDprograms[[#This Row],[1978-79]:[2028-29]], "&gt;0")</f>
        <v>4</v>
      </c>
      <c r="BE42" s="805">
        <f>SUM(C42:BA42)/RDprograms[[#This Row],[Years with &gt; $0 investment]]</f>
        <v>4.7322500000000005</v>
      </c>
      <c r="BF42" s="806" t="s">
        <v>246</v>
      </c>
      <c r="BG42" s="807" t="s">
        <v>234</v>
      </c>
      <c r="BH42" s="807" t="s">
        <v>235</v>
      </c>
      <c r="BI42" s="809"/>
      <c r="BJ42" s="809"/>
      <c r="BK42" s="809"/>
      <c r="BL42" s="809"/>
      <c r="BM42" s="809"/>
      <c r="BN42" s="810"/>
      <c r="BO42" s="811" t="s">
        <v>236</v>
      </c>
      <c r="BP42" s="812" t="s">
        <v>338</v>
      </c>
      <c r="BQ42" s="812" t="s">
        <v>339</v>
      </c>
      <c r="BR42" s="812"/>
      <c r="BS42" s="812"/>
      <c r="BT42" s="812" t="s">
        <v>238</v>
      </c>
    </row>
    <row r="43" spans="1:72" ht="12.75" customHeight="1">
      <c r="A43" s="813" t="s">
        <v>231</v>
      </c>
      <c r="B43" s="820" t="s">
        <v>340</v>
      </c>
      <c r="C43" s="5">
        <v>0</v>
      </c>
      <c r="D43" s="5">
        <v>0</v>
      </c>
      <c r="E43" s="5">
        <v>0</v>
      </c>
      <c r="F43" s="5">
        <v>0</v>
      </c>
      <c r="G43" s="5">
        <v>0.2</v>
      </c>
      <c r="H43" s="5">
        <v>0.1</v>
      </c>
      <c r="I43" s="5">
        <v>0.3</v>
      </c>
      <c r="J43" s="5">
        <v>0.4</v>
      </c>
      <c r="K43" s="5">
        <v>1.5</v>
      </c>
      <c r="L43" s="5">
        <v>3</v>
      </c>
      <c r="M43" s="5">
        <v>4</v>
      </c>
      <c r="N43" s="5">
        <v>5</v>
      </c>
      <c r="O43" s="5">
        <v>6</v>
      </c>
      <c r="P43" s="5">
        <v>8.4</v>
      </c>
      <c r="Q43" s="5">
        <v>10.5</v>
      </c>
      <c r="R43" s="5">
        <v>10.5</v>
      </c>
      <c r="S43" s="5">
        <v>10.5</v>
      </c>
      <c r="T43" s="5">
        <v>10.5</v>
      </c>
      <c r="U43" s="5">
        <v>5.6</v>
      </c>
      <c r="V43" s="5">
        <v>10.8</v>
      </c>
      <c r="W43" s="5">
        <v>11</v>
      </c>
      <c r="X43" s="5">
        <v>3.8</v>
      </c>
      <c r="Y43" s="5">
        <v>3.7</v>
      </c>
      <c r="Z43" s="5">
        <v>17.2</v>
      </c>
      <c r="AA43" s="5">
        <v>14.92</v>
      </c>
      <c r="AB43" s="5">
        <v>14.8</v>
      </c>
      <c r="AC43" s="5">
        <v>14.6</v>
      </c>
      <c r="AD43" s="5">
        <v>14.9</v>
      </c>
      <c r="AE43" s="5">
        <v>14.9</v>
      </c>
      <c r="AF43" s="5">
        <v>13.4</v>
      </c>
      <c r="AG43" s="5">
        <v>13.345000000000001</v>
      </c>
      <c r="AH43" s="5">
        <v>13.991</v>
      </c>
      <c r="AI43" s="5">
        <v>13.125999999999999</v>
      </c>
      <c r="AJ43" s="5">
        <v>15.071</v>
      </c>
      <c r="AK43" s="5">
        <v>14.719000000000001</v>
      </c>
      <c r="AL43" s="5">
        <v>14.461</v>
      </c>
      <c r="AM43" s="5">
        <v>13.02844653</v>
      </c>
      <c r="AN43" s="5">
        <v>11.837</v>
      </c>
      <c r="AO43" s="5">
        <v>0</v>
      </c>
      <c r="AP43" s="5">
        <v>0</v>
      </c>
      <c r="AQ43" s="5">
        <v>0</v>
      </c>
      <c r="AR43" s="5">
        <v>0</v>
      </c>
      <c r="AS43" s="5">
        <v>0</v>
      </c>
      <c r="AT43" s="5">
        <v>0</v>
      </c>
      <c r="AU43" s="5">
        <v>0</v>
      </c>
      <c r="AV43" s="5">
        <v>0</v>
      </c>
      <c r="AW43" s="815">
        <v>0</v>
      </c>
      <c r="AX43" s="826">
        <v>0</v>
      </c>
      <c r="AY43" s="819">
        <v>0</v>
      </c>
      <c r="AZ43" s="816"/>
      <c r="BA43" s="818"/>
      <c r="BB43" s="802" t="str" cm="1">
        <f t="array" ref="BB43">INDEX(C$4:BA$4,MATCH(TRUE,INDEX(C43:BA43&lt;&gt;0,),0))</f>
        <v>1982-83</v>
      </c>
      <c r="BC43" s="803" t="str" cm="1">
        <f t="array" ref="BC43">LOOKUP(2,1/(C43:BA43&lt;&gt;0),$C$4:$BA$4)</f>
        <v>2015-16</v>
      </c>
      <c r="BD43" s="804">
        <f>COUNTIF(RDprograms[[#This Row],[1978-79]:[2028-29]], "&gt;0")</f>
        <v>34</v>
      </c>
      <c r="BE43" s="805">
        <f>SUM(C43:BA43)/RDprograms[[#This Row],[Years with &gt; $0 investment]]</f>
        <v>9.4146601920588235</v>
      </c>
      <c r="BF43" s="806" t="s">
        <v>249</v>
      </c>
      <c r="BG43" s="807" t="s">
        <v>234</v>
      </c>
      <c r="BH43" s="807" t="s">
        <v>250</v>
      </c>
      <c r="BI43" s="809"/>
      <c r="BJ43" s="809"/>
      <c r="BK43" s="809"/>
      <c r="BL43" s="809"/>
      <c r="BM43" s="809"/>
      <c r="BN43" s="810"/>
      <c r="BO43" s="811" t="s">
        <v>251</v>
      </c>
      <c r="BP43" s="812" t="s">
        <v>341</v>
      </c>
      <c r="BQ43" s="812" t="s">
        <v>342</v>
      </c>
      <c r="BR43" s="812"/>
      <c r="BS43" s="812"/>
      <c r="BT43" s="812" t="s">
        <v>238</v>
      </c>
    </row>
    <row r="44" spans="1:72" ht="12.75" customHeight="1">
      <c r="A44" s="813" t="s">
        <v>231</v>
      </c>
      <c r="B44" s="820" t="s">
        <v>343</v>
      </c>
      <c r="C44" s="5">
        <v>0</v>
      </c>
      <c r="D44" s="5">
        <v>0</v>
      </c>
      <c r="E44" s="5">
        <v>0</v>
      </c>
      <c r="F44" s="5">
        <v>0</v>
      </c>
      <c r="G44" s="5">
        <v>0</v>
      </c>
      <c r="H44" s="5">
        <v>0</v>
      </c>
      <c r="I44" s="5">
        <v>0</v>
      </c>
      <c r="J44" s="5">
        <v>0</v>
      </c>
      <c r="K44" s="5">
        <v>0</v>
      </c>
      <c r="L44" s="5">
        <v>0</v>
      </c>
      <c r="M44" s="5">
        <v>0</v>
      </c>
      <c r="N44" s="5">
        <v>0</v>
      </c>
      <c r="O44" s="5">
        <v>0</v>
      </c>
      <c r="P44" s="5">
        <v>0</v>
      </c>
      <c r="Q44" s="5">
        <v>0</v>
      </c>
      <c r="R44" s="5">
        <v>0</v>
      </c>
      <c r="S44" s="5">
        <v>0</v>
      </c>
      <c r="T44" s="5">
        <v>0</v>
      </c>
      <c r="U44" s="5">
        <v>0</v>
      </c>
      <c r="V44" s="5">
        <v>0</v>
      </c>
      <c r="W44" s="5">
        <v>0</v>
      </c>
      <c r="X44" s="5">
        <v>0</v>
      </c>
      <c r="Y44" s="5">
        <v>0</v>
      </c>
      <c r="Z44" s="5">
        <v>0</v>
      </c>
      <c r="AA44" s="5">
        <v>0</v>
      </c>
      <c r="AB44" s="5">
        <v>0</v>
      </c>
      <c r="AC44" s="5">
        <v>0</v>
      </c>
      <c r="AD44" s="5">
        <v>0</v>
      </c>
      <c r="AE44" s="5">
        <v>0</v>
      </c>
      <c r="AF44" s="5">
        <v>0</v>
      </c>
      <c r="AG44" s="5">
        <v>0</v>
      </c>
      <c r="AH44" s="5">
        <v>0</v>
      </c>
      <c r="AI44" s="5">
        <v>0</v>
      </c>
      <c r="AJ44" s="5">
        <v>0</v>
      </c>
      <c r="AK44" s="5">
        <v>0</v>
      </c>
      <c r="AL44" s="5">
        <v>0</v>
      </c>
      <c r="AM44" s="5">
        <v>0</v>
      </c>
      <c r="AN44" s="5">
        <v>0</v>
      </c>
      <c r="AO44" s="5">
        <v>0</v>
      </c>
      <c r="AP44" s="5">
        <v>0</v>
      </c>
      <c r="AQ44" s="5">
        <v>0</v>
      </c>
      <c r="AR44" s="5">
        <v>2.5</v>
      </c>
      <c r="AS44" s="5">
        <v>2.8</v>
      </c>
      <c r="AT44" s="5">
        <v>1.2</v>
      </c>
      <c r="AU44" s="5">
        <v>0</v>
      </c>
      <c r="AV44" s="5">
        <v>0</v>
      </c>
      <c r="AW44" s="815">
        <v>0</v>
      </c>
      <c r="AX44" s="826">
        <v>0</v>
      </c>
      <c r="AY44" s="819">
        <v>0</v>
      </c>
      <c r="AZ44" s="816"/>
      <c r="BA44" s="818"/>
      <c r="BB44" s="802" t="str" cm="1">
        <f t="array" ref="BB44">INDEX(C$4:BA$4,MATCH(TRUE,INDEX(C44:BA44&lt;&gt;0,),0))</f>
        <v>2019-20</v>
      </c>
      <c r="BC44" s="803" t="str" cm="1">
        <f t="array" ref="BC44">LOOKUP(2,1/(C44:BA44&lt;&gt;0),$C$4:$BA$4)</f>
        <v>2021-22</v>
      </c>
      <c r="BD44" s="804">
        <f>COUNTIF(RDprograms[[#This Row],[1978-79]:[2028-29]], "&gt;0")</f>
        <v>3</v>
      </c>
      <c r="BE44" s="805">
        <f>SUM(C44:BA44)/RDprograms[[#This Row],[Years with &gt; $0 investment]]</f>
        <v>2.1666666666666665</v>
      </c>
      <c r="BF44" s="806" t="s">
        <v>273</v>
      </c>
      <c r="BG44" s="807" t="s">
        <v>234</v>
      </c>
      <c r="BH44" s="807" t="s">
        <v>241</v>
      </c>
      <c r="BI44" s="809"/>
      <c r="BJ44" s="809"/>
      <c r="BK44" s="809"/>
      <c r="BL44" s="809"/>
      <c r="BM44" s="809"/>
      <c r="BN44" s="810"/>
      <c r="BO44" s="811" t="s">
        <v>236</v>
      </c>
      <c r="BP44" s="812" t="s">
        <v>344</v>
      </c>
      <c r="BQ44" s="812"/>
      <c r="BR44" s="812"/>
      <c r="BS44" s="812"/>
      <c r="BT44" s="812" t="s">
        <v>238</v>
      </c>
    </row>
    <row r="45" spans="1:72" ht="12.75" customHeight="1">
      <c r="A45" s="813" t="s">
        <v>231</v>
      </c>
      <c r="B45" s="820" t="s">
        <v>345</v>
      </c>
      <c r="C45" s="5">
        <v>0</v>
      </c>
      <c r="D45" s="5">
        <v>0</v>
      </c>
      <c r="E45" s="5">
        <v>0</v>
      </c>
      <c r="F45" s="5">
        <v>0</v>
      </c>
      <c r="G45" s="5">
        <v>0</v>
      </c>
      <c r="H45" s="5">
        <v>0</v>
      </c>
      <c r="I45" s="5">
        <v>0</v>
      </c>
      <c r="J45" s="5">
        <v>0</v>
      </c>
      <c r="K45" s="5">
        <v>0</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816">
        <v>0</v>
      </c>
      <c r="AQ45" s="816">
        <v>0</v>
      </c>
      <c r="AR45" s="5">
        <v>0</v>
      </c>
      <c r="AS45" s="5">
        <v>0</v>
      </c>
      <c r="AT45" s="5">
        <v>3.2029999999999998</v>
      </c>
      <c r="AU45" s="5">
        <v>6.7969999999999997</v>
      </c>
      <c r="AV45" s="5">
        <v>4.9000000000000004</v>
      </c>
      <c r="AW45" s="815">
        <v>5</v>
      </c>
      <c r="AX45" s="826">
        <v>0</v>
      </c>
      <c r="AY45" s="819">
        <v>0</v>
      </c>
      <c r="AZ45" s="816"/>
      <c r="BA45" s="818"/>
      <c r="BB45" s="802" t="str" cm="1">
        <f t="array" ref="BB45">INDEX(C$4:BA$4,MATCH(TRUE,INDEX(C45:BA45&lt;&gt;0,),0))</f>
        <v>2021-22</v>
      </c>
      <c r="BC45" s="803" t="str" cm="1">
        <f t="array" ref="BC45">LOOKUP(2,1/(C45:BA45&lt;&gt;0),$C$4:$BA$4)</f>
        <v>2024-25</v>
      </c>
      <c r="BD45" s="804">
        <f>COUNTIF(RDprograms[[#This Row],[1978-79]:[2028-29]], "&gt;0")</f>
        <v>4</v>
      </c>
      <c r="BE45" s="805">
        <f>SUM(C45:BA45)/RDprograms[[#This Row],[Years with &gt; $0 investment]]</f>
        <v>4.9749999999999996</v>
      </c>
      <c r="BF45" s="806" t="s">
        <v>233</v>
      </c>
      <c r="BG45" s="807" t="s">
        <v>234</v>
      </c>
      <c r="BH45" s="807" t="s">
        <v>235</v>
      </c>
      <c r="BI45" s="809"/>
      <c r="BJ45" s="809"/>
      <c r="BK45" s="809"/>
      <c r="BL45" s="809"/>
      <c r="BM45" s="809"/>
      <c r="BN45" s="810"/>
      <c r="BO45" s="811" t="s">
        <v>236</v>
      </c>
      <c r="BP45" s="812" t="s">
        <v>346</v>
      </c>
      <c r="BQ45" s="812" t="s">
        <v>347</v>
      </c>
      <c r="BR45" s="812"/>
      <c r="BS45" s="812"/>
      <c r="BT45" s="828" t="s">
        <v>277</v>
      </c>
    </row>
    <row r="46" spans="1:72" ht="12.75" customHeight="1">
      <c r="A46" s="813" t="s">
        <v>231</v>
      </c>
      <c r="B46" s="820" t="s">
        <v>348</v>
      </c>
      <c r="C46" s="5">
        <v>0.1</v>
      </c>
      <c r="D46" s="5">
        <v>0.1</v>
      </c>
      <c r="E46" s="5">
        <v>0.2</v>
      </c>
      <c r="F46" s="5">
        <v>0.2</v>
      </c>
      <c r="G46" s="5">
        <v>0</v>
      </c>
      <c r="H46" s="5">
        <v>0</v>
      </c>
      <c r="I46" s="5">
        <v>0</v>
      </c>
      <c r="J46" s="5">
        <v>0</v>
      </c>
      <c r="K46" s="5">
        <v>0</v>
      </c>
      <c r="L46" s="5">
        <v>0</v>
      </c>
      <c r="M46" s="5">
        <v>0</v>
      </c>
      <c r="N46" s="5">
        <v>0</v>
      </c>
      <c r="O46" s="5">
        <v>0</v>
      </c>
      <c r="P46" s="5">
        <v>0</v>
      </c>
      <c r="Q46" s="5">
        <v>0</v>
      </c>
      <c r="R46" s="5">
        <v>0</v>
      </c>
      <c r="S46" s="5">
        <v>0</v>
      </c>
      <c r="T46" s="5">
        <v>0</v>
      </c>
      <c r="U46" s="5">
        <v>0</v>
      </c>
      <c r="V46" s="5">
        <v>0</v>
      </c>
      <c r="W46" s="5">
        <v>0</v>
      </c>
      <c r="X46" s="5">
        <v>0</v>
      </c>
      <c r="Y46" s="5">
        <v>0</v>
      </c>
      <c r="Z46" s="5">
        <v>0</v>
      </c>
      <c r="AA46" s="5">
        <v>0</v>
      </c>
      <c r="AB46" s="5">
        <v>0</v>
      </c>
      <c r="AC46" s="5">
        <v>0</v>
      </c>
      <c r="AD46" s="5">
        <v>0</v>
      </c>
      <c r="AE46" s="5">
        <v>0</v>
      </c>
      <c r="AF46" s="5">
        <v>0</v>
      </c>
      <c r="AG46" s="5">
        <v>0</v>
      </c>
      <c r="AH46" s="5">
        <v>0</v>
      </c>
      <c r="AI46" s="5">
        <v>0</v>
      </c>
      <c r="AJ46" s="5">
        <v>0</v>
      </c>
      <c r="AK46" s="5">
        <v>0</v>
      </c>
      <c r="AL46" s="5">
        <v>0</v>
      </c>
      <c r="AM46" s="5">
        <v>0</v>
      </c>
      <c r="AN46" s="5">
        <v>0</v>
      </c>
      <c r="AO46" s="5">
        <v>0</v>
      </c>
      <c r="AP46" s="5">
        <v>0</v>
      </c>
      <c r="AQ46" s="5">
        <v>0</v>
      </c>
      <c r="AR46" s="5">
        <v>0</v>
      </c>
      <c r="AS46" s="5">
        <v>0</v>
      </c>
      <c r="AT46" s="5">
        <v>0</v>
      </c>
      <c r="AU46" s="5">
        <v>0</v>
      </c>
      <c r="AV46" s="5">
        <v>0</v>
      </c>
      <c r="AW46" s="815">
        <v>0</v>
      </c>
      <c r="AX46" s="826">
        <v>0</v>
      </c>
      <c r="AY46" s="819">
        <v>0</v>
      </c>
      <c r="AZ46" s="816"/>
      <c r="BA46" s="818"/>
      <c r="BB46" s="802" t="str" cm="1">
        <f t="array" ref="BB46">INDEX(C$4:BA$4,MATCH(TRUE,INDEX(C46:BA46&lt;&gt;0,),0))</f>
        <v>1978-79</v>
      </c>
      <c r="BC46" s="803" t="str" cm="1">
        <f t="array" ref="BC46">LOOKUP(2,1/(C46:BA46&lt;&gt;0),$C$4:$BA$4)</f>
        <v>1981-82</v>
      </c>
      <c r="BD46" s="804">
        <f>COUNTIF(RDprograms[[#This Row],[1978-79]:[2028-29]], "&gt;0")</f>
        <v>4</v>
      </c>
      <c r="BE46" s="805">
        <f>SUM(C46:BA46)/RDprograms[[#This Row],[Years with &gt; $0 investment]]</f>
        <v>0.15000000000000002</v>
      </c>
      <c r="BF46" s="806" t="s">
        <v>273</v>
      </c>
      <c r="BG46" s="807" t="s">
        <v>234</v>
      </c>
      <c r="BH46" s="807" t="s">
        <v>235</v>
      </c>
      <c r="BI46" s="809"/>
      <c r="BJ46" s="809"/>
      <c r="BK46" s="809"/>
      <c r="BL46" s="809"/>
      <c r="BM46" s="809"/>
      <c r="BN46" s="810"/>
      <c r="BO46" s="811" t="s">
        <v>236</v>
      </c>
      <c r="BP46" s="812"/>
      <c r="BQ46" s="812"/>
      <c r="BR46" s="812"/>
      <c r="BS46" s="812"/>
      <c r="BT46" s="812"/>
    </row>
    <row r="47" spans="1:72" ht="12.75" customHeight="1">
      <c r="A47" s="813" t="s">
        <v>231</v>
      </c>
      <c r="B47" s="820" t="s">
        <v>349</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7.0919999999999996</v>
      </c>
      <c r="AP47" s="816">
        <v>8.3789999999999996</v>
      </c>
      <c r="AQ47" s="816">
        <v>6.0460000000000003</v>
      </c>
      <c r="AR47" s="5">
        <v>6.4870000000000001</v>
      </c>
      <c r="AS47" s="5">
        <v>5.9880000000000004</v>
      </c>
      <c r="AT47" s="5">
        <v>6.5410000000000004</v>
      </c>
      <c r="AU47" s="5">
        <v>7.0880000000000001</v>
      </c>
      <c r="AV47" s="5">
        <v>8.5370000000000008</v>
      </c>
      <c r="AW47" s="815">
        <v>8.9730000000000008</v>
      </c>
      <c r="AX47" s="826">
        <v>8.3680000000000003</v>
      </c>
      <c r="AY47" s="819">
        <v>8.5709999999999997</v>
      </c>
      <c r="AZ47" s="816">
        <v>8.3040000000000003</v>
      </c>
      <c r="BA47" s="818">
        <v>8.4149999999999991</v>
      </c>
      <c r="BB47" s="802" t="str" cm="1">
        <f t="array" ref="BB47">INDEX(C$4:BA$4,MATCH(TRUE,INDEX(C47:BA47&lt;&gt;0,),0))</f>
        <v>2016-17</v>
      </c>
      <c r="BC47" s="803" t="str" cm="1">
        <f t="array" ref="BC47">LOOKUP(2,1/(C47:BA47&lt;&gt;0),$C$4:$BA$4)</f>
        <v>2028-29</v>
      </c>
      <c r="BD47" s="804">
        <f>COUNTIF(RDprograms[[#This Row],[1978-79]:[2028-29]], "&gt;0")</f>
        <v>13</v>
      </c>
      <c r="BE47" s="805">
        <f>SUM(C47:BA47)/RDprograms[[#This Row],[Years with &gt; $0 investment]]</f>
        <v>7.599153846153845</v>
      </c>
      <c r="BF47" s="806" t="s">
        <v>249</v>
      </c>
      <c r="BG47" s="807" t="s">
        <v>234</v>
      </c>
      <c r="BH47" s="807" t="s">
        <v>250</v>
      </c>
      <c r="BI47" s="809"/>
      <c r="BJ47" s="809"/>
      <c r="BK47" s="809"/>
      <c r="BL47" s="809"/>
      <c r="BM47" s="809"/>
      <c r="BN47" s="810">
        <v>1</v>
      </c>
      <c r="BO47" s="811" t="s">
        <v>251</v>
      </c>
      <c r="BP47" s="812" t="s">
        <v>350</v>
      </c>
      <c r="BQ47" s="812" t="s">
        <v>351</v>
      </c>
      <c r="BR47" s="812"/>
      <c r="BS47" s="812"/>
      <c r="BT47" s="812" t="s">
        <v>238</v>
      </c>
    </row>
    <row r="48" spans="1:72" ht="12.75" customHeight="1">
      <c r="A48" s="813" t="s">
        <v>231</v>
      </c>
      <c r="B48" s="820" t="s">
        <v>352</v>
      </c>
      <c r="C48" s="5">
        <v>0</v>
      </c>
      <c r="D48" s="5">
        <v>0</v>
      </c>
      <c r="E48" s="5">
        <v>0</v>
      </c>
      <c r="F48" s="5">
        <v>0</v>
      </c>
      <c r="G48" s="5">
        <v>0</v>
      </c>
      <c r="H48" s="5">
        <v>0</v>
      </c>
      <c r="I48" s="5">
        <v>0</v>
      </c>
      <c r="J48" s="5">
        <v>0</v>
      </c>
      <c r="K48" s="5">
        <v>0</v>
      </c>
      <c r="L48" s="5">
        <v>0</v>
      </c>
      <c r="M48" s="5">
        <v>0</v>
      </c>
      <c r="N48" s="5">
        <v>0</v>
      </c>
      <c r="O48" s="5">
        <v>0</v>
      </c>
      <c r="P48" s="5">
        <v>0</v>
      </c>
      <c r="Q48" s="5">
        <v>0</v>
      </c>
      <c r="R48" s="5">
        <v>0</v>
      </c>
      <c r="S48" s="5">
        <v>0</v>
      </c>
      <c r="T48" s="5">
        <v>0</v>
      </c>
      <c r="U48" s="5">
        <v>0</v>
      </c>
      <c r="V48" s="5">
        <v>0</v>
      </c>
      <c r="W48" s="5">
        <v>0</v>
      </c>
      <c r="X48" s="5">
        <v>0</v>
      </c>
      <c r="Y48" s="5">
        <v>0</v>
      </c>
      <c r="Z48" s="5">
        <v>0</v>
      </c>
      <c r="AA48" s="5">
        <v>0</v>
      </c>
      <c r="AB48" s="5">
        <v>0</v>
      </c>
      <c r="AC48" s="5">
        <v>0</v>
      </c>
      <c r="AD48" s="5">
        <v>0</v>
      </c>
      <c r="AE48" s="5">
        <v>0</v>
      </c>
      <c r="AF48" s="5">
        <v>0</v>
      </c>
      <c r="AG48" s="5">
        <v>0</v>
      </c>
      <c r="AH48" s="5">
        <v>0</v>
      </c>
      <c r="AI48" s="5">
        <v>0</v>
      </c>
      <c r="AJ48" s="5">
        <v>0</v>
      </c>
      <c r="AK48" s="5">
        <v>0</v>
      </c>
      <c r="AL48" s="5">
        <v>0</v>
      </c>
      <c r="AM48" s="5">
        <v>0</v>
      </c>
      <c r="AN48" s="5">
        <v>0</v>
      </c>
      <c r="AO48" s="5">
        <v>13.147</v>
      </c>
      <c r="AP48" s="816">
        <v>14.151</v>
      </c>
      <c r="AQ48" s="816">
        <v>13.058</v>
      </c>
      <c r="AR48" s="5">
        <v>14.914</v>
      </c>
      <c r="AS48" s="5">
        <v>14.089</v>
      </c>
      <c r="AT48" s="5">
        <v>13.489000000000001</v>
      </c>
      <c r="AU48" s="5">
        <v>13.510999999999999</v>
      </c>
      <c r="AV48" s="5">
        <v>10.039999999999999</v>
      </c>
      <c r="AW48" s="815">
        <v>9.3840000000000003</v>
      </c>
      <c r="AX48" s="826">
        <v>14</v>
      </c>
      <c r="AY48" s="819">
        <v>14</v>
      </c>
      <c r="AZ48" s="816">
        <v>14</v>
      </c>
      <c r="BA48" s="818">
        <v>14</v>
      </c>
      <c r="BB48" s="802" t="str" cm="1">
        <f t="array" ref="BB48">INDEX(C$4:BA$4,MATCH(TRUE,INDEX(C48:BA48&lt;&gt;0,),0))</f>
        <v>2016-17</v>
      </c>
      <c r="BC48" s="803" t="str" cm="1">
        <f t="array" ref="BC48">LOOKUP(2,1/(C48:BA48&lt;&gt;0),$C$4:$BA$4)</f>
        <v>2028-29</v>
      </c>
      <c r="BD48" s="804">
        <f>COUNTIF(RDprograms[[#This Row],[1978-79]:[2028-29]], "&gt;0")</f>
        <v>13</v>
      </c>
      <c r="BE48" s="805">
        <f>SUM(C48:BA48)/RDprograms[[#This Row],[Years with &gt; $0 investment]]</f>
        <v>13.214076923076924</v>
      </c>
      <c r="BF48" s="806" t="s">
        <v>249</v>
      </c>
      <c r="BG48" s="807" t="s">
        <v>234</v>
      </c>
      <c r="BH48" s="807" t="s">
        <v>250</v>
      </c>
      <c r="BI48" s="809">
        <v>1</v>
      </c>
      <c r="BJ48" s="809">
        <v>1</v>
      </c>
      <c r="BK48" s="809"/>
      <c r="BL48" s="809">
        <v>1</v>
      </c>
      <c r="BM48" s="809">
        <v>1</v>
      </c>
      <c r="BN48" s="810"/>
      <c r="BO48" s="811" t="s">
        <v>251</v>
      </c>
      <c r="BP48" s="812" t="s">
        <v>353</v>
      </c>
      <c r="BQ48" s="812" t="s">
        <v>354</v>
      </c>
      <c r="BR48" s="812"/>
      <c r="BS48" s="812"/>
      <c r="BT48" s="812"/>
    </row>
    <row r="49" spans="1:72" ht="12.75" customHeight="1">
      <c r="A49" s="813" t="s">
        <v>231</v>
      </c>
      <c r="B49" s="820" t="s">
        <v>355</v>
      </c>
      <c r="C49" s="5">
        <v>0</v>
      </c>
      <c r="D49" s="5">
        <v>0</v>
      </c>
      <c r="E49" s="5">
        <v>0</v>
      </c>
      <c r="F49" s="5">
        <v>0</v>
      </c>
      <c r="G49" s="5">
        <v>0</v>
      </c>
      <c r="H49" s="5">
        <v>0</v>
      </c>
      <c r="I49" s="5">
        <v>0</v>
      </c>
      <c r="J49" s="5">
        <v>0</v>
      </c>
      <c r="K49" s="5">
        <v>0</v>
      </c>
      <c r="L49" s="5">
        <v>0</v>
      </c>
      <c r="M49" s="5">
        <v>0</v>
      </c>
      <c r="N49" s="5">
        <v>0</v>
      </c>
      <c r="O49" s="5">
        <v>0</v>
      </c>
      <c r="P49" s="5">
        <v>0</v>
      </c>
      <c r="Q49" s="5">
        <v>0</v>
      </c>
      <c r="R49" s="5">
        <v>0</v>
      </c>
      <c r="S49" s="5">
        <v>0</v>
      </c>
      <c r="T49" s="5">
        <v>0</v>
      </c>
      <c r="U49" s="5">
        <v>0</v>
      </c>
      <c r="V49" s="5">
        <v>0</v>
      </c>
      <c r="W49" s="5">
        <v>0</v>
      </c>
      <c r="X49" s="5">
        <v>0</v>
      </c>
      <c r="Y49" s="5">
        <v>0</v>
      </c>
      <c r="Z49" s="5">
        <v>0</v>
      </c>
      <c r="AA49" s="5">
        <v>0</v>
      </c>
      <c r="AB49" s="5">
        <v>0</v>
      </c>
      <c r="AC49" s="5">
        <v>0</v>
      </c>
      <c r="AD49" s="5">
        <v>0</v>
      </c>
      <c r="AE49" s="5">
        <v>0</v>
      </c>
      <c r="AF49" s="5">
        <v>0</v>
      </c>
      <c r="AG49" s="5">
        <v>0</v>
      </c>
      <c r="AH49" s="5">
        <v>0</v>
      </c>
      <c r="AI49" s="5">
        <v>0</v>
      </c>
      <c r="AJ49" s="5">
        <v>0</v>
      </c>
      <c r="AK49" s="5">
        <v>0</v>
      </c>
      <c r="AL49" s="5">
        <v>1.05</v>
      </c>
      <c r="AM49" s="5">
        <v>0</v>
      </c>
      <c r="AN49" s="5">
        <v>0</v>
      </c>
      <c r="AO49" s="5">
        <v>0</v>
      </c>
      <c r="AP49" s="816">
        <v>0</v>
      </c>
      <c r="AQ49" s="816">
        <v>0</v>
      </c>
      <c r="AR49" s="5">
        <v>0</v>
      </c>
      <c r="AS49" s="5">
        <v>0</v>
      </c>
      <c r="AT49" s="5">
        <v>0</v>
      </c>
      <c r="AU49" s="5">
        <v>0</v>
      </c>
      <c r="AV49" s="5">
        <v>0</v>
      </c>
      <c r="AW49" s="815">
        <v>0</v>
      </c>
      <c r="AX49" s="826">
        <v>0</v>
      </c>
      <c r="AY49" s="819">
        <v>0</v>
      </c>
      <c r="AZ49" s="816">
        <v>0</v>
      </c>
      <c r="BA49" s="818"/>
      <c r="BB49" s="802" t="str" cm="1">
        <f t="array" ref="BB49">INDEX(C$4:BA$4,MATCH(TRUE,INDEX(C49:BA49&lt;&gt;0,),0))</f>
        <v>2013-14</v>
      </c>
      <c r="BC49" s="803" t="str" cm="1">
        <f t="array" ref="BC49">LOOKUP(2,1/(C49:BA49&lt;&gt;0),$C$4:$BA$4)</f>
        <v>2013-14</v>
      </c>
      <c r="BD49" s="804">
        <f>COUNTIF(RDprograms[[#This Row],[1978-79]:[2028-29]], "&gt;0")</f>
        <v>1</v>
      </c>
      <c r="BE49" s="805">
        <f>SUM(C49:BA49)/RDprograms[[#This Row],[Years with &gt; $0 investment]]</f>
        <v>1.05</v>
      </c>
      <c r="BF49" s="806" t="s">
        <v>246</v>
      </c>
      <c r="BG49" s="807" t="s">
        <v>234</v>
      </c>
      <c r="BH49" s="807" t="s">
        <v>235</v>
      </c>
      <c r="BI49" s="809"/>
      <c r="BJ49" s="809"/>
      <c r="BK49" s="809"/>
      <c r="BL49" s="809"/>
      <c r="BM49" s="809"/>
      <c r="BN49" s="810"/>
      <c r="BO49" s="811" t="s">
        <v>236</v>
      </c>
      <c r="BP49" s="812" t="s">
        <v>356</v>
      </c>
      <c r="BQ49" s="812"/>
      <c r="BR49" s="812"/>
      <c r="BS49" s="812"/>
      <c r="BT49" s="812" t="s">
        <v>238</v>
      </c>
    </row>
    <row r="50" spans="1:72" ht="12.75" customHeight="1">
      <c r="A50" s="813" t="s">
        <v>231</v>
      </c>
      <c r="B50" s="820" t="s">
        <v>357</v>
      </c>
      <c r="C50" s="5">
        <v>0</v>
      </c>
      <c r="D50" s="5">
        <v>0</v>
      </c>
      <c r="E50" s="5">
        <v>0</v>
      </c>
      <c r="F50" s="5">
        <v>0</v>
      </c>
      <c r="G50" s="5">
        <v>0</v>
      </c>
      <c r="H50" s="5">
        <v>0</v>
      </c>
      <c r="I50" s="5">
        <v>0</v>
      </c>
      <c r="J50" s="5">
        <v>0</v>
      </c>
      <c r="K50" s="5">
        <v>0</v>
      </c>
      <c r="L50" s="5">
        <v>0</v>
      </c>
      <c r="M50" s="5">
        <v>0</v>
      </c>
      <c r="N50" s="5">
        <v>0</v>
      </c>
      <c r="O50" s="5">
        <v>0</v>
      </c>
      <c r="P50" s="5">
        <v>0</v>
      </c>
      <c r="Q50" s="5">
        <v>0</v>
      </c>
      <c r="R50" s="5">
        <v>0</v>
      </c>
      <c r="S50" s="5">
        <v>0</v>
      </c>
      <c r="T50" s="5">
        <v>0</v>
      </c>
      <c r="U50" s="5">
        <v>0</v>
      </c>
      <c r="V50" s="5">
        <v>0</v>
      </c>
      <c r="W50" s="5">
        <v>0</v>
      </c>
      <c r="X50" s="5">
        <v>0</v>
      </c>
      <c r="Y50" s="5">
        <v>0</v>
      </c>
      <c r="Z50" s="5">
        <v>0</v>
      </c>
      <c r="AA50" s="5">
        <v>0</v>
      </c>
      <c r="AB50" s="5">
        <v>0</v>
      </c>
      <c r="AC50" s="5">
        <v>0</v>
      </c>
      <c r="AD50" s="5">
        <v>0</v>
      </c>
      <c r="AE50" s="5">
        <v>0</v>
      </c>
      <c r="AF50" s="5">
        <v>0</v>
      </c>
      <c r="AG50" s="5">
        <v>0</v>
      </c>
      <c r="AH50" s="5">
        <v>0</v>
      </c>
      <c r="AI50" s="5">
        <v>0</v>
      </c>
      <c r="AJ50" s="5">
        <v>0</v>
      </c>
      <c r="AK50" s="5">
        <v>0</v>
      </c>
      <c r="AL50" s="5">
        <v>0</v>
      </c>
      <c r="AM50" s="5">
        <v>0</v>
      </c>
      <c r="AN50" s="5">
        <v>0</v>
      </c>
      <c r="AO50" s="5">
        <v>0</v>
      </c>
      <c r="AP50" s="5">
        <v>0</v>
      </c>
      <c r="AQ50" s="5">
        <v>0</v>
      </c>
      <c r="AR50" s="5">
        <v>0</v>
      </c>
      <c r="AS50" s="5">
        <v>0</v>
      </c>
      <c r="AT50" s="5">
        <v>0</v>
      </c>
      <c r="AU50" s="5">
        <v>0</v>
      </c>
      <c r="AV50" s="5">
        <v>0.3</v>
      </c>
      <c r="AW50" s="815">
        <v>0.3</v>
      </c>
      <c r="AX50" s="826">
        <v>0.3</v>
      </c>
      <c r="AY50" s="819">
        <v>0.3</v>
      </c>
      <c r="AZ50" s="816">
        <v>0.3</v>
      </c>
      <c r="BA50" s="818">
        <v>0.3</v>
      </c>
      <c r="BB50" s="802" t="str" cm="1">
        <f t="array" ref="BB50">INDEX(C$4:BA$4,MATCH(TRUE,INDEX(C50:BA50&lt;&gt;0,),0))</f>
        <v>2023-24</v>
      </c>
      <c r="BC50" s="803" t="str" cm="1">
        <f t="array" ref="BC50">LOOKUP(2,1/(C50:BA50&lt;&gt;0),$C$4:$BA$4)</f>
        <v>2028-29</v>
      </c>
      <c r="BD50" s="804">
        <f>COUNTIF(RDprograms[[#This Row],[1978-79]:[2028-29]], "&gt;0")</f>
        <v>6</v>
      </c>
      <c r="BE50" s="805">
        <f>SUM(C50:BA50)/RDprograms[[#This Row],[Years with &gt; $0 investment]]</f>
        <v>0.3</v>
      </c>
      <c r="BF50" s="806" t="s">
        <v>273</v>
      </c>
      <c r="BG50" s="807" t="s">
        <v>234</v>
      </c>
      <c r="BH50" s="807" t="s">
        <v>358</v>
      </c>
      <c r="BI50" s="809">
        <v>1</v>
      </c>
      <c r="BJ50" s="809"/>
      <c r="BK50" s="809">
        <v>1</v>
      </c>
      <c r="BL50" s="809">
        <v>1</v>
      </c>
      <c r="BM50" s="809">
        <v>1</v>
      </c>
      <c r="BN50" s="810"/>
      <c r="BO50" s="811" t="s">
        <v>236</v>
      </c>
      <c r="BP50" s="812" t="s">
        <v>359</v>
      </c>
      <c r="BQ50" s="812"/>
      <c r="BR50" s="812"/>
      <c r="BS50" s="812"/>
      <c r="BT50" s="812"/>
    </row>
    <row r="51" spans="1:72" ht="12.75" customHeight="1">
      <c r="A51" s="813" t="s">
        <v>360</v>
      </c>
      <c r="B51" s="820" t="s">
        <v>361</v>
      </c>
      <c r="C51" s="5">
        <v>0</v>
      </c>
      <c r="D51" s="5">
        <v>0</v>
      </c>
      <c r="E51" s="5">
        <v>0</v>
      </c>
      <c r="F51" s="5">
        <v>0</v>
      </c>
      <c r="G51" s="5">
        <v>0</v>
      </c>
      <c r="H51" s="5">
        <v>0</v>
      </c>
      <c r="I51" s="5">
        <v>0</v>
      </c>
      <c r="J51" s="5">
        <v>0</v>
      </c>
      <c r="K51" s="5">
        <v>0</v>
      </c>
      <c r="L51" s="5">
        <v>0</v>
      </c>
      <c r="M51" s="5">
        <v>0</v>
      </c>
      <c r="N51" s="5">
        <v>0</v>
      </c>
      <c r="O51" s="5">
        <v>0</v>
      </c>
      <c r="P51" s="5">
        <v>0</v>
      </c>
      <c r="Q51" s="5">
        <v>0</v>
      </c>
      <c r="R51" s="5">
        <v>0</v>
      </c>
      <c r="S51" s="5">
        <v>0</v>
      </c>
      <c r="T51" s="5">
        <v>0</v>
      </c>
      <c r="U51" s="5">
        <v>0</v>
      </c>
      <c r="V51" s="5">
        <v>0</v>
      </c>
      <c r="W51" s="5">
        <v>0</v>
      </c>
      <c r="X51" s="5">
        <v>0</v>
      </c>
      <c r="Y51" s="5">
        <v>0</v>
      </c>
      <c r="Z51" s="5">
        <v>0</v>
      </c>
      <c r="AA51" s="5">
        <v>0</v>
      </c>
      <c r="AB51" s="5">
        <v>0</v>
      </c>
      <c r="AC51" s="5">
        <v>0</v>
      </c>
      <c r="AD51" s="5">
        <v>0</v>
      </c>
      <c r="AE51" s="5">
        <v>0</v>
      </c>
      <c r="AF51" s="5">
        <v>0</v>
      </c>
      <c r="AG51" s="5">
        <v>0</v>
      </c>
      <c r="AH51" s="5">
        <v>0</v>
      </c>
      <c r="AI51" s="5">
        <v>0</v>
      </c>
      <c r="AJ51" s="5">
        <v>0</v>
      </c>
      <c r="AK51" s="5">
        <v>0</v>
      </c>
      <c r="AL51" s="5">
        <v>0</v>
      </c>
      <c r="AM51" s="5">
        <v>0</v>
      </c>
      <c r="AN51" s="5">
        <v>0</v>
      </c>
      <c r="AO51" s="5">
        <v>0</v>
      </c>
      <c r="AP51" s="816">
        <v>0</v>
      </c>
      <c r="AQ51" s="816">
        <v>0</v>
      </c>
      <c r="AR51" s="5">
        <v>0</v>
      </c>
      <c r="AS51" s="5">
        <v>0.14399999999999999</v>
      </c>
      <c r="AT51" s="5">
        <v>0.51900000000000002</v>
      </c>
      <c r="AU51" s="5">
        <v>0.42</v>
      </c>
      <c r="AV51" s="5">
        <v>0.42</v>
      </c>
      <c r="AW51" s="815">
        <v>0</v>
      </c>
      <c r="AX51" s="826">
        <v>0</v>
      </c>
      <c r="AY51" s="819">
        <v>0</v>
      </c>
      <c r="AZ51" s="816"/>
      <c r="BA51" s="818"/>
      <c r="BB51" s="802" t="str" cm="1">
        <f t="array" ref="BB51">INDEX(C$4:BA$4,MATCH(TRUE,INDEX(C51:BA51&lt;&gt;0,),0))</f>
        <v>2020-21</v>
      </c>
      <c r="BC51" s="803" t="str" cm="1">
        <f t="array" ref="BC51">LOOKUP(2,1/(C51:BA51&lt;&gt;0),$C$4:$BA$4)</f>
        <v>2023-24</v>
      </c>
      <c r="BD51" s="804">
        <f>COUNTIF(RDprograms[[#This Row],[1978-79]:[2028-29]], "&gt;0")</f>
        <v>4</v>
      </c>
      <c r="BE51" s="805">
        <f>SUM(C51:BA51)/RDprograms[[#This Row],[Years with &gt; $0 investment]]</f>
        <v>0.37574999999999997</v>
      </c>
      <c r="BF51" s="806" t="s">
        <v>240</v>
      </c>
      <c r="BG51" s="807" t="s">
        <v>362</v>
      </c>
      <c r="BH51" s="807" t="s">
        <v>258</v>
      </c>
      <c r="BI51" s="809"/>
      <c r="BJ51" s="809"/>
      <c r="BK51" s="809"/>
      <c r="BL51" s="809"/>
      <c r="BM51" s="809"/>
      <c r="BN51" s="810"/>
      <c r="BO51" s="811" t="s">
        <v>236</v>
      </c>
      <c r="BP51" s="812" t="s">
        <v>363</v>
      </c>
      <c r="BQ51" s="812"/>
      <c r="BR51" s="812"/>
      <c r="BS51" s="812"/>
      <c r="BT51" s="812"/>
    </row>
    <row r="52" spans="1:72" ht="12.75" customHeight="1">
      <c r="A52" s="813" t="s">
        <v>360</v>
      </c>
      <c r="B52" s="820" t="s">
        <v>364</v>
      </c>
      <c r="C52" s="5">
        <v>0</v>
      </c>
      <c r="D52" s="5">
        <v>0</v>
      </c>
      <c r="E52" s="5">
        <v>0</v>
      </c>
      <c r="F52" s="5">
        <v>0</v>
      </c>
      <c r="G52" s="5">
        <v>0</v>
      </c>
      <c r="H52" s="5">
        <v>0</v>
      </c>
      <c r="I52" s="5">
        <v>0</v>
      </c>
      <c r="J52" s="5">
        <v>0</v>
      </c>
      <c r="K52" s="5">
        <v>0</v>
      </c>
      <c r="L52" s="5">
        <v>0</v>
      </c>
      <c r="M52" s="5">
        <v>0</v>
      </c>
      <c r="N52" s="5">
        <v>0</v>
      </c>
      <c r="O52" s="5">
        <v>0</v>
      </c>
      <c r="P52" s="5">
        <v>0</v>
      </c>
      <c r="Q52" s="5">
        <v>0</v>
      </c>
      <c r="R52" s="5">
        <v>0</v>
      </c>
      <c r="S52" s="5">
        <v>0</v>
      </c>
      <c r="T52" s="5">
        <v>0</v>
      </c>
      <c r="U52" s="5">
        <v>0</v>
      </c>
      <c r="V52" s="5">
        <v>0</v>
      </c>
      <c r="W52" s="5">
        <v>0</v>
      </c>
      <c r="X52" s="5">
        <v>0</v>
      </c>
      <c r="Y52" s="5">
        <v>0</v>
      </c>
      <c r="Z52" s="5">
        <v>0</v>
      </c>
      <c r="AA52" s="5">
        <v>0</v>
      </c>
      <c r="AB52" s="5">
        <v>0</v>
      </c>
      <c r="AC52" s="5">
        <v>0</v>
      </c>
      <c r="AD52" s="5">
        <v>0</v>
      </c>
      <c r="AE52" s="5">
        <v>0</v>
      </c>
      <c r="AF52" s="5">
        <v>0</v>
      </c>
      <c r="AG52" s="5">
        <v>0</v>
      </c>
      <c r="AH52" s="5">
        <v>0</v>
      </c>
      <c r="AI52" s="5">
        <v>0</v>
      </c>
      <c r="AJ52" s="5">
        <v>0</v>
      </c>
      <c r="AK52" s="5">
        <v>0</v>
      </c>
      <c r="AL52" s="5">
        <v>0</v>
      </c>
      <c r="AM52" s="5">
        <v>0</v>
      </c>
      <c r="AN52" s="5">
        <v>0</v>
      </c>
      <c r="AO52" s="5">
        <v>0</v>
      </c>
      <c r="AP52" s="5">
        <v>0</v>
      </c>
      <c r="AQ52" s="5">
        <v>0</v>
      </c>
      <c r="AR52" s="5">
        <v>0</v>
      </c>
      <c r="AS52" s="5">
        <v>0</v>
      </c>
      <c r="AT52" s="5">
        <v>0.107</v>
      </c>
      <c r="AU52" s="5">
        <v>0.107</v>
      </c>
      <c r="AV52" s="5">
        <v>0.107</v>
      </c>
      <c r="AW52" s="815">
        <v>0.108</v>
      </c>
      <c r="AX52" s="826">
        <v>0.108</v>
      </c>
      <c r="AY52" s="819">
        <v>0</v>
      </c>
      <c r="AZ52" s="816">
        <v>0</v>
      </c>
      <c r="BA52" s="818">
        <v>0</v>
      </c>
      <c r="BB52" s="802" t="str" cm="1">
        <f t="array" ref="BB52">INDEX(C$4:BA$4,MATCH(TRUE,INDEX(C52:BA52&lt;&gt;0,),0))</f>
        <v>2021-22</v>
      </c>
      <c r="BC52" s="803" t="str" cm="1">
        <f t="array" ref="BC52">LOOKUP(2,1/(C52:BA52&lt;&gt;0),$C$4:$BA$4)</f>
        <v>2025-26</v>
      </c>
      <c r="BD52" s="804">
        <f>COUNTIF(RDprograms[[#This Row],[1978-79]:[2028-29]], "&gt;0")</f>
        <v>5</v>
      </c>
      <c r="BE52" s="805">
        <f>SUM(C52:BA52)/RDprograms[[#This Row],[Years with &gt; $0 investment]]</f>
        <v>0.10740000000000001</v>
      </c>
      <c r="BF52" s="806" t="s">
        <v>273</v>
      </c>
      <c r="BG52" s="807" t="s">
        <v>362</v>
      </c>
      <c r="BH52" s="807" t="s">
        <v>258</v>
      </c>
      <c r="BI52" s="809"/>
      <c r="BJ52" s="809"/>
      <c r="BK52" s="809"/>
      <c r="BL52" s="809"/>
      <c r="BM52" s="809"/>
      <c r="BN52" s="810">
        <v>1</v>
      </c>
      <c r="BO52" s="811" t="s">
        <v>236</v>
      </c>
      <c r="BP52" s="812" t="s">
        <v>365</v>
      </c>
      <c r="BQ52" s="812"/>
      <c r="BR52" s="812"/>
      <c r="BS52" s="812"/>
      <c r="BT52" s="812" t="s">
        <v>238</v>
      </c>
    </row>
    <row r="53" spans="1:72" ht="12.75" customHeight="1">
      <c r="A53" s="813" t="s">
        <v>360</v>
      </c>
      <c r="B53" s="820" t="s">
        <v>366</v>
      </c>
      <c r="C53" s="5">
        <v>0</v>
      </c>
      <c r="D53" s="5">
        <v>0</v>
      </c>
      <c r="E53" s="5">
        <v>0</v>
      </c>
      <c r="F53" s="5">
        <v>0</v>
      </c>
      <c r="G53" s="5">
        <v>0</v>
      </c>
      <c r="H53" s="5">
        <v>0</v>
      </c>
      <c r="I53" s="5">
        <v>0</v>
      </c>
      <c r="J53" s="5">
        <v>0</v>
      </c>
      <c r="K53" s="5">
        <v>0</v>
      </c>
      <c r="L53" s="5">
        <v>0</v>
      </c>
      <c r="M53" s="5">
        <v>0</v>
      </c>
      <c r="N53" s="5">
        <v>0</v>
      </c>
      <c r="O53" s="5">
        <v>0</v>
      </c>
      <c r="P53" s="5">
        <v>0</v>
      </c>
      <c r="Q53" s="5">
        <v>0</v>
      </c>
      <c r="R53" s="5">
        <v>0</v>
      </c>
      <c r="S53" s="5">
        <v>0</v>
      </c>
      <c r="T53" s="5">
        <v>0</v>
      </c>
      <c r="U53" s="5">
        <v>0</v>
      </c>
      <c r="V53" s="5">
        <v>0</v>
      </c>
      <c r="W53" s="5">
        <v>0</v>
      </c>
      <c r="X53" s="5">
        <v>0</v>
      </c>
      <c r="Y53" s="5">
        <v>0</v>
      </c>
      <c r="Z53" s="5">
        <v>0</v>
      </c>
      <c r="AA53" s="5">
        <v>0</v>
      </c>
      <c r="AB53" s="5">
        <v>0</v>
      </c>
      <c r="AC53" s="5">
        <v>0</v>
      </c>
      <c r="AD53" s="5">
        <v>0</v>
      </c>
      <c r="AE53" s="5">
        <v>0</v>
      </c>
      <c r="AF53" s="5">
        <v>0</v>
      </c>
      <c r="AG53" s="5">
        <v>0</v>
      </c>
      <c r="AH53" s="5">
        <v>0</v>
      </c>
      <c r="AI53" s="5">
        <v>0</v>
      </c>
      <c r="AJ53" s="5">
        <v>0</v>
      </c>
      <c r="AK53" s="5">
        <v>0</v>
      </c>
      <c r="AL53" s="5">
        <v>0</v>
      </c>
      <c r="AM53" s="5">
        <v>0</v>
      </c>
      <c r="AN53" s="5">
        <v>0</v>
      </c>
      <c r="AO53" s="5">
        <v>0</v>
      </c>
      <c r="AP53" s="5">
        <v>0</v>
      </c>
      <c r="AQ53" s="5">
        <v>0</v>
      </c>
      <c r="AR53" s="5">
        <v>0</v>
      </c>
      <c r="AS53" s="5">
        <v>0</v>
      </c>
      <c r="AT53" s="5">
        <v>0.13100000000000001</v>
      </c>
      <c r="AU53" s="5">
        <v>0.218</v>
      </c>
      <c r="AV53" s="5">
        <v>0.17199999999999999</v>
      </c>
      <c r="AW53" s="815">
        <v>0.17299999999999999</v>
      </c>
      <c r="AX53" s="826">
        <v>0.17299999999999999</v>
      </c>
      <c r="AY53" s="819">
        <v>0.17299999999999999</v>
      </c>
      <c r="AZ53" s="816">
        <v>0.17299999999999999</v>
      </c>
      <c r="BA53" s="818">
        <v>0.17299999999999999</v>
      </c>
      <c r="BB53" s="802" t="str" cm="1">
        <f t="array" ref="BB53">INDEX(C$4:BA$4,MATCH(TRUE,INDEX(C53:BA53&lt;&gt;0,),0))</f>
        <v>2021-22</v>
      </c>
      <c r="BC53" s="803" t="str" cm="1">
        <f t="array" ref="BC53">LOOKUP(2,1/(C53:BA53&lt;&gt;0),$C$4:$BA$4)</f>
        <v>2028-29</v>
      </c>
      <c r="BD53" s="804">
        <f>COUNTIF(RDprograms[[#This Row],[1978-79]:[2028-29]], "&gt;0")</f>
        <v>8</v>
      </c>
      <c r="BE53" s="805">
        <f>SUM(C53:BA53)/RDprograms[[#This Row],[Years with &gt; $0 investment]]</f>
        <v>0.17325000000000002</v>
      </c>
      <c r="BF53" s="806" t="s">
        <v>273</v>
      </c>
      <c r="BG53" s="807" t="s">
        <v>362</v>
      </c>
      <c r="BH53" s="807" t="s">
        <v>258</v>
      </c>
      <c r="BI53" s="809"/>
      <c r="BJ53" s="809"/>
      <c r="BK53" s="809"/>
      <c r="BL53" s="809"/>
      <c r="BM53" s="809"/>
      <c r="BN53" s="810">
        <v>1</v>
      </c>
      <c r="BO53" s="811" t="s">
        <v>236</v>
      </c>
      <c r="BP53" s="812" t="s">
        <v>367</v>
      </c>
      <c r="BQ53" s="812"/>
      <c r="BR53" s="812"/>
      <c r="BS53" s="812"/>
      <c r="BT53" s="812" t="s">
        <v>238</v>
      </c>
    </row>
    <row r="54" spans="1:72" ht="12.75" customHeight="1">
      <c r="A54" s="813" t="s">
        <v>360</v>
      </c>
      <c r="B54" s="820" t="s">
        <v>368</v>
      </c>
      <c r="C54" s="5">
        <v>0</v>
      </c>
      <c r="D54" s="5">
        <v>0</v>
      </c>
      <c r="E54" s="5">
        <v>0</v>
      </c>
      <c r="F54" s="5">
        <v>0</v>
      </c>
      <c r="G54" s="5">
        <v>0</v>
      </c>
      <c r="H54" s="5">
        <v>0</v>
      </c>
      <c r="I54" s="5">
        <v>0</v>
      </c>
      <c r="J54" s="5">
        <v>0</v>
      </c>
      <c r="K54" s="5">
        <v>0</v>
      </c>
      <c r="L54" s="5">
        <v>0</v>
      </c>
      <c r="M54" s="5">
        <v>0</v>
      </c>
      <c r="N54" s="5">
        <v>0</v>
      </c>
      <c r="O54" s="5">
        <v>0</v>
      </c>
      <c r="P54" s="5">
        <v>0</v>
      </c>
      <c r="Q54" s="5">
        <v>0</v>
      </c>
      <c r="R54" s="5">
        <v>0</v>
      </c>
      <c r="S54" s="5">
        <v>0</v>
      </c>
      <c r="T54" s="5">
        <v>0</v>
      </c>
      <c r="U54" s="5">
        <v>0</v>
      </c>
      <c r="V54" s="5">
        <v>0</v>
      </c>
      <c r="W54" s="5">
        <v>0</v>
      </c>
      <c r="X54" s="5">
        <v>0</v>
      </c>
      <c r="Y54" s="5">
        <v>0</v>
      </c>
      <c r="Z54" s="5">
        <v>0</v>
      </c>
      <c r="AA54" s="5">
        <v>0</v>
      </c>
      <c r="AB54" s="5">
        <v>0</v>
      </c>
      <c r="AC54" s="5">
        <v>0</v>
      </c>
      <c r="AD54" s="5">
        <v>0</v>
      </c>
      <c r="AE54" s="5">
        <v>0</v>
      </c>
      <c r="AF54" s="5">
        <v>0</v>
      </c>
      <c r="AG54" s="5">
        <v>0</v>
      </c>
      <c r="AH54" s="5">
        <v>0</v>
      </c>
      <c r="AI54" s="5">
        <v>0</v>
      </c>
      <c r="AJ54" s="5">
        <v>0</v>
      </c>
      <c r="AK54" s="5">
        <v>0</v>
      </c>
      <c r="AL54" s="5">
        <v>0</v>
      </c>
      <c r="AM54" s="5">
        <v>0</v>
      </c>
      <c r="AN54" s="5">
        <v>0</v>
      </c>
      <c r="AO54" s="5">
        <v>0</v>
      </c>
      <c r="AP54" s="816">
        <v>0</v>
      </c>
      <c r="AQ54" s="816">
        <v>0.59099999999999997</v>
      </c>
      <c r="AR54" s="5">
        <v>0.56799999999999995</v>
      </c>
      <c r="AS54" s="5">
        <v>0.05</v>
      </c>
      <c r="AT54" s="5">
        <v>3.1E-2</v>
      </c>
      <c r="AU54" s="5">
        <v>0</v>
      </c>
      <c r="AV54" s="5">
        <v>0</v>
      </c>
      <c r="AW54" s="815">
        <v>0</v>
      </c>
      <c r="AX54" s="826">
        <v>0</v>
      </c>
      <c r="AY54" s="819">
        <v>0</v>
      </c>
      <c r="AZ54" s="816">
        <v>0</v>
      </c>
      <c r="BA54" s="818"/>
      <c r="BB54" s="802" t="str" cm="1">
        <f t="array" ref="BB54">INDEX(C$4:BA$4,MATCH(TRUE,INDEX(C54:BA54&lt;&gt;0,),0))</f>
        <v>2018-19</v>
      </c>
      <c r="BC54" s="803" t="str" cm="1">
        <f t="array" ref="BC54">LOOKUP(2,1/(C54:BA54&lt;&gt;0),$C$4:$BA$4)</f>
        <v>2021-22</v>
      </c>
      <c r="BD54" s="804">
        <f>COUNTIF(RDprograms[[#This Row],[1978-79]:[2028-29]], "&gt;0")</f>
        <v>4</v>
      </c>
      <c r="BE54" s="805">
        <f>SUM(C54:BA54)/RDprograms[[#This Row],[Years with &gt; $0 investment]]</f>
        <v>0.30999999999999994</v>
      </c>
      <c r="BF54" s="806" t="s">
        <v>273</v>
      </c>
      <c r="BG54" s="807" t="s">
        <v>362</v>
      </c>
      <c r="BH54" s="807" t="s">
        <v>258</v>
      </c>
      <c r="BI54" s="809"/>
      <c r="BJ54" s="809"/>
      <c r="BK54" s="809"/>
      <c r="BL54" s="809"/>
      <c r="BM54" s="809"/>
      <c r="BN54" s="810"/>
      <c r="BO54" s="811" t="s">
        <v>236</v>
      </c>
      <c r="BP54" s="812" t="s">
        <v>369</v>
      </c>
      <c r="BQ54" s="812"/>
      <c r="BR54" s="812"/>
      <c r="BS54" s="812"/>
      <c r="BT54" s="828" t="s">
        <v>277</v>
      </c>
    </row>
    <row r="55" spans="1:72" ht="12.75" customHeight="1">
      <c r="A55" s="813" t="s">
        <v>360</v>
      </c>
      <c r="B55" s="820" t="s">
        <v>370</v>
      </c>
      <c r="C55" s="5">
        <v>0</v>
      </c>
      <c r="D55" s="5">
        <v>0</v>
      </c>
      <c r="E55" s="5">
        <v>0</v>
      </c>
      <c r="F55" s="5">
        <v>0</v>
      </c>
      <c r="G55" s="5">
        <v>0</v>
      </c>
      <c r="H55" s="5">
        <v>0</v>
      </c>
      <c r="I55" s="5">
        <v>0</v>
      </c>
      <c r="J55" s="5">
        <v>0</v>
      </c>
      <c r="K55" s="5">
        <v>0</v>
      </c>
      <c r="L55" s="5">
        <v>0</v>
      </c>
      <c r="M55" s="5">
        <v>0</v>
      </c>
      <c r="N55" s="5">
        <v>0</v>
      </c>
      <c r="O55" s="5">
        <v>0</v>
      </c>
      <c r="P55" s="5">
        <v>0</v>
      </c>
      <c r="Q55" s="5">
        <v>0</v>
      </c>
      <c r="R55" s="5">
        <v>0</v>
      </c>
      <c r="S55" s="5">
        <v>0</v>
      </c>
      <c r="T55" s="5">
        <v>0</v>
      </c>
      <c r="U55" s="5">
        <v>0</v>
      </c>
      <c r="V55" s="5">
        <v>0</v>
      </c>
      <c r="W55" s="5">
        <v>0</v>
      </c>
      <c r="X55" s="5">
        <v>0</v>
      </c>
      <c r="Y55" s="5">
        <v>0</v>
      </c>
      <c r="Z55" s="5">
        <v>0</v>
      </c>
      <c r="AA55" s="5">
        <v>0.40200000000000002</v>
      </c>
      <c r="AB55" s="5">
        <v>0.63800000000000001</v>
      </c>
      <c r="AC55" s="5">
        <v>0.58499999999999996</v>
      </c>
      <c r="AD55" s="5">
        <v>0.63700000000000001</v>
      </c>
      <c r="AE55" s="5">
        <v>0.56999999999999995</v>
      </c>
      <c r="AF55" s="5">
        <v>0.59199999999999997</v>
      </c>
      <c r="AG55" s="5">
        <v>0.53900000000000003</v>
      </c>
      <c r="AH55" s="5">
        <v>0.48199999999999998</v>
      </c>
      <c r="AI55" s="5">
        <v>0.39900000000000002</v>
      </c>
      <c r="AJ55" s="5">
        <v>0.38100000000000001</v>
      </c>
      <c r="AK55" s="5">
        <v>0.46200000000000002</v>
      </c>
      <c r="AL55" s="5">
        <v>0.48099999999999998</v>
      </c>
      <c r="AM55" s="5">
        <v>0.66100000000000003</v>
      </c>
      <c r="AN55" s="5">
        <v>0.66700000000000004</v>
      </c>
      <c r="AO55" s="5">
        <v>0.51800000000000002</v>
      </c>
      <c r="AP55" s="5">
        <v>0.438</v>
      </c>
      <c r="AQ55" s="5">
        <v>0.39900000000000002</v>
      </c>
      <c r="AR55" s="5">
        <v>0.252</v>
      </c>
      <c r="AS55" s="5">
        <v>0.29699999999999999</v>
      </c>
      <c r="AT55" s="5">
        <v>0.439</v>
      </c>
      <c r="AU55" s="5">
        <v>0.57999999999999996</v>
      </c>
      <c r="AV55" s="5">
        <v>0.40799999999999997</v>
      </c>
      <c r="AW55" s="815">
        <v>0.58799999999999997</v>
      </c>
      <c r="AX55" s="826">
        <v>0.52600000000000002</v>
      </c>
      <c r="AY55" s="819">
        <v>0.47899999999999998</v>
      </c>
      <c r="AZ55" s="816">
        <v>0.47899999999999998</v>
      </c>
      <c r="BA55" s="818">
        <v>0.47899999999999998</v>
      </c>
      <c r="BB55" s="802" t="str" cm="1">
        <f t="array" ref="BB55">INDEX(C$4:BA$4,MATCH(TRUE,INDEX(C55:BA55&lt;&gt;0,),0))</f>
        <v>2002-03</v>
      </c>
      <c r="BC55" s="803" t="str" cm="1">
        <f t="array" ref="BC55">LOOKUP(2,1/(C55:BA55&lt;&gt;0),$C$4:$BA$4)</f>
        <v>2028-29</v>
      </c>
      <c r="BD55" s="804">
        <f>COUNTIF(RDprograms[[#This Row],[1978-79]:[2028-29]], "&gt;0")</f>
        <v>27</v>
      </c>
      <c r="BE55" s="805">
        <f>SUM(C55:BA55)/RDprograms[[#This Row],[Years with &gt; $0 investment]]</f>
        <v>0.49548148148148147</v>
      </c>
      <c r="BF55" s="806" t="s">
        <v>273</v>
      </c>
      <c r="BG55" s="807" t="s">
        <v>362</v>
      </c>
      <c r="BH55" s="807" t="s">
        <v>269</v>
      </c>
      <c r="BI55" s="809"/>
      <c r="BJ55" s="809"/>
      <c r="BK55" s="809"/>
      <c r="BL55" s="809"/>
      <c r="BM55" s="809"/>
      <c r="BN55" s="810">
        <v>1</v>
      </c>
      <c r="BO55" s="811" t="s">
        <v>236</v>
      </c>
      <c r="BP55" s="812" t="s">
        <v>371</v>
      </c>
      <c r="BQ55" s="812"/>
      <c r="BR55" s="812"/>
      <c r="BS55" s="812"/>
      <c r="BT55" s="812" t="s">
        <v>238</v>
      </c>
    </row>
    <row r="56" spans="1:72" ht="12.75" customHeight="1">
      <c r="A56" s="813" t="s">
        <v>360</v>
      </c>
      <c r="B56" s="820" t="s">
        <v>372</v>
      </c>
      <c r="C56" s="5">
        <v>0</v>
      </c>
      <c r="D56" s="5">
        <v>0</v>
      </c>
      <c r="E56" s="5">
        <v>0</v>
      </c>
      <c r="F56" s="5">
        <v>0</v>
      </c>
      <c r="G56" s="5">
        <v>0</v>
      </c>
      <c r="H56" s="5">
        <v>0</v>
      </c>
      <c r="I56" s="5">
        <v>0</v>
      </c>
      <c r="J56" s="5">
        <v>0</v>
      </c>
      <c r="K56" s="5">
        <v>0</v>
      </c>
      <c r="L56" s="5">
        <v>0</v>
      </c>
      <c r="M56" s="5">
        <v>0</v>
      </c>
      <c r="N56" s="5">
        <v>0</v>
      </c>
      <c r="O56" s="5">
        <v>0</v>
      </c>
      <c r="P56" s="5">
        <v>0</v>
      </c>
      <c r="Q56" s="5">
        <v>0</v>
      </c>
      <c r="R56" s="5">
        <v>0</v>
      </c>
      <c r="S56" s="5">
        <v>0</v>
      </c>
      <c r="T56" s="5">
        <v>0</v>
      </c>
      <c r="U56" s="5">
        <v>0</v>
      </c>
      <c r="V56" s="5">
        <v>0</v>
      </c>
      <c r="W56" s="5">
        <v>0</v>
      </c>
      <c r="X56" s="5">
        <v>0</v>
      </c>
      <c r="Y56" s="5">
        <v>0</v>
      </c>
      <c r="Z56" s="5">
        <v>0</v>
      </c>
      <c r="AA56" s="5">
        <v>0</v>
      </c>
      <c r="AB56" s="5">
        <v>0</v>
      </c>
      <c r="AC56" s="5">
        <v>0</v>
      </c>
      <c r="AD56" s="5">
        <v>0</v>
      </c>
      <c r="AE56" s="5">
        <v>0</v>
      </c>
      <c r="AF56" s="5">
        <v>0</v>
      </c>
      <c r="AG56" s="5">
        <v>0</v>
      </c>
      <c r="AH56" s="5">
        <v>0</v>
      </c>
      <c r="AI56" s="5">
        <v>0.224</v>
      </c>
      <c r="AJ56" s="5">
        <v>1.0880000000000001</v>
      </c>
      <c r="AK56" s="5">
        <v>0.71299999999999997</v>
      </c>
      <c r="AL56" s="5">
        <v>0.997</v>
      </c>
      <c r="AM56" s="5">
        <v>0.71399999999999997</v>
      </c>
      <c r="AN56" s="5">
        <v>0.63200000000000001</v>
      </c>
      <c r="AO56" s="5">
        <v>4.5999999999999999E-2</v>
      </c>
      <c r="AP56" s="5">
        <v>0</v>
      </c>
      <c r="AQ56" s="5">
        <v>0</v>
      </c>
      <c r="AR56" s="5">
        <v>0</v>
      </c>
      <c r="AS56" s="5">
        <v>0</v>
      </c>
      <c r="AT56" s="5">
        <v>0</v>
      </c>
      <c r="AU56" s="5">
        <v>0</v>
      </c>
      <c r="AV56" s="5">
        <v>0</v>
      </c>
      <c r="AW56" s="815">
        <v>0</v>
      </c>
      <c r="AX56" s="826">
        <v>0</v>
      </c>
      <c r="AY56" s="819">
        <v>0</v>
      </c>
      <c r="AZ56" s="816">
        <v>0</v>
      </c>
      <c r="BA56" s="818"/>
      <c r="BB56" s="802" t="str" cm="1">
        <f t="array" ref="BB56">INDEX(C$4:BA$4,MATCH(TRUE,INDEX(C56:BA56&lt;&gt;0,),0))</f>
        <v>2010-11</v>
      </c>
      <c r="BC56" s="803" t="str" cm="1">
        <f t="array" ref="BC56">LOOKUP(2,1/(C56:BA56&lt;&gt;0),$C$4:$BA$4)</f>
        <v>2016-17</v>
      </c>
      <c r="BD56" s="804">
        <f>COUNTIF(RDprograms[[#This Row],[1978-79]:[2028-29]], "&gt;0")</f>
        <v>7</v>
      </c>
      <c r="BE56" s="805">
        <f>SUM(C56:BA56)/RDprograms[[#This Row],[Years with &gt; $0 investment]]</f>
        <v>0.63057142857142856</v>
      </c>
      <c r="BF56" s="806" t="s">
        <v>273</v>
      </c>
      <c r="BG56" s="807" t="s">
        <v>362</v>
      </c>
      <c r="BH56" s="807" t="s">
        <v>269</v>
      </c>
      <c r="BI56" s="809"/>
      <c r="BJ56" s="809"/>
      <c r="BK56" s="809"/>
      <c r="BL56" s="809"/>
      <c r="BM56" s="809"/>
      <c r="BN56" s="810"/>
      <c r="BO56" s="811" t="s">
        <v>236</v>
      </c>
      <c r="BP56" s="812" t="s">
        <v>373</v>
      </c>
      <c r="BQ56" s="812"/>
      <c r="BR56" s="812"/>
      <c r="BS56" s="812"/>
      <c r="BT56" s="828" t="s">
        <v>277</v>
      </c>
    </row>
    <row r="57" spans="1:72" ht="12.75" customHeight="1">
      <c r="A57" s="813" t="s">
        <v>360</v>
      </c>
      <c r="B57" s="820" t="s">
        <v>374</v>
      </c>
      <c r="C57" s="5">
        <v>0</v>
      </c>
      <c r="D57" s="5">
        <v>0</v>
      </c>
      <c r="E57" s="5">
        <v>0</v>
      </c>
      <c r="F57" s="5">
        <v>0</v>
      </c>
      <c r="G57" s="5">
        <v>0</v>
      </c>
      <c r="H57" s="5">
        <v>0</v>
      </c>
      <c r="I57" s="5">
        <v>0</v>
      </c>
      <c r="J57" s="5">
        <v>0</v>
      </c>
      <c r="K57" s="5">
        <v>0</v>
      </c>
      <c r="L57" s="5">
        <v>0</v>
      </c>
      <c r="M57" s="5">
        <v>0</v>
      </c>
      <c r="N57" s="5">
        <v>0</v>
      </c>
      <c r="O57" s="5">
        <v>0</v>
      </c>
      <c r="P57" s="5">
        <v>0</v>
      </c>
      <c r="Q57" s="5">
        <v>0</v>
      </c>
      <c r="R57" s="5">
        <v>0</v>
      </c>
      <c r="S57" s="5">
        <v>0</v>
      </c>
      <c r="T57" s="5">
        <v>0</v>
      </c>
      <c r="U57" s="5">
        <v>0</v>
      </c>
      <c r="V57" s="5">
        <v>0</v>
      </c>
      <c r="W57" s="5">
        <v>0</v>
      </c>
      <c r="X57" s="5">
        <v>0</v>
      </c>
      <c r="Y57" s="5">
        <v>0</v>
      </c>
      <c r="Z57" s="5">
        <v>0</v>
      </c>
      <c r="AA57" s="5">
        <v>0</v>
      </c>
      <c r="AB57" s="5">
        <v>0</v>
      </c>
      <c r="AC57" s="5">
        <v>0</v>
      </c>
      <c r="AD57" s="5">
        <v>0</v>
      </c>
      <c r="AE57" s="5">
        <v>0</v>
      </c>
      <c r="AF57" s="5">
        <v>0</v>
      </c>
      <c r="AG57" s="5">
        <v>0</v>
      </c>
      <c r="AH57" s="5">
        <v>0</v>
      </c>
      <c r="AI57" s="5">
        <v>0</v>
      </c>
      <c r="AJ57" s="5">
        <v>0</v>
      </c>
      <c r="AK57" s="5">
        <v>0</v>
      </c>
      <c r="AL57" s="5">
        <v>0</v>
      </c>
      <c r="AM57" s="5">
        <v>0</v>
      </c>
      <c r="AN57" s="5">
        <v>0</v>
      </c>
      <c r="AO57" s="5">
        <v>0</v>
      </c>
      <c r="AP57" s="816">
        <v>0</v>
      </c>
      <c r="AQ57" s="816">
        <v>0</v>
      </c>
      <c r="AR57" s="5">
        <v>0</v>
      </c>
      <c r="AS57" s="5">
        <v>0</v>
      </c>
      <c r="AT57" s="5">
        <v>0</v>
      </c>
      <c r="AU57" s="5">
        <v>8.1000000000000003E-2</v>
      </c>
      <c r="AV57" s="5">
        <v>1.9E-2</v>
      </c>
      <c r="AW57" s="815">
        <v>0</v>
      </c>
      <c r="AX57" s="826">
        <v>0</v>
      </c>
      <c r="AY57" s="819">
        <v>0</v>
      </c>
      <c r="AZ57" s="816">
        <v>0</v>
      </c>
      <c r="BA57" s="818"/>
      <c r="BB57" s="802" t="str" cm="1">
        <f t="array" ref="BB57">INDEX(C$4:BA$4,MATCH(TRUE,INDEX(C57:BA57&lt;&gt;0,),0))</f>
        <v>2022-23</v>
      </c>
      <c r="BC57" s="803" t="str" cm="1">
        <f t="array" ref="BC57">LOOKUP(2,1/(C57:BA57&lt;&gt;0),$C$4:$BA$4)</f>
        <v>2023-24</v>
      </c>
      <c r="BD57" s="804">
        <f>COUNTIF(RDprograms[[#This Row],[1978-79]:[2028-29]], "&gt;0")</f>
        <v>2</v>
      </c>
      <c r="BE57" s="805">
        <f>SUM(C57:BA57)/RDprograms[[#This Row],[Years with &gt; $0 investment]]</f>
        <v>0.05</v>
      </c>
      <c r="BF57" s="806" t="s">
        <v>273</v>
      </c>
      <c r="BG57" s="807" t="s">
        <v>362</v>
      </c>
      <c r="BH57" s="807" t="s">
        <v>258</v>
      </c>
      <c r="BI57" s="809"/>
      <c r="BJ57" s="809"/>
      <c r="BK57" s="809"/>
      <c r="BL57" s="809"/>
      <c r="BM57" s="809"/>
      <c r="BN57" s="810"/>
      <c r="BO57" s="811" t="s">
        <v>236</v>
      </c>
      <c r="BP57" s="812" t="s">
        <v>375</v>
      </c>
      <c r="BQ57" s="812"/>
      <c r="BR57" s="812"/>
      <c r="BS57" s="812"/>
      <c r="BT57" s="828" t="s">
        <v>277</v>
      </c>
    </row>
    <row r="58" spans="1:72" ht="12.75" customHeight="1">
      <c r="A58" s="813" t="s">
        <v>360</v>
      </c>
      <c r="B58" s="820" t="s">
        <v>376</v>
      </c>
      <c r="C58" s="5">
        <v>0</v>
      </c>
      <c r="D58" s="5">
        <v>0</v>
      </c>
      <c r="E58" s="5">
        <v>0</v>
      </c>
      <c r="F58" s="5">
        <v>0</v>
      </c>
      <c r="G58" s="5">
        <v>0</v>
      </c>
      <c r="H58" s="5">
        <v>0</v>
      </c>
      <c r="I58" s="5">
        <v>0</v>
      </c>
      <c r="J58" s="5">
        <v>0</v>
      </c>
      <c r="K58" s="5">
        <v>0</v>
      </c>
      <c r="L58" s="5">
        <v>0</v>
      </c>
      <c r="M58" s="5">
        <v>0</v>
      </c>
      <c r="N58" s="5">
        <v>0</v>
      </c>
      <c r="O58" s="5">
        <v>0</v>
      </c>
      <c r="P58" s="5">
        <v>0</v>
      </c>
      <c r="Q58" s="5">
        <v>0</v>
      </c>
      <c r="R58" s="5">
        <v>0</v>
      </c>
      <c r="S58" s="5">
        <v>0</v>
      </c>
      <c r="T58" s="5">
        <v>0</v>
      </c>
      <c r="U58" s="5">
        <v>0</v>
      </c>
      <c r="V58" s="5">
        <v>0</v>
      </c>
      <c r="W58" s="5">
        <v>0</v>
      </c>
      <c r="X58" s="5">
        <v>0</v>
      </c>
      <c r="Y58" s="5">
        <v>0</v>
      </c>
      <c r="Z58" s="5">
        <v>0</v>
      </c>
      <c r="AA58" s="5">
        <v>0</v>
      </c>
      <c r="AB58" s="5">
        <v>0</v>
      </c>
      <c r="AC58" s="5">
        <v>0</v>
      </c>
      <c r="AD58" s="5">
        <v>0</v>
      </c>
      <c r="AE58" s="5">
        <v>0</v>
      </c>
      <c r="AF58" s="5">
        <v>0</v>
      </c>
      <c r="AG58" s="5">
        <v>0</v>
      </c>
      <c r="AH58" s="5">
        <v>0</v>
      </c>
      <c r="AI58" s="5">
        <v>0</v>
      </c>
      <c r="AJ58" s="5">
        <v>0</v>
      </c>
      <c r="AK58" s="5">
        <v>0</v>
      </c>
      <c r="AL58" s="5">
        <v>0</v>
      </c>
      <c r="AM58" s="5">
        <v>0</v>
      </c>
      <c r="AN58" s="5">
        <v>0</v>
      </c>
      <c r="AO58" s="5">
        <v>0</v>
      </c>
      <c r="AP58" s="5">
        <v>0</v>
      </c>
      <c r="AQ58" s="5">
        <v>0</v>
      </c>
      <c r="AR58" s="5">
        <v>0</v>
      </c>
      <c r="AS58" s="5">
        <v>0.14000000000000001</v>
      </c>
      <c r="AT58" s="5">
        <v>0</v>
      </c>
      <c r="AU58" s="5">
        <v>0</v>
      </c>
      <c r="AV58" s="5">
        <v>0</v>
      </c>
      <c r="AW58" s="815">
        <v>0</v>
      </c>
      <c r="AX58" s="826">
        <v>0</v>
      </c>
      <c r="AY58" s="819">
        <v>0</v>
      </c>
      <c r="AZ58" s="816">
        <v>0</v>
      </c>
      <c r="BA58" s="818"/>
      <c r="BB58" s="802" t="str" cm="1">
        <f t="array" ref="BB58">INDEX(C$4:BA$4,MATCH(TRUE,INDEX(C58:BA58&lt;&gt;0,),0))</f>
        <v>2020-21</v>
      </c>
      <c r="BC58" s="803" t="str" cm="1">
        <f t="array" ref="BC58">LOOKUP(2,1/(C58:BA58&lt;&gt;0),$C$4:$BA$4)</f>
        <v>2020-21</v>
      </c>
      <c r="BD58" s="804">
        <f>COUNTIF(RDprograms[[#This Row],[1978-79]:[2028-29]], "&gt;0")</f>
        <v>1</v>
      </c>
      <c r="BE58" s="805">
        <f>SUM(C58:BA58)/RDprograms[[#This Row],[Years with &gt; $0 investment]]</f>
        <v>0.14000000000000001</v>
      </c>
      <c r="BF58" s="806" t="s">
        <v>273</v>
      </c>
      <c r="BG58" s="807" t="s">
        <v>362</v>
      </c>
      <c r="BH58" s="807" t="s">
        <v>258</v>
      </c>
      <c r="BI58" s="809"/>
      <c r="BJ58" s="809"/>
      <c r="BK58" s="809"/>
      <c r="BL58" s="809"/>
      <c r="BM58" s="809"/>
      <c r="BN58" s="810"/>
      <c r="BO58" s="811" t="s">
        <v>236</v>
      </c>
      <c r="BP58" s="812" t="s">
        <v>377</v>
      </c>
      <c r="BQ58" s="812"/>
      <c r="BR58" s="812"/>
      <c r="BS58" s="812" t="s">
        <v>244</v>
      </c>
      <c r="BT58" s="828" t="s">
        <v>277</v>
      </c>
    </row>
    <row r="59" spans="1:72" ht="12.75" customHeight="1">
      <c r="A59" s="813" t="s">
        <v>360</v>
      </c>
      <c r="B59" s="820" t="s">
        <v>378</v>
      </c>
      <c r="C59" s="5">
        <v>0</v>
      </c>
      <c r="D59" s="5">
        <v>0</v>
      </c>
      <c r="E59" s="5">
        <v>0</v>
      </c>
      <c r="F59" s="5">
        <v>0</v>
      </c>
      <c r="G59" s="5">
        <v>0</v>
      </c>
      <c r="H59" s="5">
        <v>0</v>
      </c>
      <c r="I59" s="5">
        <v>0</v>
      </c>
      <c r="J59" s="5">
        <v>0</v>
      </c>
      <c r="K59" s="5">
        <v>0</v>
      </c>
      <c r="L59" s="5">
        <v>0</v>
      </c>
      <c r="M59" s="5">
        <v>0</v>
      </c>
      <c r="N59" s="5">
        <v>0</v>
      </c>
      <c r="O59" s="5">
        <v>0</v>
      </c>
      <c r="P59" s="5">
        <v>0</v>
      </c>
      <c r="Q59" s="5">
        <v>0</v>
      </c>
      <c r="R59" s="5">
        <v>0</v>
      </c>
      <c r="S59" s="5">
        <v>0</v>
      </c>
      <c r="T59" s="5">
        <v>0</v>
      </c>
      <c r="U59" s="5">
        <v>0</v>
      </c>
      <c r="V59" s="5">
        <v>0</v>
      </c>
      <c r="W59" s="5">
        <v>0</v>
      </c>
      <c r="X59" s="5">
        <v>0</v>
      </c>
      <c r="Y59" s="5">
        <v>0</v>
      </c>
      <c r="Z59" s="5">
        <v>0</v>
      </c>
      <c r="AA59" s="5">
        <v>0</v>
      </c>
      <c r="AB59" s="5">
        <v>0</v>
      </c>
      <c r="AC59" s="5">
        <v>0</v>
      </c>
      <c r="AD59" s="5">
        <v>0</v>
      </c>
      <c r="AE59" s="5">
        <v>0</v>
      </c>
      <c r="AF59" s="5">
        <v>0</v>
      </c>
      <c r="AG59" s="5">
        <v>0</v>
      </c>
      <c r="AH59" s="5">
        <v>0</v>
      </c>
      <c r="AI59" s="5">
        <v>0</v>
      </c>
      <c r="AJ59" s="5">
        <v>0</v>
      </c>
      <c r="AK59" s="5">
        <v>0</v>
      </c>
      <c r="AL59" s="5">
        <v>0</v>
      </c>
      <c r="AM59" s="5">
        <v>0</v>
      </c>
      <c r="AN59" s="5">
        <v>0</v>
      </c>
      <c r="AO59" s="5">
        <v>0</v>
      </c>
      <c r="AP59" s="5">
        <v>0</v>
      </c>
      <c r="AQ59" s="5">
        <v>0</v>
      </c>
      <c r="AR59" s="5">
        <v>0</v>
      </c>
      <c r="AS59" s="5">
        <v>0</v>
      </c>
      <c r="AT59" s="5">
        <v>0</v>
      </c>
      <c r="AU59" s="5">
        <v>0.22600000000000001</v>
      </c>
      <c r="AV59" s="5">
        <v>0.14599999999999999</v>
      </c>
      <c r="AW59" s="815">
        <v>0.20300000000000001</v>
      </c>
      <c r="AX59" s="826">
        <v>0</v>
      </c>
      <c r="AY59" s="819">
        <v>0</v>
      </c>
      <c r="AZ59" s="816">
        <v>0</v>
      </c>
      <c r="BA59" s="818"/>
      <c r="BB59" s="802" t="str" cm="1">
        <f t="array" ref="BB59">INDEX(C$4:BA$4,MATCH(TRUE,INDEX(C59:BA59&lt;&gt;0,),0))</f>
        <v>2022-23</v>
      </c>
      <c r="BC59" s="803" t="str" cm="1">
        <f t="array" ref="BC59">LOOKUP(2,1/(C59:BA59&lt;&gt;0),$C$4:$BA$4)</f>
        <v>2024-25</v>
      </c>
      <c r="BD59" s="804">
        <f>COUNTIF(RDprograms[[#This Row],[1978-79]:[2028-29]], "&gt;0")</f>
        <v>3</v>
      </c>
      <c r="BE59" s="805">
        <f>SUM(C59:BA59)/RDprograms[[#This Row],[Years with &gt; $0 investment]]</f>
        <v>0.19166666666666665</v>
      </c>
      <c r="BF59" s="806" t="s">
        <v>273</v>
      </c>
      <c r="BG59" s="807" t="s">
        <v>362</v>
      </c>
      <c r="BH59" s="807" t="s">
        <v>258</v>
      </c>
      <c r="BI59" s="809"/>
      <c r="BJ59" s="809"/>
      <c r="BK59" s="809"/>
      <c r="BL59" s="809"/>
      <c r="BM59" s="809"/>
      <c r="BN59" s="810"/>
      <c r="BO59" s="811" t="s">
        <v>236</v>
      </c>
      <c r="BP59" s="812" t="s">
        <v>379</v>
      </c>
      <c r="BQ59" s="812"/>
      <c r="BR59" s="812"/>
      <c r="BS59" s="812"/>
      <c r="BT59" s="828" t="s">
        <v>277</v>
      </c>
    </row>
    <row r="60" spans="1:72" ht="12.75" customHeight="1">
      <c r="A60" s="813" t="s">
        <v>360</v>
      </c>
      <c r="B60" s="820" t="s">
        <v>380</v>
      </c>
      <c r="C60" s="5">
        <v>0</v>
      </c>
      <c r="D60" s="5">
        <v>0</v>
      </c>
      <c r="E60" s="5">
        <v>0</v>
      </c>
      <c r="F60" s="5">
        <v>0</v>
      </c>
      <c r="G60" s="5">
        <v>0</v>
      </c>
      <c r="H60" s="5">
        <v>0</v>
      </c>
      <c r="I60" s="5">
        <v>0</v>
      </c>
      <c r="J60" s="5">
        <v>0</v>
      </c>
      <c r="K60" s="5">
        <v>0</v>
      </c>
      <c r="L60" s="5">
        <v>0</v>
      </c>
      <c r="M60" s="5">
        <v>0</v>
      </c>
      <c r="N60" s="5">
        <v>0</v>
      </c>
      <c r="O60" s="5">
        <v>0</v>
      </c>
      <c r="P60" s="5">
        <v>0</v>
      </c>
      <c r="Q60" s="5">
        <v>0</v>
      </c>
      <c r="R60" s="5">
        <v>0</v>
      </c>
      <c r="S60" s="5">
        <v>0</v>
      </c>
      <c r="T60" s="5">
        <v>0</v>
      </c>
      <c r="U60" s="5">
        <v>0</v>
      </c>
      <c r="V60" s="5">
        <v>0</v>
      </c>
      <c r="W60" s="5">
        <v>0</v>
      </c>
      <c r="X60" s="5">
        <v>0</v>
      </c>
      <c r="Y60" s="5">
        <v>0</v>
      </c>
      <c r="Z60" s="5">
        <v>0</v>
      </c>
      <c r="AA60" s="5">
        <v>0</v>
      </c>
      <c r="AB60" s="5">
        <v>0</v>
      </c>
      <c r="AC60" s="5">
        <v>0</v>
      </c>
      <c r="AD60" s="5">
        <v>0</v>
      </c>
      <c r="AE60" s="5">
        <v>0</v>
      </c>
      <c r="AF60" s="5">
        <v>0</v>
      </c>
      <c r="AG60" s="5">
        <v>0</v>
      </c>
      <c r="AH60" s="5">
        <v>0</v>
      </c>
      <c r="AI60" s="5">
        <v>0</v>
      </c>
      <c r="AJ60" s="5">
        <v>0</v>
      </c>
      <c r="AK60" s="5">
        <v>0</v>
      </c>
      <c r="AL60" s="5">
        <v>0</v>
      </c>
      <c r="AM60" s="5">
        <v>0</v>
      </c>
      <c r="AN60" s="5">
        <v>0</v>
      </c>
      <c r="AO60" s="5">
        <v>0</v>
      </c>
      <c r="AP60" s="816">
        <v>0</v>
      </c>
      <c r="AQ60" s="816">
        <v>0</v>
      </c>
      <c r="AR60" s="5">
        <v>0</v>
      </c>
      <c r="AS60" s="5">
        <v>0</v>
      </c>
      <c r="AT60" s="5">
        <v>0.3</v>
      </c>
      <c r="AU60" s="5">
        <v>0.7</v>
      </c>
      <c r="AV60" s="5">
        <v>0.67200000000000004</v>
      </c>
      <c r="AW60" s="815">
        <v>0.32800000000000001</v>
      </c>
      <c r="AX60" s="826">
        <v>0.33200000000000002</v>
      </c>
      <c r="AY60" s="819">
        <v>0</v>
      </c>
      <c r="AZ60" s="816">
        <v>0</v>
      </c>
      <c r="BA60" s="818"/>
      <c r="BB60" s="802" t="str" cm="1">
        <f t="array" ref="BB60">INDEX(C$4:BA$4,MATCH(TRUE,INDEX(C60:BA60&lt;&gt;0,),0))</f>
        <v>2021-22</v>
      </c>
      <c r="BC60" s="803" t="str" cm="1">
        <f t="array" ref="BC60">LOOKUP(2,1/(C60:BA60&lt;&gt;0),$C$4:$BA$4)</f>
        <v>2025-26</v>
      </c>
      <c r="BD60" s="804">
        <f>COUNTIF(RDprograms[[#This Row],[1978-79]:[2028-29]], "&gt;0")</f>
        <v>5</v>
      </c>
      <c r="BE60" s="805">
        <f>SUM(C60:BA60)/RDprograms[[#This Row],[Years with &gt; $0 investment]]</f>
        <v>0.46639999999999998</v>
      </c>
      <c r="BF60" s="806" t="s">
        <v>273</v>
      </c>
      <c r="BG60" s="807" t="s">
        <v>362</v>
      </c>
      <c r="BH60" s="807" t="s">
        <v>258</v>
      </c>
      <c r="BI60" s="809"/>
      <c r="BJ60" s="809"/>
      <c r="BK60" s="809"/>
      <c r="BL60" s="809"/>
      <c r="BM60" s="809"/>
      <c r="BN60" s="810">
        <v>1</v>
      </c>
      <c r="BO60" s="811" t="s">
        <v>236</v>
      </c>
      <c r="BP60" s="812" t="s">
        <v>381</v>
      </c>
      <c r="BQ60" s="812"/>
      <c r="BR60" s="812"/>
      <c r="BS60" s="812"/>
      <c r="BT60" s="812" t="s">
        <v>238</v>
      </c>
    </row>
    <row r="61" spans="1:72" ht="12.75" customHeight="1">
      <c r="A61" s="813" t="s">
        <v>360</v>
      </c>
      <c r="B61" s="820" t="s">
        <v>382</v>
      </c>
      <c r="C61" s="5">
        <v>0</v>
      </c>
      <c r="D61" s="5">
        <v>0</v>
      </c>
      <c r="E61" s="5">
        <v>0</v>
      </c>
      <c r="F61" s="5">
        <v>0</v>
      </c>
      <c r="G61" s="5">
        <v>0</v>
      </c>
      <c r="H61" s="5">
        <v>0</v>
      </c>
      <c r="I61" s="5">
        <v>0</v>
      </c>
      <c r="J61" s="5">
        <v>0</v>
      </c>
      <c r="K61" s="5">
        <v>0</v>
      </c>
      <c r="L61" s="5">
        <v>0</v>
      </c>
      <c r="M61" s="5">
        <v>0</v>
      </c>
      <c r="N61" s="5">
        <v>0</v>
      </c>
      <c r="O61" s="5">
        <v>0</v>
      </c>
      <c r="P61" s="5">
        <v>0</v>
      </c>
      <c r="Q61" s="5">
        <v>0</v>
      </c>
      <c r="R61" s="5">
        <v>0</v>
      </c>
      <c r="S61" s="5">
        <v>0</v>
      </c>
      <c r="T61" s="5">
        <v>0</v>
      </c>
      <c r="U61" s="5">
        <v>0</v>
      </c>
      <c r="V61" s="5">
        <v>0</v>
      </c>
      <c r="W61" s="5">
        <v>0</v>
      </c>
      <c r="X61" s="5">
        <v>0</v>
      </c>
      <c r="Y61" s="5">
        <v>0</v>
      </c>
      <c r="Z61" s="5">
        <v>0</v>
      </c>
      <c r="AA61" s="5">
        <v>0</v>
      </c>
      <c r="AB61" s="5">
        <v>0</v>
      </c>
      <c r="AC61" s="5">
        <v>0</v>
      </c>
      <c r="AD61" s="5">
        <v>0</v>
      </c>
      <c r="AE61" s="5">
        <v>0</v>
      </c>
      <c r="AF61" s="5">
        <v>0</v>
      </c>
      <c r="AG61" s="5">
        <v>0</v>
      </c>
      <c r="AH61" s="5">
        <v>0</v>
      </c>
      <c r="AI61" s="5">
        <v>0</v>
      </c>
      <c r="AJ61" s="5">
        <v>0</v>
      </c>
      <c r="AK61" s="5">
        <v>0</v>
      </c>
      <c r="AL61" s="5">
        <v>0</v>
      </c>
      <c r="AM61" s="5">
        <v>0</v>
      </c>
      <c r="AN61" s="5">
        <v>0</v>
      </c>
      <c r="AO61" s="5">
        <v>0</v>
      </c>
      <c r="AP61" s="5">
        <v>0</v>
      </c>
      <c r="AQ61" s="5">
        <v>0.70699999999999996</v>
      </c>
      <c r="AR61" s="5">
        <v>0.83299999999999996</v>
      </c>
      <c r="AS61" s="5">
        <v>0.73</v>
      </c>
      <c r="AT61" s="5">
        <v>0.69899999999999995</v>
      </c>
      <c r="AU61" s="5">
        <v>5.0000000000000001E-3</v>
      </c>
      <c r="AV61" s="5">
        <v>0</v>
      </c>
      <c r="AW61" s="815">
        <v>0</v>
      </c>
      <c r="AX61" s="826">
        <v>0</v>
      </c>
      <c r="AY61" s="819">
        <v>0</v>
      </c>
      <c r="AZ61" s="816">
        <v>0</v>
      </c>
      <c r="BA61" s="818"/>
      <c r="BB61" s="802" t="str" cm="1">
        <f t="array" ref="BB61">INDEX(C$4:BA$4,MATCH(TRUE,INDEX(C61:BA61&lt;&gt;0,),0))</f>
        <v>2018-19</v>
      </c>
      <c r="BC61" s="803" t="str" cm="1">
        <f t="array" ref="BC61">LOOKUP(2,1/(C61:BA61&lt;&gt;0),$C$4:$BA$4)</f>
        <v>2022-23</v>
      </c>
      <c r="BD61" s="804">
        <f>COUNTIF(RDprograms[[#This Row],[1978-79]:[2028-29]], "&gt;0")</f>
        <v>5</v>
      </c>
      <c r="BE61" s="805">
        <f>SUM(C61:BA61)/RDprograms[[#This Row],[Years with &gt; $0 investment]]</f>
        <v>0.5948</v>
      </c>
      <c r="BF61" s="806" t="s">
        <v>273</v>
      </c>
      <c r="BG61" s="807" t="s">
        <v>362</v>
      </c>
      <c r="BH61" s="807" t="s">
        <v>258</v>
      </c>
      <c r="BI61" s="809"/>
      <c r="BJ61" s="809"/>
      <c r="BK61" s="809"/>
      <c r="BL61" s="809"/>
      <c r="BM61" s="809"/>
      <c r="BN61" s="810"/>
      <c r="BO61" s="811" t="s">
        <v>236</v>
      </c>
      <c r="BP61" s="812" t="s">
        <v>383</v>
      </c>
      <c r="BQ61" s="812"/>
      <c r="BR61" s="812"/>
      <c r="BS61" s="812"/>
      <c r="BT61" s="828" t="s">
        <v>277</v>
      </c>
    </row>
    <row r="62" spans="1:72" ht="12.75" customHeight="1">
      <c r="A62" s="813" t="s">
        <v>360</v>
      </c>
      <c r="B62" s="820" t="s">
        <v>384</v>
      </c>
      <c r="C62" s="5">
        <v>0</v>
      </c>
      <c r="D62" s="5">
        <v>0</v>
      </c>
      <c r="E62" s="5">
        <v>0</v>
      </c>
      <c r="F62" s="5">
        <v>0</v>
      </c>
      <c r="G62" s="5">
        <v>0</v>
      </c>
      <c r="H62" s="5">
        <v>0</v>
      </c>
      <c r="I62" s="5">
        <v>0</v>
      </c>
      <c r="J62" s="5">
        <v>0</v>
      </c>
      <c r="K62" s="5">
        <v>0</v>
      </c>
      <c r="L62" s="5">
        <v>0</v>
      </c>
      <c r="M62" s="5">
        <v>0</v>
      </c>
      <c r="N62" s="5">
        <v>0</v>
      </c>
      <c r="O62" s="5">
        <v>0</v>
      </c>
      <c r="P62" s="5">
        <v>0</v>
      </c>
      <c r="Q62" s="5">
        <v>0</v>
      </c>
      <c r="R62" s="5">
        <v>0</v>
      </c>
      <c r="S62" s="5">
        <v>0</v>
      </c>
      <c r="T62" s="5">
        <v>0</v>
      </c>
      <c r="U62" s="5">
        <v>0</v>
      </c>
      <c r="V62" s="5">
        <v>0</v>
      </c>
      <c r="W62" s="5">
        <v>0</v>
      </c>
      <c r="X62" s="5">
        <v>0</v>
      </c>
      <c r="Y62" s="5">
        <v>0</v>
      </c>
      <c r="Z62" s="5">
        <v>0</v>
      </c>
      <c r="AA62" s="5">
        <v>5.5110000000000001</v>
      </c>
      <c r="AB62" s="5">
        <v>3.3384</v>
      </c>
      <c r="AC62" s="5">
        <v>3.2290000000000001</v>
      </c>
      <c r="AD62" s="5">
        <v>2.9689999999999999</v>
      </c>
      <c r="AE62" s="5">
        <v>4.0090000000000003</v>
      </c>
      <c r="AF62" s="5">
        <v>4.4960000000000004</v>
      </c>
      <c r="AG62" s="5">
        <v>4.4939999999999998</v>
      </c>
      <c r="AH62" s="5">
        <v>4.1829999999999998</v>
      </c>
      <c r="AI62" s="5">
        <v>4.4960000000000004</v>
      </c>
      <c r="AJ62" s="5">
        <v>4.2080000000000002</v>
      </c>
      <c r="AK62" s="5">
        <v>2.9780000000000002</v>
      </c>
      <c r="AL62" s="5">
        <v>2.8109999999999999</v>
      </c>
      <c r="AM62" s="5">
        <v>2.9729999999999999</v>
      </c>
      <c r="AN62" s="5">
        <v>2.95</v>
      </c>
      <c r="AO62" s="5">
        <v>3.0449999999999999</v>
      </c>
      <c r="AP62" s="5">
        <v>2.9</v>
      </c>
      <c r="AQ62" s="5">
        <v>2</v>
      </c>
      <c r="AR62" s="5">
        <v>2.2999999999999998</v>
      </c>
      <c r="AS62" s="5">
        <v>2.4420000000000002</v>
      </c>
      <c r="AT62" s="5">
        <v>1.972</v>
      </c>
      <c r="AU62" s="5">
        <v>2.7320000000000002</v>
      </c>
      <c r="AV62" s="5">
        <v>2.585</v>
      </c>
      <c r="AW62" s="815">
        <v>2.8290000000000002</v>
      </c>
      <c r="AX62" s="826">
        <v>2.9550000000000001</v>
      </c>
      <c r="AY62" s="819">
        <v>1.98</v>
      </c>
      <c r="AZ62" s="816">
        <v>1.98</v>
      </c>
      <c r="BA62" s="818">
        <v>1.98</v>
      </c>
      <c r="BB62" s="802" t="str" cm="1">
        <f t="array" ref="BB62">INDEX(C$4:BA$4,MATCH(TRUE,INDEX(C62:BA62&lt;&gt;0,),0))</f>
        <v>2002-03</v>
      </c>
      <c r="BC62" s="803" t="str" cm="1">
        <f t="array" ref="BC62">LOOKUP(2,1/(C62:BA62&lt;&gt;0),$C$4:$BA$4)</f>
        <v>2028-29</v>
      </c>
      <c r="BD62" s="804">
        <f>COUNTIF(RDprograms[[#This Row],[1978-79]:[2028-29]], "&gt;0")</f>
        <v>27</v>
      </c>
      <c r="BE62" s="805">
        <f>SUM(C62:BA62)/RDprograms[[#This Row],[Years with &gt; $0 investment]]</f>
        <v>3.1239037037037036</v>
      </c>
      <c r="BF62" s="806" t="s">
        <v>273</v>
      </c>
      <c r="BG62" s="807" t="s">
        <v>362</v>
      </c>
      <c r="BH62" s="807" t="s">
        <v>258</v>
      </c>
      <c r="BI62" s="809"/>
      <c r="BJ62" s="809"/>
      <c r="BK62" s="809"/>
      <c r="BL62" s="809"/>
      <c r="BM62" s="809"/>
      <c r="BN62" s="810">
        <v>1</v>
      </c>
      <c r="BO62" s="811" t="s">
        <v>236</v>
      </c>
      <c r="BP62" s="812" t="s">
        <v>385</v>
      </c>
      <c r="BQ62" s="812"/>
      <c r="BR62" s="812"/>
      <c r="BS62" s="812"/>
      <c r="BT62" s="812" t="s">
        <v>386</v>
      </c>
    </row>
    <row r="63" spans="1:72" ht="12.75" customHeight="1">
      <c r="A63" s="813" t="s">
        <v>387</v>
      </c>
      <c r="B63" s="820" t="s">
        <v>388</v>
      </c>
      <c r="C63" s="5">
        <v>0</v>
      </c>
      <c r="D63" s="5">
        <v>0</v>
      </c>
      <c r="E63" s="5">
        <v>0</v>
      </c>
      <c r="F63" s="5">
        <v>0</v>
      </c>
      <c r="G63" s="5">
        <v>0</v>
      </c>
      <c r="H63" s="5">
        <v>0</v>
      </c>
      <c r="I63" s="5">
        <v>0</v>
      </c>
      <c r="J63" s="5">
        <v>0</v>
      </c>
      <c r="K63" s="5">
        <v>0</v>
      </c>
      <c r="L63" s="5">
        <v>0</v>
      </c>
      <c r="M63" s="5">
        <v>0</v>
      </c>
      <c r="N63" s="5">
        <v>0</v>
      </c>
      <c r="O63" s="5">
        <v>0</v>
      </c>
      <c r="P63" s="5">
        <v>0</v>
      </c>
      <c r="Q63" s="5">
        <v>0</v>
      </c>
      <c r="R63" s="5">
        <v>0</v>
      </c>
      <c r="S63" s="5">
        <v>0</v>
      </c>
      <c r="T63" s="5">
        <v>0</v>
      </c>
      <c r="U63" s="5">
        <v>0</v>
      </c>
      <c r="V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c r="AQ63" s="5">
        <v>0</v>
      </c>
      <c r="AR63" s="5">
        <v>0</v>
      </c>
      <c r="AS63" s="5">
        <v>0</v>
      </c>
      <c r="AT63" s="5">
        <v>0</v>
      </c>
      <c r="AU63" s="5">
        <v>0</v>
      </c>
      <c r="AV63" s="5">
        <v>0</v>
      </c>
      <c r="AW63" s="815">
        <v>0.65900000000000003</v>
      </c>
      <c r="AX63" s="826">
        <v>3.3410000000000002</v>
      </c>
      <c r="AY63" s="819">
        <v>4</v>
      </c>
      <c r="AZ63" s="816">
        <v>4</v>
      </c>
      <c r="BA63" s="818">
        <v>4</v>
      </c>
      <c r="BB63" s="802" t="str" cm="1">
        <f t="array" ref="BB63">INDEX(C$4:BA$4,MATCH(TRUE,INDEX(C63:BA63&lt;&gt;0,),0))</f>
        <v>2024-25</v>
      </c>
      <c r="BC63" s="803" t="str" cm="1">
        <f t="array" ref="BC63">LOOKUP(2,1/(C63:BA63&lt;&gt;0),$C$4:$BA$4)</f>
        <v>2028-29</v>
      </c>
      <c r="BD63" s="804">
        <f>COUNTIF(RDprograms[[#This Row],[1978-79]:[2028-29]], "&gt;0")</f>
        <v>5</v>
      </c>
      <c r="BE63" s="805">
        <f>SUM(C63:BA63)/RDprograms[[#This Row],[Years with &gt; $0 investment]]</f>
        <v>3.2</v>
      </c>
      <c r="BF63" s="806" t="s">
        <v>233</v>
      </c>
      <c r="BG63" s="807" t="s">
        <v>389</v>
      </c>
      <c r="BH63" s="807" t="s">
        <v>390</v>
      </c>
      <c r="BI63" s="809">
        <v>1</v>
      </c>
      <c r="BJ63" s="809"/>
      <c r="BK63" s="809"/>
      <c r="BL63" s="809"/>
      <c r="BM63" s="809">
        <v>1</v>
      </c>
      <c r="BN63" s="810"/>
      <c r="BO63" s="811" t="s">
        <v>236</v>
      </c>
      <c r="BP63" s="812" t="s">
        <v>391</v>
      </c>
      <c r="BQ63" s="812"/>
      <c r="BR63" s="812"/>
      <c r="BS63" s="812"/>
      <c r="BT63" s="812"/>
    </row>
    <row r="64" spans="1:72" ht="12.75" customHeight="1">
      <c r="A64" s="813" t="s">
        <v>387</v>
      </c>
      <c r="B64" s="820" t="s">
        <v>392</v>
      </c>
      <c r="C64" s="5">
        <v>12.1</v>
      </c>
      <c r="D64" s="5">
        <v>20.8</v>
      </c>
      <c r="E64" s="5">
        <v>22.8</v>
      </c>
      <c r="F64" s="5">
        <v>21.6</v>
      </c>
      <c r="G64" s="5">
        <v>32</v>
      </c>
      <c r="H64" s="5">
        <v>35.200000000000003</v>
      </c>
      <c r="I64" s="5">
        <v>37.4</v>
      </c>
      <c r="J64" s="5">
        <v>42.2</v>
      </c>
      <c r="K64" s="5">
        <v>47.4</v>
      </c>
      <c r="L64" s="5">
        <v>49.2</v>
      </c>
      <c r="M64" s="5">
        <v>46.3</v>
      </c>
      <c r="N64" s="5">
        <v>57.7</v>
      </c>
      <c r="O64" s="5">
        <v>62.8</v>
      </c>
      <c r="P64" s="5">
        <v>67.3</v>
      </c>
      <c r="Q64" s="5">
        <v>65.400000000000006</v>
      </c>
      <c r="R64" s="5">
        <v>61</v>
      </c>
      <c r="S64" s="5">
        <v>61.3</v>
      </c>
      <c r="T64" s="5">
        <v>63.1</v>
      </c>
      <c r="U64" s="5">
        <v>59.4</v>
      </c>
      <c r="V64" s="5">
        <v>61.9</v>
      </c>
      <c r="W64" s="5">
        <v>62.7</v>
      </c>
      <c r="X64" s="5">
        <v>80.099999999999994</v>
      </c>
      <c r="Y64" s="5">
        <v>83.8</v>
      </c>
      <c r="Z64" s="5">
        <v>91.989000000000004</v>
      </c>
      <c r="AA64" s="5">
        <v>84.6</v>
      </c>
      <c r="AB64" s="5">
        <v>85.5</v>
      </c>
      <c r="AC64" s="5">
        <v>86.5</v>
      </c>
      <c r="AD64" s="5">
        <v>94.6</v>
      </c>
      <c r="AE64" s="5">
        <v>99.6</v>
      </c>
      <c r="AF64" s="5">
        <v>105.5</v>
      </c>
      <c r="AG64" s="5">
        <v>104.6</v>
      </c>
      <c r="AH64" s="5">
        <v>116.851</v>
      </c>
      <c r="AI64" s="5">
        <v>101.58799999999999</v>
      </c>
      <c r="AJ64" s="5">
        <v>103.075</v>
      </c>
      <c r="AK64" s="5">
        <v>101.78</v>
      </c>
      <c r="AL64" s="5">
        <v>104.46</v>
      </c>
      <c r="AM64" s="5">
        <v>94.781000000000006</v>
      </c>
      <c r="AN64" s="5">
        <v>93.863</v>
      </c>
      <c r="AO64" s="5">
        <v>108.422</v>
      </c>
      <c r="AP64" s="5">
        <v>105.61799999999999</v>
      </c>
      <c r="AQ64" s="5">
        <v>113.643</v>
      </c>
      <c r="AR64" s="5">
        <v>123.44</v>
      </c>
      <c r="AS64" s="5">
        <v>197.25700000000001</v>
      </c>
      <c r="AT64" s="5">
        <v>216.471</v>
      </c>
      <c r="AU64" s="5">
        <v>206.67099999999999</v>
      </c>
      <c r="AV64" s="5">
        <v>276.22399999999999</v>
      </c>
      <c r="AW64" s="815">
        <v>257.952</v>
      </c>
      <c r="AX64" s="826">
        <v>274.95299999999997</v>
      </c>
      <c r="AY64" s="819">
        <v>240.108</v>
      </c>
      <c r="AZ64" s="816">
        <v>247.608</v>
      </c>
      <c r="BA64" s="818">
        <v>249.136</v>
      </c>
      <c r="BB64" s="802" t="str" cm="1">
        <f t="array" ref="BB64">INDEX(C$4:BA$4,MATCH(TRUE,INDEX(C64:BA64&lt;&gt;0,),0))</f>
        <v>1978-79</v>
      </c>
      <c r="BC64" s="803" t="str" cm="1">
        <f t="array" ref="BC64">LOOKUP(2,1/(C64:BA64&lt;&gt;0),$C$4:$BA$4)</f>
        <v>2028-29</v>
      </c>
      <c r="BD64" s="804">
        <f>COUNTIF(RDprograms[[#This Row],[1978-79]:[2028-29]], "&gt;0")</f>
        <v>51</v>
      </c>
      <c r="BE64" s="805">
        <f>SUM(C64:BA64)/RDprograms[[#This Row],[Years with &gt; $0 investment]]</f>
        <v>102.7507843137255</v>
      </c>
      <c r="BF64" s="806" t="s">
        <v>273</v>
      </c>
      <c r="BG64" s="807" t="s">
        <v>393</v>
      </c>
      <c r="BH64" s="807" t="s">
        <v>258</v>
      </c>
      <c r="BI64" s="809"/>
      <c r="BJ64" s="809"/>
      <c r="BK64" s="809"/>
      <c r="BL64" s="809">
        <v>1</v>
      </c>
      <c r="BM64" s="809"/>
      <c r="BN64" s="810"/>
      <c r="BO64" s="811" t="s">
        <v>236</v>
      </c>
      <c r="BP64" s="812" t="s">
        <v>394</v>
      </c>
      <c r="BQ64" s="812" t="s">
        <v>395</v>
      </c>
      <c r="BR64" s="812"/>
      <c r="BS64" s="812"/>
      <c r="BT64" s="812"/>
    </row>
    <row r="65" spans="1:72" ht="12.75" customHeight="1">
      <c r="A65" s="813" t="s">
        <v>387</v>
      </c>
      <c r="B65" s="820" t="s">
        <v>396</v>
      </c>
      <c r="C65" s="5">
        <v>0.2</v>
      </c>
      <c r="D65" s="5">
        <v>0.2</v>
      </c>
      <c r="E65" s="5">
        <v>0.6</v>
      </c>
      <c r="F65" s="5">
        <v>0.8</v>
      </c>
      <c r="G65" s="5">
        <v>1</v>
      </c>
      <c r="H65" s="5">
        <v>1.1000000000000001</v>
      </c>
      <c r="I65" s="5">
        <v>1.2</v>
      </c>
      <c r="J65" s="5">
        <v>1.2</v>
      </c>
      <c r="K65" s="5">
        <v>1</v>
      </c>
      <c r="L65" s="5">
        <v>1.1000000000000001</v>
      </c>
      <c r="M65" s="5">
        <v>1.3</v>
      </c>
      <c r="N65" s="5">
        <v>1.6</v>
      </c>
      <c r="O65" s="5">
        <v>1.2</v>
      </c>
      <c r="P65" s="5">
        <v>2</v>
      </c>
      <c r="Q65" s="5">
        <v>2.2999999999999998</v>
      </c>
      <c r="R65" s="5">
        <v>2.2999999999999998</v>
      </c>
      <c r="S65" s="5">
        <v>2</v>
      </c>
      <c r="T65" s="5">
        <v>1.8</v>
      </c>
      <c r="U65" s="5">
        <v>1.3</v>
      </c>
      <c r="V65" s="5">
        <v>1</v>
      </c>
      <c r="W65" s="5">
        <v>1.4</v>
      </c>
      <c r="X65" s="5">
        <v>2</v>
      </c>
      <c r="Y65" s="5">
        <v>1.6</v>
      </c>
      <c r="Z65" s="5">
        <v>4.5</v>
      </c>
      <c r="AA65" s="5">
        <v>3.7</v>
      </c>
      <c r="AB65" s="5">
        <v>3.1</v>
      </c>
      <c r="AC65" s="5">
        <v>3</v>
      </c>
      <c r="AD65" s="5">
        <v>3</v>
      </c>
      <c r="AE65" s="5">
        <v>1.9</v>
      </c>
      <c r="AF65" s="5">
        <v>2.0299999999999998</v>
      </c>
      <c r="AG65" s="5">
        <v>2.0299999999999998</v>
      </c>
      <c r="AH65" s="5">
        <v>2.0299999999999998</v>
      </c>
      <c r="AI65" s="5">
        <v>2.028</v>
      </c>
      <c r="AJ65" s="5">
        <v>2.0299999999999998</v>
      </c>
      <c r="AK65" s="5">
        <v>1.97</v>
      </c>
      <c r="AL65" s="5">
        <v>2.0299999999999998</v>
      </c>
      <c r="AM65" s="5">
        <v>2.0299999999999998</v>
      </c>
      <c r="AN65" s="5">
        <v>2.0299999999999998</v>
      </c>
      <c r="AO65" s="5">
        <v>2.0299999999999998</v>
      </c>
      <c r="AP65" s="5">
        <v>2.0299999999999998</v>
      </c>
      <c r="AQ65" s="5">
        <v>2.0299999999999998</v>
      </c>
      <c r="AR65" s="5">
        <v>2.0299999999999998</v>
      </c>
      <c r="AS65" s="5">
        <v>2.0299999999999998</v>
      </c>
      <c r="AT65" s="5">
        <v>2.0299999999999998</v>
      </c>
      <c r="AU65" s="5">
        <v>1.9770000000000001</v>
      </c>
      <c r="AV65" s="5">
        <v>2.0299999999999998</v>
      </c>
      <c r="AW65" s="815">
        <v>2.0299999999999998</v>
      </c>
      <c r="AX65" s="826">
        <v>2.0299999999999998</v>
      </c>
      <c r="AY65" s="819">
        <v>2.0299999999999998</v>
      </c>
      <c r="AZ65" s="816">
        <v>2.0299999999999998</v>
      </c>
      <c r="BA65" s="818">
        <v>2.0299999999999998</v>
      </c>
      <c r="BB65" s="802" t="str" cm="1">
        <f t="array" ref="BB65">INDEX(C$4:BA$4,MATCH(TRUE,INDEX(C65:BA65&lt;&gt;0,),0))</f>
        <v>1978-79</v>
      </c>
      <c r="BC65" s="803" t="str" cm="1">
        <f t="array" ref="BC65">LOOKUP(2,1/(C65:BA65&lt;&gt;0),$C$4:$BA$4)</f>
        <v>2028-29</v>
      </c>
      <c r="BD65" s="804">
        <f>COUNTIF(RDprograms[[#This Row],[1978-79]:[2028-29]], "&gt;0")</f>
        <v>51</v>
      </c>
      <c r="BE65" s="805">
        <f>SUM(C65:BA65)/RDprograms[[#This Row],[Years with &gt; $0 investment]]</f>
        <v>1.8420588235294122</v>
      </c>
      <c r="BF65" s="806" t="s">
        <v>233</v>
      </c>
      <c r="BG65" s="807" t="s">
        <v>397</v>
      </c>
      <c r="BH65" s="807" t="s">
        <v>390</v>
      </c>
      <c r="BI65" s="809"/>
      <c r="BJ65" s="809"/>
      <c r="BK65" s="809"/>
      <c r="BL65" s="809">
        <v>1</v>
      </c>
      <c r="BM65" s="809"/>
      <c r="BN65" s="810"/>
      <c r="BO65" s="811" t="s">
        <v>236</v>
      </c>
      <c r="BP65" s="812" t="s">
        <v>398</v>
      </c>
      <c r="BQ65" s="812"/>
      <c r="BR65" s="812"/>
      <c r="BS65" s="812"/>
      <c r="BT65" s="812"/>
    </row>
    <row r="66" spans="1:72" ht="12.75" customHeight="1">
      <c r="A66" s="813" t="s">
        <v>387</v>
      </c>
      <c r="B66" s="820" t="s">
        <v>399</v>
      </c>
      <c r="C66" s="5">
        <v>0</v>
      </c>
      <c r="D66" s="5">
        <v>0</v>
      </c>
      <c r="E66" s="5">
        <v>0</v>
      </c>
      <c r="F66" s="5">
        <v>0</v>
      </c>
      <c r="G66" s="5">
        <v>0</v>
      </c>
      <c r="H66" s="5">
        <v>0</v>
      </c>
      <c r="I66" s="5">
        <v>0</v>
      </c>
      <c r="J66" s="5">
        <v>0</v>
      </c>
      <c r="K66" s="5">
        <v>0</v>
      </c>
      <c r="L66" s="5">
        <v>0</v>
      </c>
      <c r="M66" s="5">
        <v>0</v>
      </c>
      <c r="N66" s="5">
        <v>0</v>
      </c>
      <c r="O66" s="5">
        <v>0</v>
      </c>
      <c r="P66" s="5">
        <v>0</v>
      </c>
      <c r="Q66" s="5">
        <v>0</v>
      </c>
      <c r="R66" s="5">
        <v>0</v>
      </c>
      <c r="S66" s="5">
        <v>0</v>
      </c>
      <c r="T66" s="5">
        <v>0</v>
      </c>
      <c r="U66" s="5">
        <v>0</v>
      </c>
      <c r="V66" s="5">
        <v>0</v>
      </c>
      <c r="W66" s="5">
        <v>0</v>
      </c>
      <c r="X66" s="5">
        <v>0</v>
      </c>
      <c r="Y66" s="5">
        <v>0</v>
      </c>
      <c r="Z66" s="5">
        <v>0</v>
      </c>
      <c r="AA66" s="5">
        <v>0</v>
      </c>
      <c r="AB66" s="5">
        <v>0</v>
      </c>
      <c r="AC66" s="5">
        <v>7.8</v>
      </c>
      <c r="AD66" s="5">
        <v>7.8</v>
      </c>
      <c r="AE66" s="5">
        <v>7.8</v>
      </c>
      <c r="AF66" s="5">
        <v>7.8</v>
      </c>
      <c r="AG66" s="5">
        <v>7.8</v>
      </c>
      <c r="AH66" s="5">
        <v>7.8</v>
      </c>
      <c r="AI66" s="5">
        <v>7.8</v>
      </c>
      <c r="AJ66" s="5">
        <v>7.8</v>
      </c>
      <c r="AK66" s="5">
        <v>7.45</v>
      </c>
      <c r="AL66" s="5">
        <v>6.1159999999999997</v>
      </c>
      <c r="AM66" s="5">
        <v>5.734</v>
      </c>
      <c r="AN66" s="5">
        <v>5.734</v>
      </c>
      <c r="AO66" s="5">
        <v>0</v>
      </c>
      <c r="AP66" s="5">
        <v>0</v>
      </c>
      <c r="AQ66" s="5">
        <v>0</v>
      </c>
      <c r="AR66" s="5">
        <v>0</v>
      </c>
      <c r="AS66" s="5">
        <v>0</v>
      </c>
      <c r="AT66" s="5">
        <v>0</v>
      </c>
      <c r="AU66" s="5">
        <v>0</v>
      </c>
      <c r="AV66" s="5">
        <v>0</v>
      </c>
      <c r="AW66" s="815">
        <v>0</v>
      </c>
      <c r="AX66" s="826">
        <v>0</v>
      </c>
      <c r="AY66" s="819">
        <v>0</v>
      </c>
      <c r="AZ66" s="816"/>
      <c r="BA66" s="818"/>
      <c r="BB66" s="802" t="str" cm="1">
        <f t="array" ref="BB66">INDEX(C$4:BA$4,MATCH(TRUE,INDEX(C66:BA66&lt;&gt;0,),0))</f>
        <v>2004-05</v>
      </c>
      <c r="BC66" s="803" t="str" cm="1">
        <f t="array" ref="BC66">LOOKUP(2,1/(C66:BA66&lt;&gt;0),$C$4:$BA$4)</f>
        <v>2015-16</v>
      </c>
      <c r="BD66" s="804">
        <f>COUNTIF(RDprograms[[#This Row],[1978-79]:[2028-29]], "&gt;0")</f>
        <v>12</v>
      </c>
      <c r="BE66" s="805">
        <f>SUM(C66:BA66)/RDprograms[[#This Row],[Years with &gt; $0 investment]]</f>
        <v>7.2861666666666656</v>
      </c>
      <c r="BF66" s="806" t="s">
        <v>249</v>
      </c>
      <c r="BG66" s="807" t="s">
        <v>393</v>
      </c>
      <c r="BH66" s="807" t="s">
        <v>390</v>
      </c>
      <c r="BI66" s="809"/>
      <c r="BJ66" s="809"/>
      <c r="BK66" s="809"/>
      <c r="BL66" s="809"/>
      <c r="BM66" s="809"/>
      <c r="BN66" s="810"/>
      <c r="BO66" s="811" t="s">
        <v>236</v>
      </c>
      <c r="BP66" s="812" t="s">
        <v>400</v>
      </c>
      <c r="BQ66" s="812" t="s">
        <v>401</v>
      </c>
      <c r="BR66" s="812"/>
      <c r="BS66" s="812"/>
      <c r="BT66" s="812" t="s">
        <v>238</v>
      </c>
    </row>
    <row r="67" spans="1:72" ht="12.75" customHeight="1">
      <c r="A67" s="813" t="s">
        <v>387</v>
      </c>
      <c r="B67" s="820" t="s">
        <v>402</v>
      </c>
      <c r="C67" s="5">
        <v>2.7</v>
      </c>
      <c r="D67" s="5">
        <v>3.5</v>
      </c>
      <c r="E67" s="5">
        <v>5.2</v>
      </c>
      <c r="F67" s="5">
        <v>5.7</v>
      </c>
      <c r="G67" s="5">
        <v>6.4</v>
      </c>
      <c r="H67" s="5">
        <v>6.9</v>
      </c>
      <c r="I67" s="5">
        <v>7.4</v>
      </c>
      <c r="J67" s="5">
        <v>7.6</v>
      </c>
      <c r="K67" s="5">
        <v>8.1999999999999993</v>
      </c>
      <c r="L67" s="5">
        <v>9.5</v>
      </c>
      <c r="M67" s="5">
        <v>11</v>
      </c>
      <c r="N67" s="5">
        <v>11.4</v>
      </c>
      <c r="O67" s="5">
        <v>13.6</v>
      </c>
      <c r="P67" s="5">
        <v>14.2</v>
      </c>
      <c r="Q67" s="5">
        <v>14.2</v>
      </c>
      <c r="R67" s="5">
        <v>16.899999999999999</v>
      </c>
      <c r="S67" s="5">
        <v>16.5</v>
      </c>
      <c r="T67" s="5">
        <v>16.600000000000001</v>
      </c>
      <c r="U67" s="5">
        <v>16.399999999999999</v>
      </c>
      <c r="V67" s="5">
        <v>16.399999999999999</v>
      </c>
      <c r="W67" s="5">
        <v>18.5</v>
      </c>
      <c r="X67" s="5">
        <v>21.1</v>
      </c>
      <c r="Y67" s="5">
        <v>21.4</v>
      </c>
      <c r="Z67" s="5">
        <v>22.4</v>
      </c>
      <c r="AA67" s="5">
        <v>24.27</v>
      </c>
      <c r="AB67" s="5">
        <v>22.134</v>
      </c>
      <c r="AC67" s="5">
        <v>22.483000000000001</v>
      </c>
      <c r="AD67" s="5">
        <v>23.125</v>
      </c>
      <c r="AE67" s="5">
        <v>24.47</v>
      </c>
      <c r="AF67" s="5">
        <v>26.629999999999995</v>
      </c>
      <c r="AG67" s="5">
        <v>27.626000000000001</v>
      </c>
      <c r="AH67" s="5">
        <v>30.413</v>
      </c>
      <c r="AI67" s="5">
        <v>30.882999999999999</v>
      </c>
      <c r="AJ67" s="5">
        <v>31.245000000000001</v>
      </c>
      <c r="AK67" s="5">
        <v>31.484000000000002</v>
      </c>
      <c r="AL67" s="5">
        <v>33.280000000000008</v>
      </c>
      <c r="AM67" s="5">
        <v>38.795999999999999</v>
      </c>
      <c r="AN67" s="5">
        <v>40.482999999999997</v>
      </c>
      <c r="AO67" s="5">
        <v>41.552</v>
      </c>
      <c r="AP67" s="5">
        <v>44.846999999999994</v>
      </c>
      <c r="AQ67" s="5">
        <v>47.377000000000002</v>
      </c>
      <c r="AR67" s="5">
        <v>37.57</v>
      </c>
      <c r="AS67" s="5">
        <v>36.414000000000001</v>
      </c>
      <c r="AT67" s="5">
        <v>49.585000000000001</v>
      </c>
      <c r="AU67" s="5">
        <v>62.194000000000003</v>
      </c>
      <c r="AV67" s="5">
        <v>68.304000000000002</v>
      </c>
      <c r="AW67" s="815">
        <v>84.589377999999996</v>
      </c>
      <c r="AX67" s="826">
        <v>80.346999999999994</v>
      </c>
      <c r="AY67" s="819">
        <v>73.864999999999995</v>
      </c>
      <c r="AZ67" s="816">
        <v>76.858000000000004</v>
      </c>
      <c r="BA67" s="818">
        <v>77.185000000000002</v>
      </c>
      <c r="BB67" s="802" t="str" cm="1">
        <f t="array" ref="BB67">INDEX(C$4:BA$4,MATCH(TRUE,INDEX(C67:BA67&lt;&gt;0,),0))</f>
        <v>1978-79</v>
      </c>
      <c r="BC67" s="803" t="str" cm="1">
        <f t="array" ref="BC67">LOOKUP(2,1/(C67:BA67&lt;&gt;0),$C$4:$BA$4)</f>
        <v>2028-29</v>
      </c>
      <c r="BD67" s="804">
        <f>COUNTIF(RDprograms[[#This Row],[1978-79]:[2028-29]], "&gt;0")</f>
        <v>51</v>
      </c>
      <c r="BE67" s="805">
        <f>SUM(C67:BA67)/RDprograms[[#This Row],[Years with &gt; $0 investment]]</f>
        <v>29.053125058823525</v>
      </c>
      <c r="BF67" s="806" t="s">
        <v>273</v>
      </c>
      <c r="BG67" s="807" t="s">
        <v>403</v>
      </c>
      <c r="BH67" s="807" t="s">
        <v>258</v>
      </c>
      <c r="BI67" s="809">
        <v>1</v>
      </c>
      <c r="BJ67" s="809"/>
      <c r="BK67" s="809">
        <v>1</v>
      </c>
      <c r="BL67" s="809">
        <v>1</v>
      </c>
      <c r="BM67" s="809">
        <v>1</v>
      </c>
      <c r="BN67" s="810"/>
      <c r="BO67" s="811" t="s">
        <v>236</v>
      </c>
      <c r="BP67" s="812" t="s">
        <v>404</v>
      </c>
      <c r="BQ67" s="812"/>
      <c r="BR67" s="812"/>
      <c r="BS67" s="812"/>
      <c r="BT67" s="812"/>
    </row>
    <row r="68" spans="1:72" ht="12.75" customHeight="1">
      <c r="A68" s="813" t="s">
        <v>387</v>
      </c>
      <c r="B68" s="820" t="s">
        <v>405</v>
      </c>
      <c r="C68" s="5">
        <v>0</v>
      </c>
      <c r="D68" s="5">
        <v>0</v>
      </c>
      <c r="E68" s="5">
        <v>0</v>
      </c>
      <c r="F68" s="5">
        <v>0</v>
      </c>
      <c r="G68" s="5">
        <v>0</v>
      </c>
      <c r="H68" s="5">
        <v>0</v>
      </c>
      <c r="I68" s="5">
        <v>0</v>
      </c>
      <c r="J68" s="5">
        <v>0</v>
      </c>
      <c r="K68" s="5">
        <v>0</v>
      </c>
      <c r="L68" s="5">
        <v>0</v>
      </c>
      <c r="M68" s="5">
        <v>0</v>
      </c>
      <c r="N68" s="5">
        <v>0</v>
      </c>
      <c r="O68" s="5">
        <v>0</v>
      </c>
      <c r="P68" s="5">
        <v>0</v>
      </c>
      <c r="Q68" s="5">
        <v>0</v>
      </c>
      <c r="R68" s="5">
        <v>0</v>
      </c>
      <c r="S68" s="5">
        <v>0</v>
      </c>
      <c r="T68" s="5">
        <v>0</v>
      </c>
      <c r="U68" s="5">
        <v>0</v>
      </c>
      <c r="V68" s="5">
        <v>0</v>
      </c>
      <c r="W68" s="5">
        <v>0</v>
      </c>
      <c r="X68" s="5">
        <v>0</v>
      </c>
      <c r="Y68" s="5">
        <v>0</v>
      </c>
      <c r="Z68" s="5">
        <v>0</v>
      </c>
      <c r="AA68" s="5">
        <v>0</v>
      </c>
      <c r="AB68" s="5">
        <v>0</v>
      </c>
      <c r="AC68" s="5">
        <v>0</v>
      </c>
      <c r="AD68" s="5">
        <v>0</v>
      </c>
      <c r="AE68" s="5">
        <v>0</v>
      </c>
      <c r="AF68" s="5">
        <v>0</v>
      </c>
      <c r="AG68" s="5">
        <v>0</v>
      </c>
      <c r="AH68" s="5">
        <v>0</v>
      </c>
      <c r="AI68" s="5">
        <v>0</v>
      </c>
      <c r="AJ68" s="5">
        <v>0</v>
      </c>
      <c r="AK68" s="5">
        <v>0.16800000000000001</v>
      </c>
      <c r="AL68" s="5">
        <v>0</v>
      </c>
      <c r="AM68" s="5">
        <v>0</v>
      </c>
      <c r="AN68" s="5">
        <v>0.58699999999999997</v>
      </c>
      <c r="AO68" s="5">
        <v>0.371</v>
      </c>
      <c r="AP68" s="5">
        <v>0</v>
      </c>
      <c r="AQ68" s="5">
        <v>0.108</v>
      </c>
      <c r="AR68" s="5">
        <v>9.0999999999999998E-2</v>
      </c>
      <c r="AS68" s="5">
        <v>0.05</v>
      </c>
      <c r="AT68" s="5">
        <v>0</v>
      </c>
      <c r="AU68" s="5">
        <v>0</v>
      </c>
      <c r="AV68" s="5">
        <v>5</v>
      </c>
      <c r="AW68" s="815">
        <v>3.6</v>
      </c>
      <c r="AX68" s="826">
        <v>0</v>
      </c>
      <c r="AY68" s="819">
        <v>0</v>
      </c>
      <c r="AZ68" s="816"/>
      <c r="BA68" s="818"/>
      <c r="BB68" s="802" t="str" cm="1">
        <f t="array" ref="BB68">INDEX(C$4:BA$4,MATCH(TRUE,INDEX(C68:BA68&lt;&gt;0,),0))</f>
        <v>2012-13</v>
      </c>
      <c r="BC68" s="803" t="str" cm="1">
        <f t="array" ref="BC68">LOOKUP(2,1/(C68:BA68&lt;&gt;0),$C$4:$BA$4)</f>
        <v>2024-25</v>
      </c>
      <c r="BD68" s="804">
        <f>COUNTIF(RDprograms[[#This Row],[1978-79]:[2028-29]], "&gt;0")</f>
        <v>8</v>
      </c>
      <c r="BE68" s="805">
        <f>SUM(C68:BA68)/RDprograms[[#This Row],[Years with &gt; $0 investment]]</f>
        <v>1.246875</v>
      </c>
      <c r="BF68" s="806" t="s">
        <v>273</v>
      </c>
      <c r="BG68" s="807" t="s">
        <v>406</v>
      </c>
      <c r="BH68" s="807" t="s">
        <v>258</v>
      </c>
      <c r="BI68" s="809"/>
      <c r="BJ68" s="809"/>
      <c r="BK68" s="809"/>
      <c r="BL68" s="809"/>
      <c r="BM68" s="809"/>
      <c r="BN68" s="810"/>
      <c r="BO68" s="811" t="s">
        <v>236</v>
      </c>
      <c r="BP68" s="812" t="s">
        <v>407</v>
      </c>
      <c r="BQ68" s="812"/>
      <c r="BR68" s="812"/>
      <c r="BS68" s="812"/>
      <c r="BT68" s="812"/>
    </row>
    <row r="69" spans="1:72" ht="12.75" customHeight="1">
      <c r="A69" s="813" t="s">
        <v>387</v>
      </c>
      <c r="B69" s="820" t="s">
        <v>408</v>
      </c>
      <c r="C69" s="5">
        <v>0</v>
      </c>
      <c r="D69" s="5">
        <v>0</v>
      </c>
      <c r="E69" s="5">
        <v>0</v>
      </c>
      <c r="F69" s="5">
        <v>0</v>
      </c>
      <c r="G69" s="5">
        <v>0</v>
      </c>
      <c r="H69" s="5">
        <v>0</v>
      </c>
      <c r="I69" s="5">
        <v>0</v>
      </c>
      <c r="J69" s="5">
        <v>0</v>
      </c>
      <c r="K69" s="5">
        <v>0</v>
      </c>
      <c r="L69" s="5">
        <v>0</v>
      </c>
      <c r="M69" s="5">
        <v>0</v>
      </c>
      <c r="N69" s="5">
        <v>0</v>
      </c>
      <c r="O69" s="5">
        <v>0</v>
      </c>
      <c r="P69" s="5">
        <v>0</v>
      </c>
      <c r="Q69" s="5">
        <v>0</v>
      </c>
      <c r="R69" s="5">
        <v>0</v>
      </c>
      <c r="S69" s="5">
        <v>0</v>
      </c>
      <c r="T69" s="5">
        <v>0</v>
      </c>
      <c r="U69" s="5">
        <v>0</v>
      </c>
      <c r="V69" s="5">
        <v>0</v>
      </c>
      <c r="W69" s="5">
        <v>0</v>
      </c>
      <c r="X69" s="5">
        <v>0</v>
      </c>
      <c r="Y69" s="5">
        <v>0</v>
      </c>
      <c r="Z69" s="5">
        <v>0</v>
      </c>
      <c r="AA69" s="5">
        <v>0</v>
      </c>
      <c r="AB69" s="5">
        <v>0</v>
      </c>
      <c r="AC69" s="5">
        <v>0</v>
      </c>
      <c r="AD69" s="5">
        <v>0</v>
      </c>
      <c r="AE69" s="5">
        <v>0</v>
      </c>
      <c r="AF69" s="5">
        <v>0</v>
      </c>
      <c r="AG69" s="5">
        <v>0</v>
      </c>
      <c r="AH69" s="5">
        <v>65.298999999999992</v>
      </c>
      <c r="AI69" s="5">
        <v>44.37</v>
      </c>
      <c r="AJ69" s="5">
        <v>74.540999999999997</v>
      </c>
      <c r="AK69" s="5">
        <v>64.861999999999995</v>
      </c>
      <c r="AL69" s="5">
        <v>265.14999999999998</v>
      </c>
      <c r="AM69" s="5">
        <v>267.27100000000002</v>
      </c>
      <c r="AN69" s="5">
        <v>168.613</v>
      </c>
      <c r="AO69" s="5">
        <v>198.42</v>
      </c>
      <c r="AP69" s="5">
        <v>259.99799999999999</v>
      </c>
      <c r="AQ69" s="5">
        <v>238.99700000000001</v>
      </c>
      <c r="AR69" s="5">
        <v>231.36799999999999</v>
      </c>
      <c r="AS69" s="5">
        <v>227.535</v>
      </c>
      <c r="AT69" s="5">
        <v>422.00900000000001</v>
      </c>
      <c r="AU69" s="5">
        <v>312.63</v>
      </c>
      <c r="AV69" s="5">
        <v>320.96300000000002</v>
      </c>
      <c r="AW69" s="815">
        <v>424.68200000000002</v>
      </c>
      <c r="AX69" s="826">
        <v>708.92200000000003</v>
      </c>
      <c r="AY69" s="819">
        <v>735.27099999999996</v>
      </c>
      <c r="AZ69" s="816">
        <v>1001.3819999999999</v>
      </c>
      <c r="BA69" s="818">
        <v>1117.3800000000001</v>
      </c>
      <c r="BB69" s="802" t="str" cm="1">
        <f t="array" ref="BB69">INDEX(C$4:BA$4,MATCH(TRUE,INDEX(C69:BA69&lt;&gt;0,),0))</f>
        <v>2009-10</v>
      </c>
      <c r="BC69" s="803" t="str" cm="1">
        <f t="array" ref="BC69">LOOKUP(2,1/(C69:BA69&lt;&gt;0),$C$4:$BA$4)</f>
        <v>2028-29</v>
      </c>
      <c r="BD69" s="804">
        <f>COUNTIF(RDprograms[[#This Row],[1978-79]:[2028-29]], "&gt;0")</f>
        <v>20</v>
      </c>
      <c r="BE69" s="805">
        <f>SUM(C69:BA69)/RDprograms[[#This Row],[Years with &gt; $0 investment]]</f>
        <v>357.48315000000002</v>
      </c>
      <c r="BF69" s="806" t="s">
        <v>273</v>
      </c>
      <c r="BG69" s="807" t="s">
        <v>409</v>
      </c>
      <c r="BH69" s="807" t="s">
        <v>390</v>
      </c>
      <c r="BI69" s="809">
        <v>1</v>
      </c>
      <c r="BJ69" s="809"/>
      <c r="BK69" s="809"/>
      <c r="BL69" s="809"/>
      <c r="BM69" s="809"/>
      <c r="BN69" s="810"/>
      <c r="BO69" s="811" t="s">
        <v>236</v>
      </c>
      <c r="BP69" s="812" t="s">
        <v>410</v>
      </c>
      <c r="BQ69" s="812" t="s">
        <v>411</v>
      </c>
      <c r="BR69" s="812"/>
      <c r="BS69" s="812"/>
      <c r="BT69" s="812" t="s">
        <v>238</v>
      </c>
    </row>
    <row r="70" spans="1:72" ht="12.75" customHeight="1">
      <c r="A70" s="813" t="s">
        <v>387</v>
      </c>
      <c r="B70" s="820" t="s">
        <v>412</v>
      </c>
      <c r="C70" s="5">
        <v>0</v>
      </c>
      <c r="D70" s="5">
        <v>0</v>
      </c>
      <c r="E70" s="5">
        <v>0</v>
      </c>
      <c r="F70" s="5">
        <v>0</v>
      </c>
      <c r="G70" s="5">
        <v>0</v>
      </c>
      <c r="H70" s="5">
        <v>0</v>
      </c>
      <c r="I70" s="5">
        <v>0</v>
      </c>
      <c r="J70" s="5">
        <v>0</v>
      </c>
      <c r="K70" s="5">
        <v>0</v>
      </c>
      <c r="L70" s="5">
        <v>0</v>
      </c>
      <c r="M70" s="5">
        <v>0</v>
      </c>
      <c r="N70" s="5">
        <v>0</v>
      </c>
      <c r="O70" s="5">
        <v>0</v>
      </c>
      <c r="P70" s="5">
        <v>0</v>
      </c>
      <c r="Q70" s="5">
        <v>0</v>
      </c>
      <c r="R70" s="5">
        <v>0</v>
      </c>
      <c r="S70" s="5">
        <v>0</v>
      </c>
      <c r="T70" s="5">
        <v>0</v>
      </c>
      <c r="U70" s="5">
        <v>0</v>
      </c>
      <c r="V70" s="5">
        <v>0</v>
      </c>
      <c r="W70" s="5">
        <v>0</v>
      </c>
      <c r="X70" s="5">
        <v>0</v>
      </c>
      <c r="Y70" s="5">
        <v>0</v>
      </c>
      <c r="Z70" s="5">
        <v>0</v>
      </c>
      <c r="AA70" s="5">
        <v>0</v>
      </c>
      <c r="AB70" s="5">
        <v>0</v>
      </c>
      <c r="AC70" s="5">
        <v>0</v>
      </c>
      <c r="AD70" s="5">
        <v>0</v>
      </c>
      <c r="AE70" s="5">
        <v>0</v>
      </c>
      <c r="AF70" s="5">
        <v>0</v>
      </c>
      <c r="AG70" s="5">
        <v>0</v>
      </c>
      <c r="AH70" s="5">
        <v>0</v>
      </c>
      <c r="AI70" s="5">
        <v>0</v>
      </c>
      <c r="AJ70" s="5">
        <v>0</v>
      </c>
      <c r="AK70" s="5">
        <v>0</v>
      </c>
      <c r="AL70" s="5">
        <v>0</v>
      </c>
      <c r="AM70" s="5">
        <v>0</v>
      </c>
      <c r="AN70" s="5">
        <v>0</v>
      </c>
      <c r="AO70" s="5">
        <v>0</v>
      </c>
      <c r="AP70" s="5">
        <v>0</v>
      </c>
      <c r="AQ70" s="5">
        <v>0</v>
      </c>
      <c r="AR70" s="5">
        <v>0</v>
      </c>
      <c r="AS70" s="5">
        <v>0</v>
      </c>
      <c r="AT70" s="5">
        <v>0</v>
      </c>
      <c r="AU70" s="5">
        <v>0</v>
      </c>
      <c r="AV70" s="5">
        <v>0</v>
      </c>
      <c r="AW70" s="815">
        <v>2.1459999999999999</v>
      </c>
      <c r="AX70" s="826">
        <v>3.831</v>
      </c>
      <c r="AY70" s="819">
        <v>4.024</v>
      </c>
      <c r="AZ70" s="816">
        <v>0</v>
      </c>
      <c r="BA70" s="818"/>
      <c r="BB70" s="802" t="str" cm="1">
        <f t="array" ref="BB70">INDEX(C$4:BA$4,MATCH(TRUE,INDEX(C70:BA70&lt;&gt;0,),0))</f>
        <v>2024-25</v>
      </c>
      <c r="BC70" s="803" t="str" cm="1">
        <f t="array" ref="BC70">LOOKUP(2,1/(C70:BA70&lt;&gt;0),$C$4:$BA$4)</f>
        <v>2026-27</v>
      </c>
      <c r="BD70" s="804">
        <f>COUNTIF(RDprograms[[#This Row],[1978-79]:[2028-29]], "&gt;0")</f>
        <v>3</v>
      </c>
      <c r="BE70" s="805">
        <f>SUM(C70:BA70)/RDprograms[[#This Row],[Years with &gt; $0 investment]]</f>
        <v>3.3336666666666672</v>
      </c>
      <c r="BF70" s="806" t="s">
        <v>233</v>
      </c>
      <c r="BG70" s="807" t="s">
        <v>409</v>
      </c>
      <c r="BH70" s="807" t="s">
        <v>390</v>
      </c>
      <c r="BI70" s="809">
        <v>1</v>
      </c>
      <c r="BJ70" s="809"/>
      <c r="BK70" s="809"/>
      <c r="BL70" s="809"/>
      <c r="BM70" s="809">
        <v>1</v>
      </c>
      <c r="BN70" s="810"/>
      <c r="BO70" s="811" t="s">
        <v>236</v>
      </c>
      <c r="BP70" s="812" t="s">
        <v>413</v>
      </c>
      <c r="BQ70" s="812"/>
      <c r="BR70" s="812"/>
      <c r="BS70" s="812"/>
      <c r="BT70" s="812"/>
    </row>
    <row r="71" spans="1:72" ht="12.75" customHeight="1">
      <c r="A71" s="813" t="s">
        <v>387</v>
      </c>
      <c r="B71" s="820" t="s">
        <v>414</v>
      </c>
      <c r="C71" s="5">
        <v>0</v>
      </c>
      <c r="D71" s="5">
        <v>0</v>
      </c>
      <c r="E71" s="5">
        <v>0</v>
      </c>
      <c r="F71" s="5">
        <v>0</v>
      </c>
      <c r="G71" s="5">
        <v>0</v>
      </c>
      <c r="H71" s="5">
        <v>0</v>
      </c>
      <c r="I71" s="5">
        <v>0</v>
      </c>
      <c r="J71" s="5">
        <v>0</v>
      </c>
      <c r="K71" s="5">
        <v>0</v>
      </c>
      <c r="L71" s="5">
        <v>0</v>
      </c>
      <c r="M71" s="5">
        <v>0</v>
      </c>
      <c r="N71" s="5">
        <v>0</v>
      </c>
      <c r="O71" s="5">
        <v>0</v>
      </c>
      <c r="P71" s="5">
        <v>0</v>
      </c>
      <c r="Q71" s="5">
        <v>0</v>
      </c>
      <c r="R71" s="5">
        <v>0</v>
      </c>
      <c r="S71" s="5">
        <v>0</v>
      </c>
      <c r="T71" s="5">
        <v>0</v>
      </c>
      <c r="U71" s="5">
        <v>0</v>
      </c>
      <c r="V71" s="5">
        <v>0</v>
      </c>
      <c r="W71" s="5">
        <v>0</v>
      </c>
      <c r="X71" s="5">
        <v>0</v>
      </c>
      <c r="Y71" s="5">
        <v>0</v>
      </c>
      <c r="Z71" s="5">
        <v>0</v>
      </c>
      <c r="AA71" s="5">
        <v>0</v>
      </c>
      <c r="AB71" s="5">
        <v>0</v>
      </c>
      <c r="AC71" s="5">
        <v>0.22</v>
      </c>
      <c r="AD71" s="5">
        <v>0.1</v>
      </c>
      <c r="AE71" s="5">
        <v>1.1000000000000001</v>
      </c>
      <c r="AF71" s="5">
        <v>1.2</v>
      </c>
      <c r="AG71" s="5">
        <v>6.5</v>
      </c>
      <c r="AH71" s="5">
        <v>0</v>
      </c>
      <c r="AI71" s="5">
        <v>0</v>
      </c>
      <c r="AJ71" s="5">
        <v>0</v>
      </c>
      <c r="AK71" s="5">
        <v>0</v>
      </c>
      <c r="AL71" s="5">
        <v>0</v>
      </c>
      <c r="AM71" s="5">
        <v>0</v>
      </c>
      <c r="AN71" s="5">
        <v>0</v>
      </c>
      <c r="AO71" s="5">
        <v>0</v>
      </c>
      <c r="AP71" s="816">
        <v>0</v>
      </c>
      <c r="AQ71" s="816">
        <v>0</v>
      </c>
      <c r="AR71" s="5">
        <v>0</v>
      </c>
      <c r="AS71" s="5">
        <v>0</v>
      </c>
      <c r="AT71" s="5">
        <v>0</v>
      </c>
      <c r="AU71" s="5">
        <v>0</v>
      </c>
      <c r="AV71" s="5">
        <v>0</v>
      </c>
      <c r="AW71" s="815">
        <v>0</v>
      </c>
      <c r="AX71" s="826">
        <v>0</v>
      </c>
      <c r="AY71" s="819">
        <v>0</v>
      </c>
      <c r="AZ71" s="816"/>
      <c r="BA71" s="818"/>
      <c r="BB71" s="802" t="str" cm="1">
        <f t="array" ref="BB71">INDEX(C$4:BA$4,MATCH(TRUE,INDEX(C71:BA71&lt;&gt;0,),0))</f>
        <v>2004-05</v>
      </c>
      <c r="BC71" s="803" t="str" cm="1">
        <f t="array" ref="BC71">LOOKUP(2,1/(C71:BA71&lt;&gt;0),$C$4:$BA$4)</f>
        <v>2008-09</v>
      </c>
      <c r="BD71" s="804">
        <f>COUNTIF(RDprograms[[#This Row],[1978-79]:[2028-29]], "&gt;0")</f>
        <v>5</v>
      </c>
      <c r="BE71" s="805">
        <f>SUM(C71:BA71)/RDprograms[[#This Row],[Years with &gt; $0 investment]]</f>
        <v>1.8240000000000003</v>
      </c>
      <c r="BF71" s="806" t="s">
        <v>249</v>
      </c>
      <c r="BG71" s="807" t="s">
        <v>393</v>
      </c>
      <c r="BH71" s="807" t="s">
        <v>264</v>
      </c>
      <c r="BI71" s="809"/>
      <c r="BJ71" s="809"/>
      <c r="BK71" s="809"/>
      <c r="BL71" s="809"/>
      <c r="BM71" s="809"/>
      <c r="BN71" s="810"/>
      <c r="BO71" s="811" t="s">
        <v>236</v>
      </c>
      <c r="BP71" s="812"/>
      <c r="BQ71" s="812"/>
      <c r="BR71" s="812"/>
      <c r="BS71" s="812"/>
      <c r="BT71" s="812" t="s">
        <v>238</v>
      </c>
    </row>
    <row r="72" spans="1:72" ht="12.75" customHeight="1">
      <c r="A72" s="813" t="s">
        <v>387</v>
      </c>
      <c r="B72" s="820" t="s">
        <v>415</v>
      </c>
      <c r="C72" s="5">
        <v>0</v>
      </c>
      <c r="D72" s="5">
        <v>0.8</v>
      </c>
      <c r="E72" s="5">
        <v>0.9</v>
      </c>
      <c r="F72" s="5">
        <v>1.2</v>
      </c>
      <c r="G72" s="5">
        <v>1.7</v>
      </c>
      <c r="H72" s="5">
        <v>1.7</v>
      </c>
      <c r="I72" s="5">
        <v>1.8</v>
      </c>
      <c r="J72" s="5">
        <v>1.8</v>
      </c>
      <c r="K72" s="5">
        <v>2.2999999999999998</v>
      </c>
      <c r="L72" s="5">
        <v>2.5</v>
      </c>
      <c r="M72" s="5">
        <v>2.2000000000000002</v>
      </c>
      <c r="N72" s="5">
        <v>2.4</v>
      </c>
      <c r="O72" s="5">
        <v>2.8</v>
      </c>
      <c r="P72" s="5">
        <v>3.3</v>
      </c>
      <c r="Q72" s="5">
        <v>3.3</v>
      </c>
      <c r="R72" s="5">
        <v>3.6</v>
      </c>
      <c r="S72" s="5">
        <v>3.6</v>
      </c>
      <c r="T72" s="5">
        <v>4</v>
      </c>
      <c r="U72" s="5">
        <v>4.4000000000000004</v>
      </c>
      <c r="V72" s="5">
        <v>4.5</v>
      </c>
      <c r="W72" s="5">
        <v>4.4000000000000004</v>
      </c>
      <c r="X72" s="5">
        <v>10.3</v>
      </c>
      <c r="Y72" s="5">
        <v>10.7</v>
      </c>
      <c r="Z72" s="5">
        <v>9.4</v>
      </c>
      <c r="AA72" s="5">
        <v>9.6999999999999993</v>
      </c>
      <c r="AB72" s="5">
        <v>10.1</v>
      </c>
      <c r="AC72" s="5">
        <v>11</v>
      </c>
      <c r="AD72" s="5">
        <v>11.7</v>
      </c>
      <c r="AE72" s="5">
        <v>12.8</v>
      </c>
      <c r="AF72" s="5">
        <v>12.6</v>
      </c>
      <c r="AG72" s="5">
        <v>19.899999999999999</v>
      </c>
      <c r="AH72" s="5">
        <v>22.6</v>
      </c>
      <c r="AI72" s="5">
        <v>27.831</v>
      </c>
      <c r="AJ72" s="5">
        <v>31.01</v>
      </c>
      <c r="AK72" s="5">
        <v>32.405000000000001</v>
      </c>
      <c r="AL72" s="5">
        <v>31.507999999999999</v>
      </c>
      <c r="AM72" s="5">
        <v>26.777000000000001</v>
      </c>
      <c r="AN72" s="5">
        <v>24.326000000000001</v>
      </c>
      <c r="AO72" s="5">
        <v>17.297000000000001</v>
      </c>
      <c r="AP72" s="5">
        <v>15.157</v>
      </c>
      <c r="AQ72" s="5">
        <v>16.329000000000001</v>
      </c>
      <c r="AR72" s="5">
        <v>18.132000000000001</v>
      </c>
      <c r="AS72" s="5">
        <v>18.651495000000001</v>
      </c>
      <c r="AT72" s="5">
        <v>19.202235999999999</v>
      </c>
      <c r="AU72" s="5">
        <v>24.132999999999999</v>
      </c>
      <c r="AV72" s="5">
        <v>24.85699</v>
      </c>
      <c r="AW72" s="815">
        <v>29.922996898967</v>
      </c>
      <c r="AX72" s="826">
        <v>30.2820728617546</v>
      </c>
      <c r="AY72" s="819">
        <v>30.796868100404399</v>
      </c>
      <c r="AZ72" s="816">
        <v>31.1356336495089</v>
      </c>
      <c r="BA72" s="818">
        <v>31.5403968869525</v>
      </c>
      <c r="BB72" s="802" t="str" cm="1">
        <f t="array" ref="BB72">INDEX(C$4:BA$4,MATCH(TRUE,INDEX(C72:BA72&lt;&gt;0,),0))</f>
        <v>1979-80</v>
      </c>
      <c r="BC72" s="803" t="str" cm="1">
        <f t="array" ref="BC72">LOOKUP(2,1/(C72:BA72&lt;&gt;0),$C$4:$BA$4)</f>
        <v>2028-29</v>
      </c>
      <c r="BD72" s="804">
        <f>COUNTIF(RDprograms[[#This Row],[1978-79]:[2028-29]], "&gt;0")</f>
        <v>50</v>
      </c>
      <c r="BE72" s="805">
        <f>SUM(C72:BA72)/RDprograms[[#This Row],[Years with &gt; $0 investment]]</f>
        <v>13.505873787951748</v>
      </c>
      <c r="BF72" s="806" t="s">
        <v>273</v>
      </c>
      <c r="BG72" s="807" t="s">
        <v>403</v>
      </c>
      <c r="BH72" s="807" t="s">
        <v>258</v>
      </c>
      <c r="BI72" s="809">
        <v>1</v>
      </c>
      <c r="BJ72" s="809"/>
      <c r="BK72" s="809"/>
      <c r="BL72" s="809">
        <v>1</v>
      </c>
      <c r="BM72" s="809">
        <v>1</v>
      </c>
      <c r="BN72" s="810">
        <v>1</v>
      </c>
      <c r="BO72" s="811" t="s">
        <v>236</v>
      </c>
      <c r="BP72" s="812" t="s">
        <v>416</v>
      </c>
      <c r="BQ72" s="812"/>
      <c r="BR72" s="812"/>
      <c r="BS72" s="812"/>
      <c r="BT72" s="812"/>
    </row>
    <row r="73" spans="1:72" ht="12.75" customHeight="1">
      <c r="A73" s="813" t="s">
        <v>387</v>
      </c>
      <c r="B73" s="820" t="s">
        <v>417</v>
      </c>
      <c r="C73" s="5">
        <v>0</v>
      </c>
      <c r="D73" s="5">
        <v>0</v>
      </c>
      <c r="E73" s="5">
        <v>0</v>
      </c>
      <c r="F73" s="5">
        <v>0</v>
      </c>
      <c r="G73" s="5">
        <v>0</v>
      </c>
      <c r="H73" s="5">
        <v>0</v>
      </c>
      <c r="I73" s="5">
        <v>0</v>
      </c>
      <c r="J73" s="5">
        <v>0</v>
      </c>
      <c r="K73" s="5">
        <v>0</v>
      </c>
      <c r="L73" s="5">
        <v>0</v>
      </c>
      <c r="M73" s="5">
        <v>0</v>
      </c>
      <c r="N73" s="5">
        <v>0</v>
      </c>
      <c r="O73" s="5">
        <v>0</v>
      </c>
      <c r="P73" s="5">
        <v>0</v>
      </c>
      <c r="Q73" s="5">
        <v>0</v>
      </c>
      <c r="R73" s="5">
        <v>0</v>
      </c>
      <c r="S73" s="5">
        <v>0</v>
      </c>
      <c r="T73" s="5">
        <v>0</v>
      </c>
      <c r="U73" s="5">
        <v>0</v>
      </c>
      <c r="V73" s="5">
        <v>0</v>
      </c>
      <c r="W73" s="5">
        <v>0</v>
      </c>
      <c r="X73" s="5">
        <v>0</v>
      </c>
      <c r="Y73" s="5">
        <v>0</v>
      </c>
      <c r="Z73" s="5">
        <v>0</v>
      </c>
      <c r="AA73" s="5">
        <v>0</v>
      </c>
      <c r="AB73" s="5">
        <v>0</v>
      </c>
      <c r="AC73" s="5">
        <v>0</v>
      </c>
      <c r="AD73" s="5">
        <v>0</v>
      </c>
      <c r="AE73" s="5">
        <v>0</v>
      </c>
      <c r="AF73" s="5">
        <v>0</v>
      </c>
      <c r="AG73" s="5">
        <v>0</v>
      </c>
      <c r="AH73" s="5">
        <v>0</v>
      </c>
      <c r="AI73" s="5">
        <v>0.85</v>
      </c>
      <c r="AJ73" s="5">
        <v>1.7</v>
      </c>
      <c r="AK73" s="5">
        <v>0</v>
      </c>
      <c r="AL73" s="5">
        <v>0</v>
      </c>
      <c r="AM73" s="5">
        <v>0.747</v>
      </c>
      <c r="AN73" s="5">
        <v>0.82799999999999996</v>
      </c>
      <c r="AO73" s="5">
        <v>0.79700000000000004</v>
      </c>
      <c r="AP73" s="816">
        <v>0.15</v>
      </c>
      <c r="AQ73" s="816">
        <v>0</v>
      </c>
      <c r="AR73" s="5">
        <v>0.15</v>
      </c>
      <c r="AS73" s="5">
        <v>0</v>
      </c>
      <c r="AT73" s="5">
        <v>0</v>
      </c>
      <c r="AU73" s="5">
        <v>0</v>
      </c>
      <c r="AV73" s="5">
        <v>0</v>
      </c>
      <c r="AW73" s="815">
        <v>0</v>
      </c>
      <c r="AX73" s="826">
        <v>0</v>
      </c>
      <c r="AY73" s="819">
        <v>0</v>
      </c>
      <c r="AZ73" s="816">
        <v>0</v>
      </c>
      <c r="BA73" s="818">
        <v>0</v>
      </c>
      <c r="BB73" s="802" t="str" cm="1">
        <f t="array" ref="BB73">INDEX(C$4:BA$4,MATCH(TRUE,INDEX(C73:BA73&lt;&gt;0,),0))</f>
        <v>2010-11</v>
      </c>
      <c r="BC73" s="803" t="str" cm="1">
        <f t="array" ref="BC73">LOOKUP(2,1/(C73:BA73&lt;&gt;0),$C$4:$BA$4)</f>
        <v>2019-20</v>
      </c>
      <c r="BD73" s="804">
        <f>COUNTIF(RDprograms[[#This Row],[1978-79]:[2028-29]], "&gt;0")</f>
        <v>7</v>
      </c>
      <c r="BE73" s="805">
        <f>SUM(C73:BA73)/RDprograms[[#This Row],[Years with &gt; $0 investment]]</f>
        <v>0.74600000000000011</v>
      </c>
      <c r="BF73" s="806" t="s">
        <v>233</v>
      </c>
      <c r="BG73" s="807" t="s">
        <v>397</v>
      </c>
      <c r="BH73" s="807" t="s">
        <v>390</v>
      </c>
      <c r="BI73" s="809"/>
      <c r="BJ73" s="809"/>
      <c r="BK73" s="809"/>
      <c r="BL73" s="809"/>
      <c r="BM73" s="809"/>
      <c r="BN73" s="810"/>
      <c r="BO73" s="811" t="s">
        <v>251</v>
      </c>
      <c r="BP73" s="812" t="s">
        <v>418</v>
      </c>
      <c r="BQ73" s="812" t="s">
        <v>419</v>
      </c>
      <c r="BR73" s="812"/>
      <c r="BS73" s="812"/>
      <c r="BT73" s="812"/>
    </row>
    <row r="74" spans="1:72" ht="12.75" customHeight="1">
      <c r="A74" s="813" t="s">
        <v>387</v>
      </c>
      <c r="B74" s="820" t="s">
        <v>420</v>
      </c>
      <c r="C74" s="5">
        <v>0</v>
      </c>
      <c r="D74" s="5">
        <v>0</v>
      </c>
      <c r="E74" s="5">
        <v>0</v>
      </c>
      <c r="F74" s="5">
        <v>0</v>
      </c>
      <c r="G74" s="5">
        <v>0</v>
      </c>
      <c r="H74" s="5">
        <v>0</v>
      </c>
      <c r="I74" s="5">
        <v>0</v>
      </c>
      <c r="J74" s="5">
        <v>0</v>
      </c>
      <c r="K74" s="5">
        <v>0</v>
      </c>
      <c r="L74" s="5">
        <v>0</v>
      </c>
      <c r="M74" s="5">
        <v>0</v>
      </c>
      <c r="N74" s="5">
        <v>0</v>
      </c>
      <c r="O74" s="5">
        <v>0</v>
      </c>
      <c r="P74" s="5">
        <v>0</v>
      </c>
      <c r="Q74" s="5">
        <v>0</v>
      </c>
      <c r="R74" s="5">
        <v>0</v>
      </c>
      <c r="S74" s="5">
        <v>0</v>
      </c>
      <c r="T74" s="5">
        <v>0</v>
      </c>
      <c r="U74" s="5">
        <v>0</v>
      </c>
      <c r="V74" s="5">
        <v>0</v>
      </c>
      <c r="W74" s="5">
        <v>0</v>
      </c>
      <c r="X74" s="5">
        <v>0</v>
      </c>
      <c r="Y74" s="5">
        <v>0</v>
      </c>
      <c r="Z74" s="5">
        <v>0</v>
      </c>
      <c r="AA74" s="5">
        <v>0</v>
      </c>
      <c r="AB74" s="5">
        <v>0</v>
      </c>
      <c r="AC74" s="5">
        <v>0</v>
      </c>
      <c r="AD74" s="5">
        <v>0</v>
      </c>
      <c r="AE74" s="5">
        <v>0</v>
      </c>
      <c r="AF74" s="5">
        <v>0</v>
      </c>
      <c r="AG74" s="5">
        <v>0</v>
      </c>
      <c r="AH74" s="5">
        <v>0</v>
      </c>
      <c r="AI74" s="5">
        <v>0</v>
      </c>
      <c r="AJ74" s="5">
        <v>0</v>
      </c>
      <c r="AK74" s="5">
        <v>0</v>
      </c>
      <c r="AL74" s="5">
        <v>0</v>
      </c>
      <c r="AM74" s="5">
        <v>0</v>
      </c>
      <c r="AN74" s="5">
        <v>0</v>
      </c>
      <c r="AO74" s="5">
        <v>0</v>
      </c>
      <c r="AP74" s="5">
        <v>0</v>
      </c>
      <c r="AQ74" s="5">
        <v>0</v>
      </c>
      <c r="AR74" s="5">
        <v>0</v>
      </c>
      <c r="AS74" s="5">
        <v>0</v>
      </c>
      <c r="AT74" s="5">
        <v>0</v>
      </c>
      <c r="AU74" s="5">
        <v>0</v>
      </c>
      <c r="AV74" s="5">
        <v>0</v>
      </c>
      <c r="AW74" s="815">
        <v>37.5</v>
      </c>
      <c r="AX74" s="826">
        <v>15</v>
      </c>
      <c r="AY74" s="819">
        <v>10</v>
      </c>
      <c r="AZ74" s="816">
        <v>20</v>
      </c>
      <c r="BA74" s="818">
        <v>20</v>
      </c>
      <c r="BB74" s="802" t="str" cm="1">
        <f t="array" ref="BB74">INDEX(C$4:BA$4,MATCH(TRUE,INDEX(C74:BA74&lt;&gt;0,),0))</f>
        <v>2024-25</v>
      </c>
      <c r="BC74" s="803" t="str" cm="1">
        <f t="array" ref="BC74">LOOKUP(2,1/(C74:BA74&lt;&gt;0),$C$4:$BA$4)</f>
        <v>2028-29</v>
      </c>
      <c r="BD74" s="804">
        <f>COUNTIF(RDprograms[[#This Row],[1978-79]:[2028-29]], "&gt;0")</f>
        <v>5</v>
      </c>
      <c r="BE74" s="805">
        <f>SUM(C74:BA74)/RDprograms[[#This Row],[Years with &gt; $0 investment]]</f>
        <v>20.5</v>
      </c>
      <c r="BF74" s="806" t="s">
        <v>233</v>
      </c>
      <c r="BG74" s="807" t="s">
        <v>406</v>
      </c>
      <c r="BH74" s="807" t="s">
        <v>390</v>
      </c>
      <c r="BI74" s="809">
        <v>1</v>
      </c>
      <c r="BJ74" s="809"/>
      <c r="BK74" s="809"/>
      <c r="BL74" s="809"/>
      <c r="BM74" s="809"/>
      <c r="BN74" s="810"/>
      <c r="BO74" s="811" t="s">
        <v>236</v>
      </c>
      <c r="BP74" s="812" t="s">
        <v>421</v>
      </c>
      <c r="BQ74" s="812" t="s">
        <v>422</v>
      </c>
      <c r="BR74" s="812"/>
      <c r="BS74" s="812"/>
      <c r="BT74" s="812"/>
    </row>
    <row r="75" spans="1:72" ht="12.75" customHeight="1">
      <c r="A75" s="813" t="s">
        <v>387</v>
      </c>
      <c r="B75" s="820" t="s">
        <v>423</v>
      </c>
      <c r="C75" s="5">
        <v>0</v>
      </c>
      <c r="D75" s="5">
        <v>0</v>
      </c>
      <c r="E75" s="5">
        <v>0</v>
      </c>
      <c r="F75" s="5">
        <v>0</v>
      </c>
      <c r="G75" s="5">
        <v>0</v>
      </c>
      <c r="H75" s="5">
        <v>0</v>
      </c>
      <c r="I75" s="5">
        <v>0</v>
      </c>
      <c r="J75" s="5">
        <v>0</v>
      </c>
      <c r="K75" s="5">
        <v>0</v>
      </c>
      <c r="L75" s="5">
        <v>0</v>
      </c>
      <c r="M75" s="5">
        <v>0</v>
      </c>
      <c r="N75" s="5">
        <v>0</v>
      </c>
      <c r="O75" s="5">
        <v>0</v>
      </c>
      <c r="P75" s="5">
        <v>0</v>
      </c>
      <c r="Q75" s="5">
        <v>0</v>
      </c>
      <c r="R75" s="5">
        <v>0</v>
      </c>
      <c r="S75" s="5">
        <v>0</v>
      </c>
      <c r="T75" s="5">
        <v>0</v>
      </c>
      <c r="U75" s="5">
        <v>0</v>
      </c>
      <c r="V75" s="5">
        <v>0</v>
      </c>
      <c r="W75" s="5">
        <v>0</v>
      </c>
      <c r="X75" s="5">
        <v>0</v>
      </c>
      <c r="Y75" s="5">
        <v>0</v>
      </c>
      <c r="Z75" s="5">
        <v>0</v>
      </c>
      <c r="AA75" s="5">
        <v>0</v>
      </c>
      <c r="AB75" s="5">
        <v>0</v>
      </c>
      <c r="AC75" s="5">
        <v>0</v>
      </c>
      <c r="AD75" s="5">
        <v>0</v>
      </c>
      <c r="AE75" s="5">
        <v>0</v>
      </c>
      <c r="AF75" s="5">
        <v>0</v>
      </c>
      <c r="AG75" s="5">
        <v>0</v>
      </c>
      <c r="AH75" s="5">
        <v>0</v>
      </c>
      <c r="AI75" s="5">
        <v>0</v>
      </c>
      <c r="AJ75" s="5">
        <v>0</v>
      </c>
      <c r="AK75" s="5">
        <v>0</v>
      </c>
      <c r="AL75" s="5">
        <v>0</v>
      </c>
      <c r="AM75" s="5">
        <v>0</v>
      </c>
      <c r="AN75" s="5">
        <v>0</v>
      </c>
      <c r="AO75" s="5">
        <v>0</v>
      </c>
      <c r="AP75" s="5">
        <v>0</v>
      </c>
      <c r="AQ75" s="5">
        <v>0</v>
      </c>
      <c r="AR75" s="5">
        <v>0</v>
      </c>
      <c r="AS75" s="5">
        <v>5.2</v>
      </c>
      <c r="AT75" s="5">
        <v>20.04</v>
      </c>
      <c r="AU75" s="5">
        <v>25.84</v>
      </c>
      <c r="AV75" s="5">
        <v>2.92</v>
      </c>
      <c r="AW75" s="815">
        <v>1.2</v>
      </c>
      <c r="AX75" s="816">
        <v>0</v>
      </c>
      <c r="AY75" s="819">
        <v>0</v>
      </c>
      <c r="AZ75" s="816"/>
      <c r="BA75" s="818"/>
      <c r="BB75" s="802" t="str" cm="1">
        <f t="array" ref="BB75">INDEX(C$4:BA$4,MATCH(TRUE,INDEX(C75:BA75&lt;&gt;0,),0))</f>
        <v>2020-21</v>
      </c>
      <c r="BC75" s="803" t="str" cm="1">
        <f t="array" ref="BC75">LOOKUP(2,1/(C75:BA75&lt;&gt;0),$C$4:$BA$4)</f>
        <v>2024-25</v>
      </c>
      <c r="BD75" s="804">
        <f>COUNTIF(RDprograms[[#This Row],[1978-79]:[2028-29]], "&gt;0")</f>
        <v>5</v>
      </c>
      <c r="BE75" s="805">
        <f>SUM(C75:BA75)/RDprograms[[#This Row],[Years with &gt; $0 investment]]</f>
        <v>11.040000000000001</v>
      </c>
      <c r="BF75" s="806" t="s">
        <v>233</v>
      </c>
      <c r="BG75" s="807" t="s">
        <v>406</v>
      </c>
      <c r="BH75" s="807" t="s">
        <v>390</v>
      </c>
      <c r="BI75" s="809"/>
      <c r="BJ75" s="809"/>
      <c r="BK75" s="809"/>
      <c r="BL75" s="809"/>
      <c r="BM75" s="809"/>
      <c r="BN75" s="810"/>
      <c r="BO75" s="811" t="s">
        <v>236</v>
      </c>
      <c r="BP75" s="812" t="s">
        <v>424</v>
      </c>
      <c r="BQ75" s="812"/>
      <c r="BR75" s="812"/>
      <c r="BS75" s="812"/>
      <c r="BT75" s="812" t="s">
        <v>425</v>
      </c>
    </row>
    <row r="76" spans="1:72" ht="12.75" customHeight="1">
      <c r="A76" s="813" t="s">
        <v>387</v>
      </c>
      <c r="B76" s="820" t="s">
        <v>426</v>
      </c>
      <c r="C76" s="5">
        <v>0</v>
      </c>
      <c r="D76" s="5">
        <v>0</v>
      </c>
      <c r="E76" s="5">
        <v>0</v>
      </c>
      <c r="F76" s="5">
        <v>0</v>
      </c>
      <c r="G76" s="5">
        <v>0</v>
      </c>
      <c r="H76" s="5">
        <v>0</v>
      </c>
      <c r="I76" s="5">
        <v>0</v>
      </c>
      <c r="J76" s="5">
        <v>0</v>
      </c>
      <c r="K76" s="5">
        <v>0</v>
      </c>
      <c r="L76" s="5">
        <v>0</v>
      </c>
      <c r="M76" s="5">
        <v>0</v>
      </c>
      <c r="N76" s="5">
        <v>0</v>
      </c>
      <c r="O76" s="5">
        <v>0</v>
      </c>
      <c r="P76" s="5">
        <v>0</v>
      </c>
      <c r="Q76" s="5">
        <v>0</v>
      </c>
      <c r="R76" s="5">
        <v>0</v>
      </c>
      <c r="S76" s="5">
        <v>0</v>
      </c>
      <c r="T76" s="5">
        <v>0</v>
      </c>
      <c r="U76" s="5">
        <v>0</v>
      </c>
      <c r="V76" s="5">
        <v>0</v>
      </c>
      <c r="W76" s="5">
        <v>0</v>
      </c>
      <c r="X76" s="5">
        <v>0</v>
      </c>
      <c r="Y76" s="5">
        <v>0</v>
      </c>
      <c r="Z76" s="5">
        <v>0</v>
      </c>
      <c r="AA76" s="5">
        <v>0</v>
      </c>
      <c r="AB76" s="5">
        <v>0</v>
      </c>
      <c r="AC76" s="5">
        <v>0</v>
      </c>
      <c r="AD76" s="5">
        <v>0</v>
      </c>
      <c r="AE76" s="5">
        <v>0</v>
      </c>
      <c r="AF76" s="5">
        <v>0</v>
      </c>
      <c r="AG76" s="5">
        <v>0</v>
      </c>
      <c r="AH76" s="5">
        <v>0</v>
      </c>
      <c r="AI76" s="5">
        <v>0</v>
      </c>
      <c r="AJ76" s="5">
        <v>0.123</v>
      </c>
      <c r="AK76" s="5">
        <v>0.42699999999999999</v>
      </c>
      <c r="AL76" s="5">
        <v>2.3610000000000002</v>
      </c>
      <c r="AM76" s="5">
        <v>0.47799999999999998</v>
      </c>
      <c r="AN76" s="5">
        <v>6.4000000000000001E-2</v>
      </c>
      <c r="AO76" s="5">
        <v>0</v>
      </c>
      <c r="AP76" s="5">
        <v>0</v>
      </c>
      <c r="AQ76" s="5">
        <v>0</v>
      </c>
      <c r="AR76" s="5">
        <v>0</v>
      </c>
      <c r="AS76" s="5">
        <v>0</v>
      </c>
      <c r="AT76" s="5">
        <v>0</v>
      </c>
      <c r="AU76" s="5">
        <v>0</v>
      </c>
      <c r="AV76" s="5">
        <v>0</v>
      </c>
      <c r="AW76" s="815">
        <v>0</v>
      </c>
      <c r="AX76" s="826">
        <v>0</v>
      </c>
      <c r="AY76" s="819">
        <v>0</v>
      </c>
      <c r="AZ76" s="816"/>
      <c r="BA76" s="818"/>
      <c r="BB76" s="802" t="str" cm="1">
        <f t="array" ref="BB76">INDEX(C$4:BA$4,MATCH(TRUE,INDEX(C76:BA76&lt;&gt;0,),0))</f>
        <v>2011-12</v>
      </c>
      <c r="BC76" s="803" t="str" cm="1">
        <f t="array" ref="BC76">LOOKUP(2,1/(C76:BA76&lt;&gt;0),$C$4:$BA$4)</f>
        <v>2015-16</v>
      </c>
      <c r="BD76" s="804">
        <f>COUNTIF(RDprograms[[#This Row],[1978-79]:[2028-29]], "&gt;0")</f>
        <v>5</v>
      </c>
      <c r="BE76" s="805">
        <f>SUM(C76:BA76)/RDprograms[[#This Row],[Years with &gt; $0 investment]]</f>
        <v>0.6906000000000001</v>
      </c>
      <c r="BF76" s="806" t="s">
        <v>233</v>
      </c>
      <c r="BG76" s="807" t="s">
        <v>406</v>
      </c>
      <c r="BH76" s="807" t="s">
        <v>264</v>
      </c>
      <c r="BI76" s="809"/>
      <c r="BJ76" s="809"/>
      <c r="BK76" s="809"/>
      <c r="BL76" s="809"/>
      <c r="BM76" s="809"/>
      <c r="BN76" s="810"/>
      <c r="BO76" s="811" t="s">
        <v>236</v>
      </c>
      <c r="BP76" s="812" t="s">
        <v>427</v>
      </c>
      <c r="BQ76" s="812" t="s">
        <v>428</v>
      </c>
      <c r="BR76" s="812"/>
      <c r="BS76" s="812"/>
      <c r="BT76" s="812"/>
    </row>
    <row r="77" spans="1:72" ht="12.75" customHeight="1">
      <c r="A77" s="813" t="s">
        <v>387</v>
      </c>
      <c r="B77" s="820" t="s">
        <v>429</v>
      </c>
      <c r="C77" s="5">
        <v>0</v>
      </c>
      <c r="D77" s="5">
        <v>0</v>
      </c>
      <c r="E77" s="5">
        <v>0</v>
      </c>
      <c r="F77" s="5">
        <v>0</v>
      </c>
      <c r="G77" s="5">
        <v>0</v>
      </c>
      <c r="H77" s="5">
        <v>0</v>
      </c>
      <c r="I77" s="5">
        <v>0</v>
      </c>
      <c r="J77" s="5">
        <v>0</v>
      </c>
      <c r="K77" s="5">
        <v>0</v>
      </c>
      <c r="L77" s="5">
        <v>0</v>
      </c>
      <c r="M77" s="5">
        <v>0</v>
      </c>
      <c r="N77" s="5">
        <v>0</v>
      </c>
      <c r="O77" s="5">
        <v>0</v>
      </c>
      <c r="P77" s="5">
        <v>0</v>
      </c>
      <c r="Q77" s="5">
        <v>0</v>
      </c>
      <c r="R77" s="5">
        <v>0</v>
      </c>
      <c r="S77" s="5">
        <v>0</v>
      </c>
      <c r="T77" s="5">
        <v>0</v>
      </c>
      <c r="U77" s="5">
        <v>0</v>
      </c>
      <c r="V77" s="5">
        <v>0</v>
      </c>
      <c r="W77" s="5">
        <v>0</v>
      </c>
      <c r="X77" s="5">
        <v>0</v>
      </c>
      <c r="Y77" s="5">
        <v>0</v>
      </c>
      <c r="Z77" s="5">
        <v>0</v>
      </c>
      <c r="AA77" s="5">
        <v>0</v>
      </c>
      <c r="AB77" s="5">
        <v>0</v>
      </c>
      <c r="AC77" s="5">
        <v>0</v>
      </c>
      <c r="AD77" s="5">
        <v>0</v>
      </c>
      <c r="AE77" s="5">
        <v>0</v>
      </c>
      <c r="AF77" s="5">
        <v>0</v>
      </c>
      <c r="AG77" s="5">
        <v>1.0209999999999999</v>
      </c>
      <c r="AH77" s="5">
        <v>0.12</v>
      </c>
      <c r="AI77" s="5">
        <v>3.278</v>
      </c>
      <c r="AJ77" s="5">
        <v>3.1</v>
      </c>
      <c r="AK77" s="5">
        <v>2.4329999999999998</v>
      </c>
      <c r="AL77" s="5">
        <v>2.1100000000000003</v>
      </c>
      <c r="AM77" s="5">
        <v>0</v>
      </c>
      <c r="AN77" s="5">
        <v>0</v>
      </c>
      <c r="AO77" s="5">
        <v>0</v>
      </c>
      <c r="AP77" s="816">
        <v>0</v>
      </c>
      <c r="AQ77" s="816">
        <v>0</v>
      </c>
      <c r="AR77" s="5">
        <v>0</v>
      </c>
      <c r="AS77" s="5">
        <v>0</v>
      </c>
      <c r="AT77" s="5">
        <v>0</v>
      </c>
      <c r="AU77" s="5">
        <v>0</v>
      </c>
      <c r="AV77" s="5">
        <v>0</v>
      </c>
      <c r="AW77" s="815">
        <v>0</v>
      </c>
      <c r="AX77" s="826">
        <v>0</v>
      </c>
      <c r="AY77" s="819">
        <v>0</v>
      </c>
      <c r="AZ77" s="816"/>
      <c r="BA77" s="818"/>
      <c r="BB77" s="802" t="str" cm="1">
        <f t="array" ref="BB77">INDEX(C$4:BA$4,MATCH(TRUE,INDEX(C77:BA77&lt;&gt;0,),0))</f>
        <v>2008-09</v>
      </c>
      <c r="BC77" s="803" t="str" cm="1">
        <f t="array" ref="BC77">LOOKUP(2,1/(C77:BA77&lt;&gt;0),$C$4:$BA$4)</f>
        <v>2013-14</v>
      </c>
      <c r="BD77" s="804">
        <f>COUNTIF(RDprograms[[#This Row],[1978-79]:[2028-29]], "&gt;0")</f>
        <v>6</v>
      </c>
      <c r="BE77" s="805">
        <f>SUM(C77:BA77)/RDprograms[[#This Row],[Years with &gt; $0 investment]]</f>
        <v>2.0103333333333335</v>
      </c>
      <c r="BF77" s="806" t="s">
        <v>249</v>
      </c>
      <c r="BG77" s="807" t="s">
        <v>406</v>
      </c>
      <c r="BH77" s="807" t="s">
        <v>390</v>
      </c>
      <c r="BI77" s="809"/>
      <c r="BJ77" s="809"/>
      <c r="BK77" s="809"/>
      <c r="BL77" s="809"/>
      <c r="BM77" s="809"/>
      <c r="BN77" s="810"/>
      <c r="BO77" s="811" t="s">
        <v>236</v>
      </c>
      <c r="BP77" s="812"/>
      <c r="BQ77" s="812" t="s">
        <v>430</v>
      </c>
      <c r="BR77" s="812"/>
      <c r="BS77" s="812"/>
      <c r="BT77" s="812" t="s">
        <v>238</v>
      </c>
    </row>
    <row r="78" spans="1:72" ht="12.75" customHeight="1">
      <c r="A78" s="813" t="s">
        <v>387</v>
      </c>
      <c r="B78" s="820" t="s">
        <v>431</v>
      </c>
      <c r="C78" s="5">
        <v>0</v>
      </c>
      <c r="D78" s="5">
        <v>0</v>
      </c>
      <c r="E78" s="5">
        <v>0</v>
      </c>
      <c r="F78" s="5">
        <v>0</v>
      </c>
      <c r="G78" s="5">
        <v>0</v>
      </c>
      <c r="H78" s="5">
        <v>0</v>
      </c>
      <c r="I78" s="5">
        <v>0</v>
      </c>
      <c r="J78" s="5">
        <v>0</v>
      </c>
      <c r="K78" s="5">
        <v>0</v>
      </c>
      <c r="L78" s="5">
        <v>0</v>
      </c>
      <c r="M78" s="5">
        <v>0</v>
      </c>
      <c r="N78" s="5">
        <v>0</v>
      </c>
      <c r="O78" s="5">
        <v>0</v>
      </c>
      <c r="P78" s="5">
        <v>0</v>
      </c>
      <c r="Q78" s="5">
        <v>0</v>
      </c>
      <c r="R78" s="5">
        <v>0</v>
      </c>
      <c r="S78" s="5">
        <v>0</v>
      </c>
      <c r="T78" s="5">
        <v>0</v>
      </c>
      <c r="U78" s="5">
        <v>0</v>
      </c>
      <c r="V78" s="5">
        <v>0</v>
      </c>
      <c r="W78" s="5">
        <v>0</v>
      </c>
      <c r="X78" s="5">
        <v>0</v>
      </c>
      <c r="Y78" s="5">
        <v>0</v>
      </c>
      <c r="Z78" s="5">
        <v>0</v>
      </c>
      <c r="AA78" s="5">
        <v>0</v>
      </c>
      <c r="AB78" s="5">
        <v>0</v>
      </c>
      <c r="AC78" s="5">
        <v>0</v>
      </c>
      <c r="AD78" s="5">
        <v>0</v>
      </c>
      <c r="AE78" s="5">
        <v>0</v>
      </c>
      <c r="AF78" s="5">
        <v>0</v>
      </c>
      <c r="AG78" s="5">
        <v>0</v>
      </c>
      <c r="AH78" s="5">
        <v>0</v>
      </c>
      <c r="AI78" s="5">
        <v>0</v>
      </c>
      <c r="AJ78" s="5">
        <v>0</v>
      </c>
      <c r="AK78" s="5">
        <v>0</v>
      </c>
      <c r="AL78" s="5">
        <v>0</v>
      </c>
      <c r="AM78" s="5">
        <v>0</v>
      </c>
      <c r="AN78" s="5">
        <v>0</v>
      </c>
      <c r="AO78" s="5">
        <v>0</v>
      </c>
      <c r="AP78" s="5">
        <v>0</v>
      </c>
      <c r="AQ78" s="5">
        <v>0</v>
      </c>
      <c r="AR78" s="5">
        <v>0</v>
      </c>
      <c r="AS78" s="5">
        <v>0</v>
      </c>
      <c r="AT78" s="5">
        <v>0</v>
      </c>
      <c r="AU78" s="5">
        <v>0</v>
      </c>
      <c r="AV78" s="5">
        <v>0</v>
      </c>
      <c r="AW78" s="815">
        <v>5</v>
      </c>
      <c r="AX78" s="816">
        <v>17.5</v>
      </c>
      <c r="AY78" s="819">
        <v>2.5</v>
      </c>
      <c r="AZ78" s="826"/>
      <c r="BA78" s="818"/>
      <c r="BB78" s="802" t="str" cm="1">
        <f t="array" ref="BB78">INDEX(C$4:BA$4,MATCH(TRUE,INDEX(C78:BA78&lt;&gt;0,),0))</f>
        <v>2024-25</v>
      </c>
      <c r="BC78" s="803" t="str" cm="1">
        <f t="array" ref="BC78">LOOKUP(2,1/(C78:BA78&lt;&gt;0),$C$4:$BA$4)</f>
        <v>2026-27</v>
      </c>
      <c r="BD78" s="804">
        <f>COUNTIF(RDprograms[[#This Row],[1978-79]:[2028-29]], "&gt;0")</f>
        <v>3</v>
      </c>
      <c r="BE78" s="805">
        <f>SUM(C78:BA78)/RDprograms[[#This Row],[Years with &gt; $0 investment]]</f>
        <v>8.3333333333333339</v>
      </c>
      <c r="BF78" s="806" t="s">
        <v>233</v>
      </c>
      <c r="BG78" s="807" t="s">
        <v>409</v>
      </c>
      <c r="BH78" s="807" t="s">
        <v>390</v>
      </c>
      <c r="BI78" s="809">
        <v>1</v>
      </c>
      <c r="BJ78" s="809"/>
      <c r="BK78" s="809"/>
      <c r="BL78" s="809">
        <v>1</v>
      </c>
      <c r="BM78" s="809">
        <v>1</v>
      </c>
      <c r="BN78" s="810">
        <v>1</v>
      </c>
      <c r="BO78" s="811" t="s">
        <v>236</v>
      </c>
      <c r="BP78" s="829" t="s">
        <v>432</v>
      </c>
      <c r="BQ78" s="829" t="s">
        <v>433</v>
      </c>
      <c r="BR78" s="812"/>
      <c r="BS78" s="812"/>
      <c r="BT78" s="812"/>
    </row>
    <row r="79" spans="1:72" ht="12.75" customHeight="1">
      <c r="A79" s="813" t="s">
        <v>387</v>
      </c>
      <c r="B79" s="820" t="s">
        <v>434</v>
      </c>
      <c r="C79" s="5">
        <v>0</v>
      </c>
      <c r="D79" s="5">
        <v>0</v>
      </c>
      <c r="E79" s="5">
        <v>0</v>
      </c>
      <c r="F79" s="5">
        <v>0</v>
      </c>
      <c r="G79" s="5">
        <v>0</v>
      </c>
      <c r="H79" s="5">
        <v>0</v>
      </c>
      <c r="I79" s="5">
        <v>0</v>
      </c>
      <c r="J79" s="5">
        <v>0</v>
      </c>
      <c r="K79" s="5">
        <v>0</v>
      </c>
      <c r="L79" s="5">
        <v>0</v>
      </c>
      <c r="M79" s="5">
        <v>0</v>
      </c>
      <c r="N79" s="5">
        <v>0</v>
      </c>
      <c r="O79" s="5">
        <v>0</v>
      </c>
      <c r="P79" s="5">
        <v>0</v>
      </c>
      <c r="Q79" s="5">
        <v>0</v>
      </c>
      <c r="R79" s="5">
        <v>0</v>
      </c>
      <c r="S79" s="5">
        <v>0</v>
      </c>
      <c r="T79" s="5">
        <v>0</v>
      </c>
      <c r="U79" s="5">
        <v>0</v>
      </c>
      <c r="V79" s="5">
        <v>0</v>
      </c>
      <c r="W79" s="5">
        <v>0</v>
      </c>
      <c r="X79" s="5">
        <v>0</v>
      </c>
      <c r="Y79" s="5">
        <v>0</v>
      </c>
      <c r="Z79" s="5">
        <v>0</v>
      </c>
      <c r="AA79" s="5">
        <v>0</v>
      </c>
      <c r="AB79" s="5">
        <v>0</v>
      </c>
      <c r="AC79" s="5">
        <v>0</v>
      </c>
      <c r="AD79" s="5">
        <v>0</v>
      </c>
      <c r="AE79" s="5">
        <v>0</v>
      </c>
      <c r="AF79" s="5">
        <v>0</v>
      </c>
      <c r="AG79" s="5">
        <v>10</v>
      </c>
      <c r="AH79" s="5">
        <v>15</v>
      </c>
      <c r="AI79" s="5">
        <v>15</v>
      </c>
      <c r="AJ79" s="5">
        <v>6.1849999999999996</v>
      </c>
      <c r="AK79" s="5">
        <v>0</v>
      </c>
      <c r="AL79" s="5">
        <v>0</v>
      </c>
      <c r="AM79" s="5">
        <v>0</v>
      </c>
      <c r="AN79" s="5">
        <v>0</v>
      </c>
      <c r="AO79" s="5">
        <v>0</v>
      </c>
      <c r="AP79" s="816">
        <v>0</v>
      </c>
      <c r="AQ79" s="816">
        <v>0</v>
      </c>
      <c r="AR79" s="5">
        <v>0</v>
      </c>
      <c r="AS79" s="5">
        <v>0</v>
      </c>
      <c r="AT79" s="5">
        <v>0</v>
      </c>
      <c r="AU79" s="5">
        <v>0</v>
      </c>
      <c r="AV79" s="5">
        <v>0</v>
      </c>
      <c r="AW79" s="815">
        <v>0</v>
      </c>
      <c r="AX79" s="826">
        <v>0</v>
      </c>
      <c r="AY79" s="819">
        <v>0</v>
      </c>
      <c r="AZ79" s="816"/>
      <c r="BA79" s="818"/>
      <c r="BB79" s="802" t="str" cm="1">
        <f t="array" ref="BB79">INDEX(C$4:BA$4,MATCH(TRUE,INDEX(C79:BA79&lt;&gt;0,),0))</f>
        <v>2008-09</v>
      </c>
      <c r="BC79" s="803" t="str" cm="1">
        <f t="array" ref="BC79">LOOKUP(2,1/(C79:BA79&lt;&gt;0),$C$4:$BA$4)</f>
        <v>2011-12</v>
      </c>
      <c r="BD79" s="804">
        <f>COUNTIF(RDprograms[[#This Row],[1978-79]:[2028-29]], "&gt;0")</f>
        <v>4</v>
      </c>
      <c r="BE79" s="805">
        <f>SUM(C79:BA79)/RDprograms[[#This Row],[Years with &gt; $0 investment]]</f>
        <v>11.546250000000001</v>
      </c>
      <c r="BF79" s="806" t="s">
        <v>249</v>
      </c>
      <c r="BG79" s="807" t="s">
        <v>234</v>
      </c>
      <c r="BH79" s="807" t="s">
        <v>390</v>
      </c>
      <c r="BI79" s="809"/>
      <c r="BJ79" s="809"/>
      <c r="BK79" s="809"/>
      <c r="BL79" s="809"/>
      <c r="BM79" s="809"/>
      <c r="BN79" s="810"/>
      <c r="BO79" s="811" t="s">
        <v>236</v>
      </c>
      <c r="BP79" s="812"/>
      <c r="BQ79" s="812"/>
      <c r="BR79" s="812"/>
      <c r="BS79" s="812"/>
      <c r="BT79" s="812" t="s">
        <v>238</v>
      </c>
    </row>
    <row r="80" spans="1:72" ht="12.75" customHeight="1">
      <c r="A80" s="813" t="s">
        <v>387</v>
      </c>
      <c r="B80" s="820" t="s">
        <v>435</v>
      </c>
      <c r="C80" s="5">
        <v>0</v>
      </c>
      <c r="D80" s="5">
        <v>0</v>
      </c>
      <c r="E80" s="5">
        <v>0</v>
      </c>
      <c r="F80" s="5">
        <v>0</v>
      </c>
      <c r="G80" s="5">
        <v>0</v>
      </c>
      <c r="H80" s="5">
        <v>0</v>
      </c>
      <c r="I80" s="5">
        <v>0</v>
      </c>
      <c r="J80" s="5">
        <v>0</v>
      </c>
      <c r="K80" s="5">
        <v>0</v>
      </c>
      <c r="L80" s="5">
        <v>0</v>
      </c>
      <c r="M80" s="5">
        <v>0</v>
      </c>
      <c r="N80" s="5">
        <v>0</v>
      </c>
      <c r="O80" s="5">
        <v>0</v>
      </c>
      <c r="P80" s="5">
        <v>0</v>
      </c>
      <c r="Q80" s="5">
        <v>0</v>
      </c>
      <c r="R80" s="5">
        <v>0</v>
      </c>
      <c r="S80" s="5">
        <v>0</v>
      </c>
      <c r="T80" s="5">
        <v>0</v>
      </c>
      <c r="U80" s="5">
        <v>0</v>
      </c>
      <c r="V80" s="5">
        <v>0</v>
      </c>
      <c r="W80" s="5">
        <v>0</v>
      </c>
      <c r="X80" s="5">
        <v>0</v>
      </c>
      <c r="Y80" s="5">
        <v>0</v>
      </c>
      <c r="Z80" s="5">
        <v>0</v>
      </c>
      <c r="AA80" s="5">
        <v>0</v>
      </c>
      <c r="AB80" s="5">
        <v>0</v>
      </c>
      <c r="AC80" s="5">
        <v>0</v>
      </c>
      <c r="AD80" s="5">
        <v>0</v>
      </c>
      <c r="AE80" s="5">
        <v>0</v>
      </c>
      <c r="AF80" s="5">
        <v>0</v>
      </c>
      <c r="AG80" s="5">
        <v>0</v>
      </c>
      <c r="AH80" s="5">
        <v>0</v>
      </c>
      <c r="AI80" s="5">
        <v>0</v>
      </c>
      <c r="AJ80" s="5">
        <v>0</v>
      </c>
      <c r="AK80" s="5">
        <v>0</v>
      </c>
      <c r="AL80" s="5">
        <v>0</v>
      </c>
      <c r="AM80" s="5">
        <v>0</v>
      </c>
      <c r="AN80" s="5">
        <v>0</v>
      </c>
      <c r="AO80" s="5">
        <v>0</v>
      </c>
      <c r="AP80" s="5">
        <v>10.77</v>
      </c>
      <c r="AQ80" s="5">
        <v>5.585</v>
      </c>
      <c r="AR80" s="5">
        <v>9.343</v>
      </c>
      <c r="AS80" s="5">
        <v>9.0340000000000007</v>
      </c>
      <c r="AT80" s="5">
        <v>0.64900000000000002</v>
      </c>
      <c r="AU80" s="5">
        <v>0</v>
      </c>
      <c r="AV80" s="5">
        <v>0</v>
      </c>
      <c r="AW80" s="815">
        <v>0</v>
      </c>
      <c r="AX80" s="826">
        <v>0</v>
      </c>
      <c r="AY80" s="819">
        <v>0</v>
      </c>
      <c r="AZ80" s="816"/>
      <c r="BA80" s="818"/>
      <c r="BB80" s="802" t="str" cm="1">
        <f t="array" ref="BB80">INDEX(C$4:BA$4,MATCH(TRUE,INDEX(C80:BA80&lt;&gt;0,),0))</f>
        <v>2017-18</v>
      </c>
      <c r="BC80" s="803" t="str" cm="1">
        <f t="array" ref="BC80">LOOKUP(2,1/(C80:BA80&lt;&gt;0),$C$4:$BA$4)</f>
        <v>2021-22</v>
      </c>
      <c r="BD80" s="804">
        <f>COUNTIF(RDprograms[[#This Row],[1978-79]:[2028-29]], "&gt;0")</f>
        <v>5</v>
      </c>
      <c r="BE80" s="805">
        <f>SUM(C80:BA80)/RDprograms[[#This Row],[Years with &gt; $0 investment]]</f>
        <v>7.0762</v>
      </c>
      <c r="BF80" s="806" t="s">
        <v>273</v>
      </c>
      <c r="BG80" s="807" t="s">
        <v>393</v>
      </c>
      <c r="BH80" s="807" t="s">
        <v>390</v>
      </c>
      <c r="BI80" s="809"/>
      <c r="BJ80" s="809"/>
      <c r="BK80" s="809"/>
      <c r="BL80" s="809"/>
      <c r="BM80" s="809"/>
      <c r="BN80" s="810"/>
      <c r="BO80" s="811" t="s">
        <v>236</v>
      </c>
      <c r="BP80" s="812" t="s">
        <v>436</v>
      </c>
      <c r="BQ80" s="812"/>
      <c r="BR80" s="812"/>
      <c r="BS80" s="812"/>
      <c r="BT80" s="812"/>
    </row>
    <row r="81" spans="1:82" ht="12.75" customHeight="1">
      <c r="A81" s="813" t="s">
        <v>387</v>
      </c>
      <c r="B81" s="820" t="s">
        <v>437</v>
      </c>
      <c r="C81" s="5">
        <v>0</v>
      </c>
      <c r="D81" s="5">
        <v>0</v>
      </c>
      <c r="E81" s="5">
        <v>0</v>
      </c>
      <c r="F81" s="5">
        <v>0</v>
      </c>
      <c r="G81" s="5">
        <v>0</v>
      </c>
      <c r="H81" s="5">
        <v>0</v>
      </c>
      <c r="I81" s="5">
        <v>0</v>
      </c>
      <c r="J81" s="5">
        <v>0</v>
      </c>
      <c r="K81" s="5">
        <v>0</v>
      </c>
      <c r="L81" s="5">
        <v>0</v>
      </c>
      <c r="M81" s="5">
        <v>0</v>
      </c>
      <c r="N81" s="5">
        <v>0</v>
      </c>
      <c r="O81" s="5">
        <v>0</v>
      </c>
      <c r="P81" s="5">
        <v>0</v>
      </c>
      <c r="Q81" s="5">
        <v>0</v>
      </c>
      <c r="R81" s="5">
        <v>0</v>
      </c>
      <c r="S81" s="5">
        <v>0</v>
      </c>
      <c r="T81" s="5">
        <v>0</v>
      </c>
      <c r="U81" s="5">
        <v>0</v>
      </c>
      <c r="V81" s="5">
        <v>0</v>
      </c>
      <c r="W81" s="5">
        <v>0</v>
      </c>
      <c r="X81" s="5">
        <v>0</v>
      </c>
      <c r="Y81" s="5">
        <v>0</v>
      </c>
      <c r="Z81" s="5">
        <v>0</v>
      </c>
      <c r="AA81" s="5">
        <v>0</v>
      </c>
      <c r="AB81" s="5">
        <v>0</v>
      </c>
      <c r="AC81" s="5">
        <v>0</v>
      </c>
      <c r="AD81" s="5">
        <v>2.8849999999999998</v>
      </c>
      <c r="AE81" s="5">
        <v>15.493</v>
      </c>
      <c r="AF81" s="5">
        <v>22.959</v>
      </c>
      <c r="AG81" s="5">
        <v>25.395</v>
      </c>
      <c r="AH81" s="5">
        <v>24.356000000000002</v>
      </c>
      <c r="AI81" s="5">
        <v>20.02</v>
      </c>
      <c r="AJ81" s="5">
        <v>19.02</v>
      </c>
      <c r="AK81" s="5">
        <v>20.02</v>
      </c>
      <c r="AL81" s="5">
        <v>20.52</v>
      </c>
      <c r="AM81" s="5">
        <v>9.42</v>
      </c>
      <c r="AN81" s="5">
        <v>0</v>
      </c>
      <c r="AO81" s="5">
        <v>0</v>
      </c>
      <c r="AP81" s="5">
        <v>0</v>
      </c>
      <c r="AQ81" s="5">
        <v>0</v>
      </c>
      <c r="AR81" s="5">
        <v>0</v>
      </c>
      <c r="AS81" s="5">
        <v>0</v>
      </c>
      <c r="AT81" s="5">
        <v>0</v>
      </c>
      <c r="AU81" s="5">
        <v>0</v>
      </c>
      <c r="AV81" s="5">
        <v>0</v>
      </c>
      <c r="AW81" s="815">
        <v>0</v>
      </c>
      <c r="AX81" s="826">
        <v>0</v>
      </c>
      <c r="AY81" s="819">
        <v>0</v>
      </c>
      <c r="AZ81" s="816"/>
      <c r="BA81" s="818"/>
      <c r="BB81" s="802" t="str" cm="1">
        <f t="array" ref="BB81">INDEX(C$4:BA$4,MATCH(TRUE,INDEX(C81:BA81&lt;&gt;0,),0))</f>
        <v>2005-06</v>
      </c>
      <c r="BC81" s="803" t="str" cm="1">
        <f t="array" ref="BC81">LOOKUP(2,1/(C81:BA81&lt;&gt;0),$C$4:$BA$4)</f>
        <v>2014-15</v>
      </c>
      <c r="BD81" s="804">
        <f>COUNTIF(RDprograms[[#This Row],[1978-79]:[2028-29]], "&gt;0")</f>
        <v>10</v>
      </c>
      <c r="BE81" s="805">
        <f>SUM(C81:BA81)/RDprograms[[#This Row],[Years with &gt; $0 investment]]</f>
        <v>18.008800000000001</v>
      </c>
      <c r="BF81" s="806" t="s">
        <v>233</v>
      </c>
      <c r="BG81" s="807" t="s">
        <v>406</v>
      </c>
      <c r="BH81" s="807" t="s">
        <v>390</v>
      </c>
      <c r="BI81" s="809"/>
      <c r="BJ81" s="809"/>
      <c r="BK81" s="809"/>
      <c r="BL81" s="809"/>
      <c r="BM81" s="809"/>
      <c r="BN81" s="810"/>
      <c r="BO81" s="811" t="s">
        <v>236</v>
      </c>
      <c r="BP81" s="812" t="s">
        <v>438</v>
      </c>
      <c r="BQ81" s="812"/>
      <c r="BR81" s="812"/>
      <c r="BS81" s="812"/>
      <c r="BT81" s="812"/>
    </row>
    <row r="82" spans="1:82" ht="12.75" customHeight="1">
      <c r="A82" s="813" t="s">
        <v>387</v>
      </c>
      <c r="B82" s="820" t="s">
        <v>439</v>
      </c>
      <c r="C82" s="5">
        <v>0</v>
      </c>
      <c r="D82" s="5">
        <v>0</v>
      </c>
      <c r="E82" s="5">
        <v>0</v>
      </c>
      <c r="F82" s="5">
        <v>0</v>
      </c>
      <c r="G82" s="5">
        <v>0</v>
      </c>
      <c r="H82" s="5">
        <v>0</v>
      </c>
      <c r="I82" s="5">
        <v>0</v>
      </c>
      <c r="J82" s="5">
        <v>0</v>
      </c>
      <c r="K82" s="5">
        <v>0</v>
      </c>
      <c r="L82" s="5">
        <v>0</v>
      </c>
      <c r="M82" s="5">
        <v>0</v>
      </c>
      <c r="N82" s="5">
        <v>0</v>
      </c>
      <c r="O82" s="5">
        <v>0</v>
      </c>
      <c r="P82" s="5">
        <v>0</v>
      </c>
      <c r="Q82" s="5">
        <v>0</v>
      </c>
      <c r="R82" s="5">
        <v>0</v>
      </c>
      <c r="S82" s="5">
        <v>0</v>
      </c>
      <c r="T82" s="5">
        <v>0</v>
      </c>
      <c r="U82" s="5">
        <v>0</v>
      </c>
      <c r="V82" s="5">
        <v>0</v>
      </c>
      <c r="W82" s="5">
        <v>0</v>
      </c>
      <c r="X82" s="5">
        <v>0</v>
      </c>
      <c r="Y82" s="5">
        <v>0</v>
      </c>
      <c r="Z82" s="5">
        <v>0</v>
      </c>
      <c r="AA82" s="5">
        <v>0</v>
      </c>
      <c r="AB82" s="5">
        <v>0</v>
      </c>
      <c r="AC82" s="5">
        <v>0</v>
      </c>
      <c r="AD82" s="5">
        <v>0</v>
      </c>
      <c r="AE82" s="5">
        <v>0</v>
      </c>
      <c r="AF82" s="5">
        <v>0</v>
      </c>
      <c r="AG82" s="5">
        <v>0</v>
      </c>
      <c r="AH82" s="5">
        <v>0</v>
      </c>
      <c r="AI82" s="5">
        <v>0</v>
      </c>
      <c r="AJ82" s="5">
        <v>0</v>
      </c>
      <c r="AK82" s="5">
        <v>0</v>
      </c>
      <c r="AL82" s="5">
        <v>0</v>
      </c>
      <c r="AM82" s="5">
        <v>0</v>
      </c>
      <c r="AN82" s="5">
        <v>0</v>
      </c>
      <c r="AO82" s="5">
        <v>0</v>
      </c>
      <c r="AP82" s="5">
        <v>0</v>
      </c>
      <c r="AQ82" s="5">
        <v>0.105</v>
      </c>
      <c r="AR82" s="5">
        <v>8.6999999999999994E-2</v>
      </c>
      <c r="AS82" s="5">
        <v>0.121</v>
      </c>
      <c r="AT82" s="5">
        <v>0.84199999999999997</v>
      </c>
      <c r="AU82" s="5">
        <v>1.0860000000000001</v>
      </c>
      <c r="AV82" s="5">
        <v>0.38200000000000001</v>
      </c>
      <c r="AW82" s="815">
        <v>0.22500000000000001</v>
      </c>
      <c r="AX82" s="826">
        <v>0.19500000000000001</v>
      </c>
      <c r="AY82" s="819"/>
      <c r="AZ82" s="826"/>
      <c r="BA82" s="818"/>
      <c r="BB82" s="802" t="str" cm="1">
        <f t="array" ref="BB82">INDEX(C$4:BA$4,MATCH(TRUE,INDEX(C82:BA82&lt;&gt;0,),0))</f>
        <v>2018-19</v>
      </c>
      <c r="BC82" s="803" t="str" cm="1">
        <f t="array" ref="BC82">LOOKUP(2,1/(C82:BA82&lt;&gt;0),$C$4:$BA$4)</f>
        <v>2025-26</v>
      </c>
      <c r="BD82" s="804">
        <f>COUNTIF(RDprograms[[#This Row],[1978-79]:[2028-29]], "&gt;0")</f>
        <v>8</v>
      </c>
      <c r="BE82" s="805">
        <f>SUM(C82:BA82)/RDprograms[[#This Row],[Years with &gt; $0 investment]]</f>
        <v>0.38037500000000002</v>
      </c>
      <c r="BF82" s="806" t="s">
        <v>273</v>
      </c>
      <c r="BG82" s="807" t="s">
        <v>406</v>
      </c>
      <c r="BH82" s="807" t="s">
        <v>390</v>
      </c>
      <c r="BI82" s="809"/>
      <c r="BJ82" s="809"/>
      <c r="BK82" s="809">
        <v>1</v>
      </c>
      <c r="BL82" s="809">
        <v>1</v>
      </c>
      <c r="BM82" s="809"/>
      <c r="BN82" s="810"/>
      <c r="BO82" s="811" t="s">
        <v>236</v>
      </c>
      <c r="BP82" s="812" t="s">
        <v>440</v>
      </c>
      <c r="BQ82" s="812" t="s">
        <v>441</v>
      </c>
      <c r="BR82" s="812"/>
      <c r="BS82" s="812"/>
      <c r="BT82" s="812"/>
    </row>
    <row r="83" spans="1:82" s="453" customFormat="1" ht="12.75" customHeight="1">
      <c r="A83" s="813" t="s">
        <v>387</v>
      </c>
      <c r="B83" s="820" t="s">
        <v>442</v>
      </c>
      <c r="C83" s="5">
        <v>0</v>
      </c>
      <c r="D83" s="5">
        <v>0</v>
      </c>
      <c r="E83" s="5">
        <v>0</v>
      </c>
      <c r="F83" s="5">
        <v>0</v>
      </c>
      <c r="G83" s="5">
        <v>0</v>
      </c>
      <c r="H83" s="5">
        <v>0</v>
      </c>
      <c r="I83" s="5">
        <v>0</v>
      </c>
      <c r="J83" s="5">
        <v>0</v>
      </c>
      <c r="K83" s="5">
        <v>0</v>
      </c>
      <c r="L83" s="5">
        <v>0</v>
      </c>
      <c r="M83" s="5">
        <v>0</v>
      </c>
      <c r="N83" s="5">
        <v>0</v>
      </c>
      <c r="O83" s="5">
        <v>0</v>
      </c>
      <c r="P83" s="5">
        <v>0</v>
      </c>
      <c r="Q83" s="5">
        <v>0</v>
      </c>
      <c r="R83" s="5">
        <v>0</v>
      </c>
      <c r="S83" s="5">
        <v>0</v>
      </c>
      <c r="T83" s="5">
        <v>0</v>
      </c>
      <c r="U83" s="5">
        <v>0</v>
      </c>
      <c r="V83" s="5">
        <v>0</v>
      </c>
      <c r="W83" s="5">
        <v>0</v>
      </c>
      <c r="X83" s="5">
        <v>0</v>
      </c>
      <c r="Y83" s="5">
        <v>0</v>
      </c>
      <c r="Z83" s="5">
        <v>0</v>
      </c>
      <c r="AA83" s="5">
        <v>0</v>
      </c>
      <c r="AB83" s="5">
        <v>0</v>
      </c>
      <c r="AC83" s="5">
        <v>0</v>
      </c>
      <c r="AD83" s="5">
        <v>0</v>
      </c>
      <c r="AE83" s="5">
        <v>0</v>
      </c>
      <c r="AF83" s="5">
        <v>0</v>
      </c>
      <c r="AG83" s="5">
        <v>0</v>
      </c>
      <c r="AH83" s="5">
        <v>0.31900000000000001</v>
      </c>
      <c r="AI83" s="5">
        <v>0.34699999999999998</v>
      </c>
      <c r="AJ83" s="5">
        <v>0.35499999999999998</v>
      </c>
      <c r="AK83" s="5">
        <v>0.39900000000000002</v>
      </c>
      <c r="AL83" s="5">
        <v>0.41099999999999998</v>
      </c>
      <c r="AM83" s="5">
        <v>0</v>
      </c>
      <c r="AN83" s="5">
        <v>0</v>
      </c>
      <c r="AO83" s="5">
        <v>0</v>
      </c>
      <c r="AP83" s="5">
        <v>0</v>
      </c>
      <c r="AQ83" s="5">
        <v>0</v>
      </c>
      <c r="AR83" s="5">
        <v>0</v>
      </c>
      <c r="AS83" s="5">
        <v>0</v>
      </c>
      <c r="AT83" s="5">
        <v>0</v>
      </c>
      <c r="AU83" s="5">
        <v>0</v>
      </c>
      <c r="AV83" s="5">
        <v>0</v>
      </c>
      <c r="AW83" s="815">
        <v>0</v>
      </c>
      <c r="AX83" s="826">
        <v>0</v>
      </c>
      <c r="AY83" s="819">
        <v>0</v>
      </c>
      <c r="AZ83" s="816"/>
      <c r="BA83" s="818"/>
      <c r="BB83" s="802" t="str" cm="1">
        <f t="array" ref="BB83">INDEX(C$4:BA$4,MATCH(TRUE,INDEX(C83:BA83&lt;&gt;0,),0))</f>
        <v>2009-10</v>
      </c>
      <c r="BC83" s="803" t="str" cm="1">
        <f t="array" ref="BC83">LOOKUP(2,1/(C83:BA83&lt;&gt;0),$C$4:$BA$4)</f>
        <v>2013-14</v>
      </c>
      <c r="BD83" s="804">
        <f>COUNTIF(RDprograms[[#This Row],[1978-79]:[2028-29]], "&gt;0")</f>
        <v>5</v>
      </c>
      <c r="BE83" s="805">
        <f>SUM(C83:BA83)/RDprograms[[#This Row],[Years with &gt; $0 investment]]</f>
        <v>0.36619999999999997</v>
      </c>
      <c r="BF83" s="806" t="s">
        <v>249</v>
      </c>
      <c r="BG83" s="807" t="s">
        <v>406</v>
      </c>
      <c r="BH83" s="827" t="s">
        <v>241</v>
      </c>
      <c r="BI83" s="809"/>
      <c r="BJ83" s="809"/>
      <c r="BK83" s="809"/>
      <c r="BL83" s="809"/>
      <c r="BM83" s="809"/>
      <c r="BN83" s="810"/>
      <c r="BO83" s="811" t="s">
        <v>236</v>
      </c>
      <c r="BP83" s="812"/>
      <c r="BQ83" s="812"/>
      <c r="BR83" s="812"/>
      <c r="BS83" s="812"/>
      <c r="BT83" s="812" t="s">
        <v>238</v>
      </c>
      <c r="BU83" s="1"/>
      <c r="BV83" s="2"/>
      <c r="BW83" s="1"/>
      <c r="BX83" s="1"/>
      <c r="BY83" s="1"/>
      <c r="BZ83" s="1"/>
      <c r="CA83" s="1"/>
      <c r="CB83" s="1"/>
      <c r="CC83" s="1"/>
      <c r="CD83" s="1"/>
    </row>
    <row r="84" spans="1:82" s="453" customFormat="1" ht="12.75" customHeight="1">
      <c r="A84" s="813" t="s">
        <v>387</v>
      </c>
      <c r="B84" s="820" t="s">
        <v>443</v>
      </c>
      <c r="C84" s="5">
        <v>0</v>
      </c>
      <c r="D84" s="5">
        <v>0</v>
      </c>
      <c r="E84" s="5">
        <v>0</v>
      </c>
      <c r="F84" s="5">
        <v>0</v>
      </c>
      <c r="G84" s="5">
        <v>0</v>
      </c>
      <c r="H84" s="5">
        <v>0</v>
      </c>
      <c r="I84" s="5">
        <v>0</v>
      </c>
      <c r="J84" s="5">
        <v>0</v>
      </c>
      <c r="K84" s="5">
        <v>0</v>
      </c>
      <c r="L84" s="5">
        <v>0</v>
      </c>
      <c r="M84" s="5">
        <v>0</v>
      </c>
      <c r="N84" s="5">
        <v>0</v>
      </c>
      <c r="O84" s="5">
        <v>0</v>
      </c>
      <c r="P84" s="5">
        <v>0</v>
      </c>
      <c r="Q84" s="5">
        <v>0</v>
      </c>
      <c r="R84" s="5">
        <v>0</v>
      </c>
      <c r="S84" s="5">
        <v>0</v>
      </c>
      <c r="T84" s="5">
        <v>0</v>
      </c>
      <c r="U84" s="5">
        <v>0</v>
      </c>
      <c r="V84" s="5">
        <v>0</v>
      </c>
      <c r="W84" s="5">
        <v>0</v>
      </c>
      <c r="X84" s="5">
        <v>0</v>
      </c>
      <c r="Y84" s="5">
        <v>0</v>
      </c>
      <c r="Z84" s="5">
        <v>0</v>
      </c>
      <c r="AA84" s="5">
        <v>0</v>
      </c>
      <c r="AB84" s="5">
        <v>0</v>
      </c>
      <c r="AC84" s="5">
        <v>0</v>
      </c>
      <c r="AD84" s="5">
        <v>0</v>
      </c>
      <c r="AE84" s="5">
        <v>0</v>
      </c>
      <c r="AF84" s="5">
        <v>0</v>
      </c>
      <c r="AG84" s="5">
        <v>0</v>
      </c>
      <c r="AH84" s="5">
        <v>0</v>
      </c>
      <c r="AI84" s="5">
        <v>0</v>
      </c>
      <c r="AJ84" s="5">
        <v>0</v>
      </c>
      <c r="AK84" s="5">
        <v>0</v>
      </c>
      <c r="AL84" s="5">
        <v>0</v>
      </c>
      <c r="AM84" s="5">
        <v>0</v>
      </c>
      <c r="AN84" s="5">
        <v>0</v>
      </c>
      <c r="AO84" s="5">
        <v>0</v>
      </c>
      <c r="AP84" s="5">
        <v>0</v>
      </c>
      <c r="AQ84" s="5">
        <v>0</v>
      </c>
      <c r="AR84" s="5">
        <v>0</v>
      </c>
      <c r="AS84" s="5">
        <v>0</v>
      </c>
      <c r="AT84" s="5">
        <v>0</v>
      </c>
      <c r="AU84" s="5">
        <v>1</v>
      </c>
      <c r="AV84" s="5">
        <v>1.246</v>
      </c>
      <c r="AW84" s="815">
        <v>0.19600000000000001</v>
      </c>
      <c r="AX84" s="826"/>
      <c r="AY84" s="819"/>
      <c r="AZ84" s="826"/>
      <c r="BA84" s="818"/>
      <c r="BB84" s="802" t="str" cm="1">
        <f t="array" ref="BB84">INDEX(C$4:BA$4,MATCH(TRUE,INDEX(C84:BA84&lt;&gt;0,),0))</f>
        <v>2022-23</v>
      </c>
      <c r="BC84" s="803" t="str" cm="1">
        <f t="array" ref="BC84">LOOKUP(2,1/(C84:BA84&lt;&gt;0),$C$4:$BA$4)</f>
        <v>2024-25</v>
      </c>
      <c r="BD84" s="804">
        <f>COUNTIF(RDprograms[[#This Row],[1978-79]:[2028-29]], "&gt;0")</f>
        <v>3</v>
      </c>
      <c r="BE84" s="805">
        <f>SUM(C84:BA84)/RDprograms[[#This Row],[Years with &gt; $0 investment]]</f>
        <v>0.81400000000000006</v>
      </c>
      <c r="BF84" s="806" t="s">
        <v>273</v>
      </c>
      <c r="BG84" s="807" t="s">
        <v>406</v>
      </c>
      <c r="BH84" s="827" t="s">
        <v>444</v>
      </c>
      <c r="BI84" s="809"/>
      <c r="BJ84" s="809"/>
      <c r="BK84" s="809"/>
      <c r="BL84" s="809"/>
      <c r="BM84" s="809"/>
      <c r="BN84" s="810"/>
      <c r="BO84" s="811" t="s">
        <v>445</v>
      </c>
      <c r="BP84" s="812" t="s">
        <v>446</v>
      </c>
      <c r="BQ84" s="812"/>
      <c r="BR84" s="812"/>
      <c r="BS84" s="812"/>
      <c r="BT84" s="828" t="s">
        <v>277</v>
      </c>
      <c r="BU84" s="1"/>
      <c r="BV84" s="2"/>
      <c r="BW84" s="1"/>
      <c r="BX84" s="1"/>
      <c r="BY84" s="1"/>
      <c r="BZ84" s="1"/>
      <c r="CA84" s="1"/>
      <c r="CB84" s="1"/>
      <c r="CC84" s="1"/>
      <c r="CD84" s="1"/>
    </row>
    <row r="85" spans="1:82" ht="12.75" customHeight="1">
      <c r="A85" s="813" t="s">
        <v>387</v>
      </c>
      <c r="B85" s="820" t="s">
        <v>447</v>
      </c>
      <c r="C85" s="5">
        <v>0</v>
      </c>
      <c r="D85" s="5">
        <v>0</v>
      </c>
      <c r="E85" s="5">
        <v>0</v>
      </c>
      <c r="F85" s="5">
        <v>0</v>
      </c>
      <c r="G85" s="5">
        <v>0</v>
      </c>
      <c r="H85" s="5">
        <v>0</v>
      </c>
      <c r="I85" s="5">
        <v>0</v>
      </c>
      <c r="J85" s="5">
        <v>0</v>
      </c>
      <c r="K85" s="5">
        <v>0</v>
      </c>
      <c r="L85" s="5">
        <v>0</v>
      </c>
      <c r="M85" s="5">
        <v>0</v>
      </c>
      <c r="N85" s="5">
        <v>0</v>
      </c>
      <c r="O85" s="5">
        <v>0</v>
      </c>
      <c r="P85" s="5">
        <v>0</v>
      </c>
      <c r="Q85" s="5">
        <v>0</v>
      </c>
      <c r="R85" s="5">
        <v>0</v>
      </c>
      <c r="S85" s="5">
        <v>0</v>
      </c>
      <c r="T85" s="5">
        <v>0</v>
      </c>
      <c r="U85" s="5">
        <v>0</v>
      </c>
      <c r="V85" s="5">
        <v>0</v>
      </c>
      <c r="W85" s="5">
        <v>0</v>
      </c>
      <c r="X85" s="5">
        <v>0</v>
      </c>
      <c r="Y85" s="5">
        <v>0</v>
      </c>
      <c r="Z85" s="5">
        <v>0</v>
      </c>
      <c r="AA85" s="5">
        <v>0</v>
      </c>
      <c r="AB85" s="5">
        <v>0</v>
      </c>
      <c r="AC85" s="5">
        <v>0</v>
      </c>
      <c r="AD85" s="5">
        <v>0</v>
      </c>
      <c r="AE85" s="5">
        <v>0</v>
      </c>
      <c r="AF85" s="5">
        <v>0</v>
      </c>
      <c r="AG85" s="5">
        <v>0</v>
      </c>
      <c r="AH85" s="5">
        <v>0</v>
      </c>
      <c r="AI85" s="5">
        <v>0</v>
      </c>
      <c r="AJ85" s="5">
        <v>0</v>
      </c>
      <c r="AK85" s="5">
        <v>0</v>
      </c>
      <c r="AL85" s="5">
        <v>0</v>
      </c>
      <c r="AM85" s="5">
        <v>0</v>
      </c>
      <c r="AN85" s="5">
        <v>0</v>
      </c>
      <c r="AO85" s="5">
        <v>0</v>
      </c>
      <c r="AP85" s="5">
        <v>0</v>
      </c>
      <c r="AQ85" s="5">
        <v>0</v>
      </c>
      <c r="AR85" s="5">
        <v>0</v>
      </c>
      <c r="AS85" s="5">
        <v>0</v>
      </c>
      <c r="AT85" s="5">
        <v>0</v>
      </c>
      <c r="AU85" s="5">
        <v>0</v>
      </c>
      <c r="AV85" s="830">
        <v>0.5</v>
      </c>
      <c r="AW85" s="831">
        <v>1.8440000000000001</v>
      </c>
      <c r="AX85" s="832">
        <v>1.3</v>
      </c>
      <c r="AY85" s="833">
        <v>1.3</v>
      </c>
      <c r="AZ85" s="832"/>
      <c r="BA85" s="834"/>
      <c r="BB85" s="835" t="str" cm="1">
        <f t="array" ref="BB85">INDEX(C$4:BA$4,MATCH(TRUE,INDEX(C85:BA85&lt;&gt;0,),0))</f>
        <v>2023-24</v>
      </c>
      <c r="BC85" s="836" t="str" cm="1">
        <f t="array" ref="BC85">LOOKUP(2,1/(C85:BA85&lt;&gt;0),$C$4:$BA$4)</f>
        <v>2026-27</v>
      </c>
      <c r="BD85" s="837">
        <f>COUNTIF(RDprograms[[#This Row],[1978-79]:[2028-29]], "&gt;0")</f>
        <v>4</v>
      </c>
      <c r="BE85" s="805">
        <f>SUM(C85:BA85)/RDprograms[[#This Row],[Years with &gt; $0 investment]]</f>
        <v>1.236</v>
      </c>
      <c r="BF85" s="806" t="s">
        <v>273</v>
      </c>
      <c r="BG85" s="807" t="s">
        <v>406</v>
      </c>
      <c r="BH85" s="807" t="s">
        <v>444</v>
      </c>
      <c r="BI85" s="809"/>
      <c r="BJ85" s="809"/>
      <c r="BK85" s="809"/>
      <c r="BL85" s="809">
        <v>1</v>
      </c>
      <c r="BM85" s="809"/>
      <c r="BN85" s="810"/>
      <c r="BO85" s="811" t="s">
        <v>236</v>
      </c>
      <c r="BP85" s="812" t="s">
        <v>448</v>
      </c>
      <c r="BQ85" s="812"/>
      <c r="BR85" s="812"/>
      <c r="BS85" s="812"/>
      <c r="BT85" s="812"/>
    </row>
    <row r="86" spans="1:82" ht="12.75" customHeight="1">
      <c r="A86" s="813" t="s">
        <v>387</v>
      </c>
      <c r="B86" s="820" t="s">
        <v>449</v>
      </c>
      <c r="C86" s="5">
        <v>0</v>
      </c>
      <c r="D86" s="5">
        <v>0</v>
      </c>
      <c r="E86" s="5">
        <v>0</v>
      </c>
      <c r="F86" s="5">
        <v>0</v>
      </c>
      <c r="G86" s="5">
        <v>0</v>
      </c>
      <c r="H86" s="5">
        <v>0</v>
      </c>
      <c r="I86" s="5">
        <v>0</v>
      </c>
      <c r="J86" s="5">
        <v>0</v>
      </c>
      <c r="K86" s="5">
        <v>0</v>
      </c>
      <c r="L86" s="5">
        <v>0</v>
      </c>
      <c r="M86" s="5">
        <v>0</v>
      </c>
      <c r="N86" s="5">
        <v>0</v>
      </c>
      <c r="O86" s="5">
        <v>0</v>
      </c>
      <c r="P86" s="5">
        <v>0</v>
      </c>
      <c r="Q86" s="5">
        <v>0</v>
      </c>
      <c r="R86" s="5">
        <v>0</v>
      </c>
      <c r="S86" s="5">
        <v>0</v>
      </c>
      <c r="T86" s="5">
        <v>0</v>
      </c>
      <c r="U86" s="5">
        <v>0</v>
      </c>
      <c r="V86" s="5">
        <v>0</v>
      </c>
      <c r="W86" s="5">
        <v>0</v>
      </c>
      <c r="X86" s="5">
        <v>0</v>
      </c>
      <c r="Y86" s="5">
        <v>0</v>
      </c>
      <c r="Z86" s="5">
        <v>0</v>
      </c>
      <c r="AA86" s="5">
        <v>0</v>
      </c>
      <c r="AB86" s="5">
        <v>0</v>
      </c>
      <c r="AC86" s="5">
        <v>7.7</v>
      </c>
      <c r="AD86" s="5">
        <v>6.8</v>
      </c>
      <c r="AE86" s="5">
        <v>6.3</v>
      </c>
      <c r="AF86" s="5">
        <v>6.1</v>
      </c>
      <c r="AG86" s="5">
        <v>6.6</v>
      </c>
      <c r="AH86" s="5">
        <v>0</v>
      </c>
      <c r="AI86" s="5">
        <v>0</v>
      </c>
      <c r="AJ86" s="5">
        <v>0</v>
      </c>
      <c r="AK86" s="5">
        <v>0</v>
      </c>
      <c r="AL86" s="5">
        <v>0</v>
      </c>
      <c r="AM86" s="5">
        <v>0</v>
      </c>
      <c r="AN86" s="5">
        <v>0</v>
      </c>
      <c r="AO86" s="5">
        <v>0</v>
      </c>
      <c r="AP86" s="5">
        <v>0</v>
      </c>
      <c r="AQ86" s="5">
        <v>0</v>
      </c>
      <c r="AR86" s="5">
        <v>0</v>
      </c>
      <c r="AS86" s="5">
        <v>0</v>
      </c>
      <c r="AT86" s="5">
        <v>0</v>
      </c>
      <c r="AU86" s="5">
        <v>0</v>
      </c>
      <c r="AV86" s="5">
        <v>0</v>
      </c>
      <c r="AW86" s="815">
        <v>0</v>
      </c>
      <c r="AX86" s="826">
        <v>0</v>
      </c>
      <c r="AY86" s="819">
        <v>0</v>
      </c>
      <c r="AZ86" s="816"/>
      <c r="BA86" s="818"/>
      <c r="BB86" s="802" t="str" cm="1">
        <f t="array" ref="BB86">INDEX(C$4:BA$4,MATCH(TRUE,INDEX(C86:BA86&lt;&gt;0,),0))</f>
        <v>2004-05</v>
      </c>
      <c r="BC86" s="803" t="str" cm="1">
        <f t="array" ref="BC86">LOOKUP(2,1/(C86:BA86&lt;&gt;0),$C$4:$BA$4)</f>
        <v>2008-09</v>
      </c>
      <c r="BD86" s="804">
        <f>COUNTIF(RDprograms[[#This Row],[1978-79]:[2028-29]], "&gt;0")</f>
        <v>5</v>
      </c>
      <c r="BE86" s="805">
        <f>SUM(C86:BA86)/RDprograms[[#This Row],[Years with &gt; $0 investment]]</f>
        <v>6.7</v>
      </c>
      <c r="BF86" s="806" t="s">
        <v>249</v>
      </c>
      <c r="BG86" s="807" t="s">
        <v>406</v>
      </c>
      <c r="BH86" s="807" t="s">
        <v>390</v>
      </c>
      <c r="BI86" s="809"/>
      <c r="BJ86" s="809"/>
      <c r="BK86" s="809"/>
      <c r="BL86" s="809"/>
      <c r="BM86" s="809"/>
      <c r="BN86" s="810"/>
      <c r="BO86" s="811" t="s">
        <v>236</v>
      </c>
      <c r="BP86" s="812"/>
      <c r="BQ86" s="812"/>
      <c r="BR86" s="812"/>
      <c r="BS86" s="812"/>
      <c r="BT86" s="812"/>
    </row>
    <row r="87" spans="1:82" ht="12.75" customHeight="1">
      <c r="A87" s="813" t="s">
        <v>387</v>
      </c>
      <c r="B87" s="820" t="s">
        <v>450</v>
      </c>
      <c r="C87" s="5">
        <v>0</v>
      </c>
      <c r="D87" s="5">
        <v>0</v>
      </c>
      <c r="E87" s="5">
        <v>0</v>
      </c>
      <c r="F87" s="5">
        <v>0</v>
      </c>
      <c r="G87" s="5">
        <v>0</v>
      </c>
      <c r="H87" s="5">
        <v>0</v>
      </c>
      <c r="I87" s="5">
        <v>0</v>
      </c>
      <c r="J87" s="5">
        <v>0</v>
      </c>
      <c r="K87" s="5">
        <v>0</v>
      </c>
      <c r="L87" s="5">
        <v>0</v>
      </c>
      <c r="M87" s="5">
        <v>0</v>
      </c>
      <c r="N87" s="5">
        <v>0</v>
      </c>
      <c r="O87" s="5">
        <v>0</v>
      </c>
      <c r="P87" s="5">
        <v>0</v>
      </c>
      <c r="Q87" s="5">
        <v>0</v>
      </c>
      <c r="R87" s="5">
        <v>0</v>
      </c>
      <c r="S87" s="5">
        <v>0</v>
      </c>
      <c r="T87" s="5">
        <v>0</v>
      </c>
      <c r="U87" s="5">
        <v>0</v>
      </c>
      <c r="V87" s="5">
        <v>0</v>
      </c>
      <c r="W87" s="5">
        <v>0</v>
      </c>
      <c r="X87" s="5">
        <v>0</v>
      </c>
      <c r="Y87" s="5">
        <v>0</v>
      </c>
      <c r="Z87" s="5">
        <v>0</v>
      </c>
      <c r="AA87" s="5">
        <v>0</v>
      </c>
      <c r="AB87" s="5">
        <v>0</v>
      </c>
      <c r="AC87" s="5">
        <v>0</v>
      </c>
      <c r="AD87" s="5">
        <v>0</v>
      </c>
      <c r="AE87" s="5">
        <v>0</v>
      </c>
      <c r="AF87" s="5">
        <v>0</v>
      </c>
      <c r="AG87" s="5">
        <v>0</v>
      </c>
      <c r="AH87" s="5">
        <v>0</v>
      </c>
      <c r="AI87" s="5">
        <v>0</v>
      </c>
      <c r="AJ87" s="5">
        <v>0</v>
      </c>
      <c r="AK87" s="5">
        <v>0</v>
      </c>
      <c r="AL87" s="5">
        <v>0.5</v>
      </c>
      <c r="AM87" s="5">
        <v>1.9</v>
      </c>
      <c r="AN87" s="5">
        <v>1.9</v>
      </c>
      <c r="AO87" s="5">
        <v>1.9</v>
      </c>
      <c r="AP87" s="816">
        <v>1.9</v>
      </c>
      <c r="AQ87" s="816">
        <v>1.9</v>
      </c>
      <c r="AR87" s="5">
        <v>1.8979999999999999</v>
      </c>
      <c r="AS87" s="5">
        <v>2.5</v>
      </c>
      <c r="AT87" s="5">
        <v>2.5</v>
      </c>
      <c r="AU87" s="5">
        <v>2.2549999999999999</v>
      </c>
      <c r="AV87" s="5">
        <v>2.7450000000000001</v>
      </c>
      <c r="AW87" s="815">
        <v>2.5</v>
      </c>
      <c r="AX87" s="826">
        <v>2.5</v>
      </c>
      <c r="AY87" s="819">
        <v>2.5</v>
      </c>
      <c r="AZ87" s="816">
        <v>2.5</v>
      </c>
      <c r="BA87" s="818">
        <v>2.5</v>
      </c>
      <c r="BB87" s="802" t="str" cm="1">
        <f t="array" ref="BB87">INDEX(C$4:BA$4,MATCH(TRUE,INDEX(C87:BA87&lt;&gt;0,),0))</f>
        <v>2013-14</v>
      </c>
      <c r="BC87" s="803" t="str" cm="1">
        <f t="array" ref="BC87">LOOKUP(2,1/(C87:BA87&lt;&gt;0),$C$4:$BA$4)</f>
        <v>2028-29</v>
      </c>
      <c r="BD87" s="804">
        <f>COUNTIF(RDprograms[[#This Row],[1978-79]:[2028-29]], "&gt;0")</f>
        <v>16</v>
      </c>
      <c r="BE87" s="805">
        <f>SUM(C87:BA87)/RDprograms[[#This Row],[Years with &gt; $0 investment]]</f>
        <v>2.1498749999999998</v>
      </c>
      <c r="BF87" s="806" t="s">
        <v>233</v>
      </c>
      <c r="BG87" s="807" t="s">
        <v>406</v>
      </c>
      <c r="BH87" s="807" t="s">
        <v>390</v>
      </c>
      <c r="BI87" s="809"/>
      <c r="BJ87" s="809"/>
      <c r="BK87" s="809"/>
      <c r="BL87" s="809">
        <v>1</v>
      </c>
      <c r="BM87" s="809"/>
      <c r="BN87" s="810"/>
      <c r="BO87" s="811" t="s">
        <v>236</v>
      </c>
      <c r="BP87" s="812" t="s">
        <v>451</v>
      </c>
      <c r="BQ87" s="812" t="s">
        <v>452</v>
      </c>
      <c r="BR87" s="812"/>
      <c r="BS87" s="812"/>
      <c r="BT87" s="812"/>
    </row>
    <row r="88" spans="1:82" ht="12.75" customHeight="1">
      <c r="A88" s="813" t="s">
        <v>387</v>
      </c>
      <c r="B88" s="820" t="s">
        <v>453</v>
      </c>
      <c r="C88" s="5">
        <v>0</v>
      </c>
      <c r="D88" s="5">
        <v>0</v>
      </c>
      <c r="E88" s="5">
        <v>0</v>
      </c>
      <c r="F88" s="5">
        <v>0</v>
      </c>
      <c r="G88" s="5">
        <v>0</v>
      </c>
      <c r="H88" s="5">
        <v>0</v>
      </c>
      <c r="I88" s="5">
        <v>0</v>
      </c>
      <c r="J88" s="5">
        <v>0</v>
      </c>
      <c r="K88" s="5">
        <v>0</v>
      </c>
      <c r="L88" s="5">
        <v>0</v>
      </c>
      <c r="M88" s="5">
        <v>0</v>
      </c>
      <c r="N88" s="5">
        <v>0</v>
      </c>
      <c r="O88" s="5">
        <v>0</v>
      </c>
      <c r="P88" s="5">
        <v>0</v>
      </c>
      <c r="Q88" s="5">
        <v>0</v>
      </c>
      <c r="R88" s="5">
        <v>0</v>
      </c>
      <c r="S88" s="5">
        <v>0</v>
      </c>
      <c r="T88" s="5">
        <v>0</v>
      </c>
      <c r="U88" s="5">
        <v>0</v>
      </c>
      <c r="V88" s="5">
        <v>0</v>
      </c>
      <c r="W88" s="5">
        <v>0</v>
      </c>
      <c r="X88" s="5">
        <v>0</v>
      </c>
      <c r="Y88" s="5">
        <v>0</v>
      </c>
      <c r="Z88" s="5">
        <v>0</v>
      </c>
      <c r="AA88" s="5">
        <v>0</v>
      </c>
      <c r="AB88" s="5">
        <v>0</v>
      </c>
      <c r="AC88" s="5">
        <v>0</v>
      </c>
      <c r="AD88" s="5">
        <v>0</v>
      </c>
      <c r="AE88" s="5">
        <v>0</v>
      </c>
      <c r="AF88" s="5">
        <v>0</v>
      </c>
      <c r="AG88" s="5">
        <v>0</v>
      </c>
      <c r="AH88" s="5">
        <v>0</v>
      </c>
      <c r="AI88" s="5">
        <v>0</v>
      </c>
      <c r="AJ88" s="5">
        <v>0</v>
      </c>
      <c r="AK88" s="5">
        <v>0</v>
      </c>
      <c r="AL88" s="5">
        <v>0</v>
      </c>
      <c r="AM88" s="5">
        <v>0</v>
      </c>
      <c r="AN88" s="5">
        <v>0</v>
      </c>
      <c r="AO88" s="5">
        <v>0</v>
      </c>
      <c r="AP88" s="5">
        <v>0</v>
      </c>
      <c r="AQ88" s="5">
        <v>0</v>
      </c>
      <c r="AR88" s="5">
        <v>0</v>
      </c>
      <c r="AS88" s="5">
        <v>0</v>
      </c>
      <c r="AT88" s="5">
        <v>0</v>
      </c>
      <c r="AU88" s="5">
        <v>0</v>
      </c>
      <c r="AV88" s="5">
        <v>0.19700000000000001</v>
      </c>
      <c r="AW88" s="815">
        <v>0</v>
      </c>
      <c r="AX88" s="826"/>
      <c r="AY88" s="819"/>
      <c r="AZ88" s="826"/>
      <c r="BA88" s="818"/>
      <c r="BB88" s="802" t="str" cm="1">
        <f t="array" ref="BB88">INDEX(C$4:BA$4,MATCH(TRUE,INDEX(C88:BA88&lt;&gt;0,),0))</f>
        <v>2023-24</v>
      </c>
      <c r="BC88" s="803" t="str" cm="1">
        <f t="array" ref="BC88">LOOKUP(2,1/(C88:BA88&lt;&gt;0),$C$4:$BA$4)</f>
        <v>2023-24</v>
      </c>
      <c r="BD88" s="804">
        <f>COUNTIF(RDprograms[[#This Row],[1978-79]:[2028-29]], "&gt;0")</f>
        <v>1</v>
      </c>
      <c r="BE88" s="805">
        <f>SUM(C88:BA88)/RDprograms[[#This Row],[Years with &gt; $0 investment]]</f>
        <v>0.19700000000000001</v>
      </c>
      <c r="BF88" s="806" t="s">
        <v>273</v>
      </c>
      <c r="BG88" s="807" t="s">
        <v>406</v>
      </c>
      <c r="BH88" s="807" t="s">
        <v>269</v>
      </c>
      <c r="BI88" s="809"/>
      <c r="BJ88" s="809"/>
      <c r="BK88" s="809"/>
      <c r="BL88" s="809"/>
      <c r="BM88" s="809"/>
      <c r="BN88" s="810"/>
      <c r="BO88" s="811" t="s">
        <v>236</v>
      </c>
      <c r="BP88" s="812" t="s">
        <v>454</v>
      </c>
      <c r="BQ88" s="812"/>
      <c r="BR88" s="812"/>
      <c r="BS88" s="812"/>
      <c r="BT88" s="828" t="s">
        <v>277</v>
      </c>
    </row>
    <row r="89" spans="1:82" ht="12.75" customHeight="1">
      <c r="A89" s="813" t="s">
        <v>387</v>
      </c>
      <c r="B89" s="820" t="s">
        <v>455</v>
      </c>
      <c r="C89" s="5">
        <v>0</v>
      </c>
      <c r="D89" s="5">
        <v>0</v>
      </c>
      <c r="E89" s="5">
        <v>0</v>
      </c>
      <c r="F89" s="5">
        <v>0</v>
      </c>
      <c r="G89" s="5">
        <v>0</v>
      </c>
      <c r="H89" s="5">
        <v>0</v>
      </c>
      <c r="I89" s="5">
        <v>0</v>
      </c>
      <c r="J89" s="5">
        <v>0</v>
      </c>
      <c r="K89" s="5">
        <v>0</v>
      </c>
      <c r="L89" s="5">
        <v>0</v>
      </c>
      <c r="M89" s="5">
        <v>0</v>
      </c>
      <c r="N89" s="5">
        <v>0</v>
      </c>
      <c r="O89" s="5">
        <v>0</v>
      </c>
      <c r="P89" s="5">
        <v>0</v>
      </c>
      <c r="Q89" s="5">
        <v>0</v>
      </c>
      <c r="R89" s="5">
        <v>0</v>
      </c>
      <c r="S89" s="5">
        <v>0</v>
      </c>
      <c r="T89" s="5">
        <v>0</v>
      </c>
      <c r="U89" s="5">
        <v>0</v>
      </c>
      <c r="V89" s="5">
        <v>0</v>
      </c>
      <c r="W89" s="5">
        <v>0</v>
      </c>
      <c r="X89" s="5">
        <v>0</v>
      </c>
      <c r="Y89" s="5">
        <v>0</v>
      </c>
      <c r="Z89" s="5">
        <v>0</v>
      </c>
      <c r="AA89" s="5">
        <v>0</v>
      </c>
      <c r="AB89" s="5">
        <v>0</v>
      </c>
      <c r="AC89" s="5">
        <v>0</v>
      </c>
      <c r="AD89" s="5">
        <v>0</v>
      </c>
      <c r="AE89" s="5">
        <v>0</v>
      </c>
      <c r="AF89" s="5">
        <v>0</v>
      </c>
      <c r="AG89" s="5">
        <v>0</v>
      </c>
      <c r="AH89" s="5">
        <v>0</v>
      </c>
      <c r="AI89" s="5">
        <v>0</v>
      </c>
      <c r="AJ89" s="5">
        <v>0</v>
      </c>
      <c r="AK89" s="5">
        <v>0</v>
      </c>
      <c r="AL89" s="5">
        <v>0</v>
      </c>
      <c r="AM89" s="5">
        <v>0</v>
      </c>
      <c r="AN89" s="5">
        <v>0</v>
      </c>
      <c r="AO89" s="5">
        <v>0</v>
      </c>
      <c r="AP89" s="5">
        <v>0</v>
      </c>
      <c r="AQ89" s="5">
        <v>0</v>
      </c>
      <c r="AR89" s="5">
        <v>0</v>
      </c>
      <c r="AS89" s="5">
        <v>0</v>
      </c>
      <c r="AT89" s="5">
        <v>0</v>
      </c>
      <c r="AU89" s="5">
        <v>0</v>
      </c>
      <c r="AV89" s="5">
        <v>0.05</v>
      </c>
      <c r="AW89" s="815">
        <v>4.4800000000000004</v>
      </c>
      <c r="AX89" s="826">
        <v>5.3019999999999996</v>
      </c>
      <c r="AY89" s="819">
        <v>0.65300000000000002</v>
      </c>
      <c r="AZ89" s="826">
        <v>0</v>
      </c>
      <c r="BA89" s="818">
        <v>0</v>
      </c>
      <c r="BB89" s="802" t="str" cm="1">
        <f t="array" ref="BB89">INDEX(C$4:BA$4,MATCH(TRUE,INDEX(C89:BA89&lt;&gt;0,),0))</f>
        <v>2023-24</v>
      </c>
      <c r="BC89" s="803" t="str" cm="1">
        <f t="array" ref="BC89">LOOKUP(2,1/(C89:BA89&lt;&gt;0),$C$4:$BA$4)</f>
        <v>2026-27</v>
      </c>
      <c r="BD89" s="804">
        <f>COUNTIF(RDprograms[[#This Row],[1978-79]:[2028-29]], "&gt;0")</f>
        <v>4</v>
      </c>
      <c r="BE89" s="805">
        <f>SUM(C89:BA89)/RDprograms[[#This Row],[Years with &gt; $0 investment]]</f>
        <v>2.6212500000000003</v>
      </c>
      <c r="BF89" s="806" t="s">
        <v>249</v>
      </c>
      <c r="BG89" s="807" t="s">
        <v>406</v>
      </c>
      <c r="BH89" s="807" t="s">
        <v>390</v>
      </c>
      <c r="BI89" s="809">
        <v>1</v>
      </c>
      <c r="BJ89" s="809"/>
      <c r="BK89" s="809"/>
      <c r="BL89" s="809"/>
      <c r="BM89" s="809"/>
      <c r="BN89" s="810"/>
      <c r="BO89" s="811" t="s">
        <v>236</v>
      </c>
      <c r="BP89" s="812" t="s">
        <v>456</v>
      </c>
      <c r="BQ89" s="812" t="s">
        <v>457</v>
      </c>
      <c r="BR89" s="812"/>
      <c r="BS89" s="812"/>
      <c r="BT89" s="812"/>
    </row>
    <row r="90" spans="1:82" ht="12.75" customHeight="1">
      <c r="A90" s="813" t="s">
        <v>387</v>
      </c>
      <c r="B90" s="820" t="s">
        <v>458</v>
      </c>
      <c r="C90" s="5">
        <v>0</v>
      </c>
      <c r="D90" s="5">
        <v>0</v>
      </c>
      <c r="E90" s="5">
        <v>0</v>
      </c>
      <c r="F90" s="5">
        <v>0</v>
      </c>
      <c r="G90" s="5">
        <v>0</v>
      </c>
      <c r="H90" s="5">
        <v>0</v>
      </c>
      <c r="I90" s="5">
        <v>0</v>
      </c>
      <c r="J90" s="5">
        <v>0</v>
      </c>
      <c r="K90" s="5">
        <v>0</v>
      </c>
      <c r="L90" s="5">
        <v>0</v>
      </c>
      <c r="M90" s="5">
        <v>0</v>
      </c>
      <c r="N90" s="5">
        <v>0</v>
      </c>
      <c r="O90" s="5">
        <v>0</v>
      </c>
      <c r="P90" s="5">
        <v>0</v>
      </c>
      <c r="Q90" s="5">
        <v>0</v>
      </c>
      <c r="R90" s="5">
        <v>0</v>
      </c>
      <c r="S90" s="5">
        <v>0</v>
      </c>
      <c r="T90" s="5">
        <v>0</v>
      </c>
      <c r="U90" s="5">
        <v>0</v>
      </c>
      <c r="V90" s="5">
        <v>0</v>
      </c>
      <c r="W90" s="5">
        <v>0</v>
      </c>
      <c r="X90" s="5">
        <v>0</v>
      </c>
      <c r="Y90" s="5">
        <v>0</v>
      </c>
      <c r="Z90" s="5">
        <v>0</v>
      </c>
      <c r="AA90" s="5">
        <v>0</v>
      </c>
      <c r="AB90" s="5">
        <v>0</v>
      </c>
      <c r="AC90" s="5">
        <v>0</v>
      </c>
      <c r="AD90" s="5">
        <v>0</v>
      </c>
      <c r="AE90" s="5">
        <v>0</v>
      </c>
      <c r="AF90" s="5">
        <v>0</v>
      </c>
      <c r="AG90" s="5">
        <v>0</v>
      </c>
      <c r="AH90" s="5">
        <v>0</v>
      </c>
      <c r="AI90" s="5">
        <v>0</v>
      </c>
      <c r="AJ90" s="5">
        <v>0</v>
      </c>
      <c r="AK90" s="5">
        <v>0</v>
      </c>
      <c r="AL90" s="5">
        <v>0</v>
      </c>
      <c r="AM90" s="5">
        <v>0</v>
      </c>
      <c r="AN90" s="5">
        <v>0</v>
      </c>
      <c r="AO90" s="5">
        <v>0</v>
      </c>
      <c r="AP90" s="5">
        <v>10.77</v>
      </c>
      <c r="AQ90" s="5">
        <v>5.585</v>
      </c>
      <c r="AR90" s="5">
        <v>9.343</v>
      </c>
      <c r="AS90" s="5">
        <v>9.0340000000000007</v>
      </c>
      <c r="AT90" s="5">
        <v>0.64900000000000002</v>
      </c>
      <c r="AU90" s="5">
        <v>0</v>
      </c>
      <c r="AV90" s="5">
        <v>0</v>
      </c>
      <c r="AW90" s="815">
        <v>0</v>
      </c>
      <c r="AX90" s="816">
        <v>0</v>
      </c>
      <c r="AY90" s="819">
        <v>0</v>
      </c>
      <c r="AZ90" s="816"/>
      <c r="BA90" s="818"/>
      <c r="BB90" s="802" t="str" cm="1">
        <f t="array" ref="BB90">INDEX(C$4:BA$4,MATCH(TRUE,INDEX(C90:BA90&lt;&gt;0,),0))</f>
        <v>2017-18</v>
      </c>
      <c r="BC90" s="803" t="str" cm="1">
        <f t="array" ref="BC90">LOOKUP(2,1/(C90:BA90&lt;&gt;0),$C$4:$BA$4)</f>
        <v>2021-22</v>
      </c>
      <c r="BD90" s="804">
        <f>COUNTIF(RDprograms[[#This Row],[1978-79]:[2028-29]], "&gt;0")</f>
        <v>5</v>
      </c>
      <c r="BE90" s="805">
        <f>SUM(C90:BA90)/RDprograms[[#This Row],[Years with &gt; $0 investment]]</f>
        <v>7.0762</v>
      </c>
      <c r="BF90" s="806" t="s">
        <v>249</v>
      </c>
      <c r="BG90" s="807" t="s">
        <v>406</v>
      </c>
      <c r="BH90" s="807" t="s">
        <v>390</v>
      </c>
      <c r="BI90" s="809"/>
      <c r="BJ90" s="809"/>
      <c r="BK90" s="809"/>
      <c r="BL90" s="809"/>
      <c r="BM90" s="809"/>
      <c r="BN90" s="810"/>
      <c r="BO90" s="811" t="s">
        <v>236</v>
      </c>
      <c r="BP90" s="812" t="s">
        <v>459</v>
      </c>
      <c r="BQ90" s="812"/>
      <c r="BR90" s="812"/>
      <c r="BS90" s="812"/>
      <c r="BT90" s="812" t="s">
        <v>238</v>
      </c>
    </row>
    <row r="91" spans="1:82" ht="12.75" customHeight="1">
      <c r="A91" s="813" t="s">
        <v>387</v>
      </c>
      <c r="B91" s="820" t="s">
        <v>460</v>
      </c>
      <c r="C91" s="5">
        <v>0</v>
      </c>
      <c r="D91" s="5">
        <v>0</v>
      </c>
      <c r="E91" s="5">
        <v>0</v>
      </c>
      <c r="F91" s="5">
        <v>0</v>
      </c>
      <c r="G91" s="5">
        <v>0</v>
      </c>
      <c r="H91" s="5">
        <v>0</v>
      </c>
      <c r="I91" s="5">
        <v>0</v>
      </c>
      <c r="J91" s="5">
        <v>0</v>
      </c>
      <c r="K91" s="5">
        <v>0</v>
      </c>
      <c r="L91" s="5">
        <v>0</v>
      </c>
      <c r="M91" s="5">
        <v>0</v>
      </c>
      <c r="N91" s="5">
        <v>0</v>
      </c>
      <c r="O91" s="5">
        <v>0</v>
      </c>
      <c r="P91" s="5">
        <v>0</v>
      </c>
      <c r="Q91" s="5">
        <v>0</v>
      </c>
      <c r="R91" s="5">
        <v>0</v>
      </c>
      <c r="S91" s="5">
        <v>0</v>
      </c>
      <c r="T91" s="5">
        <v>0</v>
      </c>
      <c r="U91" s="5">
        <v>0</v>
      </c>
      <c r="V91" s="5">
        <v>0</v>
      </c>
      <c r="W91" s="5">
        <v>0</v>
      </c>
      <c r="X91" s="5">
        <v>0</v>
      </c>
      <c r="Y91" s="5">
        <v>0</v>
      </c>
      <c r="Z91" s="5">
        <v>0</v>
      </c>
      <c r="AA91" s="5">
        <v>0</v>
      </c>
      <c r="AB91" s="5">
        <v>0</v>
      </c>
      <c r="AC91" s="5">
        <v>0</v>
      </c>
      <c r="AD91" s="5">
        <v>0</v>
      </c>
      <c r="AE91" s="5">
        <v>0</v>
      </c>
      <c r="AF91" s="5">
        <v>0</v>
      </c>
      <c r="AG91" s="5">
        <v>0</v>
      </c>
      <c r="AH91" s="5">
        <v>0</v>
      </c>
      <c r="AI91" s="5">
        <v>0</v>
      </c>
      <c r="AJ91" s="5">
        <v>0</v>
      </c>
      <c r="AK91" s="5">
        <v>0</v>
      </c>
      <c r="AL91" s="5">
        <v>3.125</v>
      </c>
      <c r="AM91" s="5">
        <v>3.125</v>
      </c>
      <c r="AN91" s="5">
        <v>3.125</v>
      </c>
      <c r="AO91" s="5">
        <v>3.125</v>
      </c>
      <c r="AP91" s="816">
        <v>0</v>
      </c>
      <c r="AQ91" s="816">
        <v>0</v>
      </c>
      <c r="AR91" s="5">
        <v>0</v>
      </c>
      <c r="AS91" s="5">
        <v>0</v>
      </c>
      <c r="AT91" s="5">
        <v>0</v>
      </c>
      <c r="AU91" s="5">
        <v>0</v>
      </c>
      <c r="AV91" s="5">
        <v>0</v>
      </c>
      <c r="AW91" s="815">
        <v>0</v>
      </c>
      <c r="AX91" s="816">
        <v>0</v>
      </c>
      <c r="AY91" s="819">
        <v>0</v>
      </c>
      <c r="AZ91" s="816"/>
      <c r="BA91" s="818"/>
      <c r="BB91" s="802" t="str" cm="1">
        <f t="array" ref="BB91">INDEX(C$4:BA$4,MATCH(TRUE,INDEX(C91:BA91&lt;&gt;0,),0))</f>
        <v>2013-14</v>
      </c>
      <c r="BC91" s="803" t="str" cm="1">
        <f t="array" ref="BC91">LOOKUP(2,1/(C91:BA91&lt;&gt;0),$C$4:$BA$4)</f>
        <v>2016-17</v>
      </c>
      <c r="BD91" s="804">
        <f>COUNTIF(RDprograms[[#This Row],[1978-79]:[2028-29]], "&gt;0")</f>
        <v>4</v>
      </c>
      <c r="BE91" s="805">
        <f>SUM(C91:BA91)/RDprograms[[#This Row],[Years with &gt; $0 investment]]</f>
        <v>3.125</v>
      </c>
      <c r="BF91" s="806" t="s">
        <v>273</v>
      </c>
      <c r="BG91" s="807" t="s">
        <v>406</v>
      </c>
      <c r="BH91" s="807" t="s">
        <v>390</v>
      </c>
      <c r="BI91" s="809"/>
      <c r="BJ91" s="809"/>
      <c r="BK91" s="809"/>
      <c r="BL91" s="809"/>
      <c r="BM91" s="809"/>
      <c r="BN91" s="810"/>
      <c r="BO91" s="811" t="s">
        <v>236</v>
      </c>
      <c r="BP91" s="812" t="s">
        <v>461</v>
      </c>
      <c r="BQ91" s="812" t="s">
        <v>462</v>
      </c>
      <c r="BR91" s="812"/>
      <c r="BS91" s="812"/>
      <c r="BT91" s="812" t="s">
        <v>238</v>
      </c>
    </row>
    <row r="92" spans="1:82" ht="12.75" customHeight="1">
      <c r="A92" s="813" t="s">
        <v>387</v>
      </c>
      <c r="B92" s="820" t="s">
        <v>463</v>
      </c>
      <c r="C92" s="5">
        <v>0</v>
      </c>
      <c r="D92" s="5">
        <v>0</v>
      </c>
      <c r="E92" s="5">
        <v>0</v>
      </c>
      <c r="F92" s="5">
        <v>0</v>
      </c>
      <c r="G92" s="5">
        <v>0</v>
      </c>
      <c r="H92" s="5">
        <v>0</v>
      </c>
      <c r="I92" s="5">
        <v>0</v>
      </c>
      <c r="J92" s="5">
        <v>0</v>
      </c>
      <c r="K92" s="5">
        <v>0</v>
      </c>
      <c r="L92" s="5">
        <v>0</v>
      </c>
      <c r="M92" s="5">
        <v>0</v>
      </c>
      <c r="N92" s="5">
        <v>0</v>
      </c>
      <c r="O92" s="5">
        <v>0</v>
      </c>
      <c r="P92" s="5">
        <v>0</v>
      </c>
      <c r="Q92" s="5">
        <v>0</v>
      </c>
      <c r="R92" s="5">
        <v>0</v>
      </c>
      <c r="S92" s="5">
        <v>0</v>
      </c>
      <c r="T92" s="5">
        <v>0</v>
      </c>
      <c r="U92" s="5">
        <v>0</v>
      </c>
      <c r="V92" s="5">
        <v>0</v>
      </c>
      <c r="W92" s="5">
        <v>0</v>
      </c>
      <c r="X92" s="5">
        <v>0</v>
      </c>
      <c r="Y92" s="5">
        <v>0</v>
      </c>
      <c r="Z92" s="5">
        <v>9</v>
      </c>
      <c r="AA92" s="5">
        <v>11.2</v>
      </c>
      <c r="AB92" s="5">
        <v>38.9</v>
      </c>
      <c r="AC92" s="5">
        <v>15.4</v>
      </c>
      <c r="AD92" s="5">
        <v>13.318</v>
      </c>
      <c r="AE92" s="5">
        <v>17.721</v>
      </c>
      <c r="AF92" s="5">
        <v>7.944</v>
      </c>
      <c r="AG92" s="5">
        <v>1.502</v>
      </c>
      <c r="AH92" s="5">
        <v>0</v>
      </c>
      <c r="AI92" s="5">
        <v>0</v>
      </c>
      <c r="AJ92" s="5">
        <v>0</v>
      </c>
      <c r="AK92" s="5">
        <v>0</v>
      </c>
      <c r="AL92" s="5">
        <v>0</v>
      </c>
      <c r="AM92" s="5">
        <v>0</v>
      </c>
      <c r="AN92" s="5">
        <v>0</v>
      </c>
      <c r="AO92" s="5">
        <v>0</v>
      </c>
      <c r="AP92" s="816">
        <v>0</v>
      </c>
      <c r="AQ92" s="816">
        <v>0</v>
      </c>
      <c r="AR92" s="5">
        <v>0</v>
      </c>
      <c r="AS92" s="5">
        <v>0</v>
      </c>
      <c r="AT92" s="5">
        <v>0</v>
      </c>
      <c r="AU92" s="5">
        <v>0</v>
      </c>
      <c r="AV92" s="5">
        <v>0</v>
      </c>
      <c r="AW92" s="815">
        <v>0</v>
      </c>
      <c r="AX92" s="816">
        <v>0</v>
      </c>
      <c r="AY92" s="817">
        <v>0</v>
      </c>
      <c r="AZ92" s="816"/>
      <c r="BA92" s="818"/>
      <c r="BB92" s="802" t="str" cm="1">
        <f t="array" ref="BB92">INDEX(C$4:BA$4,MATCH(TRUE,INDEX(C92:BA92&lt;&gt;0,),0))</f>
        <v>2001-02</v>
      </c>
      <c r="BC92" s="803" t="str" cm="1">
        <f t="array" ref="BC92">LOOKUP(2,1/(C92:BA92&lt;&gt;0),$C$4:$BA$4)</f>
        <v>2008-09</v>
      </c>
      <c r="BD92" s="804">
        <f>COUNTIF(RDprograms[[#This Row],[1978-79]:[2028-29]], "&gt;0")</f>
        <v>8</v>
      </c>
      <c r="BE92" s="805">
        <f>SUM(C92:BA92)/RDprograms[[#This Row],[Years with &gt; $0 investment]]</f>
        <v>14.373125</v>
      </c>
      <c r="BF92" s="806" t="s">
        <v>249</v>
      </c>
      <c r="BG92" s="807" t="s">
        <v>406</v>
      </c>
      <c r="BH92" s="807" t="s">
        <v>390</v>
      </c>
      <c r="BI92" s="809"/>
      <c r="BJ92" s="809"/>
      <c r="BK92" s="809"/>
      <c r="BL92" s="809"/>
      <c r="BM92" s="809"/>
      <c r="BN92" s="810"/>
      <c r="BO92" s="811" t="s">
        <v>236</v>
      </c>
      <c r="BP92" s="812"/>
      <c r="BQ92" s="812"/>
      <c r="BR92" s="812"/>
      <c r="BS92" s="812"/>
      <c r="BT92" s="812"/>
    </row>
    <row r="93" spans="1:82" ht="12.75" customHeight="1">
      <c r="A93" s="813" t="s">
        <v>387</v>
      </c>
      <c r="B93" s="820" t="s">
        <v>464</v>
      </c>
      <c r="C93" s="5">
        <v>0</v>
      </c>
      <c r="D93" s="5">
        <v>0</v>
      </c>
      <c r="E93" s="5">
        <v>0</v>
      </c>
      <c r="F93" s="5">
        <v>0</v>
      </c>
      <c r="G93" s="5">
        <v>0</v>
      </c>
      <c r="H93" s="5">
        <v>0</v>
      </c>
      <c r="I93" s="5">
        <v>0</v>
      </c>
      <c r="J93" s="5">
        <v>0</v>
      </c>
      <c r="K93" s="5">
        <v>0</v>
      </c>
      <c r="L93" s="5">
        <v>0</v>
      </c>
      <c r="M93" s="5">
        <v>0.8</v>
      </c>
      <c r="N93" s="5">
        <v>5.7</v>
      </c>
      <c r="O93" s="5">
        <v>5.7</v>
      </c>
      <c r="P93" s="5">
        <v>6.1</v>
      </c>
      <c r="Q93" s="5">
        <v>6</v>
      </c>
      <c r="R93" s="5">
        <v>5.8</v>
      </c>
      <c r="S93" s="5">
        <v>6</v>
      </c>
      <c r="T93" s="5">
        <v>6</v>
      </c>
      <c r="U93" s="5">
        <v>3.5</v>
      </c>
      <c r="V93" s="5">
        <v>3.6</v>
      </c>
      <c r="W93" s="5">
        <v>3.1</v>
      </c>
      <c r="X93" s="5">
        <v>4</v>
      </c>
      <c r="Y93" s="5">
        <v>3.8</v>
      </c>
      <c r="Z93" s="5">
        <v>3.9</v>
      </c>
      <c r="AA93" s="5">
        <v>3.9</v>
      </c>
      <c r="AB93" s="5">
        <v>4.0999999999999996</v>
      </c>
      <c r="AC93" s="5">
        <v>0</v>
      </c>
      <c r="AD93" s="5">
        <v>0</v>
      </c>
      <c r="AE93" s="5">
        <v>0</v>
      </c>
      <c r="AF93" s="5">
        <v>0</v>
      </c>
      <c r="AG93" s="5">
        <v>0</v>
      </c>
      <c r="AH93" s="5">
        <v>0</v>
      </c>
      <c r="AI93" s="5">
        <v>0</v>
      </c>
      <c r="AJ93" s="5">
        <v>0</v>
      </c>
      <c r="AK93" s="5">
        <v>0</v>
      </c>
      <c r="AL93" s="5">
        <v>0</v>
      </c>
      <c r="AM93" s="5">
        <v>0</v>
      </c>
      <c r="AN93" s="5">
        <v>0</v>
      </c>
      <c r="AO93" s="5">
        <v>0</v>
      </c>
      <c r="AP93" s="5">
        <v>0</v>
      </c>
      <c r="AQ93" s="5">
        <v>0</v>
      </c>
      <c r="AR93" s="5">
        <v>0</v>
      </c>
      <c r="AS93" s="5">
        <v>0</v>
      </c>
      <c r="AT93" s="5">
        <v>0</v>
      </c>
      <c r="AU93" s="5">
        <v>0</v>
      </c>
      <c r="AV93" s="5">
        <v>0</v>
      </c>
      <c r="AW93" s="815">
        <v>0</v>
      </c>
      <c r="AX93" s="816">
        <v>0</v>
      </c>
      <c r="AY93" s="819">
        <v>0</v>
      </c>
      <c r="AZ93" s="816"/>
      <c r="BA93" s="818"/>
      <c r="BB93" s="802" t="str" cm="1">
        <f t="array" ref="BB93">INDEX(C$4:BA$4,MATCH(TRUE,INDEX(C93:BA93&lt;&gt;0,),0))</f>
        <v>1988-89</v>
      </c>
      <c r="BC93" s="803" t="str" cm="1">
        <f t="array" ref="BC93">LOOKUP(2,1/(C93:BA93&lt;&gt;0),$C$4:$BA$4)</f>
        <v>2003-04</v>
      </c>
      <c r="BD93" s="804">
        <f>COUNTIF(RDprograms[[#This Row],[1978-79]:[2028-29]], "&gt;0")</f>
        <v>16</v>
      </c>
      <c r="BE93" s="805">
        <f>SUM(C93:BA93)/RDprograms[[#This Row],[Years with &gt; $0 investment]]</f>
        <v>4.4999999999999991</v>
      </c>
      <c r="BF93" s="806" t="s">
        <v>273</v>
      </c>
      <c r="BG93" s="807" t="s">
        <v>406</v>
      </c>
      <c r="BH93" s="807" t="s">
        <v>390</v>
      </c>
      <c r="BI93" s="809"/>
      <c r="BJ93" s="809"/>
      <c r="BK93" s="809"/>
      <c r="BL93" s="809"/>
      <c r="BM93" s="809"/>
      <c r="BN93" s="810"/>
      <c r="BO93" s="811" t="s">
        <v>236</v>
      </c>
      <c r="BP93" s="812" t="s">
        <v>465</v>
      </c>
      <c r="BQ93" s="812"/>
      <c r="BR93" s="812"/>
      <c r="BS93" s="812"/>
      <c r="BT93" s="812" t="s">
        <v>238</v>
      </c>
    </row>
    <row r="94" spans="1:82" ht="12.75" customHeight="1">
      <c r="A94" s="813" t="s">
        <v>387</v>
      </c>
      <c r="B94" s="820" t="s">
        <v>466</v>
      </c>
      <c r="C94" s="5">
        <v>0</v>
      </c>
      <c r="D94" s="5">
        <v>0</v>
      </c>
      <c r="E94" s="5">
        <v>0</v>
      </c>
      <c r="F94" s="5">
        <v>0</v>
      </c>
      <c r="G94" s="5">
        <v>0</v>
      </c>
      <c r="H94" s="5">
        <v>0</v>
      </c>
      <c r="I94" s="5">
        <v>0</v>
      </c>
      <c r="J94" s="5">
        <v>0</v>
      </c>
      <c r="K94" s="5">
        <v>0</v>
      </c>
      <c r="L94" s="5">
        <v>0</v>
      </c>
      <c r="M94" s="5">
        <v>0</v>
      </c>
      <c r="N94" s="5">
        <v>0</v>
      </c>
      <c r="O94" s="5">
        <v>0</v>
      </c>
      <c r="P94" s="5">
        <v>0</v>
      </c>
      <c r="Q94" s="5">
        <v>0</v>
      </c>
      <c r="R94" s="5">
        <v>0</v>
      </c>
      <c r="S94" s="5">
        <v>0</v>
      </c>
      <c r="T94" s="5">
        <v>0</v>
      </c>
      <c r="U94" s="5">
        <v>0</v>
      </c>
      <c r="V94" s="5">
        <v>0</v>
      </c>
      <c r="W94" s="5">
        <v>0</v>
      </c>
      <c r="X94" s="5">
        <v>0</v>
      </c>
      <c r="Y94" s="5">
        <v>0</v>
      </c>
      <c r="Z94" s="5">
        <v>0</v>
      </c>
      <c r="AA94" s="5">
        <v>0</v>
      </c>
      <c r="AB94" s="5">
        <v>0</v>
      </c>
      <c r="AC94" s="5">
        <v>0</v>
      </c>
      <c r="AD94" s="5">
        <v>0</v>
      </c>
      <c r="AE94" s="5">
        <v>0</v>
      </c>
      <c r="AF94" s="5">
        <v>0</v>
      </c>
      <c r="AG94" s="5">
        <v>0</v>
      </c>
      <c r="AH94" s="5">
        <v>0</v>
      </c>
      <c r="AI94" s="5">
        <v>0</v>
      </c>
      <c r="AJ94" s="5">
        <v>0</v>
      </c>
      <c r="AK94" s="5">
        <v>0.63200000000000001</v>
      </c>
      <c r="AL94" s="5">
        <v>0</v>
      </c>
      <c r="AM94" s="5">
        <v>0.40500000000000003</v>
      </c>
      <c r="AN94" s="5">
        <v>0.41099999999999998</v>
      </c>
      <c r="AO94" s="5">
        <v>0.41799999999999998</v>
      </c>
      <c r="AP94" s="816">
        <v>0</v>
      </c>
      <c r="AQ94" s="816">
        <v>0</v>
      </c>
      <c r="AR94" s="5">
        <v>0</v>
      </c>
      <c r="AS94" s="5">
        <v>0</v>
      </c>
      <c r="AT94" s="5">
        <v>0</v>
      </c>
      <c r="AU94" s="5">
        <v>0</v>
      </c>
      <c r="AV94" s="5">
        <v>0</v>
      </c>
      <c r="AW94" s="815">
        <v>0</v>
      </c>
      <c r="AX94" s="816">
        <v>0</v>
      </c>
      <c r="AY94" s="819">
        <v>0</v>
      </c>
      <c r="AZ94" s="816"/>
      <c r="BA94" s="818"/>
      <c r="BB94" s="802" t="str" cm="1">
        <f t="array" ref="BB94">INDEX(C$4:BA$4,MATCH(TRUE,INDEX(C94:BA94&lt;&gt;0,),0))</f>
        <v>2012-13</v>
      </c>
      <c r="BC94" s="803" t="str" cm="1">
        <f t="array" ref="BC94">LOOKUP(2,1/(C94:BA94&lt;&gt;0),$C$4:$BA$4)</f>
        <v>2016-17</v>
      </c>
      <c r="BD94" s="804">
        <f>COUNTIF(RDprograms[[#This Row],[1978-79]:[2028-29]], "&gt;0")</f>
        <v>4</v>
      </c>
      <c r="BE94" s="805">
        <f>SUM(C94:BA94)/RDprograms[[#This Row],[Years with &gt; $0 investment]]</f>
        <v>0.46649999999999997</v>
      </c>
      <c r="BF94" s="806" t="s">
        <v>233</v>
      </c>
      <c r="BG94" s="807" t="s">
        <v>406</v>
      </c>
      <c r="BH94" s="807" t="s">
        <v>264</v>
      </c>
      <c r="BI94" s="809"/>
      <c r="BJ94" s="809"/>
      <c r="BK94" s="809"/>
      <c r="BL94" s="809"/>
      <c r="BM94" s="809"/>
      <c r="BN94" s="810"/>
      <c r="BO94" s="811" t="s">
        <v>236</v>
      </c>
      <c r="BP94" s="812" t="s">
        <v>427</v>
      </c>
      <c r="BQ94" s="812" t="s">
        <v>428</v>
      </c>
      <c r="BR94" s="812"/>
      <c r="BS94" s="812"/>
      <c r="BT94" s="812" t="s">
        <v>238</v>
      </c>
    </row>
    <row r="95" spans="1:82" ht="12.75" customHeight="1">
      <c r="A95" s="813" t="s">
        <v>387</v>
      </c>
      <c r="B95" s="820" t="s">
        <v>467</v>
      </c>
      <c r="C95" s="5">
        <v>0</v>
      </c>
      <c r="D95" s="5">
        <v>0</v>
      </c>
      <c r="E95" s="5">
        <v>0</v>
      </c>
      <c r="F95" s="5">
        <v>0</v>
      </c>
      <c r="G95" s="5">
        <v>0</v>
      </c>
      <c r="H95" s="5">
        <v>0</v>
      </c>
      <c r="I95" s="5">
        <v>0</v>
      </c>
      <c r="J95" s="5">
        <v>0</v>
      </c>
      <c r="K95" s="5">
        <v>0</v>
      </c>
      <c r="L95" s="5">
        <v>0</v>
      </c>
      <c r="M95" s="5">
        <v>0</v>
      </c>
      <c r="N95" s="5">
        <v>0</v>
      </c>
      <c r="O95" s="5">
        <v>0</v>
      </c>
      <c r="P95" s="5">
        <v>0</v>
      </c>
      <c r="Q95" s="5">
        <v>0</v>
      </c>
      <c r="R95" s="5">
        <v>0</v>
      </c>
      <c r="S95" s="5">
        <v>0</v>
      </c>
      <c r="T95" s="5">
        <v>0</v>
      </c>
      <c r="U95" s="5">
        <v>0</v>
      </c>
      <c r="V95" s="5">
        <v>0</v>
      </c>
      <c r="W95" s="5">
        <v>0</v>
      </c>
      <c r="X95" s="5">
        <v>0</v>
      </c>
      <c r="Y95" s="5">
        <v>0</v>
      </c>
      <c r="Z95" s="5">
        <v>0</v>
      </c>
      <c r="AA95" s="5">
        <v>0</v>
      </c>
      <c r="AB95" s="5">
        <v>0</v>
      </c>
      <c r="AC95" s="5">
        <v>0</v>
      </c>
      <c r="AD95" s="5">
        <v>0</v>
      </c>
      <c r="AE95" s="5">
        <v>0</v>
      </c>
      <c r="AF95" s="5">
        <v>0</v>
      </c>
      <c r="AG95" s="5">
        <v>0</v>
      </c>
      <c r="AH95" s="5">
        <v>0</v>
      </c>
      <c r="AI95" s="5">
        <v>0</v>
      </c>
      <c r="AJ95" s="5">
        <v>0</v>
      </c>
      <c r="AK95" s="5">
        <v>0</v>
      </c>
      <c r="AL95" s="5">
        <v>0</v>
      </c>
      <c r="AM95" s="5">
        <v>0</v>
      </c>
      <c r="AN95" s="5">
        <v>0</v>
      </c>
      <c r="AO95" s="5">
        <v>0</v>
      </c>
      <c r="AP95" s="5">
        <v>0</v>
      </c>
      <c r="AQ95" s="5">
        <v>0</v>
      </c>
      <c r="AR95" s="5">
        <v>0</v>
      </c>
      <c r="AS95" s="5">
        <v>0</v>
      </c>
      <c r="AT95" s="5">
        <v>0</v>
      </c>
      <c r="AU95" s="5">
        <v>0</v>
      </c>
      <c r="AV95" s="5">
        <v>6</v>
      </c>
      <c r="AW95" s="815">
        <v>2</v>
      </c>
      <c r="AX95" s="816"/>
      <c r="AY95" s="819"/>
      <c r="AZ95" s="826"/>
      <c r="BA95" s="818"/>
      <c r="BB95" s="802" t="str" cm="1">
        <f t="array" ref="BB95">INDEX(C$4:BA$4,MATCH(TRUE,INDEX(C95:BA95&lt;&gt;0,),0))</f>
        <v>2023-24</v>
      </c>
      <c r="BC95" s="803" t="str" cm="1">
        <f t="array" ref="BC95">LOOKUP(2,1/(C95:BA95&lt;&gt;0),$C$4:$BA$4)</f>
        <v>2024-25</v>
      </c>
      <c r="BD95" s="804">
        <f>COUNTIF(RDprograms[[#This Row],[1978-79]:[2028-29]], "&gt;0")</f>
        <v>2</v>
      </c>
      <c r="BE95" s="805">
        <f>SUM(C95:BA95)/RDprograms[[#This Row],[Years with &gt; $0 investment]]</f>
        <v>4</v>
      </c>
      <c r="BF95" s="806" t="s">
        <v>233</v>
      </c>
      <c r="BG95" s="807" t="s">
        <v>406</v>
      </c>
      <c r="BH95" s="807" t="s">
        <v>241</v>
      </c>
      <c r="BI95" s="809"/>
      <c r="BJ95" s="809"/>
      <c r="BK95" s="809"/>
      <c r="BL95" s="809"/>
      <c r="BM95" s="809"/>
      <c r="BN95" s="810"/>
      <c r="BO95" s="811" t="s">
        <v>236</v>
      </c>
      <c r="BP95" s="812" t="s">
        <v>468</v>
      </c>
      <c r="BQ95" s="812"/>
      <c r="BR95" s="812"/>
      <c r="BS95" s="812"/>
      <c r="BT95" s="828" t="s">
        <v>277</v>
      </c>
    </row>
    <row r="96" spans="1:82" ht="12.75" customHeight="1">
      <c r="A96" s="813" t="s">
        <v>387</v>
      </c>
      <c r="B96" s="820" t="s">
        <v>469</v>
      </c>
      <c r="C96" s="5">
        <v>0</v>
      </c>
      <c r="D96" s="5">
        <v>0</v>
      </c>
      <c r="E96" s="5">
        <v>0</v>
      </c>
      <c r="F96" s="5">
        <v>0</v>
      </c>
      <c r="G96" s="5">
        <v>0</v>
      </c>
      <c r="H96" s="5">
        <v>0</v>
      </c>
      <c r="I96" s="5">
        <v>0</v>
      </c>
      <c r="J96" s="5">
        <v>0</v>
      </c>
      <c r="K96" s="5">
        <v>0</v>
      </c>
      <c r="L96" s="5">
        <v>0</v>
      </c>
      <c r="M96" s="5">
        <v>0</v>
      </c>
      <c r="N96" s="5">
        <v>0</v>
      </c>
      <c r="O96" s="5">
        <v>0</v>
      </c>
      <c r="P96" s="5">
        <v>0</v>
      </c>
      <c r="Q96" s="5">
        <v>0</v>
      </c>
      <c r="R96" s="5">
        <v>0</v>
      </c>
      <c r="S96" s="5">
        <v>0</v>
      </c>
      <c r="T96" s="5">
        <v>0</v>
      </c>
      <c r="U96" s="5">
        <v>0</v>
      </c>
      <c r="V96" s="5">
        <v>0</v>
      </c>
      <c r="W96" s="5">
        <v>0</v>
      </c>
      <c r="X96" s="5">
        <v>0</v>
      </c>
      <c r="Y96" s="5">
        <v>0</v>
      </c>
      <c r="Z96" s="5">
        <v>0</v>
      </c>
      <c r="AA96" s="5">
        <v>0</v>
      </c>
      <c r="AB96" s="5">
        <v>0</v>
      </c>
      <c r="AC96" s="5">
        <v>0</v>
      </c>
      <c r="AD96" s="5">
        <v>0</v>
      </c>
      <c r="AE96" s="5">
        <v>0</v>
      </c>
      <c r="AF96" s="5">
        <v>0</v>
      </c>
      <c r="AG96" s="5">
        <v>0</v>
      </c>
      <c r="AH96" s="5">
        <v>0</v>
      </c>
      <c r="AI96" s="5">
        <v>0</v>
      </c>
      <c r="AJ96" s="5">
        <v>0</v>
      </c>
      <c r="AK96" s="5">
        <v>0</v>
      </c>
      <c r="AL96" s="5">
        <v>0</v>
      </c>
      <c r="AM96" s="5">
        <v>0</v>
      </c>
      <c r="AN96" s="5">
        <v>0</v>
      </c>
      <c r="AO96" s="5">
        <v>0.121</v>
      </c>
      <c r="AP96" s="5">
        <v>0</v>
      </c>
      <c r="AQ96" s="5">
        <v>0</v>
      </c>
      <c r="AR96" s="5">
        <v>0</v>
      </c>
      <c r="AS96" s="5">
        <v>0</v>
      </c>
      <c r="AT96" s="5">
        <v>0</v>
      </c>
      <c r="AU96" s="5">
        <v>0</v>
      </c>
      <c r="AV96" s="5">
        <v>0</v>
      </c>
      <c r="AW96" s="815">
        <v>0</v>
      </c>
      <c r="AX96" s="816">
        <v>0</v>
      </c>
      <c r="AY96" s="819">
        <v>0</v>
      </c>
      <c r="AZ96" s="816"/>
      <c r="BA96" s="818"/>
      <c r="BB96" s="802" t="str" cm="1">
        <f t="array" ref="BB96">INDEX(C$4:BA$4,MATCH(TRUE,INDEX(C96:BA96&lt;&gt;0,),0))</f>
        <v>2016-17</v>
      </c>
      <c r="BC96" s="803" t="str" cm="1">
        <f t="array" ref="BC96">LOOKUP(2,1/(C96:BA96&lt;&gt;0),$C$4:$BA$4)</f>
        <v>2016-17</v>
      </c>
      <c r="BD96" s="804">
        <f>COUNTIF(RDprograms[[#This Row],[1978-79]:[2028-29]], "&gt;0")</f>
        <v>1</v>
      </c>
      <c r="BE96" s="805">
        <f>SUM(C96:BA96)/RDprograms[[#This Row],[Years with &gt; $0 investment]]</f>
        <v>0.121</v>
      </c>
      <c r="BF96" s="806" t="s">
        <v>233</v>
      </c>
      <c r="BG96" s="807" t="s">
        <v>406</v>
      </c>
      <c r="BH96" s="807" t="s">
        <v>258</v>
      </c>
      <c r="BI96" s="809"/>
      <c r="BJ96" s="809"/>
      <c r="BK96" s="809"/>
      <c r="BL96" s="809"/>
      <c r="BM96" s="809"/>
      <c r="BN96" s="810"/>
      <c r="BO96" s="811" t="s">
        <v>236</v>
      </c>
      <c r="BP96" s="812" t="s">
        <v>470</v>
      </c>
      <c r="BQ96" s="812"/>
      <c r="BR96" s="812"/>
      <c r="BS96" s="812"/>
      <c r="BT96" s="812" t="s">
        <v>238</v>
      </c>
    </row>
    <row r="97" spans="1:72" ht="12.75" customHeight="1">
      <c r="A97" s="813" t="s">
        <v>387</v>
      </c>
      <c r="B97" s="820" t="s">
        <v>471</v>
      </c>
      <c r="C97" s="5">
        <v>0</v>
      </c>
      <c r="D97" s="5">
        <v>0</v>
      </c>
      <c r="E97" s="5">
        <v>0</v>
      </c>
      <c r="F97" s="5">
        <v>0</v>
      </c>
      <c r="G97" s="5">
        <v>0</v>
      </c>
      <c r="H97" s="5">
        <v>0</v>
      </c>
      <c r="I97" s="5">
        <v>0</v>
      </c>
      <c r="J97" s="5">
        <v>0</v>
      </c>
      <c r="K97" s="5">
        <v>0</v>
      </c>
      <c r="L97" s="5">
        <v>0</v>
      </c>
      <c r="M97" s="5">
        <v>0</v>
      </c>
      <c r="N97" s="5">
        <v>0</v>
      </c>
      <c r="O97" s="5">
        <v>0</v>
      </c>
      <c r="P97" s="5">
        <v>0</v>
      </c>
      <c r="Q97" s="5">
        <v>0</v>
      </c>
      <c r="R97" s="5">
        <v>0</v>
      </c>
      <c r="S97" s="5">
        <v>0</v>
      </c>
      <c r="T97" s="5">
        <v>0</v>
      </c>
      <c r="U97" s="5">
        <v>0</v>
      </c>
      <c r="V97" s="5">
        <v>0</v>
      </c>
      <c r="W97" s="5">
        <v>0</v>
      </c>
      <c r="X97" s="5">
        <v>0</v>
      </c>
      <c r="Y97" s="5">
        <v>0</v>
      </c>
      <c r="Z97" s="5">
        <v>0</v>
      </c>
      <c r="AA97" s="5">
        <v>0</v>
      </c>
      <c r="AB97" s="5">
        <v>0</v>
      </c>
      <c r="AC97" s="5">
        <v>0</v>
      </c>
      <c r="AD97" s="5">
        <v>0</v>
      </c>
      <c r="AE97" s="5">
        <v>0</v>
      </c>
      <c r="AF97" s="5">
        <v>0</v>
      </c>
      <c r="AG97" s="5">
        <v>0</v>
      </c>
      <c r="AH97" s="5">
        <v>0</v>
      </c>
      <c r="AI97" s="5">
        <v>0</v>
      </c>
      <c r="AJ97" s="5">
        <v>0</v>
      </c>
      <c r="AK97" s="5">
        <v>0</v>
      </c>
      <c r="AL97" s="5">
        <v>0</v>
      </c>
      <c r="AM97" s="5">
        <v>0</v>
      </c>
      <c r="AN97" s="5">
        <v>0</v>
      </c>
      <c r="AO97" s="5">
        <v>0</v>
      </c>
      <c r="AP97" s="5">
        <v>0</v>
      </c>
      <c r="AQ97" s="5">
        <v>0</v>
      </c>
      <c r="AR97" s="5">
        <v>0</v>
      </c>
      <c r="AS97" s="5">
        <v>0</v>
      </c>
      <c r="AT97" s="5">
        <v>0</v>
      </c>
      <c r="AU97" s="5">
        <v>0</v>
      </c>
      <c r="AV97" s="5">
        <v>3.5</v>
      </c>
      <c r="AW97" s="815">
        <v>3</v>
      </c>
      <c r="AX97" s="816">
        <v>0</v>
      </c>
      <c r="AY97" s="819">
        <v>0</v>
      </c>
      <c r="AZ97" s="826">
        <v>0</v>
      </c>
      <c r="BA97" s="838"/>
      <c r="BB97" s="802" t="str" cm="1">
        <f t="array" ref="BB97">INDEX(C$4:BA$4,MATCH(TRUE,INDEX(C97:BA97&lt;&gt;0,),0))</f>
        <v>2023-24</v>
      </c>
      <c r="BC97" s="803" t="str" cm="1">
        <f t="array" ref="BC97">LOOKUP(2,1/(C97:BA97&lt;&gt;0),$C$4:$BA$4)</f>
        <v>2024-25</v>
      </c>
      <c r="BD97" s="839">
        <f>COUNTIF(RDprograms[[#This Row],[1978-79]:[2028-29]], "&gt;0")</f>
        <v>2</v>
      </c>
      <c r="BE97" s="805">
        <f>SUM(C97:BA97)/RDprograms[[#This Row],[Years with &gt; $0 investment]]</f>
        <v>3.25</v>
      </c>
      <c r="BF97" s="806" t="s">
        <v>233</v>
      </c>
      <c r="BG97" s="807" t="s">
        <v>409</v>
      </c>
      <c r="BH97" s="807" t="s">
        <v>390</v>
      </c>
      <c r="BI97" s="809"/>
      <c r="BJ97" s="809"/>
      <c r="BK97" s="809"/>
      <c r="BL97" s="809"/>
      <c r="BM97" s="809"/>
      <c r="BN97" s="810"/>
      <c r="BO97" s="811" t="s">
        <v>236</v>
      </c>
      <c r="BP97" s="812" t="s">
        <v>472</v>
      </c>
      <c r="BQ97" s="812"/>
      <c r="BR97" s="812"/>
      <c r="BS97" s="812"/>
      <c r="BT97" s="812"/>
    </row>
    <row r="98" spans="1:72" ht="12.75" customHeight="1">
      <c r="A98" s="813" t="s">
        <v>387</v>
      </c>
      <c r="B98" s="820" t="s">
        <v>473</v>
      </c>
      <c r="C98" s="5">
        <v>0</v>
      </c>
      <c r="D98" s="5">
        <v>0</v>
      </c>
      <c r="E98" s="5">
        <v>0</v>
      </c>
      <c r="F98" s="5">
        <v>0</v>
      </c>
      <c r="G98" s="5">
        <v>0</v>
      </c>
      <c r="H98" s="5">
        <v>0</v>
      </c>
      <c r="I98" s="5">
        <v>0</v>
      </c>
      <c r="J98" s="5">
        <v>0</v>
      </c>
      <c r="K98" s="5">
        <v>0</v>
      </c>
      <c r="L98" s="5">
        <v>0</v>
      </c>
      <c r="M98" s="5">
        <v>0</v>
      </c>
      <c r="N98" s="5">
        <v>0</v>
      </c>
      <c r="O98" s="5">
        <v>0</v>
      </c>
      <c r="P98" s="5">
        <v>0</v>
      </c>
      <c r="Q98" s="5">
        <v>0</v>
      </c>
      <c r="R98" s="5">
        <v>0</v>
      </c>
      <c r="S98" s="5">
        <v>0</v>
      </c>
      <c r="T98" s="5">
        <v>0</v>
      </c>
      <c r="U98" s="5">
        <v>0</v>
      </c>
      <c r="V98" s="5">
        <v>0</v>
      </c>
      <c r="W98" s="5">
        <v>0</v>
      </c>
      <c r="X98" s="5">
        <v>0</v>
      </c>
      <c r="Y98" s="5">
        <v>0</v>
      </c>
      <c r="Z98" s="5">
        <v>0</v>
      </c>
      <c r="AA98" s="5">
        <v>0</v>
      </c>
      <c r="AB98" s="5">
        <v>0</v>
      </c>
      <c r="AC98" s="5">
        <v>0</v>
      </c>
      <c r="AD98" s="5">
        <v>0</v>
      </c>
      <c r="AE98" s="5">
        <v>0</v>
      </c>
      <c r="AF98" s="5">
        <v>0</v>
      </c>
      <c r="AG98" s="5">
        <v>0.47499999999999998</v>
      </c>
      <c r="AH98" s="5">
        <v>2.71</v>
      </c>
      <c r="AI98" s="5">
        <v>0.45400000000000001</v>
      </c>
      <c r="AJ98" s="5">
        <v>1.87</v>
      </c>
      <c r="AK98" s="5">
        <v>4.125</v>
      </c>
      <c r="AL98" s="5">
        <v>0.95799999999999996</v>
      </c>
      <c r="AM98" s="5">
        <v>1.0529999999999999</v>
      </c>
      <c r="AN98" s="5">
        <v>1.5</v>
      </c>
      <c r="AO98" s="5">
        <v>0</v>
      </c>
      <c r="AP98" s="816">
        <v>0</v>
      </c>
      <c r="AQ98" s="816">
        <v>0</v>
      </c>
      <c r="AR98" s="5">
        <v>0</v>
      </c>
      <c r="AS98" s="5">
        <v>0</v>
      </c>
      <c r="AT98" s="5">
        <v>0</v>
      </c>
      <c r="AU98" s="5">
        <v>0</v>
      </c>
      <c r="AV98" s="5">
        <v>0</v>
      </c>
      <c r="AW98" s="815">
        <v>0</v>
      </c>
      <c r="AX98" s="816">
        <v>0</v>
      </c>
      <c r="AY98" s="817">
        <v>0</v>
      </c>
      <c r="AZ98" s="816"/>
      <c r="BA98" s="818"/>
      <c r="BB98" s="802" t="str" cm="1">
        <f t="array" ref="BB98">INDEX(C$4:BA$4,MATCH(TRUE,INDEX(C98:BA98&lt;&gt;0,),0))</f>
        <v>2008-09</v>
      </c>
      <c r="BC98" s="803" t="str" cm="1">
        <f t="array" ref="BC98">LOOKUP(2,1/(C98:BA98&lt;&gt;0),$C$4:$BA$4)</f>
        <v>2015-16</v>
      </c>
      <c r="BD98" s="804">
        <f>COUNTIF(RDprograms[[#This Row],[1978-79]:[2028-29]], "&gt;0")</f>
        <v>8</v>
      </c>
      <c r="BE98" s="805">
        <f>SUM(C98:BA98)/RDprograms[[#This Row],[Years with &gt; $0 investment]]</f>
        <v>1.6431249999999999</v>
      </c>
      <c r="BF98" s="806" t="s">
        <v>233</v>
      </c>
      <c r="BG98" s="807" t="s">
        <v>406</v>
      </c>
      <c r="BH98" s="807" t="s">
        <v>474</v>
      </c>
      <c r="BI98" s="809"/>
      <c r="BJ98" s="809"/>
      <c r="BK98" s="809"/>
      <c r="BL98" s="809"/>
      <c r="BM98" s="809"/>
      <c r="BN98" s="810"/>
      <c r="BO98" s="811" t="s">
        <v>236</v>
      </c>
      <c r="BP98" s="812" t="s">
        <v>475</v>
      </c>
      <c r="BQ98" s="812" t="s">
        <v>476</v>
      </c>
      <c r="BR98" s="812"/>
      <c r="BS98" s="812"/>
      <c r="BT98" s="812"/>
    </row>
    <row r="99" spans="1:72" ht="12.75" customHeight="1">
      <c r="A99" s="813" t="s">
        <v>387</v>
      </c>
      <c r="B99" s="820" t="s">
        <v>477</v>
      </c>
      <c r="C99" s="5">
        <v>0</v>
      </c>
      <c r="D99" s="5">
        <v>0.4</v>
      </c>
      <c r="E99" s="5">
        <v>0.5</v>
      </c>
      <c r="F99" s="5">
        <v>0.7</v>
      </c>
      <c r="G99" s="5">
        <v>1.2</v>
      </c>
      <c r="H99" s="5">
        <v>0.7</v>
      </c>
      <c r="I99" s="5">
        <v>1.5</v>
      </c>
      <c r="J99" s="5">
        <v>1.8</v>
      </c>
      <c r="K99" s="5">
        <v>4.9000000000000004</v>
      </c>
      <c r="L99" s="5">
        <v>7.8</v>
      </c>
      <c r="M99" s="5">
        <v>10.4</v>
      </c>
      <c r="N99" s="5">
        <v>9.9</v>
      </c>
      <c r="O99" s="5">
        <v>13.3</v>
      </c>
      <c r="P99" s="5">
        <v>13.3</v>
      </c>
      <c r="Q99" s="5">
        <v>13.7</v>
      </c>
      <c r="R99" s="5">
        <v>11.8</v>
      </c>
      <c r="S99" s="5">
        <v>11.3</v>
      </c>
      <c r="T99" s="5">
        <v>10.6</v>
      </c>
      <c r="U99" s="5">
        <v>9.8000000000000007</v>
      </c>
      <c r="V99" s="5">
        <v>10.8</v>
      </c>
      <c r="W99" s="5">
        <v>11</v>
      </c>
      <c r="X99" s="5">
        <v>11</v>
      </c>
      <c r="Y99" s="5">
        <v>11.3</v>
      </c>
      <c r="Z99" s="5">
        <v>11.6</v>
      </c>
      <c r="AA99" s="5">
        <v>11.9</v>
      </c>
      <c r="AB99" s="5">
        <v>12.2</v>
      </c>
      <c r="AC99" s="5">
        <v>12.5</v>
      </c>
      <c r="AD99" s="5">
        <v>12.5</v>
      </c>
      <c r="AE99" s="5">
        <v>12.8</v>
      </c>
      <c r="AF99" s="5">
        <v>13</v>
      </c>
      <c r="AG99" s="5">
        <v>13.018000000000001</v>
      </c>
      <c r="AH99" s="5">
        <v>6.7</v>
      </c>
      <c r="AI99" s="5">
        <v>0</v>
      </c>
      <c r="AJ99" s="5">
        <v>0</v>
      </c>
      <c r="AK99" s="5">
        <v>0</v>
      </c>
      <c r="AL99" s="5">
        <v>0</v>
      </c>
      <c r="AM99" s="5">
        <v>0</v>
      </c>
      <c r="AN99" s="5">
        <v>0</v>
      </c>
      <c r="AO99" s="5">
        <v>0</v>
      </c>
      <c r="AP99" s="816">
        <v>0</v>
      </c>
      <c r="AQ99" s="816">
        <v>0</v>
      </c>
      <c r="AR99" s="5">
        <v>0</v>
      </c>
      <c r="AS99" s="5">
        <v>0</v>
      </c>
      <c r="AT99" s="5">
        <v>0</v>
      </c>
      <c r="AU99" s="5">
        <v>0</v>
      </c>
      <c r="AV99" s="5">
        <v>0</v>
      </c>
      <c r="AW99" s="815">
        <v>0</v>
      </c>
      <c r="AX99" s="816">
        <v>0</v>
      </c>
      <c r="AY99" s="819">
        <v>0</v>
      </c>
      <c r="AZ99" s="816"/>
      <c r="BA99" s="818"/>
      <c r="BB99" s="802" t="str" cm="1">
        <f t="array" ref="BB99">INDEX(C$4:BA$4,MATCH(TRUE,INDEX(C99:BA99&lt;&gt;0,),0))</f>
        <v>1979-80</v>
      </c>
      <c r="BC99" s="803" t="str" cm="1">
        <f t="array" ref="BC99">LOOKUP(2,1/(C99:BA99&lt;&gt;0),$C$4:$BA$4)</f>
        <v>2009-10</v>
      </c>
      <c r="BD99" s="804">
        <f>COUNTIF(RDprograms[[#This Row],[1978-79]:[2028-29]], "&gt;0")</f>
        <v>31</v>
      </c>
      <c r="BE99" s="805">
        <f>SUM(C99:BA99)/RDprograms[[#This Row],[Years with &gt; $0 investment]]</f>
        <v>8.8360645161290314</v>
      </c>
      <c r="BF99" s="806" t="s">
        <v>246</v>
      </c>
      <c r="BG99" s="807" t="s">
        <v>393</v>
      </c>
      <c r="BH99" s="807" t="s">
        <v>250</v>
      </c>
      <c r="BI99" s="809"/>
      <c r="BJ99" s="809"/>
      <c r="BK99" s="809"/>
      <c r="BL99" s="809"/>
      <c r="BM99" s="809"/>
      <c r="BN99" s="810"/>
      <c r="BO99" s="811" t="s">
        <v>236</v>
      </c>
      <c r="BP99" s="812" t="s">
        <v>478</v>
      </c>
      <c r="BQ99" s="812"/>
      <c r="BR99" s="812"/>
      <c r="BS99" s="812"/>
      <c r="BT99" s="812" t="s">
        <v>238</v>
      </c>
    </row>
    <row r="100" spans="1:72" ht="12.75" customHeight="1">
      <c r="A100" s="813" t="s">
        <v>387</v>
      </c>
      <c r="B100" s="820" t="s">
        <v>479</v>
      </c>
      <c r="C100" s="5">
        <v>0</v>
      </c>
      <c r="D100" s="5">
        <v>0</v>
      </c>
      <c r="E100" s="5">
        <v>0</v>
      </c>
      <c r="F100" s="5">
        <v>0</v>
      </c>
      <c r="G100" s="5">
        <v>0</v>
      </c>
      <c r="H100" s="5">
        <v>0</v>
      </c>
      <c r="I100" s="5">
        <v>0</v>
      </c>
      <c r="J100" s="5">
        <v>0</v>
      </c>
      <c r="K100" s="5">
        <v>0</v>
      </c>
      <c r="L100" s="5">
        <v>0</v>
      </c>
      <c r="M100" s="5">
        <v>0</v>
      </c>
      <c r="N100" s="5">
        <v>0</v>
      </c>
      <c r="O100" s="5">
        <v>0</v>
      </c>
      <c r="P100" s="5">
        <v>0</v>
      </c>
      <c r="Q100" s="5">
        <v>0</v>
      </c>
      <c r="R100" s="5">
        <v>0</v>
      </c>
      <c r="S100" s="5">
        <v>0</v>
      </c>
      <c r="T100" s="5">
        <v>0</v>
      </c>
      <c r="U100" s="5">
        <v>0</v>
      </c>
      <c r="V100" s="5">
        <v>0</v>
      </c>
      <c r="W100" s="5">
        <v>0</v>
      </c>
      <c r="X100" s="5">
        <v>0</v>
      </c>
      <c r="Y100" s="5">
        <v>0</v>
      </c>
      <c r="Z100" s="5">
        <v>0</v>
      </c>
      <c r="AA100" s="5">
        <v>0</v>
      </c>
      <c r="AB100" s="5">
        <v>0</v>
      </c>
      <c r="AC100" s="5">
        <v>0</v>
      </c>
      <c r="AD100" s="5">
        <v>0</v>
      </c>
      <c r="AE100" s="5">
        <v>0</v>
      </c>
      <c r="AF100" s="5">
        <v>0</v>
      </c>
      <c r="AG100" s="5">
        <v>0</v>
      </c>
      <c r="AH100" s="5">
        <v>0</v>
      </c>
      <c r="AI100" s="5">
        <v>0</v>
      </c>
      <c r="AJ100" s="5">
        <v>0</v>
      </c>
      <c r="AK100" s="5">
        <v>0</v>
      </c>
      <c r="AL100" s="5">
        <v>0</v>
      </c>
      <c r="AM100" s="5">
        <v>0</v>
      </c>
      <c r="AN100" s="5">
        <v>0</v>
      </c>
      <c r="AO100" s="5">
        <v>0</v>
      </c>
      <c r="AP100" s="5">
        <v>0</v>
      </c>
      <c r="AQ100" s="5">
        <v>0</v>
      </c>
      <c r="AR100" s="5">
        <v>0.15</v>
      </c>
      <c r="AS100" s="5">
        <v>0.01</v>
      </c>
      <c r="AT100" s="5">
        <v>0</v>
      </c>
      <c r="AU100" s="5">
        <v>0</v>
      </c>
      <c r="AV100" s="5">
        <v>0</v>
      </c>
      <c r="AW100" s="815">
        <v>0</v>
      </c>
      <c r="AX100" s="816">
        <v>0</v>
      </c>
      <c r="AY100" s="819">
        <v>0</v>
      </c>
      <c r="AZ100" s="816"/>
      <c r="BA100" s="818"/>
      <c r="BB100" s="802" t="str" cm="1">
        <f t="array" ref="BB100">INDEX(C$4:BA$4,MATCH(TRUE,INDEX(C100:BA100&lt;&gt;0,),0))</f>
        <v>2019-20</v>
      </c>
      <c r="BC100" s="803" t="str" cm="1">
        <f t="array" ref="BC100">LOOKUP(2,1/(C100:BA100&lt;&gt;0),$C$4:$BA$4)</f>
        <v>2020-21</v>
      </c>
      <c r="BD100" s="804">
        <f>COUNTIF(RDprograms[[#This Row],[1978-79]:[2028-29]], "&gt;0")</f>
        <v>2</v>
      </c>
      <c r="BE100" s="805">
        <f>SUM(C100:BA100)/RDprograms[[#This Row],[Years with &gt; $0 investment]]</f>
        <v>0.08</v>
      </c>
      <c r="BF100" s="806" t="s">
        <v>273</v>
      </c>
      <c r="BG100" s="807" t="s">
        <v>234</v>
      </c>
      <c r="BH100" s="807" t="s">
        <v>258</v>
      </c>
      <c r="BI100" s="809"/>
      <c r="BJ100" s="809"/>
      <c r="BK100" s="809"/>
      <c r="BL100" s="809"/>
      <c r="BM100" s="809"/>
      <c r="BN100" s="810"/>
      <c r="BO100" s="811" t="s">
        <v>236</v>
      </c>
      <c r="BP100" s="812" t="s">
        <v>480</v>
      </c>
      <c r="BQ100" s="812"/>
      <c r="BR100" s="812"/>
      <c r="BS100" s="812"/>
      <c r="BT100" s="812" t="s">
        <v>238</v>
      </c>
    </row>
    <row r="101" spans="1:72" ht="12.75" customHeight="1">
      <c r="A101" s="813" t="s">
        <v>387</v>
      </c>
      <c r="B101" s="820" t="s">
        <v>481</v>
      </c>
      <c r="C101" s="5">
        <v>0</v>
      </c>
      <c r="D101" s="5">
        <v>0</v>
      </c>
      <c r="E101" s="5">
        <v>0</v>
      </c>
      <c r="F101" s="5">
        <v>0</v>
      </c>
      <c r="G101" s="5">
        <v>0</v>
      </c>
      <c r="H101" s="5">
        <v>0</v>
      </c>
      <c r="I101" s="5">
        <v>0</v>
      </c>
      <c r="J101" s="5">
        <v>0</v>
      </c>
      <c r="K101" s="5">
        <v>0</v>
      </c>
      <c r="L101" s="5">
        <v>0</v>
      </c>
      <c r="M101" s="5">
        <v>0</v>
      </c>
      <c r="N101" s="5">
        <v>0</v>
      </c>
      <c r="O101" s="5">
        <v>0</v>
      </c>
      <c r="P101" s="5">
        <v>0</v>
      </c>
      <c r="Q101" s="5">
        <v>0</v>
      </c>
      <c r="R101" s="5">
        <v>0</v>
      </c>
      <c r="S101" s="5">
        <v>0</v>
      </c>
      <c r="T101" s="5">
        <v>0</v>
      </c>
      <c r="U101" s="5">
        <v>0</v>
      </c>
      <c r="V101" s="5">
        <v>0</v>
      </c>
      <c r="W101" s="5">
        <v>0</v>
      </c>
      <c r="X101" s="5">
        <v>0</v>
      </c>
      <c r="Y101" s="5">
        <v>0</v>
      </c>
      <c r="Z101" s="5">
        <v>0</v>
      </c>
      <c r="AA101" s="5">
        <v>0</v>
      </c>
      <c r="AB101" s="5">
        <v>0</v>
      </c>
      <c r="AC101" s="5">
        <v>0.9</v>
      </c>
      <c r="AD101" s="5">
        <v>1.95</v>
      </c>
      <c r="AE101" s="5">
        <v>6.7359999999999998</v>
      </c>
      <c r="AF101" s="5">
        <v>3.0670000000000002</v>
      </c>
      <c r="AG101" s="5">
        <v>1.7330000000000001</v>
      </c>
      <c r="AH101" s="5">
        <v>0</v>
      </c>
      <c r="AI101" s="5">
        <v>0</v>
      </c>
      <c r="AJ101" s="5">
        <v>0</v>
      </c>
      <c r="AK101" s="5">
        <v>0</v>
      </c>
      <c r="AL101" s="5">
        <v>0</v>
      </c>
      <c r="AM101" s="5">
        <v>0</v>
      </c>
      <c r="AN101" s="5">
        <v>0</v>
      </c>
      <c r="AO101" s="5">
        <v>0</v>
      </c>
      <c r="AP101" s="5">
        <v>0</v>
      </c>
      <c r="AQ101" s="5">
        <v>0</v>
      </c>
      <c r="AR101" s="5">
        <v>0</v>
      </c>
      <c r="AS101" s="5">
        <v>0</v>
      </c>
      <c r="AT101" s="5">
        <v>0</v>
      </c>
      <c r="AU101" s="5">
        <v>0</v>
      </c>
      <c r="AV101" s="5">
        <v>0</v>
      </c>
      <c r="AW101" s="815">
        <v>0</v>
      </c>
      <c r="AX101" s="816">
        <v>0</v>
      </c>
      <c r="AY101" s="817">
        <v>0</v>
      </c>
      <c r="AZ101" s="816"/>
      <c r="BA101" s="818"/>
      <c r="BB101" s="802" t="str" cm="1">
        <f t="array" ref="BB101">INDEX(C$4:BA$4,MATCH(TRUE,INDEX(C101:BA101&lt;&gt;0,),0))</f>
        <v>2004-05</v>
      </c>
      <c r="BC101" s="803" t="str" cm="1">
        <f t="array" ref="BC101">LOOKUP(2,1/(C101:BA101&lt;&gt;0),$C$4:$BA$4)</f>
        <v>2008-09</v>
      </c>
      <c r="BD101" s="804">
        <f>COUNTIF(RDprograms[[#This Row],[1978-79]:[2028-29]], "&gt;0")</f>
        <v>5</v>
      </c>
      <c r="BE101" s="805">
        <f>SUM(C101:BA101)/RDprograms[[#This Row],[Years with &gt; $0 investment]]</f>
        <v>2.8772000000000002</v>
      </c>
      <c r="BF101" s="806" t="s">
        <v>249</v>
      </c>
      <c r="BG101" s="807" t="s">
        <v>406</v>
      </c>
      <c r="BH101" s="807" t="s">
        <v>390</v>
      </c>
      <c r="BI101" s="809"/>
      <c r="BJ101" s="809"/>
      <c r="BK101" s="809"/>
      <c r="BL101" s="809"/>
      <c r="BM101" s="809"/>
      <c r="BN101" s="810"/>
      <c r="BO101" s="811" t="s">
        <v>236</v>
      </c>
      <c r="BP101" s="812"/>
      <c r="BQ101" s="812"/>
      <c r="BR101" s="812"/>
      <c r="BS101" s="812"/>
      <c r="BT101" s="812"/>
    </row>
    <row r="102" spans="1:72" ht="12.75" customHeight="1">
      <c r="A102" s="813" t="s">
        <v>387</v>
      </c>
      <c r="B102" s="820" t="s">
        <v>482</v>
      </c>
      <c r="C102" s="5">
        <v>0</v>
      </c>
      <c r="D102" s="5">
        <v>0</v>
      </c>
      <c r="E102" s="5">
        <v>0</v>
      </c>
      <c r="F102" s="5">
        <v>0</v>
      </c>
      <c r="G102" s="5">
        <v>0</v>
      </c>
      <c r="H102" s="5">
        <v>0</v>
      </c>
      <c r="I102" s="5">
        <v>0</v>
      </c>
      <c r="J102" s="5">
        <v>0</v>
      </c>
      <c r="K102" s="5">
        <v>0</v>
      </c>
      <c r="L102" s="5">
        <v>0</v>
      </c>
      <c r="M102" s="5">
        <v>0</v>
      </c>
      <c r="N102" s="5">
        <v>0</v>
      </c>
      <c r="O102" s="5">
        <v>0</v>
      </c>
      <c r="P102" s="5">
        <v>0</v>
      </c>
      <c r="Q102" s="5">
        <v>0</v>
      </c>
      <c r="R102" s="5">
        <v>0</v>
      </c>
      <c r="S102" s="5">
        <v>0</v>
      </c>
      <c r="T102" s="5">
        <v>0</v>
      </c>
      <c r="U102" s="5">
        <v>0</v>
      </c>
      <c r="V102" s="5">
        <v>0</v>
      </c>
      <c r="W102" s="5">
        <v>0</v>
      </c>
      <c r="X102" s="5">
        <v>0</v>
      </c>
      <c r="Y102" s="5">
        <v>0</v>
      </c>
      <c r="Z102" s="5">
        <v>0</v>
      </c>
      <c r="AA102" s="5">
        <v>0</v>
      </c>
      <c r="AB102" s="5">
        <v>0</v>
      </c>
      <c r="AC102" s="5">
        <v>1.8</v>
      </c>
      <c r="AD102" s="5">
        <v>2.1</v>
      </c>
      <c r="AE102" s="5">
        <v>9.6</v>
      </c>
      <c r="AF102" s="5">
        <v>8.5</v>
      </c>
      <c r="AG102" s="5">
        <v>13.923999999999999</v>
      </c>
      <c r="AH102" s="5">
        <v>6.4420000000000002</v>
      </c>
      <c r="AI102" s="5">
        <v>2.9159999999999999</v>
      </c>
      <c r="AJ102" s="5">
        <v>4.7380000000000004</v>
      </c>
      <c r="AK102" s="5">
        <v>9.6240000000000006</v>
      </c>
      <c r="AL102" s="5">
        <v>2.96</v>
      </c>
      <c r="AM102" s="5">
        <v>1</v>
      </c>
      <c r="AN102" s="5">
        <v>0</v>
      </c>
      <c r="AO102" s="5">
        <v>0</v>
      </c>
      <c r="AP102" s="5">
        <v>0</v>
      </c>
      <c r="AQ102" s="5">
        <v>0</v>
      </c>
      <c r="AR102" s="5">
        <v>0</v>
      </c>
      <c r="AS102" s="5">
        <v>0</v>
      </c>
      <c r="AT102" s="5">
        <v>0</v>
      </c>
      <c r="AU102" s="5">
        <v>0</v>
      </c>
      <c r="AV102" s="5">
        <v>0</v>
      </c>
      <c r="AW102" s="815">
        <v>0</v>
      </c>
      <c r="AX102" s="816">
        <v>0</v>
      </c>
      <c r="AY102" s="819">
        <v>0</v>
      </c>
      <c r="AZ102" s="816"/>
      <c r="BA102" s="818"/>
      <c r="BB102" s="802" t="str" cm="1">
        <f t="array" ref="BB102">INDEX(C$4:BA$4,MATCH(TRUE,INDEX(C102:BA102&lt;&gt;0,),0))</f>
        <v>2004-05</v>
      </c>
      <c r="BC102" s="803" t="str" cm="1">
        <f t="array" ref="BC102">LOOKUP(2,1/(C102:BA102&lt;&gt;0),$C$4:$BA$4)</f>
        <v>2014-15</v>
      </c>
      <c r="BD102" s="804">
        <f>COUNTIF(RDprograms[[#This Row],[1978-79]:[2028-29]], "&gt;0")</f>
        <v>11</v>
      </c>
      <c r="BE102" s="805">
        <f>SUM(C102:BA102)/RDprograms[[#This Row],[Years with &gt; $0 investment]]</f>
        <v>5.7821818181818179</v>
      </c>
      <c r="BF102" s="806" t="s">
        <v>273</v>
      </c>
      <c r="BG102" s="807" t="s">
        <v>406</v>
      </c>
      <c r="BH102" s="807" t="s">
        <v>390</v>
      </c>
      <c r="BI102" s="809"/>
      <c r="BJ102" s="809"/>
      <c r="BK102" s="809"/>
      <c r="BL102" s="809"/>
      <c r="BM102" s="809"/>
      <c r="BN102" s="810"/>
      <c r="BO102" s="811" t="s">
        <v>236</v>
      </c>
      <c r="BP102" s="812"/>
      <c r="BQ102" s="812"/>
      <c r="BR102" s="812"/>
      <c r="BS102" s="812"/>
      <c r="BT102" s="812" t="s">
        <v>238</v>
      </c>
    </row>
    <row r="103" spans="1:72" ht="12.75" customHeight="1">
      <c r="A103" s="813" t="s">
        <v>387</v>
      </c>
      <c r="B103" s="820" t="s">
        <v>483</v>
      </c>
      <c r="C103" s="5">
        <v>0</v>
      </c>
      <c r="D103" s="5">
        <v>0</v>
      </c>
      <c r="E103" s="5">
        <v>0</v>
      </c>
      <c r="F103" s="5">
        <v>0</v>
      </c>
      <c r="G103" s="5">
        <v>0</v>
      </c>
      <c r="H103" s="5">
        <v>0</v>
      </c>
      <c r="I103" s="5">
        <v>0</v>
      </c>
      <c r="J103" s="5">
        <v>0</v>
      </c>
      <c r="K103" s="5">
        <v>0</v>
      </c>
      <c r="L103" s="5">
        <v>0</v>
      </c>
      <c r="M103" s="5">
        <v>0</v>
      </c>
      <c r="N103" s="5">
        <v>0</v>
      </c>
      <c r="O103" s="5">
        <v>0</v>
      </c>
      <c r="P103" s="5">
        <v>0</v>
      </c>
      <c r="Q103" s="5">
        <v>0</v>
      </c>
      <c r="R103" s="5">
        <v>0</v>
      </c>
      <c r="S103" s="5">
        <v>0</v>
      </c>
      <c r="T103" s="5">
        <v>0</v>
      </c>
      <c r="U103" s="5">
        <v>0</v>
      </c>
      <c r="V103" s="5">
        <v>0</v>
      </c>
      <c r="W103" s="5">
        <v>0</v>
      </c>
      <c r="X103" s="5">
        <v>0</v>
      </c>
      <c r="Y103" s="5">
        <v>0</v>
      </c>
      <c r="Z103" s="5">
        <v>0</v>
      </c>
      <c r="AA103" s="5">
        <v>0</v>
      </c>
      <c r="AB103" s="5">
        <v>0</v>
      </c>
      <c r="AC103" s="5">
        <v>0</v>
      </c>
      <c r="AD103" s="5">
        <v>0</v>
      </c>
      <c r="AE103" s="5">
        <v>0</v>
      </c>
      <c r="AF103" s="5">
        <v>0</v>
      </c>
      <c r="AG103" s="5">
        <v>0</v>
      </c>
      <c r="AH103" s="5">
        <v>0</v>
      </c>
      <c r="AI103" s="5">
        <v>0</v>
      </c>
      <c r="AJ103" s="5">
        <v>0</v>
      </c>
      <c r="AK103" s="5">
        <v>0</v>
      </c>
      <c r="AL103" s="5">
        <v>0</v>
      </c>
      <c r="AM103" s="5">
        <v>0</v>
      </c>
      <c r="AN103" s="5">
        <v>0</v>
      </c>
      <c r="AO103" s="5">
        <v>0</v>
      </c>
      <c r="AP103" s="816">
        <v>0</v>
      </c>
      <c r="AQ103" s="816">
        <v>0</v>
      </c>
      <c r="AR103" s="5">
        <v>0</v>
      </c>
      <c r="AS103" s="5">
        <v>0</v>
      </c>
      <c r="AT103" s="5">
        <v>2.2999999999999998</v>
      </c>
      <c r="AU103" s="5">
        <v>1.5</v>
      </c>
      <c r="AV103" s="5">
        <v>1.1000000000000001</v>
      </c>
      <c r="AW103" s="815">
        <v>0.09</v>
      </c>
      <c r="AX103" s="816">
        <v>0</v>
      </c>
      <c r="AY103" s="819">
        <v>0</v>
      </c>
      <c r="AZ103" s="816">
        <v>0</v>
      </c>
      <c r="BA103" s="818"/>
      <c r="BB103" s="802" t="str" cm="1">
        <f t="array" ref="BB103">INDEX(C$4:BA$4,MATCH(TRUE,INDEX(C103:BA103&lt;&gt;0,),0))</f>
        <v>2021-22</v>
      </c>
      <c r="BC103" s="803" t="str" cm="1">
        <f t="array" ref="BC103">LOOKUP(2,1/(C103:BA103&lt;&gt;0),$C$4:$BA$4)</f>
        <v>2024-25</v>
      </c>
      <c r="BD103" s="804">
        <f>COUNTIF(RDprograms[[#This Row],[1978-79]:[2028-29]], "&gt;0")</f>
        <v>4</v>
      </c>
      <c r="BE103" s="805">
        <f>SUM(C103:BA103)/RDprograms[[#This Row],[Years with &gt; $0 investment]]</f>
        <v>1.2475000000000001</v>
      </c>
      <c r="BF103" s="806" t="s">
        <v>240</v>
      </c>
      <c r="BG103" s="807" t="s">
        <v>234</v>
      </c>
      <c r="BH103" s="807" t="s">
        <v>264</v>
      </c>
      <c r="BI103" s="809"/>
      <c r="BJ103" s="809"/>
      <c r="BK103" s="809"/>
      <c r="BL103" s="809"/>
      <c r="BM103" s="809"/>
      <c r="BN103" s="810"/>
      <c r="BO103" s="811" t="s">
        <v>236</v>
      </c>
      <c r="BP103" s="812" t="s">
        <v>484</v>
      </c>
      <c r="BQ103" s="812"/>
      <c r="BR103" s="812"/>
      <c r="BS103" s="812"/>
      <c r="BT103" s="812" t="s">
        <v>425</v>
      </c>
    </row>
    <row r="104" spans="1:72" ht="12.75" customHeight="1">
      <c r="A104" s="813" t="s">
        <v>387</v>
      </c>
      <c r="B104" s="820" t="s">
        <v>485</v>
      </c>
      <c r="C104" s="5">
        <v>0</v>
      </c>
      <c r="D104" s="5">
        <v>0</v>
      </c>
      <c r="E104" s="5">
        <v>0</v>
      </c>
      <c r="F104" s="5">
        <v>0</v>
      </c>
      <c r="G104" s="5">
        <v>0</v>
      </c>
      <c r="H104" s="5">
        <v>0</v>
      </c>
      <c r="I104" s="5">
        <v>0</v>
      </c>
      <c r="J104" s="5">
        <v>0</v>
      </c>
      <c r="K104" s="5">
        <v>0</v>
      </c>
      <c r="L104" s="5">
        <v>0</v>
      </c>
      <c r="M104" s="5">
        <v>0</v>
      </c>
      <c r="N104" s="5">
        <v>0</v>
      </c>
      <c r="O104" s="5">
        <v>0</v>
      </c>
      <c r="P104" s="5">
        <v>0</v>
      </c>
      <c r="Q104" s="5">
        <v>0</v>
      </c>
      <c r="R104" s="5">
        <v>0</v>
      </c>
      <c r="S104" s="5">
        <v>0</v>
      </c>
      <c r="T104" s="5">
        <v>0</v>
      </c>
      <c r="U104" s="5">
        <v>0</v>
      </c>
      <c r="V104" s="5">
        <v>0</v>
      </c>
      <c r="W104" s="5">
        <v>0</v>
      </c>
      <c r="X104" s="5">
        <v>0</v>
      </c>
      <c r="Y104" s="5">
        <v>0</v>
      </c>
      <c r="Z104" s="5">
        <v>0</v>
      </c>
      <c r="AA104" s="5">
        <v>0</v>
      </c>
      <c r="AB104" s="5">
        <v>0</v>
      </c>
      <c r="AC104" s="5">
        <v>0</v>
      </c>
      <c r="AD104" s="5">
        <v>0</v>
      </c>
      <c r="AE104" s="5">
        <v>0</v>
      </c>
      <c r="AF104" s="5">
        <v>0</v>
      </c>
      <c r="AG104" s="5">
        <v>0</v>
      </c>
      <c r="AH104" s="5">
        <v>0</v>
      </c>
      <c r="AI104" s="5">
        <v>0</v>
      </c>
      <c r="AJ104" s="5">
        <v>0</v>
      </c>
      <c r="AK104" s="5">
        <v>0</v>
      </c>
      <c r="AL104" s="5">
        <v>0</v>
      </c>
      <c r="AM104" s="5">
        <v>0</v>
      </c>
      <c r="AN104" s="5">
        <v>0</v>
      </c>
      <c r="AO104" s="5">
        <v>0</v>
      </c>
      <c r="AP104" s="816">
        <v>0</v>
      </c>
      <c r="AQ104" s="816">
        <v>0</v>
      </c>
      <c r="AR104" s="5">
        <v>0</v>
      </c>
      <c r="AS104" s="5">
        <v>0</v>
      </c>
      <c r="AT104" s="5">
        <v>0</v>
      </c>
      <c r="AU104" s="5">
        <v>3.9950000000000001</v>
      </c>
      <c r="AV104" s="5">
        <v>4.8819999999999997</v>
      </c>
      <c r="AW104" s="815">
        <v>5.923</v>
      </c>
      <c r="AX104" s="816">
        <v>3.6739999999999999</v>
      </c>
      <c r="AY104" s="819">
        <v>1.357</v>
      </c>
      <c r="AZ104" s="816">
        <v>0</v>
      </c>
      <c r="BA104" s="818"/>
      <c r="BB104" s="802" t="str" cm="1">
        <f t="array" ref="BB104">INDEX(C$4:BA$4,MATCH(TRUE,INDEX(C104:BA104&lt;&gt;0,),0))</f>
        <v>2022-23</v>
      </c>
      <c r="BC104" s="803" t="str" cm="1">
        <f t="array" ref="BC104">LOOKUP(2,1/(C104:BA104&lt;&gt;0),$C$4:$BA$4)</f>
        <v>2026-27</v>
      </c>
      <c r="BD104" s="804">
        <f>COUNTIF(RDprograms[[#This Row],[1978-79]:[2028-29]], "&gt;0")</f>
        <v>5</v>
      </c>
      <c r="BE104" s="805">
        <f>SUM(C104:BA104)/RDprograms[[#This Row],[Years with &gt; $0 investment]]</f>
        <v>3.9661999999999997</v>
      </c>
      <c r="BF104" s="806" t="s">
        <v>233</v>
      </c>
      <c r="BG104" s="807" t="s">
        <v>234</v>
      </c>
      <c r="BH104" s="807" t="s">
        <v>264</v>
      </c>
      <c r="BI104" s="809">
        <v>1</v>
      </c>
      <c r="BJ104" s="809"/>
      <c r="BK104" s="809"/>
      <c r="BL104" s="809"/>
      <c r="BM104" s="809"/>
      <c r="BN104" s="810"/>
      <c r="BO104" s="811" t="s">
        <v>236</v>
      </c>
      <c r="BP104" s="812" t="s">
        <v>486</v>
      </c>
      <c r="BQ104" s="812"/>
      <c r="BR104" s="812"/>
      <c r="BS104" s="812"/>
      <c r="BT104" s="812" t="s">
        <v>238</v>
      </c>
    </row>
    <row r="105" spans="1:72" ht="12.75" customHeight="1">
      <c r="A105" s="813" t="s">
        <v>387</v>
      </c>
      <c r="B105" s="820" t="s">
        <v>487</v>
      </c>
      <c r="C105" s="5">
        <v>0</v>
      </c>
      <c r="D105" s="5">
        <v>0</v>
      </c>
      <c r="E105" s="5">
        <v>0</v>
      </c>
      <c r="F105" s="5">
        <v>0</v>
      </c>
      <c r="G105" s="5">
        <v>0</v>
      </c>
      <c r="H105" s="5">
        <v>0</v>
      </c>
      <c r="I105" s="5">
        <v>0</v>
      </c>
      <c r="J105" s="5">
        <v>0</v>
      </c>
      <c r="K105" s="5">
        <v>0</v>
      </c>
      <c r="L105" s="5">
        <v>0</v>
      </c>
      <c r="M105" s="5">
        <v>0</v>
      </c>
      <c r="N105" s="5">
        <v>0</v>
      </c>
      <c r="O105" s="5">
        <v>0</v>
      </c>
      <c r="P105" s="5">
        <v>0</v>
      </c>
      <c r="Q105" s="5">
        <v>0</v>
      </c>
      <c r="R105" s="5">
        <v>0</v>
      </c>
      <c r="S105" s="5">
        <v>0</v>
      </c>
      <c r="T105" s="5">
        <v>0</v>
      </c>
      <c r="U105" s="5">
        <v>0</v>
      </c>
      <c r="V105" s="5">
        <v>0</v>
      </c>
      <c r="W105" s="5">
        <v>0</v>
      </c>
      <c r="X105" s="5">
        <v>0</v>
      </c>
      <c r="Y105" s="5">
        <v>0</v>
      </c>
      <c r="Z105" s="5">
        <v>0</v>
      </c>
      <c r="AA105" s="5">
        <v>0</v>
      </c>
      <c r="AB105" s="5">
        <v>0</v>
      </c>
      <c r="AC105" s="5">
        <v>0</v>
      </c>
      <c r="AD105" s="5">
        <v>0</v>
      </c>
      <c r="AE105" s="5">
        <v>0</v>
      </c>
      <c r="AF105" s="5">
        <v>0</v>
      </c>
      <c r="AG105" s="5">
        <v>0</v>
      </c>
      <c r="AH105" s="5">
        <v>0</v>
      </c>
      <c r="AI105" s="5">
        <v>0</v>
      </c>
      <c r="AJ105" s="5">
        <v>0</v>
      </c>
      <c r="AK105" s="5">
        <v>0</v>
      </c>
      <c r="AL105" s="5">
        <v>0</v>
      </c>
      <c r="AM105" s="5">
        <v>0</v>
      </c>
      <c r="AN105" s="5">
        <v>0</v>
      </c>
      <c r="AO105" s="5">
        <v>0</v>
      </c>
      <c r="AP105" s="5">
        <v>0</v>
      </c>
      <c r="AQ105" s="5">
        <v>0</v>
      </c>
      <c r="AR105" s="5">
        <v>8.0559999999999992</v>
      </c>
      <c r="AS105" s="5">
        <v>9.98</v>
      </c>
      <c r="AT105" s="5">
        <v>10.112</v>
      </c>
      <c r="AU105" s="5">
        <v>10.041</v>
      </c>
      <c r="AV105" s="5">
        <v>10.106</v>
      </c>
      <c r="AW105" s="815">
        <v>4.5199999999999996</v>
      </c>
      <c r="AX105" s="816">
        <v>0</v>
      </c>
      <c r="AY105" s="819">
        <v>0</v>
      </c>
      <c r="AZ105" s="816"/>
      <c r="BA105" s="818"/>
      <c r="BB105" s="802" t="str" cm="1">
        <f t="array" ref="BB105">INDEX(C$4:BA$4,MATCH(TRUE,INDEX(C105:BA105&lt;&gt;0,),0))</f>
        <v>2019-20</v>
      </c>
      <c r="BC105" s="803" t="str" cm="1">
        <f t="array" ref="BC105">LOOKUP(2,1/(C105:BA105&lt;&gt;0),$C$4:$BA$4)</f>
        <v>2024-25</v>
      </c>
      <c r="BD105" s="804">
        <f>COUNTIF(RDprograms[[#This Row],[1978-79]:[2028-29]], "&gt;0")</f>
        <v>6</v>
      </c>
      <c r="BE105" s="805">
        <f>SUM(C105:BA105)/RDprograms[[#This Row],[Years with &gt; $0 investment]]</f>
        <v>8.802500000000002</v>
      </c>
      <c r="BF105" s="806" t="s">
        <v>233</v>
      </c>
      <c r="BG105" s="807" t="s">
        <v>406</v>
      </c>
      <c r="BH105" s="807" t="s">
        <v>390</v>
      </c>
      <c r="BI105" s="809"/>
      <c r="BJ105" s="809"/>
      <c r="BK105" s="809"/>
      <c r="BL105" s="809"/>
      <c r="BM105" s="809"/>
      <c r="BN105" s="810"/>
      <c r="BO105" s="811" t="s">
        <v>251</v>
      </c>
      <c r="BP105" s="812" t="s">
        <v>488</v>
      </c>
      <c r="BQ105" s="812" t="s">
        <v>489</v>
      </c>
      <c r="BR105" s="812"/>
      <c r="BS105" s="812"/>
      <c r="BT105" s="812"/>
    </row>
    <row r="106" spans="1:72" ht="12.75" customHeight="1">
      <c r="A106" s="813" t="s">
        <v>387</v>
      </c>
      <c r="B106" s="820" t="s">
        <v>490</v>
      </c>
      <c r="C106" s="5">
        <v>0</v>
      </c>
      <c r="D106" s="5">
        <v>0</v>
      </c>
      <c r="E106" s="5">
        <v>0</v>
      </c>
      <c r="F106" s="5">
        <v>0</v>
      </c>
      <c r="G106" s="5">
        <v>0</v>
      </c>
      <c r="H106" s="5">
        <v>0</v>
      </c>
      <c r="I106" s="5">
        <v>0</v>
      </c>
      <c r="J106" s="5">
        <v>0</v>
      </c>
      <c r="K106" s="5">
        <v>0</v>
      </c>
      <c r="L106" s="5">
        <v>0</v>
      </c>
      <c r="M106" s="5">
        <v>0</v>
      </c>
      <c r="N106" s="5">
        <v>0</v>
      </c>
      <c r="O106" s="5">
        <v>0</v>
      </c>
      <c r="P106" s="5">
        <v>0</v>
      </c>
      <c r="Q106" s="5">
        <v>0</v>
      </c>
      <c r="R106" s="5">
        <v>0</v>
      </c>
      <c r="S106" s="5">
        <v>0</v>
      </c>
      <c r="T106" s="5">
        <v>0</v>
      </c>
      <c r="U106" s="5">
        <v>0</v>
      </c>
      <c r="V106" s="5">
        <v>0</v>
      </c>
      <c r="W106" s="5">
        <v>0</v>
      </c>
      <c r="X106" s="5">
        <v>0</v>
      </c>
      <c r="Y106" s="5">
        <v>0</v>
      </c>
      <c r="Z106" s="5">
        <v>0</v>
      </c>
      <c r="AA106" s="5">
        <v>0</v>
      </c>
      <c r="AB106" s="5">
        <v>0</v>
      </c>
      <c r="AC106" s="5">
        <v>0</v>
      </c>
      <c r="AD106" s="5">
        <v>0</v>
      </c>
      <c r="AE106" s="5">
        <v>0</v>
      </c>
      <c r="AF106" s="5">
        <v>0</v>
      </c>
      <c r="AG106" s="5">
        <v>0</v>
      </c>
      <c r="AH106" s="5">
        <v>0</v>
      </c>
      <c r="AI106" s="5">
        <v>0</v>
      </c>
      <c r="AJ106" s="5">
        <v>0</v>
      </c>
      <c r="AK106" s="5">
        <v>0</v>
      </c>
      <c r="AL106" s="5">
        <v>0</v>
      </c>
      <c r="AM106" s="5">
        <v>0</v>
      </c>
      <c r="AN106" s="5">
        <v>0</v>
      </c>
      <c r="AO106" s="5">
        <v>0</v>
      </c>
      <c r="AP106" s="5">
        <v>0</v>
      </c>
      <c r="AQ106" s="5">
        <v>0</v>
      </c>
      <c r="AR106" s="5">
        <v>0</v>
      </c>
      <c r="AS106" s="5">
        <v>0</v>
      </c>
      <c r="AT106" s="5">
        <v>0</v>
      </c>
      <c r="AU106" s="5">
        <v>0</v>
      </c>
      <c r="AV106" s="5">
        <v>3.2</v>
      </c>
      <c r="AW106" s="815">
        <v>11.5</v>
      </c>
      <c r="AX106" s="816">
        <v>18</v>
      </c>
      <c r="AY106" s="819">
        <v>18</v>
      </c>
      <c r="AZ106" s="826">
        <v>18</v>
      </c>
      <c r="BA106" s="818">
        <v>18</v>
      </c>
      <c r="BB106" s="802" t="str" cm="1">
        <f t="array" ref="BB106">INDEX(C$4:BA$4,MATCH(TRUE,INDEX(C106:BA106&lt;&gt;0,),0))</f>
        <v>2023-24</v>
      </c>
      <c r="BC106" s="803" t="str" cm="1">
        <f t="array" ref="BC106">LOOKUP(2,1/(C106:BA106&lt;&gt;0),$C$4:$BA$4)</f>
        <v>2028-29</v>
      </c>
      <c r="BD106" s="804">
        <f>COUNTIF(RDprograms[[#This Row],[1978-79]:[2028-29]], "&gt;0")</f>
        <v>6</v>
      </c>
      <c r="BE106" s="805">
        <f>SUM(C106:BA106)/RDprograms[[#This Row],[Years with &gt; $0 investment]]</f>
        <v>14.450000000000001</v>
      </c>
      <c r="BF106" s="806" t="s">
        <v>233</v>
      </c>
      <c r="BG106" s="807" t="s">
        <v>406</v>
      </c>
      <c r="BH106" s="807" t="s">
        <v>390</v>
      </c>
      <c r="BI106" s="809"/>
      <c r="BJ106" s="809"/>
      <c r="BK106" s="809"/>
      <c r="BL106" s="809">
        <v>1</v>
      </c>
      <c r="BM106" s="809"/>
      <c r="BN106" s="810"/>
      <c r="BO106" s="811" t="s">
        <v>251</v>
      </c>
      <c r="BP106" s="840" t="s">
        <v>491</v>
      </c>
      <c r="BQ106" s="812"/>
      <c r="BR106" s="812"/>
      <c r="BS106" s="812"/>
      <c r="BT106" s="812"/>
    </row>
    <row r="107" spans="1:72" ht="12.75" customHeight="1">
      <c r="A107" s="813" t="s">
        <v>387</v>
      </c>
      <c r="B107" s="820" t="s">
        <v>492</v>
      </c>
      <c r="C107" s="5">
        <v>0</v>
      </c>
      <c r="D107" s="5">
        <v>0</v>
      </c>
      <c r="E107" s="5">
        <v>0</v>
      </c>
      <c r="F107" s="5">
        <v>0</v>
      </c>
      <c r="G107" s="5">
        <v>0</v>
      </c>
      <c r="H107" s="5">
        <v>0</v>
      </c>
      <c r="I107" s="5">
        <v>0</v>
      </c>
      <c r="J107" s="5">
        <v>0</v>
      </c>
      <c r="K107" s="5">
        <v>0</v>
      </c>
      <c r="L107" s="5">
        <v>0</v>
      </c>
      <c r="M107" s="5">
        <v>0</v>
      </c>
      <c r="N107" s="5">
        <v>0</v>
      </c>
      <c r="O107" s="5">
        <v>0</v>
      </c>
      <c r="P107" s="5">
        <v>0</v>
      </c>
      <c r="Q107" s="5">
        <v>0</v>
      </c>
      <c r="R107" s="5">
        <v>0</v>
      </c>
      <c r="S107" s="5">
        <v>0</v>
      </c>
      <c r="T107" s="5">
        <v>0</v>
      </c>
      <c r="U107" s="5">
        <v>0</v>
      </c>
      <c r="V107" s="5">
        <v>0</v>
      </c>
      <c r="W107" s="5">
        <v>0</v>
      </c>
      <c r="X107" s="5">
        <v>0</v>
      </c>
      <c r="Y107" s="5">
        <v>0</v>
      </c>
      <c r="Z107" s="5">
        <v>0</v>
      </c>
      <c r="AA107" s="5">
        <v>0</v>
      </c>
      <c r="AB107" s="5">
        <v>0</v>
      </c>
      <c r="AC107" s="5">
        <v>0</v>
      </c>
      <c r="AD107" s="5">
        <v>0</v>
      </c>
      <c r="AE107" s="5">
        <v>0</v>
      </c>
      <c r="AF107" s="5">
        <v>0</v>
      </c>
      <c r="AG107" s="5">
        <v>0</v>
      </c>
      <c r="AH107" s="5">
        <v>0</v>
      </c>
      <c r="AI107" s="5">
        <v>0</v>
      </c>
      <c r="AJ107" s="5">
        <v>0</v>
      </c>
      <c r="AK107" s="5">
        <v>0</v>
      </c>
      <c r="AL107" s="5">
        <v>0</v>
      </c>
      <c r="AM107" s="5">
        <v>0</v>
      </c>
      <c r="AN107" s="5">
        <v>0</v>
      </c>
      <c r="AO107" s="5">
        <v>0</v>
      </c>
      <c r="AP107" s="816">
        <v>0</v>
      </c>
      <c r="AQ107" s="816">
        <v>0</v>
      </c>
      <c r="AR107" s="5">
        <v>0</v>
      </c>
      <c r="AS107" s="5">
        <v>0</v>
      </c>
      <c r="AT107" s="5">
        <v>0</v>
      </c>
      <c r="AU107" s="5">
        <v>0</v>
      </c>
      <c r="AV107" s="5">
        <v>1.2130000000000001</v>
      </c>
      <c r="AW107" s="815">
        <v>1.4550000000000001</v>
      </c>
      <c r="AX107" s="816">
        <v>0</v>
      </c>
      <c r="AY107" s="819">
        <v>0</v>
      </c>
      <c r="AZ107" s="826"/>
      <c r="BA107" s="838"/>
      <c r="BB107" s="802" t="str" cm="1">
        <f t="array" ref="BB107">INDEX(C$4:BA$4,MATCH(TRUE,INDEX(C107:BA107&lt;&gt;0,),0))</f>
        <v>2023-24</v>
      </c>
      <c r="BC107" s="803" t="str" cm="1">
        <f t="array" ref="BC107">LOOKUP(2,1/(C107:BA107&lt;&gt;0),$C$4:$BA$4)</f>
        <v>2024-25</v>
      </c>
      <c r="BD107" s="839">
        <f>COUNTIF(RDprograms[[#This Row],[1978-79]:[2028-29]], "&gt;0")</f>
        <v>2</v>
      </c>
      <c r="BE107" s="805">
        <f>SUM(C107:BA107)/RDprograms[[#This Row],[Years with &gt; $0 investment]]</f>
        <v>1.3340000000000001</v>
      </c>
      <c r="BF107" s="806" t="s">
        <v>273</v>
      </c>
      <c r="BG107" s="807" t="s">
        <v>406</v>
      </c>
      <c r="BH107" s="807" t="s">
        <v>258</v>
      </c>
      <c r="BI107" s="809"/>
      <c r="BJ107" s="809"/>
      <c r="BK107" s="809"/>
      <c r="BL107" s="809"/>
      <c r="BM107" s="809"/>
      <c r="BN107" s="810"/>
      <c r="BO107" s="811" t="s">
        <v>236</v>
      </c>
      <c r="BP107" s="812" t="s">
        <v>493</v>
      </c>
      <c r="BQ107" s="812"/>
      <c r="BR107" s="812"/>
      <c r="BS107" s="812"/>
      <c r="BT107" s="812"/>
    </row>
    <row r="108" spans="1:72" ht="12.75" customHeight="1">
      <c r="A108" s="813" t="s">
        <v>387</v>
      </c>
      <c r="B108" s="820" t="s">
        <v>494</v>
      </c>
      <c r="C108" s="5">
        <v>0</v>
      </c>
      <c r="D108" s="5">
        <v>0</v>
      </c>
      <c r="E108" s="5">
        <v>0</v>
      </c>
      <c r="F108" s="5">
        <v>0</v>
      </c>
      <c r="G108" s="5">
        <v>0</v>
      </c>
      <c r="H108" s="5">
        <v>0</v>
      </c>
      <c r="I108" s="5">
        <v>0</v>
      </c>
      <c r="J108" s="5">
        <v>0</v>
      </c>
      <c r="K108" s="5">
        <v>0</v>
      </c>
      <c r="L108" s="5">
        <v>0</v>
      </c>
      <c r="M108" s="5">
        <v>0</v>
      </c>
      <c r="N108" s="5">
        <v>0</v>
      </c>
      <c r="O108" s="5">
        <v>0</v>
      </c>
      <c r="P108" s="5">
        <v>0</v>
      </c>
      <c r="Q108" s="5">
        <v>0</v>
      </c>
      <c r="R108" s="5">
        <v>0</v>
      </c>
      <c r="S108" s="5">
        <v>0</v>
      </c>
      <c r="T108" s="5">
        <v>0</v>
      </c>
      <c r="U108" s="5">
        <v>0</v>
      </c>
      <c r="V108" s="5">
        <v>0</v>
      </c>
      <c r="W108" s="5">
        <v>0.9</v>
      </c>
      <c r="X108" s="5">
        <v>3.1</v>
      </c>
      <c r="Y108" s="5">
        <v>5.9</v>
      </c>
      <c r="Z108" s="5">
        <v>4.8</v>
      </c>
      <c r="AA108" s="5">
        <v>3.2</v>
      </c>
      <c r="AB108" s="5">
        <v>3.6</v>
      </c>
      <c r="AC108" s="5">
        <v>0</v>
      </c>
      <c r="AD108" s="5">
        <v>0</v>
      </c>
      <c r="AE108" s="5">
        <v>0</v>
      </c>
      <c r="AF108" s="5">
        <v>2.5</v>
      </c>
      <c r="AG108" s="5">
        <v>3.2</v>
      </c>
      <c r="AH108" s="5">
        <v>0</v>
      </c>
      <c r="AI108" s="5">
        <v>0</v>
      </c>
      <c r="AJ108" s="5">
        <v>0</v>
      </c>
      <c r="AK108" s="5">
        <v>0</v>
      </c>
      <c r="AL108" s="5">
        <v>0</v>
      </c>
      <c r="AM108" s="5">
        <v>0</v>
      </c>
      <c r="AN108" s="5">
        <v>0</v>
      </c>
      <c r="AO108" s="5">
        <v>0</v>
      </c>
      <c r="AP108" s="816">
        <v>0</v>
      </c>
      <c r="AQ108" s="816">
        <v>0</v>
      </c>
      <c r="AR108" s="5">
        <v>0</v>
      </c>
      <c r="AS108" s="5">
        <v>0</v>
      </c>
      <c r="AT108" s="5">
        <v>0</v>
      </c>
      <c r="AU108" s="5">
        <v>0</v>
      </c>
      <c r="AV108" s="5">
        <v>0</v>
      </c>
      <c r="AW108" s="815">
        <v>0</v>
      </c>
      <c r="AX108" s="816">
        <v>0</v>
      </c>
      <c r="AY108" s="819">
        <v>0</v>
      </c>
      <c r="AZ108" s="816"/>
      <c r="BA108" s="818"/>
      <c r="BB108" s="802" t="str" cm="1">
        <f t="array" ref="BB108">INDEX(C$4:BA$4,MATCH(TRUE,INDEX(C108:BA108&lt;&gt;0,),0))</f>
        <v>1998-99</v>
      </c>
      <c r="BC108" s="803" t="str" cm="1">
        <f t="array" ref="BC108">LOOKUP(2,1/(C108:BA108&lt;&gt;0),$C$4:$BA$4)</f>
        <v>2008-09</v>
      </c>
      <c r="BD108" s="804">
        <f>COUNTIF(RDprograms[[#This Row],[1978-79]:[2028-29]], "&gt;0")</f>
        <v>8</v>
      </c>
      <c r="BE108" s="805">
        <f>SUM(C108:BA108)/RDprograms[[#This Row],[Years with &gt; $0 investment]]</f>
        <v>3.4</v>
      </c>
      <c r="BF108" s="806" t="s">
        <v>249</v>
      </c>
      <c r="BG108" s="807" t="s">
        <v>406</v>
      </c>
      <c r="BH108" s="807" t="s">
        <v>264</v>
      </c>
      <c r="BI108" s="809"/>
      <c r="BJ108" s="809"/>
      <c r="BK108" s="809"/>
      <c r="BL108" s="809"/>
      <c r="BM108" s="809"/>
      <c r="BN108" s="810"/>
      <c r="BO108" s="811" t="s">
        <v>236</v>
      </c>
      <c r="BP108" s="812"/>
      <c r="BQ108" s="812"/>
      <c r="BR108" s="812"/>
      <c r="BS108" s="812"/>
      <c r="BT108" s="812" t="s">
        <v>238</v>
      </c>
    </row>
    <row r="109" spans="1:72" ht="12.75" customHeight="1">
      <c r="A109" s="813" t="s">
        <v>387</v>
      </c>
      <c r="B109" s="820" t="s">
        <v>495</v>
      </c>
      <c r="C109" s="5">
        <v>0</v>
      </c>
      <c r="D109" s="5">
        <v>0</v>
      </c>
      <c r="E109" s="5">
        <v>0</v>
      </c>
      <c r="F109" s="5">
        <v>0</v>
      </c>
      <c r="G109" s="5">
        <v>0</v>
      </c>
      <c r="H109" s="5">
        <v>0</v>
      </c>
      <c r="I109" s="5">
        <v>0</v>
      </c>
      <c r="J109" s="5">
        <v>0</v>
      </c>
      <c r="K109" s="5">
        <v>0</v>
      </c>
      <c r="L109" s="5">
        <v>0</v>
      </c>
      <c r="M109" s="5">
        <v>0</v>
      </c>
      <c r="N109" s="5">
        <v>0</v>
      </c>
      <c r="O109" s="5">
        <v>0</v>
      </c>
      <c r="P109" s="5">
        <v>0</v>
      </c>
      <c r="Q109" s="5">
        <v>0</v>
      </c>
      <c r="R109" s="5">
        <v>0</v>
      </c>
      <c r="S109" s="5">
        <v>0</v>
      </c>
      <c r="T109" s="5">
        <v>0</v>
      </c>
      <c r="U109" s="5">
        <v>0</v>
      </c>
      <c r="V109" s="5">
        <v>0</v>
      </c>
      <c r="W109" s="5">
        <v>0</v>
      </c>
      <c r="X109" s="5">
        <v>0</v>
      </c>
      <c r="Y109" s="5">
        <v>0</v>
      </c>
      <c r="Z109" s="5">
        <v>0</v>
      </c>
      <c r="AA109" s="5">
        <v>0</v>
      </c>
      <c r="AB109" s="5">
        <v>0</v>
      </c>
      <c r="AC109" s="5">
        <v>0</v>
      </c>
      <c r="AD109" s="5">
        <v>0</v>
      </c>
      <c r="AE109" s="5">
        <v>0</v>
      </c>
      <c r="AF109" s="5">
        <v>0</v>
      </c>
      <c r="AG109" s="5">
        <v>0</v>
      </c>
      <c r="AH109" s="5">
        <v>4</v>
      </c>
      <c r="AI109" s="5">
        <v>4.0330000000000004</v>
      </c>
      <c r="AJ109" s="5">
        <v>3.9</v>
      </c>
      <c r="AK109" s="5">
        <v>0.27600000000000002</v>
      </c>
      <c r="AL109" s="5">
        <v>0</v>
      </c>
      <c r="AM109" s="5">
        <v>0</v>
      </c>
      <c r="AN109" s="5">
        <v>0</v>
      </c>
      <c r="AO109" s="5">
        <v>0</v>
      </c>
      <c r="AP109" s="816">
        <v>0</v>
      </c>
      <c r="AQ109" s="816">
        <v>0</v>
      </c>
      <c r="AR109" s="5">
        <v>0</v>
      </c>
      <c r="AS109" s="5">
        <v>0</v>
      </c>
      <c r="AT109" s="5">
        <v>0</v>
      </c>
      <c r="AU109" s="5">
        <v>0</v>
      </c>
      <c r="AV109" s="5">
        <v>0</v>
      </c>
      <c r="AW109" s="815">
        <v>0</v>
      </c>
      <c r="AX109" s="826">
        <v>0</v>
      </c>
      <c r="AY109" s="819">
        <v>0</v>
      </c>
      <c r="AZ109" s="816"/>
      <c r="BA109" s="818"/>
      <c r="BB109" s="802" t="str" cm="1">
        <f t="array" ref="BB109">INDEX(C$4:BA$4,MATCH(TRUE,INDEX(C109:BA109&lt;&gt;0,),0))</f>
        <v>2009-10</v>
      </c>
      <c r="BC109" s="803" t="str" cm="1">
        <f t="array" ref="BC109">LOOKUP(2,1/(C109:BA109&lt;&gt;0),$C$4:$BA$4)</f>
        <v>2012-13</v>
      </c>
      <c r="BD109" s="804">
        <f>COUNTIF(RDprograms[[#This Row],[1978-79]:[2028-29]], "&gt;0")</f>
        <v>4</v>
      </c>
      <c r="BE109" s="805">
        <f>SUM(C109:BA109)/RDprograms[[#This Row],[Years with &gt; $0 investment]]</f>
        <v>3.0522500000000004</v>
      </c>
      <c r="BF109" s="806" t="s">
        <v>249</v>
      </c>
      <c r="BG109" s="807" t="s">
        <v>406</v>
      </c>
      <c r="BH109" s="807" t="s">
        <v>264</v>
      </c>
      <c r="BI109" s="809"/>
      <c r="BJ109" s="809"/>
      <c r="BK109" s="809"/>
      <c r="BL109" s="809"/>
      <c r="BM109" s="809"/>
      <c r="BN109" s="810"/>
      <c r="BO109" s="811" t="s">
        <v>236</v>
      </c>
      <c r="BP109" s="812"/>
      <c r="BQ109" s="812"/>
      <c r="BR109" s="812"/>
      <c r="BS109" s="812"/>
      <c r="BT109" s="812" t="s">
        <v>244</v>
      </c>
    </row>
    <row r="110" spans="1:72" ht="12.75" customHeight="1">
      <c r="A110" s="813" t="s">
        <v>387</v>
      </c>
      <c r="B110" s="820" t="s">
        <v>496</v>
      </c>
      <c r="C110" s="5">
        <v>0</v>
      </c>
      <c r="D110" s="5">
        <v>0</v>
      </c>
      <c r="E110" s="5">
        <v>0</v>
      </c>
      <c r="F110" s="5">
        <v>0</v>
      </c>
      <c r="G110" s="5">
        <v>0</v>
      </c>
      <c r="H110" s="5">
        <v>0</v>
      </c>
      <c r="I110" s="5">
        <v>0</v>
      </c>
      <c r="J110" s="5">
        <v>0</v>
      </c>
      <c r="K110" s="5">
        <v>0</v>
      </c>
      <c r="L110" s="5">
        <v>0</v>
      </c>
      <c r="M110" s="5">
        <v>0</v>
      </c>
      <c r="N110" s="5">
        <v>0</v>
      </c>
      <c r="O110" s="5">
        <v>0</v>
      </c>
      <c r="P110" s="5">
        <v>0</v>
      </c>
      <c r="Q110" s="5">
        <v>0</v>
      </c>
      <c r="R110" s="5">
        <v>0</v>
      </c>
      <c r="S110" s="5">
        <v>0</v>
      </c>
      <c r="T110" s="5">
        <v>0</v>
      </c>
      <c r="U110" s="5">
        <v>0</v>
      </c>
      <c r="V110" s="5">
        <v>0</v>
      </c>
      <c r="W110" s="5">
        <v>0</v>
      </c>
      <c r="X110" s="5">
        <v>0</v>
      </c>
      <c r="Y110" s="5">
        <v>0</v>
      </c>
      <c r="Z110" s="5">
        <v>0</v>
      </c>
      <c r="AA110" s="5">
        <v>0</v>
      </c>
      <c r="AB110" s="5">
        <v>0</v>
      </c>
      <c r="AC110" s="5">
        <v>0</v>
      </c>
      <c r="AD110" s="5">
        <v>0</v>
      </c>
      <c r="AE110" s="5">
        <v>0</v>
      </c>
      <c r="AF110" s="5">
        <v>0</v>
      </c>
      <c r="AG110" s="5">
        <v>0</v>
      </c>
      <c r="AH110" s="5">
        <v>0</v>
      </c>
      <c r="AI110" s="5">
        <v>0</v>
      </c>
      <c r="AJ110" s="5">
        <v>0</v>
      </c>
      <c r="AK110" s="5">
        <v>0</v>
      </c>
      <c r="AL110" s="5">
        <v>0</v>
      </c>
      <c r="AM110" s="5">
        <v>2.8050000000000002</v>
      </c>
      <c r="AN110" s="5">
        <v>3.266</v>
      </c>
      <c r="AO110" s="5">
        <v>2.73</v>
      </c>
      <c r="AP110" s="5">
        <v>0.3</v>
      </c>
      <c r="AQ110" s="5">
        <v>0</v>
      </c>
      <c r="AR110" s="5">
        <v>0</v>
      </c>
      <c r="AS110" s="5">
        <v>0</v>
      </c>
      <c r="AT110" s="5">
        <v>0</v>
      </c>
      <c r="AU110" s="5">
        <v>0</v>
      </c>
      <c r="AV110" s="5">
        <v>0</v>
      </c>
      <c r="AW110" s="815">
        <v>0</v>
      </c>
      <c r="AX110" s="816">
        <v>0</v>
      </c>
      <c r="AY110" s="819">
        <v>0</v>
      </c>
      <c r="AZ110" s="816"/>
      <c r="BA110" s="818"/>
      <c r="BB110" s="802" t="str" cm="1">
        <f t="array" ref="BB110">INDEX(C$4:BA$4,MATCH(TRUE,INDEX(C110:BA110&lt;&gt;0,),0))</f>
        <v>2014-15</v>
      </c>
      <c r="BC110" s="803" t="str" cm="1">
        <f t="array" ref="BC110">LOOKUP(2,1/(C110:BA110&lt;&gt;0),$C$4:$BA$4)</f>
        <v>2017-18</v>
      </c>
      <c r="BD110" s="804">
        <f>COUNTIF(RDprograms[[#This Row],[1978-79]:[2028-29]], "&gt;0")</f>
        <v>4</v>
      </c>
      <c r="BE110" s="805">
        <f>SUM(C110:BA110)/RDprograms[[#This Row],[Years with &gt; $0 investment]]</f>
        <v>2.2752500000000002</v>
      </c>
      <c r="BF110" s="806" t="s">
        <v>273</v>
      </c>
      <c r="BG110" s="807" t="s">
        <v>362</v>
      </c>
      <c r="BH110" s="807" t="s">
        <v>390</v>
      </c>
      <c r="BI110" s="809"/>
      <c r="BJ110" s="809"/>
      <c r="BK110" s="809"/>
      <c r="BL110" s="809"/>
      <c r="BM110" s="809"/>
      <c r="BN110" s="810"/>
      <c r="BO110" s="811" t="s">
        <v>236</v>
      </c>
      <c r="BP110" s="812" t="s">
        <v>497</v>
      </c>
      <c r="BQ110" s="812"/>
      <c r="BR110" s="812"/>
      <c r="BS110" s="812"/>
      <c r="BT110" s="812" t="s">
        <v>238</v>
      </c>
    </row>
    <row r="111" spans="1:72" ht="12.75" customHeight="1">
      <c r="A111" s="813" t="s">
        <v>387</v>
      </c>
      <c r="B111" s="820" t="s">
        <v>498</v>
      </c>
      <c r="C111" s="5">
        <v>0</v>
      </c>
      <c r="D111" s="5">
        <v>0</v>
      </c>
      <c r="E111" s="5">
        <v>0</v>
      </c>
      <c r="F111" s="5">
        <v>0</v>
      </c>
      <c r="G111" s="5">
        <v>0</v>
      </c>
      <c r="H111" s="5">
        <v>0</v>
      </c>
      <c r="I111" s="5">
        <v>0</v>
      </c>
      <c r="J111" s="5">
        <v>0</v>
      </c>
      <c r="K111" s="5">
        <v>0</v>
      </c>
      <c r="L111" s="5">
        <v>0</v>
      </c>
      <c r="M111" s="5">
        <v>0</v>
      </c>
      <c r="N111" s="5">
        <v>0</v>
      </c>
      <c r="O111" s="5">
        <v>0</v>
      </c>
      <c r="P111" s="5">
        <v>0</v>
      </c>
      <c r="Q111" s="5">
        <v>0</v>
      </c>
      <c r="R111" s="5">
        <v>0</v>
      </c>
      <c r="S111" s="5">
        <v>0</v>
      </c>
      <c r="T111" s="5">
        <v>0</v>
      </c>
      <c r="U111" s="5">
        <v>0</v>
      </c>
      <c r="V111" s="5">
        <v>0</v>
      </c>
      <c r="W111" s="5">
        <v>0</v>
      </c>
      <c r="X111" s="5">
        <v>0</v>
      </c>
      <c r="Y111" s="5">
        <v>0</v>
      </c>
      <c r="Z111" s="5">
        <v>0</v>
      </c>
      <c r="AA111" s="5">
        <v>0</v>
      </c>
      <c r="AB111" s="5">
        <v>0</v>
      </c>
      <c r="AC111" s="5">
        <v>0</v>
      </c>
      <c r="AD111" s="5">
        <v>0</v>
      </c>
      <c r="AE111" s="5">
        <v>0</v>
      </c>
      <c r="AF111" s="5">
        <v>0</v>
      </c>
      <c r="AG111" s="5">
        <v>0</v>
      </c>
      <c r="AH111" s="5">
        <v>0</v>
      </c>
      <c r="AI111" s="5">
        <v>0</v>
      </c>
      <c r="AJ111" s="5">
        <v>0</v>
      </c>
      <c r="AK111" s="5">
        <v>0</v>
      </c>
      <c r="AL111" s="5">
        <v>0</v>
      </c>
      <c r="AM111" s="5">
        <v>8.5990000000000002</v>
      </c>
      <c r="AN111" s="5">
        <v>27.254000000000001</v>
      </c>
      <c r="AO111" s="5">
        <v>25.52</v>
      </c>
      <c r="AP111" s="5">
        <v>25.52</v>
      </c>
      <c r="AQ111" s="5">
        <v>25.52</v>
      </c>
      <c r="AR111" s="5">
        <v>26.64</v>
      </c>
      <c r="AS111" s="5">
        <v>25.352</v>
      </c>
      <c r="AT111" s="5">
        <v>24.352</v>
      </c>
      <c r="AU111" s="5">
        <v>24.802</v>
      </c>
      <c r="AV111" s="5">
        <v>24.867000000000001</v>
      </c>
      <c r="AW111" s="815">
        <v>25.087</v>
      </c>
      <c r="AX111" s="816">
        <v>25.338000000000001</v>
      </c>
      <c r="AY111" s="819">
        <v>25.212</v>
      </c>
      <c r="AZ111" s="816">
        <v>25.384</v>
      </c>
      <c r="BA111" s="818">
        <v>25.384</v>
      </c>
      <c r="BB111" s="802" t="str" cm="1">
        <f t="array" ref="BB111">INDEX(C$4:BA$4,MATCH(TRUE,INDEX(C111:BA111&lt;&gt;0,),0))</f>
        <v>2014-15</v>
      </c>
      <c r="BC111" s="803" t="str" cm="1">
        <f t="array" ref="BC111">LOOKUP(2,1/(C111:BA111&lt;&gt;0),$C$4:$BA$4)</f>
        <v>2028-29</v>
      </c>
      <c r="BD111" s="804">
        <f>COUNTIF(RDprograms[[#This Row],[1978-79]:[2028-29]], "&gt;0")</f>
        <v>15</v>
      </c>
      <c r="BE111" s="805">
        <f>SUM(C111:BA111)/RDprograms[[#This Row],[Years with &gt; $0 investment]]</f>
        <v>24.322066666666668</v>
      </c>
      <c r="BF111" s="806" t="s">
        <v>233</v>
      </c>
      <c r="BG111" s="807" t="s">
        <v>406</v>
      </c>
      <c r="BH111" s="807" t="s">
        <v>390</v>
      </c>
      <c r="BI111" s="809"/>
      <c r="BJ111" s="809"/>
      <c r="BK111" s="809"/>
      <c r="BL111" s="809"/>
      <c r="BM111" s="809"/>
      <c r="BN111" s="810">
        <v>1</v>
      </c>
      <c r="BO111" s="811" t="s">
        <v>236</v>
      </c>
      <c r="BP111" s="812" t="s">
        <v>499</v>
      </c>
      <c r="BQ111" s="812" t="s">
        <v>500</v>
      </c>
      <c r="BR111" s="812"/>
      <c r="BS111" s="812"/>
      <c r="BT111" s="812" t="s">
        <v>238</v>
      </c>
    </row>
    <row r="112" spans="1:72" ht="12.75" customHeight="1">
      <c r="A112" s="813" t="s">
        <v>387</v>
      </c>
      <c r="B112" s="820" t="s">
        <v>501</v>
      </c>
      <c r="C112" s="5">
        <v>0</v>
      </c>
      <c r="D112" s="5">
        <v>0</v>
      </c>
      <c r="E112" s="5">
        <v>0</v>
      </c>
      <c r="F112" s="5">
        <v>0</v>
      </c>
      <c r="G112" s="5">
        <v>0</v>
      </c>
      <c r="H112" s="5">
        <v>0</v>
      </c>
      <c r="I112" s="5">
        <v>0</v>
      </c>
      <c r="J112" s="5">
        <v>0</v>
      </c>
      <c r="K112" s="5">
        <v>0</v>
      </c>
      <c r="L112" s="5">
        <v>0</v>
      </c>
      <c r="M112" s="5">
        <v>0</v>
      </c>
      <c r="N112" s="5">
        <v>0</v>
      </c>
      <c r="O112" s="5">
        <v>0</v>
      </c>
      <c r="P112" s="5">
        <v>0</v>
      </c>
      <c r="Q112" s="5">
        <v>0</v>
      </c>
      <c r="R112" s="5">
        <v>0</v>
      </c>
      <c r="S112" s="5">
        <v>0</v>
      </c>
      <c r="T112" s="5">
        <v>0</v>
      </c>
      <c r="U112" s="5">
        <v>0</v>
      </c>
      <c r="V112" s="5">
        <v>0</v>
      </c>
      <c r="W112" s="5">
        <v>0</v>
      </c>
      <c r="X112" s="5">
        <v>0</v>
      </c>
      <c r="Y112" s="5">
        <v>0</v>
      </c>
      <c r="Z112" s="5">
        <v>0</v>
      </c>
      <c r="AA112" s="5">
        <v>0</v>
      </c>
      <c r="AB112" s="5">
        <v>0</v>
      </c>
      <c r="AC112" s="5">
        <v>0</v>
      </c>
      <c r="AD112" s="5">
        <v>0</v>
      </c>
      <c r="AE112" s="5">
        <v>0</v>
      </c>
      <c r="AF112" s="5">
        <v>0</v>
      </c>
      <c r="AG112" s="5">
        <v>0</v>
      </c>
      <c r="AH112" s="5">
        <v>0</v>
      </c>
      <c r="AI112" s="5">
        <v>0</v>
      </c>
      <c r="AJ112" s="5">
        <v>0</v>
      </c>
      <c r="AK112" s="5">
        <v>0</v>
      </c>
      <c r="AL112" s="5">
        <v>0</v>
      </c>
      <c r="AM112" s="5">
        <v>0</v>
      </c>
      <c r="AN112" s="5">
        <v>0</v>
      </c>
      <c r="AO112" s="5">
        <v>0</v>
      </c>
      <c r="AP112" s="816">
        <v>0</v>
      </c>
      <c r="AQ112" s="816">
        <v>0</v>
      </c>
      <c r="AR112" s="5">
        <v>0.38300000000000001</v>
      </c>
      <c r="AS112" s="5">
        <v>1.2549999999999999</v>
      </c>
      <c r="AT112" s="5">
        <v>2.3660000000000001</v>
      </c>
      <c r="AU112" s="5">
        <v>2.88</v>
      </c>
      <c r="AV112" s="5">
        <v>0</v>
      </c>
      <c r="AW112" s="815">
        <v>0</v>
      </c>
      <c r="AX112" s="816">
        <v>0</v>
      </c>
      <c r="AY112" s="819">
        <v>0</v>
      </c>
      <c r="AZ112" s="816">
        <v>0</v>
      </c>
      <c r="BA112" s="818"/>
      <c r="BB112" s="802" t="str" cm="1">
        <f t="array" ref="BB112">INDEX(C$4:BA$4,MATCH(TRUE,INDEX(C112:BA112&lt;&gt;0,),0))</f>
        <v>2019-20</v>
      </c>
      <c r="BC112" s="803" t="str" cm="1">
        <f t="array" ref="BC112">LOOKUP(2,1/(C112:BA112&lt;&gt;0),$C$4:$BA$4)</f>
        <v>2022-23</v>
      </c>
      <c r="BD112" s="804">
        <f>COUNTIF(RDprograms[[#This Row],[1978-79]:[2028-29]], "&gt;0")</f>
        <v>4</v>
      </c>
      <c r="BE112" s="805">
        <f>SUM(C112:BA112)/RDprograms[[#This Row],[Years with &gt; $0 investment]]</f>
        <v>1.7209999999999999</v>
      </c>
      <c r="BF112" s="806" t="s">
        <v>273</v>
      </c>
      <c r="BG112" s="807" t="s">
        <v>406</v>
      </c>
      <c r="BH112" s="807" t="s">
        <v>241</v>
      </c>
      <c r="BI112" s="809"/>
      <c r="BJ112" s="809"/>
      <c r="BK112" s="809"/>
      <c r="BL112" s="809"/>
      <c r="BM112" s="809"/>
      <c r="BN112" s="810"/>
      <c r="BO112" s="811" t="s">
        <v>236</v>
      </c>
      <c r="BP112" s="812" t="s">
        <v>502</v>
      </c>
      <c r="BQ112" s="812"/>
      <c r="BR112" s="812"/>
      <c r="BS112" s="812"/>
      <c r="BT112" s="812" t="s">
        <v>238</v>
      </c>
    </row>
    <row r="113" spans="1:72" ht="12.75" customHeight="1">
      <c r="A113" s="813" t="s">
        <v>387</v>
      </c>
      <c r="B113" s="820" t="s">
        <v>503</v>
      </c>
      <c r="C113" s="5">
        <v>0</v>
      </c>
      <c r="D113" s="5">
        <v>0</v>
      </c>
      <c r="E113" s="5">
        <v>0</v>
      </c>
      <c r="F113" s="5">
        <v>0</v>
      </c>
      <c r="G113" s="5">
        <v>0</v>
      </c>
      <c r="H113" s="5">
        <v>0</v>
      </c>
      <c r="I113" s="5">
        <v>0</v>
      </c>
      <c r="J113" s="5">
        <v>0</v>
      </c>
      <c r="K113" s="5">
        <v>0</v>
      </c>
      <c r="L113" s="5">
        <v>0</v>
      </c>
      <c r="M113" s="5">
        <v>0</v>
      </c>
      <c r="N113" s="5">
        <v>0</v>
      </c>
      <c r="O113" s="5">
        <v>0</v>
      </c>
      <c r="P113" s="5">
        <v>0</v>
      </c>
      <c r="Q113" s="5">
        <v>0</v>
      </c>
      <c r="R113" s="5">
        <v>0</v>
      </c>
      <c r="S113" s="5">
        <v>0</v>
      </c>
      <c r="T113" s="5">
        <v>0</v>
      </c>
      <c r="U113" s="5">
        <v>0</v>
      </c>
      <c r="V113" s="5">
        <v>0</v>
      </c>
      <c r="W113" s="5">
        <v>0</v>
      </c>
      <c r="X113" s="5">
        <v>0</v>
      </c>
      <c r="Y113" s="5">
        <v>0</v>
      </c>
      <c r="Z113" s="5">
        <v>0</v>
      </c>
      <c r="AA113" s="5">
        <v>0</v>
      </c>
      <c r="AB113" s="5">
        <v>0</v>
      </c>
      <c r="AC113" s="5">
        <v>0</v>
      </c>
      <c r="AD113" s="5">
        <v>0</v>
      </c>
      <c r="AE113" s="5">
        <v>0</v>
      </c>
      <c r="AF113" s="5">
        <v>0</v>
      </c>
      <c r="AG113" s="5">
        <v>0</v>
      </c>
      <c r="AH113" s="5">
        <v>0</v>
      </c>
      <c r="AI113" s="5">
        <v>0</v>
      </c>
      <c r="AJ113" s="5">
        <v>0</v>
      </c>
      <c r="AK113" s="5">
        <v>0</v>
      </c>
      <c r="AL113" s="5">
        <v>0</v>
      </c>
      <c r="AM113" s="5">
        <v>0.45</v>
      </c>
      <c r="AN113" s="5">
        <v>0</v>
      </c>
      <c r="AO113" s="5">
        <v>4.0369999999999999</v>
      </c>
      <c r="AP113" s="5">
        <v>8.202</v>
      </c>
      <c r="AQ113" s="5">
        <v>2.278</v>
      </c>
      <c r="AR113" s="5">
        <v>0.84899999999999998</v>
      </c>
      <c r="AS113" s="5">
        <v>0.193</v>
      </c>
      <c r="AT113" s="5">
        <v>0.193</v>
      </c>
      <c r="AU113" s="5">
        <v>0</v>
      </c>
      <c r="AV113" s="5">
        <v>0</v>
      </c>
      <c r="AW113" s="815">
        <v>0</v>
      </c>
      <c r="AX113" s="816">
        <v>0</v>
      </c>
      <c r="AY113" s="819">
        <v>0</v>
      </c>
      <c r="AZ113" s="816"/>
      <c r="BA113" s="818"/>
      <c r="BB113" s="802" t="str" cm="1">
        <f t="array" ref="BB113">INDEX(C$4:BA$4,MATCH(TRUE,INDEX(C113:BA113&lt;&gt;0,),0))</f>
        <v>2014-15</v>
      </c>
      <c r="BC113" s="803" t="str" cm="1">
        <f t="array" ref="BC113">LOOKUP(2,1/(C113:BA113&lt;&gt;0),$C$4:$BA$4)</f>
        <v>2021-22</v>
      </c>
      <c r="BD113" s="804">
        <f>COUNTIF(RDprograms[[#This Row],[1978-79]:[2028-29]], "&gt;0")</f>
        <v>7</v>
      </c>
      <c r="BE113" s="805">
        <f>SUM(C113:BA113)/RDprograms[[#This Row],[Years with &gt; $0 investment]]</f>
        <v>2.3145714285714289</v>
      </c>
      <c r="BF113" s="806" t="s">
        <v>249</v>
      </c>
      <c r="BG113" s="807" t="s">
        <v>406</v>
      </c>
      <c r="BH113" s="807" t="s">
        <v>390</v>
      </c>
      <c r="BI113" s="809"/>
      <c r="BJ113" s="809"/>
      <c r="BK113" s="809"/>
      <c r="BL113" s="809"/>
      <c r="BM113" s="809"/>
      <c r="BN113" s="810"/>
      <c r="BO113" s="811" t="s">
        <v>236</v>
      </c>
      <c r="BP113" s="812" t="s">
        <v>504</v>
      </c>
      <c r="BQ113" s="812"/>
      <c r="BR113" s="812"/>
      <c r="BS113" s="812"/>
      <c r="BT113" s="812" t="s">
        <v>238</v>
      </c>
    </row>
    <row r="114" spans="1:72" ht="12.75" customHeight="1">
      <c r="A114" s="813" t="s">
        <v>387</v>
      </c>
      <c r="B114" s="820" t="s">
        <v>505</v>
      </c>
      <c r="C114" s="5">
        <v>0</v>
      </c>
      <c r="D114" s="5">
        <v>0</v>
      </c>
      <c r="E114" s="5">
        <v>0</v>
      </c>
      <c r="F114" s="5">
        <v>0</v>
      </c>
      <c r="G114" s="5">
        <v>0</v>
      </c>
      <c r="H114" s="5">
        <v>0</v>
      </c>
      <c r="I114" s="5">
        <v>0</v>
      </c>
      <c r="J114" s="5">
        <v>0</v>
      </c>
      <c r="K114" s="5">
        <v>0</v>
      </c>
      <c r="L114" s="5">
        <v>0</v>
      </c>
      <c r="M114" s="5">
        <v>0</v>
      </c>
      <c r="N114" s="5">
        <v>0</v>
      </c>
      <c r="O114" s="5">
        <v>0</v>
      </c>
      <c r="P114" s="5">
        <v>0</v>
      </c>
      <c r="Q114" s="5">
        <v>0</v>
      </c>
      <c r="R114" s="5">
        <v>0</v>
      </c>
      <c r="S114" s="5">
        <v>0</v>
      </c>
      <c r="T114" s="5">
        <v>0</v>
      </c>
      <c r="U114" s="5">
        <v>0</v>
      </c>
      <c r="V114" s="5">
        <v>0</v>
      </c>
      <c r="W114" s="5">
        <v>0</v>
      </c>
      <c r="X114" s="5">
        <v>0</v>
      </c>
      <c r="Y114" s="5">
        <v>0</v>
      </c>
      <c r="Z114" s="5">
        <v>0</v>
      </c>
      <c r="AA114" s="5">
        <v>0</v>
      </c>
      <c r="AB114" s="5">
        <v>0</v>
      </c>
      <c r="AC114" s="5">
        <v>0</v>
      </c>
      <c r="AD114" s="5">
        <v>0</v>
      </c>
      <c r="AE114" s="5">
        <v>0</v>
      </c>
      <c r="AF114" s="5">
        <v>0</v>
      </c>
      <c r="AG114" s="5">
        <v>0</v>
      </c>
      <c r="AH114" s="5">
        <v>0</v>
      </c>
      <c r="AI114" s="5">
        <v>0</v>
      </c>
      <c r="AJ114" s="5">
        <v>0</v>
      </c>
      <c r="AK114" s="5">
        <v>0</v>
      </c>
      <c r="AL114" s="5">
        <v>6.8440000000000003</v>
      </c>
      <c r="AM114" s="5">
        <v>10.255765</v>
      </c>
      <c r="AN114" s="5">
        <v>5.0330000000000004</v>
      </c>
      <c r="AO114" s="5">
        <v>0</v>
      </c>
      <c r="AP114" s="5">
        <v>0</v>
      </c>
      <c r="AQ114" s="5">
        <v>0</v>
      </c>
      <c r="AR114" s="5">
        <v>0</v>
      </c>
      <c r="AS114" s="5">
        <v>0</v>
      </c>
      <c r="AT114" s="5">
        <v>0</v>
      </c>
      <c r="AU114" s="5">
        <v>0</v>
      </c>
      <c r="AV114" s="5">
        <v>0</v>
      </c>
      <c r="AW114" s="815">
        <v>0</v>
      </c>
      <c r="AX114" s="816">
        <v>0</v>
      </c>
      <c r="AY114" s="817">
        <v>0</v>
      </c>
      <c r="AZ114" s="816"/>
      <c r="BA114" s="818"/>
      <c r="BB114" s="802" t="str" cm="1">
        <f t="array" ref="BB114">INDEX(C$4:BA$4,MATCH(TRUE,INDEX(C114:BA114&lt;&gt;0,),0))</f>
        <v>2013-14</v>
      </c>
      <c r="BC114" s="803" t="str" cm="1">
        <f t="array" ref="BC114">LOOKUP(2,1/(C114:BA114&lt;&gt;0),$C$4:$BA$4)</f>
        <v>2015-16</v>
      </c>
      <c r="BD114" s="804">
        <f>COUNTIF(RDprograms[[#This Row],[1978-79]:[2028-29]], "&gt;0")</f>
        <v>3</v>
      </c>
      <c r="BE114" s="805">
        <f>SUM(C114:BA114)/RDprograms[[#This Row],[Years with &gt; $0 investment]]</f>
        <v>7.3775883333333345</v>
      </c>
      <c r="BF114" s="806" t="s">
        <v>233</v>
      </c>
      <c r="BG114" s="807" t="s">
        <v>234</v>
      </c>
      <c r="BH114" s="807" t="s">
        <v>235</v>
      </c>
      <c r="BI114" s="809"/>
      <c r="BJ114" s="809"/>
      <c r="BK114" s="809"/>
      <c r="BL114" s="809"/>
      <c r="BM114" s="809"/>
      <c r="BN114" s="810"/>
      <c r="BO114" s="811" t="s">
        <v>236</v>
      </c>
      <c r="BP114" s="812" t="s">
        <v>506</v>
      </c>
      <c r="BQ114" s="812"/>
      <c r="BR114" s="812"/>
      <c r="BS114" s="812"/>
      <c r="BT114" s="812"/>
    </row>
    <row r="115" spans="1:72" ht="12.75" customHeight="1">
      <c r="A115" s="813" t="s">
        <v>387</v>
      </c>
      <c r="B115" s="820" t="s">
        <v>507</v>
      </c>
      <c r="C115" s="5">
        <v>0</v>
      </c>
      <c r="D115" s="5">
        <v>0</v>
      </c>
      <c r="E115" s="5">
        <v>0</v>
      </c>
      <c r="F115" s="5">
        <v>0</v>
      </c>
      <c r="G115" s="5">
        <v>0</v>
      </c>
      <c r="H115" s="5">
        <v>0</v>
      </c>
      <c r="I115" s="5">
        <v>0</v>
      </c>
      <c r="J115" s="5">
        <v>0</v>
      </c>
      <c r="K115" s="5">
        <v>0</v>
      </c>
      <c r="L115" s="5">
        <v>0</v>
      </c>
      <c r="M115" s="5">
        <v>0</v>
      </c>
      <c r="N115" s="5">
        <v>0</v>
      </c>
      <c r="O115" s="5">
        <v>0</v>
      </c>
      <c r="P115" s="5">
        <v>0</v>
      </c>
      <c r="Q115" s="5">
        <v>0</v>
      </c>
      <c r="R115" s="5">
        <v>0</v>
      </c>
      <c r="S115" s="5">
        <v>0</v>
      </c>
      <c r="T115" s="5">
        <v>0</v>
      </c>
      <c r="U115" s="5">
        <v>0</v>
      </c>
      <c r="V115" s="5">
        <v>0</v>
      </c>
      <c r="W115" s="5">
        <v>0</v>
      </c>
      <c r="X115" s="5">
        <v>0</v>
      </c>
      <c r="Y115" s="5">
        <v>0</v>
      </c>
      <c r="Z115" s="5">
        <v>2.1</v>
      </c>
      <c r="AA115" s="5">
        <v>3.9</v>
      </c>
      <c r="AB115" s="5">
        <v>1.3</v>
      </c>
      <c r="AC115" s="5">
        <v>2.1</v>
      </c>
      <c r="AD115" s="5">
        <v>0</v>
      </c>
      <c r="AE115" s="5">
        <v>0</v>
      </c>
      <c r="AF115" s="5">
        <v>0</v>
      </c>
      <c r="AG115" s="5">
        <v>0</v>
      </c>
      <c r="AH115" s="5">
        <v>0</v>
      </c>
      <c r="AI115" s="5">
        <v>0</v>
      </c>
      <c r="AJ115" s="5">
        <v>0</v>
      </c>
      <c r="AK115" s="5">
        <v>0</v>
      </c>
      <c r="AL115" s="5">
        <v>0</v>
      </c>
      <c r="AM115" s="5">
        <v>0</v>
      </c>
      <c r="AN115" s="5">
        <v>0</v>
      </c>
      <c r="AO115" s="5">
        <v>0</v>
      </c>
      <c r="AP115" s="816">
        <v>0</v>
      </c>
      <c r="AQ115" s="816">
        <v>0</v>
      </c>
      <c r="AR115" s="5">
        <v>0</v>
      </c>
      <c r="AS115" s="5">
        <v>0</v>
      </c>
      <c r="AT115" s="5">
        <v>0</v>
      </c>
      <c r="AU115" s="5">
        <v>0</v>
      </c>
      <c r="AV115" s="5">
        <v>0</v>
      </c>
      <c r="AW115" s="815">
        <v>0</v>
      </c>
      <c r="AX115" s="816">
        <v>0</v>
      </c>
      <c r="AY115" s="817">
        <v>0</v>
      </c>
      <c r="AZ115" s="816"/>
      <c r="BA115" s="818"/>
      <c r="BB115" s="802" t="str" cm="1">
        <f t="array" ref="BB115">INDEX(C$4:BA$4,MATCH(TRUE,INDEX(C115:BA115&lt;&gt;0,),0))</f>
        <v>2001-02</v>
      </c>
      <c r="BC115" s="803" t="str" cm="1">
        <f t="array" ref="BC115">LOOKUP(2,1/(C115:BA115&lt;&gt;0),$C$4:$BA$4)</f>
        <v>2004-05</v>
      </c>
      <c r="BD115" s="804">
        <f>COUNTIF(RDprograms[[#This Row],[1978-79]:[2028-29]], "&gt;0")</f>
        <v>4</v>
      </c>
      <c r="BE115" s="805">
        <f>SUM(C115:BA115)/RDprograms[[#This Row],[Years with &gt; $0 investment]]</f>
        <v>2.35</v>
      </c>
      <c r="BF115" s="806" t="s">
        <v>273</v>
      </c>
      <c r="BG115" s="807" t="s">
        <v>406</v>
      </c>
      <c r="BH115" s="807" t="s">
        <v>258</v>
      </c>
      <c r="BI115" s="809"/>
      <c r="BJ115" s="809"/>
      <c r="BK115" s="809"/>
      <c r="BL115" s="809"/>
      <c r="BM115" s="809"/>
      <c r="BN115" s="810"/>
      <c r="BO115" s="811" t="s">
        <v>251</v>
      </c>
      <c r="BP115" s="812"/>
      <c r="BQ115" s="812"/>
      <c r="BR115" s="812"/>
      <c r="BS115" s="812"/>
      <c r="BT115" s="812" t="s">
        <v>508</v>
      </c>
    </row>
    <row r="116" spans="1:72" ht="12.75" customHeight="1">
      <c r="A116" s="813" t="s">
        <v>387</v>
      </c>
      <c r="B116" s="820" t="s">
        <v>509</v>
      </c>
      <c r="C116" s="5">
        <v>0</v>
      </c>
      <c r="D116" s="5">
        <v>0</v>
      </c>
      <c r="E116" s="5">
        <v>0</v>
      </c>
      <c r="F116" s="5">
        <v>0</v>
      </c>
      <c r="G116" s="5">
        <v>0</v>
      </c>
      <c r="H116" s="5">
        <v>0</v>
      </c>
      <c r="I116" s="5">
        <v>0</v>
      </c>
      <c r="J116" s="5">
        <v>0</v>
      </c>
      <c r="K116" s="5">
        <v>0</v>
      </c>
      <c r="L116" s="5">
        <v>0</v>
      </c>
      <c r="M116" s="5">
        <v>0</v>
      </c>
      <c r="N116" s="5">
        <v>0</v>
      </c>
      <c r="O116" s="5">
        <v>0</v>
      </c>
      <c r="P116" s="5">
        <v>0</v>
      </c>
      <c r="Q116" s="5">
        <v>0</v>
      </c>
      <c r="R116" s="5">
        <v>0</v>
      </c>
      <c r="S116" s="5">
        <v>0</v>
      </c>
      <c r="T116" s="5">
        <v>0</v>
      </c>
      <c r="U116" s="5">
        <v>0</v>
      </c>
      <c r="V116" s="5">
        <v>0</v>
      </c>
      <c r="W116" s="5">
        <v>0</v>
      </c>
      <c r="X116" s="5">
        <v>0</v>
      </c>
      <c r="Y116" s="5">
        <v>0</v>
      </c>
      <c r="Z116" s="5">
        <v>0</v>
      </c>
      <c r="AA116" s="5">
        <v>0</v>
      </c>
      <c r="AB116" s="5">
        <v>0</v>
      </c>
      <c r="AC116" s="5">
        <v>0</v>
      </c>
      <c r="AD116" s="5">
        <v>0</v>
      </c>
      <c r="AE116" s="5">
        <v>0</v>
      </c>
      <c r="AF116" s="5">
        <v>0</v>
      </c>
      <c r="AG116" s="5">
        <v>0</v>
      </c>
      <c r="AH116" s="5">
        <v>0</v>
      </c>
      <c r="AI116" s="5">
        <v>0</v>
      </c>
      <c r="AJ116" s="5">
        <v>0</v>
      </c>
      <c r="AK116" s="5">
        <v>0</v>
      </c>
      <c r="AL116" s="5">
        <v>0</v>
      </c>
      <c r="AM116" s="5">
        <v>0</v>
      </c>
      <c r="AN116" s="5">
        <v>0</v>
      </c>
      <c r="AO116" s="5">
        <v>0</v>
      </c>
      <c r="AP116" s="5">
        <v>0</v>
      </c>
      <c r="AQ116" s="5">
        <v>0</v>
      </c>
      <c r="AR116" s="5">
        <v>1.613</v>
      </c>
      <c r="AS116" s="5">
        <v>5.4160000000000004</v>
      </c>
      <c r="AT116" s="5">
        <v>8.0359999999999996</v>
      </c>
      <c r="AU116" s="5">
        <v>19.728999999999999</v>
      </c>
      <c r="AV116" s="5">
        <v>11.984999999999999</v>
      </c>
      <c r="AW116" s="815">
        <v>15.595000000000001</v>
      </c>
      <c r="AX116" s="816">
        <v>6.4219999999999997</v>
      </c>
      <c r="AY116" s="819">
        <v>2.97</v>
      </c>
      <c r="AZ116" s="816">
        <v>0.2</v>
      </c>
      <c r="BA116" s="818"/>
      <c r="BB116" s="802" t="str" cm="1">
        <f t="array" ref="BB116">INDEX(C$4:BA$4,MATCH(TRUE,INDEX(C116:BA116&lt;&gt;0,),0))</f>
        <v>2019-20</v>
      </c>
      <c r="BC116" s="803" t="str" cm="1">
        <f t="array" ref="BC116">LOOKUP(2,1/(C116:BA116&lt;&gt;0),$C$4:$BA$4)</f>
        <v>2027-28</v>
      </c>
      <c r="BD116" s="804">
        <f>COUNTIF(RDprograms[[#This Row],[1978-79]:[2028-29]], "&gt;0")</f>
        <v>9</v>
      </c>
      <c r="BE116" s="805">
        <f>SUM(C116:BA116)/RDprograms[[#This Row],[Years with &gt; $0 investment]]</f>
        <v>7.9962222222222215</v>
      </c>
      <c r="BF116" s="806" t="s">
        <v>273</v>
      </c>
      <c r="BG116" s="807" t="s">
        <v>510</v>
      </c>
      <c r="BH116" s="807" t="s">
        <v>241</v>
      </c>
      <c r="BI116" s="809"/>
      <c r="BJ116" s="809"/>
      <c r="BK116" s="809"/>
      <c r="BL116" s="809"/>
      <c r="BM116" s="809"/>
      <c r="BN116" s="810">
        <v>1</v>
      </c>
      <c r="BO116" s="811" t="s">
        <v>236</v>
      </c>
      <c r="BP116" s="812" t="s">
        <v>511</v>
      </c>
      <c r="BQ116" s="812"/>
      <c r="BR116" s="812"/>
      <c r="BS116" s="812"/>
      <c r="BT116" s="812" t="s">
        <v>238</v>
      </c>
    </row>
    <row r="117" spans="1:72" ht="12.75" customHeight="1">
      <c r="A117" s="813" t="s">
        <v>387</v>
      </c>
      <c r="B117" s="820" t="s">
        <v>512</v>
      </c>
      <c r="C117" s="5">
        <v>0</v>
      </c>
      <c r="D117" s="5">
        <v>0</v>
      </c>
      <c r="E117" s="5">
        <v>0</v>
      </c>
      <c r="F117" s="5">
        <v>0</v>
      </c>
      <c r="G117" s="5">
        <v>0</v>
      </c>
      <c r="H117" s="5">
        <v>0</v>
      </c>
      <c r="I117" s="5">
        <v>0</v>
      </c>
      <c r="J117" s="5">
        <v>0</v>
      </c>
      <c r="K117" s="5">
        <v>0</v>
      </c>
      <c r="L117" s="5">
        <v>0</v>
      </c>
      <c r="M117" s="5">
        <v>0</v>
      </c>
      <c r="N117" s="5">
        <v>0</v>
      </c>
      <c r="O117" s="5">
        <v>0</v>
      </c>
      <c r="P117" s="5">
        <v>0</v>
      </c>
      <c r="Q117" s="5">
        <v>0</v>
      </c>
      <c r="R117" s="5">
        <v>0</v>
      </c>
      <c r="S117" s="5">
        <v>0</v>
      </c>
      <c r="T117" s="5">
        <v>0</v>
      </c>
      <c r="U117" s="5">
        <v>0</v>
      </c>
      <c r="V117" s="5">
        <v>0</v>
      </c>
      <c r="W117" s="5">
        <v>0</v>
      </c>
      <c r="X117" s="5">
        <v>0</v>
      </c>
      <c r="Y117" s="5">
        <v>0</v>
      </c>
      <c r="Z117" s="5">
        <v>0</v>
      </c>
      <c r="AA117" s="5">
        <v>0</v>
      </c>
      <c r="AB117" s="5">
        <v>0</v>
      </c>
      <c r="AC117" s="5">
        <v>0</v>
      </c>
      <c r="AD117" s="5">
        <v>0</v>
      </c>
      <c r="AE117" s="5">
        <v>0</v>
      </c>
      <c r="AF117" s="5">
        <v>0</v>
      </c>
      <c r="AG117" s="5">
        <v>0</v>
      </c>
      <c r="AH117" s="5">
        <v>0</v>
      </c>
      <c r="AI117" s="5">
        <v>0</v>
      </c>
      <c r="AJ117" s="5">
        <v>0</v>
      </c>
      <c r="AK117" s="5">
        <v>5.5750000000000002</v>
      </c>
      <c r="AL117" s="5">
        <v>5.5609999999999999</v>
      </c>
      <c r="AM117" s="5">
        <v>1.25</v>
      </c>
      <c r="AN117" s="5">
        <v>1.2250000000000001</v>
      </c>
      <c r="AO117" s="5">
        <v>0</v>
      </c>
      <c r="AP117" s="5">
        <v>0</v>
      </c>
      <c r="AQ117" s="5">
        <v>0</v>
      </c>
      <c r="AR117" s="5">
        <v>0</v>
      </c>
      <c r="AS117" s="5">
        <v>0</v>
      </c>
      <c r="AT117" s="5">
        <v>0</v>
      </c>
      <c r="AU117" s="5">
        <v>0</v>
      </c>
      <c r="AV117" s="5">
        <v>0</v>
      </c>
      <c r="AW117" s="815">
        <v>0</v>
      </c>
      <c r="AX117" s="816">
        <v>0</v>
      </c>
      <c r="AY117" s="819">
        <v>0</v>
      </c>
      <c r="AZ117" s="816"/>
      <c r="BA117" s="818"/>
      <c r="BB117" s="802" t="str" cm="1">
        <f t="array" ref="BB117">INDEX(C$4:BA$4,MATCH(TRUE,INDEX(C117:BA117&lt;&gt;0,),0))</f>
        <v>2012-13</v>
      </c>
      <c r="BC117" s="803" t="str" cm="1">
        <f t="array" ref="BC117">LOOKUP(2,1/(C117:BA117&lt;&gt;0),$C$4:$BA$4)</f>
        <v>2015-16</v>
      </c>
      <c r="BD117" s="804">
        <f>COUNTIF(RDprograms[[#This Row],[1978-79]:[2028-29]], "&gt;0")</f>
        <v>4</v>
      </c>
      <c r="BE117" s="805">
        <f>SUM(C117:BA117)/RDprograms[[#This Row],[Years with &gt; $0 investment]]</f>
        <v>3.4027499999999997</v>
      </c>
      <c r="BF117" s="806" t="s">
        <v>233</v>
      </c>
      <c r="BG117" s="807" t="s">
        <v>406</v>
      </c>
      <c r="BH117" s="807" t="s">
        <v>390</v>
      </c>
      <c r="BI117" s="809"/>
      <c r="BJ117" s="809"/>
      <c r="BK117" s="809"/>
      <c r="BL117" s="809"/>
      <c r="BM117" s="809"/>
      <c r="BN117" s="810"/>
      <c r="BO117" s="811" t="s">
        <v>236</v>
      </c>
      <c r="BP117" s="812" t="s">
        <v>513</v>
      </c>
      <c r="BQ117" s="812" t="s">
        <v>514</v>
      </c>
      <c r="BR117" s="812"/>
      <c r="BS117" s="812"/>
      <c r="BT117" s="812" t="s">
        <v>238</v>
      </c>
    </row>
    <row r="118" spans="1:72" ht="12.75" customHeight="1">
      <c r="A118" s="813" t="s">
        <v>387</v>
      </c>
      <c r="B118" s="820" t="s">
        <v>515</v>
      </c>
      <c r="C118" s="5">
        <v>0</v>
      </c>
      <c r="D118" s="5">
        <v>0</v>
      </c>
      <c r="E118" s="5">
        <v>0</v>
      </c>
      <c r="F118" s="5">
        <v>0</v>
      </c>
      <c r="G118" s="5">
        <v>0</v>
      </c>
      <c r="H118" s="5">
        <v>0</v>
      </c>
      <c r="I118" s="5">
        <v>0</v>
      </c>
      <c r="J118" s="5">
        <v>0</v>
      </c>
      <c r="K118" s="5">
        <v>0</v>
      </c>
      <c r="L118" s="5">
        <v>0</v>
      </c>
      <c r="M118" s="5">
        <v>0</v>
      </c>
      <c r="N118" s="5">
        <v>0</v>
      </c>
      <c r="O118" s="5">
        <v>0</v>
      </c>
      <c r="P118" s="5">
        <v>0</v>
      </c>
      <c r="Q118" s="5">
        <v>0</v>
      </c>
      <c r="R118" s="5">
        <v>0</v>
      </c>
      <c r="S118" s="5">
        <v>0</v>
      </c>
      <c r="T118" s="5">
        <v>0</v>
      </c>
      <c r="U118" s="5">
        <v>0</v>
      </c>
      <c r="V118" s="5">
        <v>0</v>
      </c>
      <c r="W118" s="5">
        <v>0</v>
      </c>
      <c r="X118" s="5">
        <v>0</v>
      </c>
      <c r="Y118" s="5">
        <v>0</v>
      </c>
      <c r="Z118" s="5">
        <v>0</v>
      </c>
      <c r="AA118" s="5">
        <v>0</v>
      </c>
      <c r="AB118" s="5">
        <v>0</v>
      </c>
      <c r="AC118" s="5">
        <v>0</v>
      </c>
      <c r="AD118" s="5">
        <v>0</v>
      </c>
      <c r="AE118" s="5">
        <v>0</v>
      </c>
      <c r="AF118" s="5">
        <v>0</v>
      </c>
      <c r="AG118" s="5">
        <v>0</v>
      </c>
      <c r="AH118" s="5">
        <v>0</v>
      </c>
      <c r="AI118" s="5">
        <v>0</v>
      </c>
      <c r="AJ118" s="5">
        <v>0</v>
      </c>
      <c r="AK118" s="5">
        <v>0</v>
      </c>
      <c r="AL118" s="5">
        <v>0</v>
      </c>
      <c r="AM118" s="5">
        <v>0</v>
      </c>
      <c r="AN118" s="5">
        <v>0</v>
      </c>
      <c r="AO118" s="5">
        <v>0</v>
      </c>
      <c r="AP118" s="5">
        <v>0</v>
      </c>
      <c r="AQ118" s="5">
        <v>0</v>
      </c>
      <c r="AR118" s="5">
        <v>0</v>
      </c>
      <c r="AS118" s="5">
        <v>0</v>
      </c>
      <c r="AT118" s="5">
        <v>0</v>
      </c>
      <c r="AU118" s="5">
        <v>3.5</v>
      </c>
      <c r="AV118" s="5">
        <v>4.5839999999999996</v>
      </c>
      <c r="AW118" s="815">
        <v>3.032</v>
      </c>
      <c r="AX118" s="816">
        <v>1.2050000000000001</v>
      </c>
      <c r="AY118" s="819"/>
      <c r="AZ118" s="826"/>
      <c r="BA118" s="818"/>
      <c r="BB118" s="802" t="str" cm="1">
        <f t="array" ref="BB118">INDEX(C$4:BA$4,MATCH(TRUE,INDEX(C118:BA118&lt;&gt;0,),0))</f>
        <v>2022-23</v>
      </c>
      <c r="BC118" s="803" t="str" cm="1">
        <f t="array" ref="BC118">LOOKUP(2,1/(C118:BA118&lt;&gt;0),$C$4:$BA$4)</f>
        <v>2025-26</v>
      </c>
      <c r="BD118" s="804">
        <f>COUNTIF(RDprograms[[#This Row],[1978-79]:[2028-29]], "&gt;0")</f>
        <v>4</v>
      </c>
      <c r="BE118" s="805">
        <f>SUM(C118:BA118)/RDprograms[[#This Row],[Years with &gt; $0 investment]]</f>
        <v>3.0802499999999999</v>
      </c>
      <c r="BF118" s="806" t="s">
        <v>240</v>
      </c>
      <c r="BG118" s="807" t="s">
        <v>406</v>
      </c>
      <c r="BH118" s="807" t="s">
        <v>258</v>
      </c>
      <c r="BI118" s="809"/>
      <c r="BJ118" s="809"/>
      <c r="BK118" s="809">
        <v>1</v>
      </c>
      <c r="BL118" s="809">
        <v>1</v>
      </c>
      <c r="BM118" s="809">
        <v>1</v>
      </c>
      <c r="BN118" s="810">
        <v>1</v>
      </c>
      <c r="BO118" s="811" t="s">
        <v>251</v>
      </c>
      <c r="BP118" s="812" t="s">
        <v>516</v>
      </c>
      <c r="BQ118" s="812"/>
      <c r="BR118" s="812"/>
      <c r="BS118" s="812"/>
      <c r="BT118" s="812"/>
    </row>
    <row r="119" spans="1:72" ht="12.75" customHeight="1">
      <c r="A119" s="813" t="s">
        <v>387</v>
      </c>
      <c r="B119" s="820" t="s">
        <v>517</v>
      </c>
      <c r="C119" s="5">
        <v>0</v>
      </c>
      <c r="D119" s="5">
        <v>0</v>
      </c>
      <c r="E119" s="5">
        <v>0</v>
      </c>
      <c r="F119" s="5">
        <v>0</v>
      </c>
      <c r="G119" s="5">
        <v>0</v>
      </c>
      <c r="H119" s="5">
        <v>0</v>
      </c>
      <c r="I119" s="5">
        <v>0</v>
      </c>
      <c r="J119" s="5">
        <v>0</v>
      </c>
      <c r="K119" s="5">
        <v>0</v>
      </c>
      <c r="L119" s="5">
        <v>0</v>
      </c>
      <c r="M119" s="5">
        <v>0</v>
      </c>
      <c r="N119" s="5">
        <v>0</v>
      </c>
      <c r="O119" s="5">
        <v>0</v>
      </c>
      <c r="P119" s="5">
        <v>0</v>
      </c>
      <c r="Q119" s="5">
        <v>0</v>
      </c>
      <c r="R119" s="5">
        <v>0</v>
      </c>
      <c r="S119" s="5">
        <v>0</v>
      </c>
      <c r="T119" s="5">
        <v>0</v>
      </c>
      <c r="U119" s="5">
        <v>0</v>
      </c>
      <c r="V119" s="5">
        <v>0</v>
      </c>
      <c r="W119" s="5">
        <v>0</v>
      </c>
      <c r="X119" s="5">
        <v>0</v>
      </c>
      <c r="Y119" s="5">
        <v>0</v>
      </c>
      <c r="Z119" s="5">
        <v>0</v>
      </c>
      <c r="AA119" s="5">
        <v>0</v>
      </c>
      <c r="AB119" s="5">
        <v>0</v>
      </c>
      <c r="AC119" s="5">
        <v>0</v>
      </c>
      <c r="AD119" s="5">
        <v>0</v>
      </c>
      <c r="AE119" s="5">
        <v>0</v>
      </c>
      <c r="AF119" s="5">
        <v>0</v>
      </c>
      <c r="AG119" s="5">
        <v>0</v>
      </c>
      <c r="AH119" s="5">
        <v>0</v>
      </c>
      <c r="AI119" s="5">
        <v>0</v>
      </c>
      <c r="AJ119" s="5">
        <v>30</v>
      </c>
      <c r="AK119" s="5">
        <v>15.04</v>
      </c>
      <c r="AL119" s="5">
        <v>19.545000000000002</v>
      </c>
      <c r="AM119" s="5">
        <v>19.623999999999999</v>
      </c>
      <c r="AN119" s="5">
        <v>18.164999999999999</v>
      </c>
      <c r="AO119" s="5">
        <v>2.9870000000000001</v>
      </c>
      <c r="AP119" s="5">
        <v>2.887</v>
      </c>
      <c r="AQ119" s="5">
        <v>0</v>
      </c>
      <c r="AR119" s="5">
        <v>0.15</v>
      </c>
      <c r="AS119" s="5">
        <v>0.15</v>
      </c>
      <c r="AT119" s="5">
        <v>0.5</v>
      </c>
      <c r="AU119" s="5">
        <v>2.1000000000000001E-2</v>
      </c>
      <c r="AV119" s="5">
        <v>3.6999999999999998E-2</v>
      </c>
      <c r="AW119" s="815">
        <v>0.15</v>
      </c>
      <c r="AX119" s="816">
        <v>0.15</v>
      </c>
      <c r="AY119" s="819">
        <v>0.15</v>
      </c>
      <c r="AZ119" s="816">
        <v>0.15</v>
      </c>
      <c r="BA119" s="818">
        <v>0.15</v>
      </c>
      <c r="BB119" s="802" t="str" cm="1">
        <f t="array" ref="BB119">INDEX(C$4:BA$4,MATCH(TRUE,INDEX(C119:BA119&lt;&gt;0,),0))</f>
        <v>2011-12</v>
      </c>
      <c r="BC119" s="803" t="str" cm="1">
        <f t="array" ref="BC119">LOOKUP(2,1/(C119:BA119&lt;&gt;0),$C$4:$BA$4)</f>
        <v>2028-29</v>
      </c>
      <c r="BD119" s="804">
        <f>COUNTIF(RDprograms[[#This Row],[1978-79]:[2028-29]], "&gt;0")</f>
        <v>17</v>
      </c>
      <c r="BE119" s="805">
        <f>SUM(C119:BA119)/RDprograms[[#This Row],[Years with &gt; $0 investment]]</f>
        <v>6.4621176470588253</v>
      </c>
      <c r="BF119" s="806" t="s">
        <v>273</v>
      </c>
      <c r="BG119" s="807" t="s">
        <v>393</v>
      </c>
      <c r="BH119" s="807" t="s">
        <v>390</v>
      </c>
      <c r="BI119" s="809"/>
      <c r="BJ119" s="809"/>
      <c r="BK119" s="809"/>
      <c r="BL119" s="809">
        <v>1</v>
      </c>
      <c r="BM119" s="809"/>
      <c r="BN119" s="810"/>
      <c r="BO119" s="811" t="s">
        <v>236</v>
      </c>
      <c r="BP119" s="812" t="s">
        <v>518</v>
      </c>
      <c r="BQ119" s="812" t="s">
        <v>519</v>
      </c>
      <c r="BR119" s="812"/>
      <c r="BS119" s="812"/>
      <c r="BT119" s="812" t="s">
        <v>280</v>
      </c>
    </row>
    <row r="120" spans="1:72" ht="12.75" customHeight="1">
      <c r="A120" s="813" t="s">
        <v>387</v>
      </c>
      <c r="B120" s="820" t="s">
        <v>520</v>
      </c>
      <c r="C120" s="5">
        <v>0</v>
      </c>
      <c r="D120" s="5">
        <v>0</v>
      </c>
      <c r="E120" s="5">
        <v>0</v>
      </c>
      <c r="F120" s="5">
        <v>0</v>
      </c>
      <c r="G120" s="5">
        <v>0</v>
      </c>
      <c r="H120" s="5">
        <v>0</v>
      </c>
      <c r="I120" s="5">
        <v>0</v>
      </c>
      <c r="J120" s="5">
        <v>0</v>
      </c>
      <c r="K120" s="5">
        <v>0</v>
      </c>
      <c r="L120" s="5">
        <v>0</v>
      </c>
      <c r="M120" s="5">
        <v>0</v>
      </c>
      <c r="N120" s="5">
        <v>0</v>
      </c>
      <c r="O120" s="5">
        <v>0</v>
      </c>
      <c r="P120" s="5">
        <v>0</v>
      </c>
      <c r="Q120" s="5">
        <v>0</v>
      </c>
      <c r="R120" s="5">
        <v>0</v>
      </c>
      <c r="S120" s="5">
        <v>0</v>
      </c>
      <c r="T120" s="5">
        <v>0</v>
      </c>
      <c r="U120" s="5">
        <v>0</v>
      </c>
      <c r="V120" s="5">
        <v>0</v>
      </c>
      <c r="W120" s="5">
        <v>0</v>
      </c>
      <c r="X120" s="5">
        <v>0</v>
      </c>
      <c r="Y120" s="5">
        <v>0</v>
      </c>
      <c r="Z120" s="5">
        <v>0</v>
      </c>
      <c r="AA120" s="5">
        <v>0</v>
      </c>
      <c r="AB120" s="5">
        <v>0</v>
      </c>
      <c r="AC120" s="5">
        <v>0</v>
      </c>
      <c r="AD120" s="5">
        <v>0</v>
      </c>
      <c r="AE120" s="5">
        <v>0</v>
      </c>
      <c r="AF120" s="5">
        <v>0</v>
      </c>
      <c r="AG120" s="5">
        <v>0</v>
      </c>
      <c r="AH120" s="5">
        <v>0</v>
      </c>
      <c r="AI120" s="5">
        <v>0</v>
      </c>
      <c r="AJ120" s="5">
        <v>0</v>
      </c>
      <c r="AK120" s="5">
        <v>0</v>
      </c>
      <c r="AL120" s="5">
        <v>0</v>
      </c>
      <c r="AM120" s="5">
        <v>0</v>
      </c>
      <c r="AN120" s="5">
        <v>0</v>
      </c>
      <c r="AO120" s="5">
        <v>0</v>
      </c>
      <c r="AP120" s="5">
        <v>0</v>
      </c>
      <c r="AQ120" s="5">
        <v>0</v>
      </c>
      <c r="AR120" s="5">
        <v>0</v>
      </c>
      <c r="AS120" s="5">
        <v>0</v>
      </c>
      <c r="AT120" s="5">
        <v>0</v>
      </c>
      <c r="AU120" s="5">
        <v>0</v>
      </c>
      <c r="AV120" s="5">
        <v>0.66</v>
      </c>
      <c r="AW120" s="815">
        <v>0.27300000000000002</v>
      </c>
      <c r="AX120" s="816">
        <v>0.379</v>
      </c>
      <c r="AY120" s="819">
        <v>0.432</v>
      </c>
      <c r="AZ120" s="826">
        <v>0.51100000000000001</v>
      </c>
      <c r="BA120" s="818">
        <v>0.496</v>
      </c>
      <c r="BB120" s="802" t="str" cm="1">
        <f t="array" ref="BB120">INDEX(C$4:BA$4,MATCH(TRUE,INDEX(C120:BA120&lt;&gt;0,),0))</f>
        <v>2023-24</v>
      </c>
      <c r="BC120" s="803" t="str" cm="1">
        <f t="array" ref="BC120">LOOKUP(2,1/(C120:BA120&lt;&gt;0),$C$4:$BA$4)</f>
        <v>2028-29</v>
      </c>
      <c r="BD120" s="804">
        <f>COUNTIF(RDprograms[[#This Row],[1978-79]:[2028-29]], "&gt;0")</f>
        <v>6</v>
      </c>
      <c r="BE120" s="805">
        <f>SUM(C120:BA120)/RDprograms[[#This Row],[Years with &gt; $0 investment]]</f>
        <v>0.45849999999999996</v>
      </c>
      <c r="BF120" s="806" t="s">
        <v>273</v>
      </c>
      <c r="BG120" s="807" t="s">
        <v>406</v>
      </c>
      <c r="BH120" s="827" t="s">
        <v>269</v>
      </c>
      <c r="BI120" s="809"/>
      <c r="BJ120" s="809"/>
      <c r="BK120" s="809"/>
      <c r="BL120" s="809">
        <v>1</v>
      </c>
      <c r="BM120" s="809"/>
      <c r="BN120" s="810"/>
      <c r="BO120" s="811" t="s">
        <v>236</v>
      </c>
      <c r="BP120" s="812" t="s">
        <v>521</v>
      </c>
      <c r="BQ120" s="812"/>
      <c r="BR120" s="812"/>
      <c r="BS120" s="812"/>
      <c r="BT120" s="812"/>
    </row>
    <row r="121" spans="1:72" ht="12.75" customHeight="1">
      <c r="A121" s="813" t="s">
        <v>387</v>
      </c>
      <c r="B121" s="820" t="s">
        <v>522</v>
      </c>
      <c r="C121" s="5">
        <v>0</v>
      </c>
      <c r="D121" s="5">
        <v>0</v>
      </c>
      <c r="E121" s="5">
        <v>0</v>
      </c>
      <c r="F121" s="5">
        <v>0</v>
      </c>
      <c r="G121" s="5">
        <v>0</v>
      </c>
      <c r="H121" s="5">
        <v>0</v>
      </c>
      <c r="I121" s="5">
        <v>0</v>
      </c>
      <c r="J121" s="5">
        <v>0</v>
      </c>
      <c r="K121" s="5">
        <v>0</v>
      </c>
      <c r="L121" s="5">
        <v>0</v>
      </c>
      <c r="M121" s="5">
        <v>0</v>
      </c>
      <c r="N121" s="5">
        <v>0</v>
      </c>
      <c r="O121" s="5">
        <v>0</v>
      </c>
      <c r="P121" s="5">
        <v>0</v>
      </c>
      <c r="Q121" s="5">
        <v>0</v>
      </c>
      <c r="R121" s="5">
        <v>0</v>
      </c>
      <c r="S121" s="5">
        <v>0</v>
      </c>
      <c r="T121" s="5">
        <v>0</v>
      </c>
      <c r="U121" s="5">
        <v>0</v>
      </c>
      <c r="V121" s="5">
        <v>0</v>
      </c>
      <c r="W121" s="5">
        <v>0</v>
      </c>
      <c r="X121" s="5">
        <v>0</v>
      </c>
      <c r="Y121" s="5">
        <v>0</v>
      </c>
      <c r="Z121" s="5">
        <v>0</v>
      </c>
      <c r="AA121" s="5">
        <v>0</v>
      </c>
      <c r="AB121" s="5">
        <v>0</v>
      </c>
      <c r="AC121" s="5">
        <v>0</v>
      </c>
      <c r="AD121" s="5">
        <v>0</v>
      </c>
      <c r="AE121" s="5">
        <v>0</v>
      </c>
      <c r="AF121" s="5">
        <v>0</v>
      </c>
      <c r="AG121" s="5">
        <v>0</v>
      </c>
      <c r="AH121" s="5">
        <v>0</v>
      </c>
      <c r="AI121" s="5">
        <v>0</v>
      </c>
      <c r="AJ121" s="5">
        <v>0</v>
      </c>
      <c r="AK121" s="5">
        <v>0</v>
      </c>
      <c r="AL121" s="5">
        <v>0</v>
      </c>
      <c r="AM121" s="5">
        <v>0</v>
      </c>
      <c r="AN121" s="5">
        <v>0</v>
      </c>
      <c r="AO121" s="5">
        <v>0</v>
      </c>
      <c r="AP121" s="5">
        <v>0</v>
      </c>
      <c r="AQ121" s="5">
        <v>0</v>
      </c>
      <c r="AR121" s="5">
        <v>0</v>
      </c>
      <c r="AS121" s="5">
        <v>0</v>
      </c>
      <c r="AT121" s="5">
        <v>0</v>
      </c>
      <c r="AU121" s="5">
        <v>0.9</v>
      </c>
      <c r="AV121" s="5">
        <v>0.9</v>
      </c>
      <c r="AW121" s="815">
        <v>0.7</v>
      </c>
      <c r="AX121" s="816"/>
      <c r="AY121" s="819"/>
      <c r="AZ121" s="826"/>
      <c r="BA121" s="818"/>
      <c r="BB121" s="802" t="str" cm="1">
        <f t="array" ref="BB121">INDEX(C$4:BA$4,MATCH(TRUE,INDEX(C121:BA121&lt;&gt;0,),0))</f>
        <v>2022-23</v>
      </c>
      <c r="BC121" s="803" t="str" cm="1">
        <f t="array" ref="BC121">LOOKUP(2,1/(C121:BA121&lt;&gt;0),$C$4:$BA$4)</f>
        <v>2024-25</v>
      </c>
      <c r="BD121" s="804">
        <f>COUNTIF(RDprograms[[#This Row],[1978-79]:[2028-29]], "&gt;0")</f>
        <v>3</v>
      </c>
      <c r="BE121" s="805">
        <f>SUM(C121:BA121)/RDprograms[[#This Row],[Years with &gt; $0 investment]]</f>
        <v>0.83333333333333337</v>
      </c>
      <c r="BF121" s="806" t="s">
        <v>273</v>
      </c>
      <c r="BG121" s="807" t="s">
        <v>406</v>
      </c>
      <c r="BH121" s="807" t="s">
        <v>444</v>
      </c>
      <c r="BI121" s="809"/>
      <c r="BJ121" s="809"/>
      <c r="BK121" s="809"/>
      <c r="BL121" s="809"/>
      <c r="BM121" s="809"/>
      <c r="BN121" s="810"/>
      <c r="BO121" s="811" t="s">
        <v>236</v>
      </c>
      <c r="BP121" s="812" t="s">
        <v>523</v>
      </c>
      <c r="BQ121" s="812"/>
      <c r="BR121" s="812"/>
      <c r="BS121" s="812"/>
      <c r="BT121" s="828" t="s">
        <v>277</v>
      </c>
    </row>
    <row r="122" spans="1:72" ht="12.75" customHeight="1">
      <c r="A122" s="813" t="s">
        <v>387</v>
      </c>
      <c r="B122" s="820" t="s">
        <v>524</v>
      </c>
      <c r="C122" s="5">
        <v>0</v>
      </c>
      <c r="D122" s="5">
        <v>0</v>
      </c>
      <c r="E122" s="5">
        <v>0</v>
      </c>
      <c r="F122" s="5">
        <v>0</v>
      </c>
      <c r="G122" s="5">
        <v>0</v>
      </c>
      <c r="H122" s="5">
        <v>0</v>
      </c>
      <c r="I122" s="5">
        <v>0</v>
      </c>
      <c r="J122" s="5">
        <v>0</v>
      </c>
      <c r="K122" s="5">
        <v>0</v>
      </c>
      <c r="L122" s="5">
        <v>0</v>
      </c>
      <c r="M122" s="5">
        <v>0</v>
      </c>
      <c r="N122" s="5">
        <v>0</v>
      </c>
      <c r="O122" s="5">
        <v>0</v>
      </c>
      <c r="P122" s="5">
        <v>0</v>
      </c>
      <c r="Q122" s="5">
        <v>0</v>
      </c>
      <c r="R122" s="5">
        <v>0</v>
      </c>
      <c r="S122" s="5">
        <v>0</v>
      </c>
      <c r="T122" s="5">
        <v>0</v>
      </c>
      <c r="U122" s="5">
        <v>0</v>
      </c>
      <c r="V122" s="5">
        <v>0</v>
      </c>
      <c r="W122" s="5">
        <v>0</v>
      </c>
      <c r="X122" s="5">
        <v>0</v>
      </c>
      <c r="Y122" s="5">
        <v>0</v>
      </c>
      <c r="Z122" s="5">
        <v>0</v>
      </c>
      <c r="AA122" s="5">
        <v>0</v>
      </c>
      <c r="AB122" s="5">
        <v>0</v>
      </c>
      <c r="AC122" s="5">
        <v>0</v>
      </c>
      <c r="AD122" s="5">
        <v>0</v>
      </c>
      <c r="AE122" s="5">
        <v>0</v>
      </c>
      <c r="AF122" s="5">
        <v>0</v>
      </c>
      <c r="AG122" s="5">
        <v>0</v>
      </c>
      <c r="AH122" s="5">
        <v>0</v>
      </c>
      <c r="AI122" s="5">
        <v>0</v>
      </c>
      <c r="AJ122" s="5">
        <v>0</v>
      </c>
      <c r="AK122" s="5">
        <v>0</v>
      </c>
      <c r="AL122" s="5">
        <v>0</v>
      </c>
      <c r="AM122" s="5">
        <v>0</v>
      </c>
      <c r="AN122" s="5">
        <v>0</v>
      </c>
      <c r="AO122" s="5">
        <v>0</v>
      </c>
      <c r="AP122" s="5">
        <v>0</v>
      </c>
      <c r="AQ122" s="5">
        <v>0</v>
      </c>
      <c r="AR122" s="5">
        <v>0</v>
      </c>
      <c r="AS122" s="5">
        <v>0</v>
      </c>
      <c r="AT122" s="5">
        <v>3.4529999999999998</v>
      </c>
      <c r="AU122" s="5">
        <v>2.4049999999999998</v>
      </c>
      <c r="AV122" s="5">
        <v>0</v>
      </c>
      <c r="AW122" s="815">
        <v>0</v>
      </c>
      <c r="AX122" s="816">
        <v>0</v>
      </c>
      <c r="AY122" s="819">
        <v>0</v>
      </c>
      <c r="AZ122" s="816">
        <v>0</v>
      </c>
      <c r="BA122" s="818"/>
      <c r="BB122" s="802" t="str" cm="1">
        <f t="array" ref="BB122">INDEX(C$4:BA$4,MATCH(TRUE,INDEX(C122:BA122&lt;&gt;0,),0))</f>
        <v>2021-22</v>
      </c>
      <c r="BC122" s="803" t="str" cm="1">
        <f t="array" ref="BC122">LOOKUP(2,1/(C122:BA122&lt;&gt;0),$C$4:$BA$4)</f>
        <v>2022-23</v>
      </c>
      <c r="BD122" s="804">
        <f>COUNTIF(RDprograms[[#This Row],[1978-79]:[2028-29]], "&gt;0")</f>
        <v>2</v>
      </c>
      <c r="BE122" s="805">
        <f>SUM(C122:BA122)/RDprograms[[#This Row],[Years with &gt; $0 investment]]</f>
        <v>2.9289999999999998</v>
      </c>
      <c r="BF122" s="806" t="s">
        <v>273</v>
      </c>
      <c r="BG122" s="807" t="s">
        <v>406</v>
      </c>
      <c r="BH122" s="807" t="s">
        <v>390</v>
      </c>
      <c r="BI122" s="809"/>
      <c r="BJ122" s="809"/>
      <c r="BK122" s="809"/>
      <c r="BL122" s="809"/>
      <c r="BM122" s="809"/>
      <c r="BN122" s="810"/>
      <c r="BO122" s="811" t="s">
        <v>236</v>
      </c>
      <c r="BP122" s="812" t="s">
        <v>525</v>
      </c>
      <c r="BQ122" s="812"/>
      <c r="BR122" s="812"/>
      <c r="BS122" s="812"/>
      <c r="BT122" s="812" t="s">
        <v>238</v>
      </c>
    </row>
    <row r="123" spans="1:72" ht="12.75" customHeight="1">
      <c r="A123" s="813" t="s">
        <v>387</v>
      </c>
      <c r="B123" s="820" t="s">
        <v>526</v>
      </c>
      <c r="C123" s="5">
        <v>0</v>
      </c>
      <c r="D123" s="5">
        <v>0</v>
      </c>
      <c r="E123" s="5">
        <v>0</v>
      </c>
      <c r="F123" s="5">
        <v>0</v>
      </c>
      <c r="G123" s="5">
        <v>0</v>
      </c>
      <c r="H123" s="5">
        <v>0</v>
      </c>
      <c r="I123" s="5">
        <v>0</v>
      </c>
      <c r="J123" s="5">
        <v>0</v>
      </c>
      <c r="K123" s="5">
        <v>0</v>
      </c>
      <c r="L123" s="5">
        <v>0</v>
      </c>
      <c r="M123" s="5">
        <v>0</v>
      </c>
      <c r="N123" s="5">
        <v>0</v>
      </c>
      <c r="O123" s="5">
        <v>0</v>
      </c>
      <c r="P123" s="5">
        <v>0</v>
      </c>
      <c r="Q123" s="5">
        <v>0</v>
      </c>
      <c r="R123" s="5">
        <v>0</v>
      </c>
      <c r="S123" s="5">
        <v>0</v>
      </c>
      <c r="T123" s="5">
        <v>0</v>
      </c>
      <c r="U123" s="5">
        <v>0</v>
      </c>
      <c r="V123" s="5">
        <v>0</v>
      </c>
      <c r="W123" s="5">
        <v>0</v>
      </c>
      <c r="X123" s="5">
        <v>0</v>
      </c>
      <c r="Y123" s="5">
        <v>0</v>
      </c>
      <c r="Z123" s="5">
        <v>0</v>
      </c>
      <c r="AA123" s="5">
        <v>0</v>
      </c>
      <c r="AB123" s="5">
        <v>0</v>
      </c>
      <c r="AC123" s="5">
        <v>0</v>
      </c>
      <c r="AD123" s="5">
        <v>0</v>
      </c>
      <c r="AE123" s="5">
        <v>0</v>
      </c>
      <c r="AF123" s="5">
        <v>0</v>
      </c>
      <c r="AG123" s="5">
        <v>0</v>
      </c>
      <c r="AH123" s="5">
        <v>0</v>
      </c>
      <c r="AI123" s="5">
        <v>0</v>
      </c>
      <c r="AJ123" s="5">
        <v>0</v>
      </c>
      <c r="AK123" s="5">
        <v>0</v>
      </c>
      <c r="AL123" s="5">
        <v>0</v>
      </c>
      <c r="AM123" s="5">
        <v>0</v>
      </c>
      <c r="AN123" s="5">
        <v>0</v>
      </c>
      <c r="AO123" s="5">
        <v>2.3170000000000002</v>
      </c>
      <c r="AP123" s="816">
        <v>101.75700000000001</v>
      </c>
      <c r="AQ123" s="816">
        <v>0.91200000000000003</v>
      </c>
      <c r="AR123" s="5">
        <v>0</v>
      </c>
      <c r="AS123" s="5">
        <v>0</v>
      </c>
      <c r="AT123" s="5">
        <v>0</v>
      </c>
      <c r="AU123" s="5">
        <v>0</v>
      </c>
      <c r="AV123" s="5">
        <v>0</v>
      </c>
      <c r="AW123" s="815">
        <v>32.366</v>
      </c>
      <c r="AX123" s="816">
        <v>3.1160000000000001</v>
      </c>
      <c r="AY123" s="819">
        <v>0.6</v>
      </c>
      <c r="AZ123" s="816">
        <v>0.45</v>
      </c>
      <c r="BA123" s="818">
        <v>0.45</v>
      </c>
      <c r="BB123" s="802" t="str" cm="1">
        <f t="array" ref="BB123">INDEX(C$4:BA$4,MATCH(TRUE,INDEX(C123:BA123&lt;&gt;0,),0))</f>
        <v>2016-17</v>
      </c>
      <c r="BC123" s="803" t="str" cm="1">
        <f t="array" ref="BC123">LOOKUP(2,1/(C123:BA123&lt;&gt;0),$C$4:$BA$4)</f>
        <v>2028-29</v>
      </c>
      <c r="BD123" s="804">
        <f>COUNTIF(RDprograms[[#This Row],[1978-79]:[2028-29]], "&gt;0")</f>
        <v>8</v>
      </c>
      <c r="BE123" s="805">
        <f>SUM(C123:BA123)/RDprograms[[#This Row],[Years with &gt; $0 investment]]</f>
        <v>17.746000000000002</v>
      </c>
      <c r="BF123" s="806" t="s">
        <v>273</v>
      </c>
      <c r="BG123" s="807" t="s">
        <v>406</v>
      </c>
      <c r="BH123" s="807" t="s">
        <v>390</v>
      </c>
      <c r="BI123" s="809"/>
      <c r="BJ123" s="809">
        <v>1</v>
      </c>
      <c r="BK123" s="809">
        <v>1</v>
      </c>
      <c r="BL123" s="809">
        <v>1</v>
      </c>
      <c r="BM123" s="809">
        <v>1</v>
      </c>
      <c r="BN123" s="810"/>
      <c r="BO123" s="811" t="s">
        <v>236</v>
      </c>
      <c r="BP123" s="812" t="s">
        <v>527</v>
      </c>
      <c r="BQ123" s="812"/>
      <c r="BR123" s="812"/>
      <c r="BS123" s="812"/>
      <c r="BT123" s="812"/>
    </row>
    <row r="124" spans="1:72" ht="12.75" customHeight="1">
      <c r="A124" s="813" t="s">
        <v>387</v>
      </c>
      <c r="B124" s="820" t="s">
        <v>528</v>
      </c>
      <c r="C124" s="5">
        <v>0</v>
      </c>
      <c r="D124" s="5">
        <v>0</v>
      </c>
      <c r="E124" s="5">
        <v>0</v>
      </c>
      <c r="F124" s="5">
        <v>0</v>
      </c>
      <c r="G124" s="5">
        <v>0</v>
      </c>
      <c r="H124" s="5">
        <v>0</v>
      </c>
      <c r="I124" s="5">
        <v>0</v>
      </c>
      <c r="J124" s="5">
        <v>0</v>
      </c>
      <c r="K124" s="5">
        <v>0</v>
      </c>
      <c r="L124" s="5">
        <v>0</v>
      </c>
      <c r="M124" s="5">
        <v>0</v>
      </c>
      <c r="N124" s="5">
        <v>0</v>
      </c>
      <c r="O124" s="5">
        <v>0</v>
      </c>
      <c r="P124" s="5">
        <v>0</v>
      </c>
      <c r="Q124" s="5">
        <v>0</v>
      </c>
      <c r="R124" s="5">
        <v>0</v>
      </c>
      <c r="S124" s="5">
        <v>0</v>
      </c>
      <c r="T124" s="5">
        <v>0</v>
      </c>
      <c r="U124" s="5">
        <v>0</v>
      </c>
      <c r="V124" s="5">
        <v>0</v>
      </c>
      <c r="W124" s="5">
        <v>0</v>
      </c>
      <c r="X124" s="5">
        <v>0</v>
      </c>
      <c r="Y124" s="5">
        <v>0</v>
      </c>
      <c r="Z124" s="5">
        <v>0</v>
      </c>
      <c r="AA124" s="5">
        <v>0</v>
      </c>
      <c r="AB124" s="5">
        <v>0</v>
      </c>
      <c r="AC124" s="5">
        <v>0</v>
      </c>
      <c r="AD124" s="5">
        <v>0</v>
      </c>
      <c r="AE124" s="5">
        <v>0</v>
      </c>
      <c r="AF124" s="5">
        <v>0</v>
      </c>
      <c r="AG124" s="5">
        <v>0</v>
      </c>
      <c r="AH124" s="5">
        <v>0</v>
      </c>
      <c r="AI124" s="5">
        <v>0</v>
      </c>
      <c r="AJ124" s="5">
        <v>0</v>
      </c>
      <c r="AK124" s="5">
        <v>0</v>
      </c>
      <c r="AL124" s="5">
        <v>0</v>
      </c>
      <c r="AM124" s="5">
        <v>0</v>
      </c>
      <c r="AN124" s="5">
        <v>0</v>
      </c>
      <c r="AO124" s="5">
        <v>0</v>
      </c>
      <c r="AP124" s="5">
        <v>0</v>
      </c>
      <c r="AQ124" s="5">
        <v>0</v>
      </c>
      <c r="AR124" s="5">
        <v>0</v>
      </c>
      <c r="AS124" s="5">
        <v>0.94299999999999995</v>
      </c>
      <c r="AT124" s="5">
        <v>13.553000000000001</v>
      </c>
      <c r="AU124" s="5">
        <v>17.896000000000001</v>
      </c>
      <c r="AV124" s="5">
        <v>8.0510000000000002</v>
      </c>
      <c r="AW124" s="815">
        <v>7.7770000000000001</v>
      </c>
      <c r="AX124" s="816">
        <v>5.3330000000000002</v>
      </c>
      <c r="AY124" s="819">
        <v>0</v>
      </c>
      <c r="AZ124" s="816"/>
      <c r="BA124" s="818"/>
      <c r="BB124" s="802" t="str" cm="1">
        <f t="array" ref="BB124">INDEX(C$4:BA$4,MATCH(TRUE,INDEX(C124:BA124&lt;&gt;0,),0))</f>
        <v>2020-21</v>
      </c>
      <c r="BC124" s="803" t="str" cm="1">
        <f t="array" ref="BC124">LOOKUP(2,1/(C124:BA124&lt;&gt;0),$C$4:$BA$4)</f>
        <v>2025-26</v>
      </c>
      <c r="BD124" s="804">
        <f>COUNTIF(RDprograms[[#This Row],[1978-79]:[2028-29]], "&gt;0")</f>
        <v>6</v>
      </c>
      <c r="BE124" s="805">
        <f>SUM(C124:BA124)/RDprograms[[#This Row],[Years with &gt; $0 investment]]</f>
        <v>8.9255000000000013</v>
      </c>
      <c r="BF124" s="806" t="s">
        <v>233</v>
      </c>
      <c r="BG124" s="807" t="s">
        <v>409</v>
      </c>
      <c r="BH124" s="807" t="s">
        <v>390</v>
      </c>
      <c r="BI124" s="809">
        <v>1</v>
      </c>
      <c r="BJ124" s="809"/>
      <c r="BK124" s="809"/>
      <c r="BL124" s="809"/>
      <c r="BM124" s="809"/>
      <c r="BN124" s="810"/>
      <c r="BO124" s="811" t="s">
        <v>236</v>
      </c>
      <c r="BP124" s="812" t="s">
        <v>529</v>
      </c>
      <c r="BQ124" s="812"/>
      <c r="BR124" s="812"/>
      <c r="BS124" s="812"/>
      <c r="BT124" s="812" t="s">
        <v>238</v>
      </c>
    </row>
    <row r="125" spans="1:72" ht="12.75" customHeight="1">
      <c r="A125" s="813" t="s">
        <v>387</v>
      </c>
      <c r="B125" s="820" t="s">
        <v>530</v>
      </c>
      <c r="C125" s="5">
        <v>0</v>
      </c>
      <c r="D125" s="5">
        <v>0</v>
      </c>
      <c r="E125" s="5">
        <v>0</v>
      </c>
      <c r="F125" s="5">
        <v>0</v>
      </c>
      <c r="G125" s="5">
        <v>0</v>
      </c>
      <c r="H125" s="5">
        <v>0</v>
      </c>
      <c r="I125" s="5">
        <v>0</v>
      </c>
      <c r="J125" s="5">
        <v>0</v>
      </c>
      <c r="K125" s="5">
        <v>0</v>
      </c>
      <c r="L125" s="5">
        <v>0</v>
      </c>
      <c r="M125" s="5">
        <v>0</v>
      </c>
      <c r="N125" s="5">
        <v>0</v>
      </c>
      <c r="O125" s="5">
        <v>0</v>
      </c>
      <c r="P125" s="5">
        <v>0</v>
      </c>
      <c r="Q125" s="5">
        <v>0</v>
      </c>
      <c r="R125" s="5">
        <v>0</v>
      </c>
      <c r="S125" s="5">
        <v>0</v>
      </c>
      <c r="T125" s="5">
        <v>0</v>
      </c>
      <c r="U125" s="5">
        <v>0</v>
      </c>
      <c r="V125" s="5">
        <v>0</v>
      </c>
      <c r="W125" s="5">
        <v>0</v>
      </c>
      <c r="X125" s="5">
        <v>0</v>
      </c>
      <c r="Y125" s="5">
        <v>0</v>
      </c>
      <c r="Z125" s="5">
        <v>0</v>
      </c>
      <c r="AA125" s="5">
        <v>0</v>
      </c>
      <c r="AB125" s="5">
        <v>0</v>
      </c>
      <c r="AC125" s="5">
        <v>0</v>
      </c>
      <c r="AD125" s="5">
        <v>0</v>
      </c>
      <c r="AE125" s="5">
        <v>0</v>
      </c>
      <c r="AF125" s="5">
        <v>0</v>
      </c>
      <c r="AG125" s="5">
        <v>0</v>
      </c>
      <c r="AH125" s="5">
        <v>0</v>
      </c>
      <c r="AI125" s="5">
        <v>0</v>
      </c>
      <c r="AJ125" s="5">
        <v>0</v>
      </c>
      <c r="AK125" s="5">
        <v>0</v>
      </c>
      <c r="AL125" s="5">
        <v>0</v>
      </c>
      <c r="AM125" s="5">
        <v>0</v>
      </c>
      <c r="AN125" s="5">
        <v>0</v>
      </c>
      <c r="AO125" s="5">
        <v>0</v>
      </c>
      <c r="AP125" s="5">
        <v>0</v>
      </c>
      <c r="AQ125" s="5">
        <v>0</v>
      </c>
      <c r="AR125" s="5">
        <v>0</v>
      </c>
      <c r="AS125" s="5">
        <v>0</v>
      </c>
      <c r="AT125" s="5">
        <v>0</v>
      </c>
      <c r="AU125" s="5">
        <v>0</v>
      </c>
      <c r="AV125" s="5">
        <v>0</v>
      </c>
      <c r="AW125" s="815">
        <v>25.771999999999998</v>
      </c>
      <c r="AX125" s="816">
        <v>24.462</v>
      </c>
      <c r="AY125" s="819">
        <v>0</v>
      </c>
      <c r="AZ125" s="826"/>
      <c r="BA125" s="818"/>
      <c r="BB125" s="802" t="str" cm="1">
        <f t="array" ref="BB125">INDEX(C$4:BA$4,MATCH(TRUE,INDEX(C125:BA125&lt;&gt;0,),0))</f>
        <v>2024-25</v>
      </c>
      <c r="BC125" s="803" t="str" cm="1">
        <f t="array" ref="BC125">LOOKUP(2,1/(C125:BA125&lt;&gt;0),$C$4:$BA$4)</f>
        <v>2025-26</v>
      </c>
      <c r="BD125" s="804">
        <f>COUNTIF(RDprograms[[#This Row],[1978-79]:[2028-29]], "&gt;0")</f>
        <v>2</v>
      </c>
      <c r="BE125" s="805">
        <f>SUM(C125:BA125)/RDprograms[[#This Row],[Years with &gt; $0 investment]]</f>
        <v>25.116999999999997</v>
      </c>
      <c r="BF125" s="806" t="s">
        <v>240</v>
      </c>
      <c r="BG125" s="807" t="s">
        <v>406</v>
      </c>
      <c r="BH125" s="807" t="s">
        <v>241</v>
      </c>
      <c r="BI125" s="809">
        <v>1</v>
      </c>
      <c r="BJ125" s="809"/>
      <c r="BK125" s="809"/>
      <c r="BL125" s="809">
        <v>1</v>
      </c>
      <c r="BM125" s="809"/>
      <c r="BN125" s="810"/>
      <c r="BO125" s="811" t="s">
        <v>236</v>
      </c>
      <c r="BP125" s="812" t="s">
        <v>531</v>
      </c>
      <c r="BQ125" s="812"/>
      <c r="BR125" s="812"/>
      <c r="BS125" s="812"/>
      <c r="BT125" s="812"/>
    </row>
    <row r="126" spans="1:72" ht="12.75" customHeight="1">
      <c r="A126" s="813" t="s">
        <v>387</v>
      </c>
      <c r="B126" s="820" t="s">
        <v>532</v>
      </c>
      <c r="C126" s="5">
        <v>0.8</v>
      </c>
      <c r="D126" s="5">
        <v>1.7</v>
      </c>
      <c r="E126" s="5">
        <v>3.1</v>
      </c>
      <c r="F126" s="5">
        <v>4</v>
      </c>
      <c r="G126" s="5">
        <v>6</v>
      </c>
      <c r="H126" s="5">
        <v>4.5</v>
      </c>
      <c r="I126" s="5">
        <v>4.7</v>
      </c>
      <c r="J126" s="5">
        <v>5.5</v>
      </c>
      <c r="K126" s="5">
        <v>6.1</v>
      </c>
      <c r="L126" s="5">
        <v>6</v>
      </c>
      <c r="M126" s="5">
        <v>6.6</v>
      </c>
      <c r="N126" s="5">
        <v>7.6</v>
      </c>
      <c r="O126" s="5">
        <v>6.7</v>
      </c>
      <c r="P126" s="5">
        <v>7.5</v>
      </c>
      <c r="Q126" s="5">
        <v>7.6</v>
      </c>
      <c r="R126" s="5">
        <v>6.6</v>
      </c>
      <c r="S126" s="5">
        <v>6.5</v>
      </c>
      <c r="T126" s="5">
        <v>6</v>
      </c>
      <c r="U126" s="5">
        <v>5.4</v>
      </c>
      <c r="V126" s="5">
        <v>4.3</v>
      </c>
      <c r="W126" s="5">
        <v>4.2</v>
      </c>
      <c r="X126" s="5">
        <v>6.5</v>
      </c>
      <c r="Y126" s="5">
        <v>7.4</v>
      </c>
      <c r="Z126" s="5">
        <v>8.4</v>
      </c>
      <c r="AA126" s="5">
        <v>8</v>
      </c>
      <c r="AB126" s="5">
        <v>7.1</v>
      </c>
      <c r="AC126" s="5">
        <v>7.8</v>
      </c>
      <c r="AD126" s="5">
        <v>7.5</v>
      </c>
      <c r="AE126" s="5">
        <v>11.1</v>
      </c>
      <c r="AF126" s="5">
        <v>11.2</v>
      </c>
      <c r="AG126" s="5">
        <v>11</v>
      </c>
      <c r="AH126" s="5">
        <v>12.4</v>
      </c>
      <c r="AI126" s="5">
        <v>12.9</v>
      </c>
      <c r="AJ126" s="5">
        <v>13.8</v>
      </c>
      <c r="AK126" s="5">
        <v>14</v>
      </c>
      <c r="AL126" s="5">
        <v>14.19</v>
      </c>
      <c r="AM126" s="5">
        <v>14.076000000000001</v>
      </c>
      <c r="AN126" s="5">
        <v>13.962</v>
      </c>
      <c r="AO126" s="5">
        <v>13.56</v>
      </c>
      <c r="AP126" s="5">
        <v>12.423</v>
      </c>
      <c r="AQ126" s="5">
        <v>12.377000000000001</v>
      </c>
      <c r="AR126" s="5">
        <v>12.641</v>
      </c>
      <c r="AS126" s="5">
        <v>8.1</v>
      </c>
      <c r="AT126" s="5">
        <v>8.484</v>
      </c>
      <c r="AU126" s="5">
        <v>8.4290000000000003</v>
      </c>
      <c r="AV126" s="5">
        <v>8.1999999999999993</v>
      </c>
      <c r="AW126" s="815">
        <v>8.766</v>
      </c>
      <c r="AX126" s="816">
        <v>9.1170000000000009</v>
      </c>
      <c r="AY126" s="819">
        <v>9.39</v>
      </c>
      <c r="AZ126" s="816">
        <v>9.6720000000000006</v>
      </c>
      <c r="BA126" s="818">
        <v>9.6720000000000006</v>
      </c>
      <c r="BB126" s="802" t="str" cm="1">
        <f t="array" ref="BB126">INDEX(C$4:BA$4,MATCH(TRUE,INDEX(C126:BA126&lt;&gt;0,),0))</f>
        <v>1978-79</v>
      </c>
      <c r="BC126" s="803" t="str" cm="1">
        <f t="array" ref="BC126">LOOKUP(2,1/(C126:BA126&lt;&gt;0),$C$4:$BA$4)</f>
        <v>2028-29</v>
      </c>
      <c r="BD126" s="804">
        <f>COUNTIF(RDprograms[[#This Row],[1978-79]:[2028-29]], "&gt;0")</f>
        <v>51</v>
      </c>
      <c r="BE126" s="805">
        <f>SUM(C126:BA126)/RDprograms[[#This Row],[Years with &gt; $0 investment]]</f>
        <v>8.3050784313725519</v>
      </c>
      <c r="BF126" s="806" t="s">
        <v>273</v>
      </c>
      <c r="BG126" s="807" t="s">
        <v>406</v>
      </c>
      <c r="BH126" s="807" t="s">
        <v>258</v>
      </c>
      <c r="BI126" s="809"/>
      <c r="BJ126" s="809"/>
      <c r="BK126" s="809"/>
      <c r="BL126" s="809">
        <v>1</v>
      </c>
      <c r="BM126" s="809"/>
      <c r="BN126" s="810"/>
      <c r="BO126" s="811" t="s">
        <v>236</v>
      </c>
      <c r="BP126" s="812" t="s">
        <v>533</v>
      </c>
      <c r="BQ126" s="812" t="s">
        <v>534</v>
      </c>
      <c r="BR126" s="812"/>
      <c r="BS126" s="812"/>
      <c r="BT126" s="812"/>
    </row>
    <row r="127" spans="1:72" ht="12.75" customHeight="1">
      <c r="A127" s="813" t="s">
        <v>387</v>
      </c>
      <c r="B127" s="820" t="s">
        <v>535</v>
      </c>
      <c r="C127" s="5">
        <v>0</v>
      </c>
      <c r="D127" s="5">
        <v>0</v>
      </c>
      <c r="E127" s="5">
        <v>0</v>
      </c>
      <c r="F127" s="5">
        <v>0</v>
      </c>
      <c r="G127" s="5">
        <v>0</v>
      </c>
      <c r="H127" s="5">
        <v>0</v>
      </c>
      <c r="I127" s="5">
        <v>0</v>
      </c>
      <c r="J127" s="5">
        <v>0</v>
      </c>
      <c r="K127" s="5">
        <v>0</v>
      </c>
      <c r="L127" s="5">
        <v>0</v>
      </c>
      <c r="M127" s="5">
        <v>0</v>
      </c>
      <c r="N127" s="5">
        <v>0</v>
      </c>
      <c r="O127" s="5">
        <v>0</v>
      </c>
      <c r="P127" s="5">
        <v>0</v>
      </c>
      <c r="Q127" s="5">
        <v>0</v>
      </c>
      <c r="R127" s="5">
        <v>0</v>
      </c>
      <c r="S127" s="5">
        <v>0</v>
      </c>
      <c r="T127" s="5">
        <v>0</v>
      </c>
      <c r="U127" s="5">
        <v>0</v>
      </c>
      <c r="V127" s="5">
        <v>0</v>
      </c>
      <c r="W127" s="5">
        <v>0</v>
      </c>
      <c r="X127" s="5">
        <v>0</v>
      </c>
      <c r="Y127" s="5">
        <v>0</v>
      </c>
      <c r="Z127" s="5">
        <v>0</v>
      </c>
      <c r="AA127" s="5">
        <v>0</v>
      </c>
      <c r="AB127" s="5">
        <v>0</v>
      </c>
      <c r="AC127" s="5">
        <v>0</v>
      </c>
      <c r="AD127" s="5">
        <v>0</v>
      </c>
      <c r="AE127" s="5">
        <v>0</v>
      </c>
      <c r="AF127" s="5">
        <v>0</v>
      </c>
      <c r="AG127" s="5">
        <v>0</v>
      </c>
      <c r="AH127" s="5">
        <v>0</v>
      </c>
      <c r="AI127" s="5">
        <v>0</v>
      </c>
      <c r="AJ127" s="5">
        <v>0</v>
      </c>
      <c r="AK127" s="5">
        <v>0</v>
      </c>
      <c r="AL127" s="5">
        <v>0</v>
      </c>
      <c r="AM127" s="5">
        <v>0</v>
      </c>
      <c r="AN127" s="5">
        <v>0</v>
      </c>
      <c r="AO127" s="5">
        <v>0</v>
      </c>
      <c r="AP127" s="5">
        <v>0</v>
      </c>
      <c r="AQ127" s="5">
        <v>0</v>
      </c>
      <c r="AR127" s="5">
        <v>5.1999999999999998E-2</v>
      </c>
      <c r="AS127" s="5">
        <v>0</v>
      </c>
      <c r="AT127" s="5">
        <v>0</v>
      </c>
      <c r="AU127" s="5">
        <v>0</v>
      </c>
      <c r="AV127" s="5">
        <v>0</v>
      </c>
      <c r="AW127" s="815">
        <v>0</v>
      </c>
      <c r="AX127" s="816">
        <v>0</v>
      </c>
      <c r="AY127" s="819">
        <v>0</v>
      </c>
      <c r="AZ127" s="816"/>
      <c r="BA127" s="818"/>
      <c r="BB127" s="802" t="str" cm="1">
        <f t="array" ref="BB127">INDEX(C$4:BA$4,MATCH(TRUE,INDEX(C127:BA127&lt;&gt;0,),0))</f>
        <v>2019-20</v>
      </c>
      <c r="BC127" s="803" t="str" cm="1">
        <f t="array" ref="BC127">LOOKUP(2,1/(C127:BA127&lt;&gt;0),$C$4:$BA$4)</f>
        <v>2019-20</v>
      </c>
      <c r="BD127" s="804">
        <f>COUNTIF(RDprograms[[#This Row],[1978-79]:[2028-29]], "&gt;0")</f>
        <v>1</v>
      </c>
      <c r="BE127" s="805">
        <f>SUM(C127:BA127)/RDprograms[[#This Row],[Years with &gt; $0 investment]]</f>
        <v>5.1999999999999998E-2</v>
      </c>
      <c r="BF127" s="806" t="s">
        <v>273</v>
      </c>
      <c r="BG127" s="807" t="s">
        <v>406</v>
      </c>
      <c r="BH127" s="807" t="s">
        <v>258</v>
      </c>
      <c r="BI127" s="809"/>
      <c r="BJ127" s="809"/>
      <c r="BK127" s="809"/>
      <c r="BL127" s="809"/>
      <c r="BM127" s="809"/>
      <c r="BN127" s="810"/>
      <c r="BO127" s="811" t="s">
        <v>236</v>
      </c>
      <c r="BP127" s="812" t="s">
        <v>536</v>
      </c>
      <c r="BQ127" s="812"/>
      <c r="BR127" s="812"/>
      <c r="BS127" s="812"/>
      <c r="BT127" s="812" t="s">
        <v>238</v>
      </c>
    </row>
    <row r="128" spans="1:72" ht="12.75" customHeight="1">
      <c r="A128" s="813" t="s">
        <v>387</v>
      </c>
      <c r="B128" s="820" t="s">
        <v>537</v>
      </c>
      <c r="C128" s="5">
        <v>0</v>
      </c>
      <c r="D128" s="5">
        <v>0</v>
      </c>
      <c r="E128" s="5">
        <v>0</v>
      </c>
      <c r="F128" s="5">
        <v>0</v>
      </c>
      <c r="G128" s="5">
        <v>0</v>
      </c>
      <c r="H128" s="5">
        <v>0</v>
      </c>
      <c r="I128" s="5">
        <v>0</v>
      </c>
      <c r="J128" s="5">
        <v>0</v>
      </c>
      <c r="K128" s="5">
        <v>0</v>
      </c>
      <c r="L128" s="5">
        <v>0</v>
      </c>
      <c r="M128" s="5">
        <v>0</v>
      </c>
      <c r="N128" s="5">
        <v>0</v>
      </c>
      <c r="O128" s="5">
        <v>0</v>
      </c>
      <c r="P128" s="5">
        <v>0</v>
      </c>
      <c r="Q128" s="5">
        <v>0</v>
      </c>
      <c r="R128" s="5">
        <v>0</v>
      </c>
      <c r="S128" s="5">
        <v>0</v>
      </c>
      <c r="T128" s="5">
        <v>0</v>
      </c>
      <c r="U128" s="5">
        <v>0</v>
      </c>
      <c r="V128" s="5">
        <v>0</v>
      </c>
      <c r="W128" s="5">
        <v>0</v>
      </c>
      <c r="X128" s="5">
        <v>0</v>
      </c>
      <c r="Y128" s="5">
        <v>0</v>
      </c>
      <c r="Z128" s="5">
        <v>0</v>
      </c>
      <c r="AA128" s="5">
        <v>0</v>
      </c>
      <c r="AB128" s="5">
        <v>0</v>
      </c>
      <c r="AC128" s="5">
        <v>0</v>
      </c>
      <c r="AD128" s="5">
        <v>0</v>
      </c>
      <c r="AE128" s="5">
        <v>0</v>
      </c>
      <c r="AF128" s="5">
        <v>0</v>
      </c>
      <c r="AG128" s="5">
        <v>4</v>
      </c>
      <c r="AH128" s="5">
        <v>9</v>
      </c>
      <c r="AI128" s="5">
        <v>8</v>
      </c>
      <c r="AJ128" s="5">
        <v>8</v>
      </c>
      <c r="AK128" s="5">
        <v>10</v>
      </c>
      <c r="AL128" s="5">
        <v>1</v>
      </c>
      <c r="AM128" s="5">
        <v>0</v>
      </c>
      <c r="AN128" s="5">
        <v>0</v>
      </c>
      <c r="AO128" s="5">
        <v>0</v>
      </c>
      <c r="AP128" s="816">
        <v>0</v>
      </c>
      <c r="AQ128" s="816">
        <v>0</v>
      </c>
      <c r="AR128" s="5">
        <v>0</v>
      </c>
      <c r="AS128" s="5">
        <v>0</v>
      </c>
      <c r="AT128" s="5">
        <v>0</v>
      </c>
      <c r="AU128" s="5">
        <v>0</v>
      </c>
      <c r="AV128" s="5">
        <v>0</v>
      </c>
      <c r="AW128" s="815">
        <v>0</v>
      </c>
      <c r="AX128" s="816">
        <v>0</v>
      </c>
      <c r="AY128" s="819">
        <v>0</v>
      </c>
      <c r="AZ128" s="816"/>
      <c r="BA128" s="818"/>
      <c r="BB128" s="802" t="str" cm="1">
        <f t="array" ref="BB128">INDEX(C$4:BA$4,MATCH(TRUE,INDEX(C128:BA128&lt;&gt;0,),0))</f>
        <v>2008-09</v>
      </c>
      <c r="BC128" s="803" t="str" cm="1">
        <f t="array" ref="BC128">LOOKUP(2,1/(C128:BA128&lt;&gt;0),$C$4:$BA$4)</f>
        <v>2013-14</v>
      </c>
      <c r="BD128" s="804">
        <f>COUNTIF(RDprograms[[#This Row],[1978-79]:[2028-29]], "&gt;0")</f>
        <v>6</v>
      </c>
      <c r="BE128" s="805">
        <f>SUM(C128:BA128)/RDprograms[[#This Row],[Years with &gt; $0 investment]]</f>
        <v>6.666666666666667</v>
      </c>
      <c r="BF128" s="806" t="s">
        <v>249</v>
      </c>
      <c r="BG128" s="807" t="s">
        <v>393</v>
      </c>
      <c r="BH128" s="807" t="s">
        <v>390</v>
      </c>
      <c r="BI128" s="809"/>
      <c r="BJ128" s="809"/>
      <c r="BK128" s="809"/>
      <c r="BL128" s="809"/>
      <c r="BM128" s="809"/>
      <c r="BN128" s="810"/>
      <c r="BO128" s="811" t="s">
        <v>236</v>
      </c>
      <c r="BP128" s="812"/>
      <c r="BQ128" s="812"/>
      <c r="BR128" s="812"/>
      <c r="BS128" s="812"/>
      <c r="BT128" s="812"/>
    </row>
    <row r="129" spans="1:72" ht="12.75" customHeight="1">
      <c r="A129" s="813" t="s">
        <v>387</v>
      </c>
      <c r="B129" s="820" t="s">
        <v>538</v>
      </c>
      <c r="C129" s="5">
        <v>0</v>
      </c>
      <c r="D129" s="5">
        <v>0</v>
      </c>
      <c r="E129" s="5">
        <v>0</v>
      </c>
      <c r="F129" s="5">
        <v>0</v>
      </c>
      <c r="G129" s="5">
        <v>0</v>
      </c>
      <c r="H129" s="5">
        <v>0</v>
      </c>
      <c r="I129" s="5">
        <v>0</v>
      </c>
      <c r="J129" s="5">
        <v>0</v>
      </c>
      <c r="K129" s="5">
        <v>0</v>
      </c>
      <c r="L129" s="5">
        <v>0</v>
      </c>
      <c r="M129" s="5">
        <v>0</v>
      </c>
      <c r="N129" s="5">
        <v>0</v>
      </c>
      <c r="O129" s="5">
        <v>0</v>
      </c>
      <c r="P129" s="5">
        <v>0</v>
      </c>
      <c r="Q129" s="5">
        <v>0</v>
      </c>
      <c r="R129" s="5">
        <v>0</v>
      </c>
      <c r="S129" s="5">
        <v>0</v>
      </c>
      <c r="T129" s="5">
        <v>0</v>
      </c>
      <c r="U129" s="5">
        <v>0</v>
      </c>
      <c r="V129" s="5">
        <v>0</v>
      </c>
      <c r="W129" s="5">
        <v>0</v>
      </c>
      <c r="X129" s="5">
        <v>0</v>
      </c>
      <c r="Y129" s="5">
        <v>0</v>
      </c>
      <c r="Z129" s="5">
        <v>0</v>
      </c>
      <c r="AA129" s="5">
        <v>0</v>
      </c>
      <c r="AB129" s="5">
        <v>0</v>
      </c>
      <c r="AC129" s="5">
        <v>0</v>
      </c>
      <c r="AD129" s="5">
        <v>0</v>
      </c>
      <c r="AE129" s="5">
        <v>0</v>
      </c>
      <c r="AF129" s="5">
        <v>0</v>
      </c>
      <c r="AG129" s="5">
        <v>0</v>
      </c>
      <c r="AH129" s="5">
        <v>0</v>
      </c>
      <c r="AI129" s="5">
        <v>0</v>
      </c>
      <c r="AJ129" s="5">
        <v>0</v>
      </c>
      <c r="AK129" s="5">
        <v>0</v>
      </c>
      <c r="AL129" s="5">
        <v>0</v>
      </c>
      <c r="AM129" s="5">
        <v>0</v>
      </c>
      <c r="AN129" s="5">
        <v>0</v>
      </c>
      <c r="AO129" s="5">
        <v>0</v>
      </c>
      <c r="AP129" s="816">
        <v>0</v>
      </c>
      <c r="AQ129" s="816">
        <v>0</v>
      </c>
      <c r="AR129" s="5">
        <v>0</v>
      </c>
      <c r="AS129" s="5">
        <v>0</v>
      </c>
      <c r="AT129" s="5">
        <v>0</v>
      </c>
      <c r="AU129" s="5">
        <v>2</v>
      </c>
      <c r="AV129" s="5">
        <v>2</v>
      </c>
      <c r="AW129" s="815">
        <v>2</v>
      </c>
      <c r="AX129" s="816">
        <v>2</v>
      </c>
      <c r="AY129" s="819">
        <v>0</v>
      </c>
      <c r="AZ129" s="816"/>
      <c r="BA129" s="818"/>
      <c r="BB129" s="802" t="str" cm="1">
        <f t="array" ref="BB129">INDEX(C$4:BA$4,MATCH(TRUE,INDEX(C129:BA129&lt;&gt;0,),0))</f>
        <v>2022-23</v>
      </c>
      <c r="BC129" s="803" t="str" cm="1">
        <f t="array" ref="BC129">LOOKUP(2,1/(C129:BA129&lt;&gt;0),$C$4:$BA$4)</f>
        <v>2025-26</v>
      </c>
      <c r="BD129" s="804">
        <f>COUNTIF(RDprograms[[#This Row],[1978-79]:[2028-29]], "&gt;0")</f>
        <v>4</v>
      </c>
      <c r="BE129" s="805">
        <f>SUM(C129:BA129)/RDprograms[[#This Row],[Years with &gt; $0 investment]]</f>
        <v>2</v>
      </c>
      <c r="BF129" s="806" t="s">
        <v>249</v>
      </c>
      <c r="BG129" s="807" t="s">
        <v>406</v>
      </c>
      <c r="BH129" s="807" t="s">
        <v>390</v>
      </c>
      <c r="BI129" s="809"/>
      <c r="BJ129" s="809"/>
      <c r="BK129" s="809"/>
      <c r="BL129" s="809">
        <v>1</v>
      </c>
      <c r="BM129" s="809"/>
      <c r="BN129" s="810"/>
      <c r="BO129" s="811" t="s">
        <v>236</v>
      </c>
      <c r="BP129" s="812" t="s">
        <v>539</v>
      </c>
      <c r="BQ129" s="812"/>
      <c r="BR129" s="812"/>
      <c r="BS129" s="812"/>
      <c r="BT129" s="812" t="s">
        <v>238</v>
      </c>
    </row>
    <row r="130" spans="1:72" ht="12.75" customHeight="1">
      <c r="A130" s="813" t="s">
        <v>387</v>
      </c>
      <c r="B130" s="820" t="s">
        <v>540</v>
      </c>
      <c r="C130" s="5">
        <v>0</v>
      </c>
      <c r="D130" s="5">
        <v>0</v>
      </c>
      <c r="E130" s="5">
        <v>0</v>
      </c>
      <c r="F130" s="5">
        <v>0</v>
      </c>
      <c r="G130" s="5">
        <v>0</v>
      </c>
      <c r="H130" s="5">
        <v>0</v>
      </c>
      <c r="I130" s="5">
        <v>0</v>
      </c>
      <c r="J130" s="5">
        <v>0</v>
      </c>
      <c r="K130" s="5">
        <v>0</v>
      </c>
      <c r="L130" s="5">
        <v>0</v>
      </c>
      <c r="M130" s="5">
        <v>0</v>
      </c>
      <c r="N130" s="5">
        <v>0</v>
      </c>
      <c r="O130" s="5">
        <v>0</v>
      </c>
      <c r="P130" s="5">
        <v>0</v>
      </c>
      <c r="Q130" s="5">
        <v>0</v>
      </c>
      <c r="R130" s="5">
        <v>0</v>
      </c>
      <c r="S130" s="5">
        <v>0</v>
      </c>
      <c r="T130" s="5">
        <v>0</v>
      </c>
      <c r="U130" s="5">
        <v>0</v>
      </c>
      <c r="V130" s="5">
        <v>0</v>
      </c>
      <c r="W130" s="5">
        <v>0</v>
      </c>
      <c r="X130" s="5">
        <v>0</v>
      </c>
      <c r="Y130" s="5">
        <v>0</v>
      </c>
      <c r="Z130" s="5">
        <v>0</v>
      </c>
      <c r="AA130" s="5">
        <v>0</v>
      </c>
      <c r="AB130" s="5">
        <v>0</v>
      </c>
      <c r="AC130" s="5">
        <v>0</v>
      </c>
      <c r="AD130" s="5">
        <v>0</v>
      </c>
      <c r="AE130" s="5">
        <v>0</v>
      </c>
      <c r="AF130" s="5">
        <v>0.17499999999999999</v>
      </c>
      <c r="AG130" s="5">
        <v>0.17499999999999999</v>
      </c>
      <c r="AH130" s="5">
        <v>0.17499999999999999</v>
      </c>
      <c r="AI130" s="5">
        <v>0.17499999999999999</v>
      </c>
      <c r="AJ130" s="5">
        <v>0.17499999999999999</v>
      </c>
      <c r="AK130" s="5">
        <v>0.17499999999999999</v>
      </c>
      <c r="AL130" s="5">
        <v>0.17499999999999999</v>
      </c>
      <c r="AM130" s="5">
        <v>0.17499999999999999</v>
      </c>
      <c r="AN130" s="5">
        <v>0.17499999999999999</v>
      </c>
      <c r="AO130" s="5">
        <v>0.17499999999999999</v>
      </c>
      <c r="AP130" s="5">
        <v>0</v>
      </c>
      <c r="AQ130" s="5">
        <v>0</v>
      </c>
      <c r="AR130" s="5">
        <v>0</v>
      </c>
      <c r="AS130" s="5">
        <v>0</v>
      </c>
      <c r="AT130" s="5">
        <v>0</v>
      </c>
      <c r="AU130" s="5">
        <v>0</v>
      </c>
      <c r="AV130" s="5">
        <v>0</v>
      </c>
      <c r="AW130" s="815">
        <v>0</v>
      </c>
      <c r="AX130" s="816">
        <v>0</v>
      </c>
      <c r="AY130" s="819">
        <v>0</v>
      </c>
      <c r="AZ130" s="816"/>
      <c r="BA130" s="818"/>
      <c r="BB130" s="802" t="str" cm="1">
        <f t="array" ref="BB130">INDEX(C$4:BA$4,MATCH(TRUE,INDEX(C130:BA130&lt;&gt;0,),0))</f>
        <v>2007-08</v>
      </c>
      <c r="BC130" s="803" t="str" cm="1">
        <f t="array" ref="BC130">LOOKUP(2,1/(C130:BA130&lt;&gt;0),$C$4:$BA$4)</f>
        <v>2016-17</v>
      </c>
      <c r="BD130" s="804">
        <f>COUNTIF(RDprograms[[#This Row],[1978-79]:[2028-29]], "&gt;0")</f>
        <v>10</v>
      </c>
      <c r="BE130" s="805">
        <f>SUM(C130:BA130)/RDprograms[[#This Row],[Years with &gt; $0 investment]]</f>
        <v>0.17500000000000002</v>
      </c>
      <c r="BF130" s="806" t="s">
        <v>273</v>
      </c>
      <c r="BG130" s="807" t="s">
        <v>406</v>
      </c>
      <c r="BH130" s="807" t="s">
        <v>241</v>
      </c>
      <c r="BI130" s="809"/>
      <c r="BJ130" s="809"/>
      <c r="BK130" s="809"/>
      <c r="BL130" s="809"/>
      <c r="BM130" s="809"/>
      <c r="BN130" s="810"/>
      <c r="BO130" s="811" t="s">
        <v>236</v>
      </c>
      <c r="BP130" s="812" t="s">
        <v>541</v>
      </c>
      <c r="BQ130" s="812"/>
      <c r="BR130" s="812"/>
      <c r="BS130" s="812"/>
      <c r="BT130" s="812" t="s">
        <v>238</v>
      </c>
    </row>
    <row r="131" spans="1:72" ht="12.75" customHeight="1">
      <c r="A131" s="813" t="s">
        <v>542</v>
      </c>
      <c r="B131" s="820" t="s">
        <v>543</v>
      </c>
      <c r="C131" s="5">
        <v>0</v>
      </c>
      <c r="D131" s="5">
        <v>0</v>
      </c>
      <c r="E131" s="5">
        <v>0</v>
      </c>
      <c r="F131" s="5">
        <v>0</v>
      </c>
      <c r="G131" s="5">
        <v>0</v>
      </c>
      <c r="H131" s="5">
        <v>0</v>
      </c>
      <c r="I131" s="5">
        <v>0</v>
      </c>
      <c r="J131" s="5">
        <v>0</v>
      </c>
      <c r="K131" s="5">
        <v>0</v>
      </c>
      <c r="L131" s="5">
        <v>0</v>
      </c>
      <c r="M131" s="5">
        <v>0</v>
      </c>
      <c r="N131" s="5">
        <v>0</v>
      </c>
      <c r="O131" s="5">
        <v>0</v>
      </c>
      <c r="P131" s="5">
        <v>0</v>
      </c>
      <c r="Q131" s="5">
        <v>0</v>
      </c>
      <c r="R131" s="5">
        <v>0</v>
      </c>
      <c r="S131" s="5">
        <v>0</v>
      </c>
      <c r="T131" s="5">
        <v>0</v>
      </c>
      <c r="U131" s="5">
        <v>0</v>
      </c>
      <c r="V131" s="5">
        <v>0</v>
      </c>
      <c r="W131" s="5">
        <v>0</v>
      </c>
      <c r="X131" s="5">
        <v>0</v>
      </c>
      <c r="Y131" s="5">
        <v>0</v>
      </c>
      <c r="Z131" s="5">
        <v>0</v>
      </c>
      <c r="AA131" s="5">
        <v>0</v>
      </c>
      <c r="AB131" s="5">
        <v>0</v>
      </c>
      <c r="AC131" s="5">
        <v>0</v>
      </c>
      <c r="AD131" s="5">
        <v>0</v>
      </c>
      <c r="AE131" s="5">
        <v>0</v>
      </c>
      <c r="AF131" s="5">
        <v>0</v>
      </c>
      <c r="AG131" s="5">
        <v>0</v>
      </c>
      <c r="AH131" s="5">
        <v>0</v>
      </c>
      <c r="AI131" s="5">
        <v>0</v>
      </c>
      <c r="AJ131" s="5">
        <v>0</v>
      </c>
      <c r="AK131" s="5">
        <v>0</v>
      </c>
      <c r="AL131" s="5">
        <v>0</v>
      </c>
      <c r="AM131" s="5">
        <v>0</v>
      </c>
      <c r="AN131" s="5">
        <v>0</v>
      </c>
      <c r="AO131" s="5">
        <v>0</v>
      </c>
      <c r="AP131" s="5">
        <v>0</v>
      </c>
      <c r="AQ131" s="5">
        <v>0</v>
      </c>
      <c r="AR131" s="5">
        <v>0</v>
      </c>
      <c r="AS131" s="5">
        <v>0</v>
      </c>
      <c r="AT131" s="5">
        <v>0</v>
      </c>
      <c r="AU131" s="5">
        <v>0</v>
      </c>
      <c r="AV131" s="5">
        <v>0</v>
      </c>
      <c r="AW131" s="815">
        <v>0</v>
      </c>
      <c r="AX131" s="816">
        <v>4</v>
      </c>
      <c r="AY131" s="819">
        <v>4</v>
      </c>
      <c r="AZ131" s="826">
        <v>4</v>
      </c>
      <c r="BA131" s="818">
        <v>4</v>
      </c>
      <c r="BB131" s="802" t="str" cm="1">
        <f t="array" ref="BB131">INDEX(C$4:BA$4,MATCH(TRUE,INDEX(C131:BA131&lt;&gt;0,),0))</f>
        <v>2025-26</v>
      </c>
      <c r="BC131" s="803" t="str" cm="1">
        <f t="array" ref="BC131">LOOKUP(2,1/(C131:BA131&lt;&gt;0),$C$4:$BA$4)</f>
        <v>2028-29</v>
      </c>
      <c r="BD131" s="804">
        <f>COUNTIF(RDprograms[[#This Row],[1978-79]:[2028-29]], "&gt;0")</f>
        <v>4</v>
      </c>
      <c r="BE131" s="805">
        <f>SUM(C131:BA131)/RDprograms[[#This Row],[Years with &gt; $0 investment]]</f>
        <v>4</v>
      </c>
      <c r="BF131" s="806" t="s">
        <v>273</v>
      </c>
      <c r="BG131" s="807" t="s">
        <v>544</v>
      </c>
      <c r="BH131" s="807" t="s">
        <v>258</v>
      </c>
      <c r="BI131" s="809"/>
      <c r="BJ131" s="809"/>
      <c r="BK131" s="809"/>
      <c r="BL131" s="809"/>
      <c r="BM131" s="809"/>
      <c r="BN131" s="810">
        <v>1</v>
      </c>
      <c r="BO131" s="811" t="s">
        <v>236</v>
      </c>
      <c r="BP131" s="812" t="s">
        <v>545</v>
      </c>
      <c r="BQ131" s="812"/>
      <c r="BR131" s="812"/>
      <c r="BS131" s="812"/>
      <c r="BT131" s="812"/>
    </row>
    <row r="132" spans="1:72" ht="12.75" customHeight="1" thickBot="1">
      <c r="A132" s="813" t="s">
        <v>542</v>
      </c>
      <c r="B132" s="820" t="s">
        <v>546</v>
      </c>
      <c r="C132" s="5">
        <v>0</v>
      </c>
      <c r="D132" s="5">
        <v>0</v>
      </c>
      <c r="E132" s="5">
        <v>0</v>
      </c>
      <c r="F132" s="5">
        <v>0</v>
      </c>
      <c r="G132" s="5">
        <v>0</v>
      </c>
      <c r="H132" s="5">
        <v>0</v>
      </c>
      <c r="I132" s="5">
        <v>0</v>
      </c>
      <c r="J132" s="5">
        <v>0</v>
      </c>
      <c r="K132" s="5">
        <v>0</v>
      </c>
      <c r="L132" s="5">
        <v>0</v>
      </c>
      <c r="M132" s="5">
        <v>0</v>
      </c>
      <c r="N132" s="5">
        <v>0</v>
      </c>
      <c r="O132" s="5">
        <v>0</v>
      </c>
      <c r="P132" s="5">
        <v>0</v>
      </c>
      <c r="Q132" s="5">
        <v>0</v>
      </c>
      <c r="R132" s="5">
        <v>0</v>
      </c>
      <c r="S132" s="5">
        <v>0</v>
      </c>
      <c r="T132" s="5">
        <v>0</v>
      </c>
      <c r="U132" s="5">
        <v>0</v>
      </c>
      <c r="V132" s="5">
        <v>0</v>
      </c>
      <c r="W132" s="5">
        <v>0</v>
      </c>
      <c r="X132" s="5">
        <v>0</v>
      </c>
      <c r="Y132" s="5">
        <v>0</v>
      </c>
      <c r="Z132" s="5">
        <v>0</v>
      </c>
      <c r="AA132" s="5">
        <v>0</v>
      </c>
      <c r="AB132" s="5">
        <v>0</v>
      </c>
      <c r="AC132" s="5">
        <v>0</v>
      </c>
      <c r="AD132" s="5">
        <v>0</v>
      </c>
      <c r="AE132" s="5">
        <v>0</v>
      </c>
      <c r="AF132" s="5">
        <v>0</v>
      </c>
      <c r="AG132" s="5">
        <v>0</v>
      </c>
      <c r="AH132" s="5">
        <v>0</v>
      </c>
      <c r="AI132" s="5">
        <v>0</v>
      </c>
      <c r="AJ132" s="5">
        <v>0</v>
      </c>
      <c r="AK132" s="5">
        <v>0</v>
      </c>
      <c r="AL132" s="5">
        <v>0</v>
      </c>
      <c r="AM132" s="5">
        <v>0</v>
      </c>
      <c r="AN132" s="5">
        <v>0</v>
      </c>
      <c r="AO132" s="5">
        <v>0</v>
      </c>
      <c r="AP132" s="5">
        <v>0</v>
      </c>
      <c r="AQ132" s="5">
        <v>0</v>
      </c>
      <c r="AR132" s="5">
        <v>0</v>
      </c>
      <c r="AS132" s="5">
        <v>0</v>
      </c>
      <c r="AT132" s="5">
        <v>0</v>
      </c>
      <c r="AU132" s="5">
        <v>0</v>
      </c>
      <c r="AV132" s="5">
        <v>222.571</v>
      </c>
      <c r="AW132" s="815">
        <v>146.91499999999999</v>
      </c>
      <c r="AX132" s="816">
        <v>198.43299999999999</v>
      </c>
      <c r="AY132" s="819">
        <v>241.24</v>
      </c>
      <c r="AZ132" s="826">
        <v>354.57499999999999</v>
      </c>
      <c r="BA132" s="818">
        <v>371.68799999999999</v>
      </c>
      <c r="BB132" s="802" t="str" cm="1">
        <f t="array" ref="BB132">INDEX(C$4:BA$4,MATCH(TRUE,INDEX(C132:BA132&lt;&gt;0,),0))</f>
        <v>2023-24</v>
      </c>
      <c r="BC132" s="803" t="str" cm="1">
        <f t="array" ref="BC132">LOOKUP(2,1/(C132:BA132&lt;&gt;0),$C$4:$BA$4)</f>
        <v>2028-29</v>
      </c>
      <c r="BD132" s="804">
        <f>COUNTIF(RDprograms[[#This Row],[1978-79]:[2028-29]], "&gt;0")</f>
        <v>6</v>
      </c>
      <c r="BE132" s="805">
        <f>SUM(C132:BA132)/RDprograms[[#This Row],[Years with &gt; $0 investment]]</f>
        <v>255.90366666666668</v>
      </c>
      <c r="BF132" s="841" t="s">
        <v>240</v>
      </c>
      <c r="BG132" s="841" t="s">
        <v>544</v>
      </c>
      <c r="BH132" s="807" t="s">
        <v>241</v>
      </c>
      <c r="BI132" s="809"/>
      <c r="BJ132" s="809"/>
      <c r="BK132" s="809"/>
      <c r="BL132" s="809"/>
      <c r="BM132" s="809">
        <v>1</v>
      </c>
      <c r="BN132" s="810"/>
      <c r="BO132" s="811" t="s">
        <v>236</v>
      </c>
      <c r="BP132" s="812" t="s">
        <v>547</v>
      </c>
      <c r="BQ132" s="812" t="s">
        <v>548</v>
      </c>
      <c r="BR132" s="812"/>
      <c r="BS132" s="812"/>
      <c r="BT132" s="812"/>
    </row>
    <row r="133" spans="1:72" ht="12.75" customHeight="1" thickTop="1">
      <c r="A133" s="813" t="s">
        <v>542</v>
      </c>
      <c r="B133" s="820" t="s">
        <v>549</v>
      </c>
      <c r="C133" s="5">
        <v>0</v>
      </c>
      <c r="D133" s="5">
        <v>0</v>
      </c>
      <c r="E133" s="5">
        <v>0</v>
      </c>
      <c r="F133" s="5">
        <v>0</v>
      </c>
      <c r="G133" s="5">
        <v>0</v>
      </c>
      <c r="H133" s="5">
        <v>0</v>
      </c>
      <c r="I133" s="5">
        <v>0</v>
      </c>
      <c r="J133" s="5">
        <v>0</v>
      </c>
      <c r="K133" s="5">
        <v>0</v>
      </c>
      <c r="L133" s="5">
        <v>0</v>
      </c>
      <c r="M133" s="5">
        <v>0</v>
      </c>
      <c r="N133" s="5">
        <v>0</v>
      </c>
      <c r="O133" s="5">
        <v>0</v>
      </c>
      <c r="P133" s="5">
        <v>0</v>
      </c>
      <c r="Q133" s="5">
        <v>0</v>
      </c>
      <c r="R133" s="5">
        <v>0</v>
      </c>
      <c r="S133" s="5">
        <v>0</v>
      </c>
      <c r="T133" s="5">
        <v>0</v>
      </c>
      <c r="U133" s="5">
        <v>0</v>
      </c>
      <c r="V133" s="5">
        <v>0</v>
      </c>
      <c r="W133" s="5">
        <v>0</v>
      </c>
      <c r="X133" s="5">
        <v>0</v>
      </c>
      <c r="Y133" s="5">
        <v>0</v>
      </c>
      <c r="Z133" s="5">
        <v>0</v>
      </c>
      <c r="AA133" s="5">
        <v>0</v>
      </c>
      <c r="AB133" s="5">
        <v>0</v>
      </c>
      <c r="AC133" s="5">
        <v>0</v>
      </c>
      <c r="AD133" s="5">
        <v>0</v>
      </c>
      <c r="AE133" s="5">
        <v>0</v>
      </c>
      <c r="AF133" s="5">
        <v>0</v>
      </c>
      <c r="AG133" s="5">
        <v>0</v>
      </c>
      <c r="AH133" s="5">
        <v>0</v>
      </c>
      <c r="AI133" s="5">
        <v>0</v>
      </c>
      <c r="AJ133" s="5">
        <v>0</v>
      </c>
      <c r="AK133" s="5">
        <v>0</v>
      </c>
      <c r="AL133" s="5">
        <v>0</v>
      </c>
      <c r="AM133" s="5">
        <v>0</v>
      </c>
      <c r="AN133" s="5">
        <v>0</v>
      </c>
      <c r="AO133" s="5">
        <v>0</v>
      </c>
      <c r="AP133" s="5">
        <v>0</v>
      </c>
      <c r="AQ133" s="5">
        <v>0</v>
      </c>
      <c r="AR133" s="5">
        <v>0.19</v>
      </c>
      <c r="AS133" s="5">
        <v>0.34799999999999998</v>
      </c>
      <c r="AT133" s="5">
        <v>0</v>
      </c>
      <c r="AU133" s="5">
        <v>0</v>
      </c>
      <c r="AV133" s="5">
        <v>0</v>
      </c>
      <c r="AW133" s="815">
        <v>0</v>
      </c>
      <c r="AX133" s="816">
        <v>0</v>
      </c>
      <c r="AY133" s="819">
        <v>0</v>
      </c>
      <c r="AZ133" s="816"/>
      <c r="BA133" s="818"/>
      <c r="BB133" s="802" t="str" cm="1">
        <f t="array" ref="BB133">INDEX(C$4:BA$4,MATCH(TRUE,INDEX(C133:BA133&lt;&gt;0,),0))</f>
        <v>2019-20</v>
      </c>
      <c r="BC133" s="803" t="str" cm="1">
        <f t="array" ref="BC133">LOOKUP(2,1/(C133:BA133&lt;&gt;0),$C$4:$BA$4)</f>
        <v>2020-21</v>
      </c>
      <c r="BD133" s="804">
        <f>COUNTIF(RDprograms[[#This Row],[1978-79]:[2028-29]], "&gt;0")</f>
        <v>2</v>
      </c>
      <c r="BE133" s="805">
        <f>SUM(C133:BA133)/RDprograms[[#This Row],[Years with &gt; $0 investment]]</f>
        <v>0.26900000000000002</v>
      </c>
      <c r="BF133" s="806" t="s">
        <v>273</v>
      </c>
      <c r="BG133" s="807" t="s">
        <v>544</v>
      </c>
      <c r="BH133" s="807" t="s">
        <v>258</v>
      </c>
      <c r="BI133" s="809"/>
      <c r="BJ133" s="809"/>
      <c r="BK133" s="809"/>
      <c r="BL133" s="809"/>
      <c r="BM133" s="809"/>
      <c r="BN133" s="810"/>
      <c r="BO133" s="811" t="s">
        <v>236</v>
      </c>
      <c r="BP133" s="812" t="s">
        <v>550</v>
      </c>
      <c r="BQ133" s="812"/>
      <c r="BR133" s="812"/>
      <c r="BS133" s="812"/>
      <c r="BT133" s="812" t="s">
        <v>238</v>
      </c>
    </row>
    <row r="134" spans="1:72" ht="12.75" customHeight="1">
      <c r="A134" s="813" t="s">
        <v>542</v>
      </c>
      <c r="B134" s="820" t="s">
        <v>551</v>
      </c>
      <c r="C134" s="5">
        <v>0</v>
      </c>
      <c r="D134" s="5">
        <v>0</v>
      </c>
      <c r="E134" s="5">
        <v>0</v>
      </c>
      <c r="F134" s="5">
        <v>0</v>
      </c>
      <c r="G134" s="5">
        <v>0</v>
      </c>
      <c r="H134" s="5">
        <v>0</v>
      </c>
      <c r="I134" s="5">
        <v>0</v>
      </c>
      <c r="J134" s="5">
        <v>0</v>
      </c>
      <c r="K134" s="5">
        <v>0</v>
      </c>
      <c r="L134" s="5">
        <v>0</v>
      </c>
      <c r="M134" s="5">
        <v>0</v>
      </c>
      <c r="N134" s="5">
        <v>0</v>
      </c>
      <c r="O134" s="5">
        <v>0</v>
      </c>
      <c r="P134" s="5">
        <v>0</v>
      </c>
      <c r="Q134" s="5">
        <v>0</v>
      </c>
      <c r="R134" s="5">
        <v>0</v>
      </c>
      <c r="S134" s="5">
        <v>0</v>
      </c>
      <c r="T134" s="5">
        <v>0</v>
      </c>
      <c r="U134" s="5">
        <v>0</v>
      </c>
      <c r="V134" s="5">
        <v>0</v>
      </c>
      <c r="W134" s="5">
        <v>0</v>
      </c>
      <c r="X134" s="5">
        <v>0</v>
      </c>
      <c r="Y134" s="5">
        <v>0</v>
      </c>
      <c r="Z134" s="5">
        <v>0</v>
      </c>
      <c r="AA134" s="5">
        <v>0</v>
      </c>
      <c r="AB134" s="5">
        <v>0</v>
      </c>
      <c r="AC134" s="5">
        <v>0</v>
      </c>
      <c r="AD134" s="5">
        <v>0</v>
      </c>
      <c r="AE134" s="5">
        <v>0</v>
      </c>
      <c r="AF134" s="5">
        <v>0</v>
      </c>
      <c r="AG134" s="5">
        <v>0</v>
      </c>
      <c r="AH134" s="5">
        <v>0</v>
      </c>
      <c r="AI134" s="5">
        <v>0</v>
      </c>
      <c r="AJ134" s="5">
        <v>0</v>
      </c>
      <c r="AK134" s="5">
        <v>0</v>
      </c>
      <c r="AL134" s="5">
        <v>0</v>
      </c>
      <c r="AM134" s="5">
        <v>0</v>
      </c>
      <c r="AN134" s="5">
        <v>0</v>
      </c>
      <c r="AO134" s="5">
        <v>0.72</v>
      </c>
      <c r="AP134" s="5">
        <v>0.36</v>
      </c>
      <c r="AQ134" s="5">
        <v>0.36</v>
      </c>
      <c r="AR134" s="5">
        <v>0.36</v>
      </c>
      <c r="AS134" s="5">
        <v>0.36</v>
      </c>
      <c r="AT134" s="5">
        <v>0.495</v>
      </c>
      <c r="AU134" s="5">
        <v>0.495</v>
      </c>
      <c r="AV134" s="5">
        <v>0.495</v>
      </c>
      <c r="AW134" s="815">
        <v>0.495</v>
      </c>
      <c r="AX134" s="816">
        <v>0.495</v>
      </c>
      <c r="AY134" s="819">
        <v>0</v>
      </c>
      <c r="AZ134" s="816">
        <v>0</v>
      </c>
      <c r="BA134" s="818">
        <v>0</v>
      </c>
      <c r="BB134" s="802" t="str" cm="1">
        <f t="array" ref="BB134">INDEX(C$4:BA$4,MATCH(TRUE,INDEX(C134:BA134&lt;&gt;0,),0))</f>
        <v>2016-17</v>
      </c>
      <c r="BC134" s="803" t="str" cm="1">
        <f t="array" ref="BC134">LOOKUP(2,1/(C134:BA134&lt;&gt;0),$C$4:$BA$4)</f>
        <v>2025-26</v>
      </c>
      <c r="BD134" s="804">
        <f>COUNTIF(RDprograms[[#This Row],[1978-79]:[2028-29]], "&gt;0")</f>
        <v>10</v>
      </c>
      <c r="BE134" s="805">
        <f>SUM(C134:BA134)/RDprograms[[#This Row],[Years with &gt; $0 investment]]</f>
        <v>0.46349999999999997</v>
      </c>
      <c r="BF134" s="806" t="s">
        <v>249</v>
      </c>
      <c r="BG134" s="807" t="s">
        <v>544</v>
      </c>
      <c r="BH134" s="807" t="s">
        <v>269</v>
      </c>
      <c r="BI134" s="33">
        <v>1</v>
      </c>
      <c r="BJ134" s="33"/>
      <c r="BK134" s="33"/>
      <c r="BL134" s="33"/>
      <c r="BM134" s="33">
        <v>1</v>
      </c>
      <c r="BN134" s="842"/>
      <c r="BO134" s="811" t="s">
        <v>236</v>
      </c>
      <c r="BP134" s="843" t="s">
        <v>552</v>
      </c>
      <c r="BQ134" s="829"/>
      <c r="BR134" s="812"/>
      <c r="BS134" s="812"/>
      <c r="BT134" s="812" t="s">
        <v>238</v>
      </c>
    </row>
    <row r="135" spans="1:72" ht="12.75" customHeight="1">
      <c r="A135" s="813" t="s">
        <v>542</v>
      </c>
      <c r="B135" s="820" t="s">
        <v>553</v>
      </c>
      <c r="C135" s="5">
        <v>0</v>
      </c>
      <c r="D135" s="5">
        <v>0</v>
      </c>
      <c r="E135" s="5">
        <v>0</v>
      </c>
      <c r="F135" s="5">
        <v>0</v>
      </c>
      <c r="G135" s="5">
        <v>0</v>
      </c>
      <c r="H135" s="5">
        <v>0</v>
      </c>
      <c r="I135" s="5">
        <v>0</v>
      </c>
      <c r="J135" s="5">
        <v>0</v>
      </c>
      <c r="K135" s="5">
        <v>0</v>
      </c>
      <c r="L135" s="5">
        <v>0</v>
      </c>
      <c r="M135" s="5">
        <v>0</v>
      </c>
      <c r="N135" s="5">
        <v>0</v>
      </c>
      <c r="O135" s="5">
        <v>0</v>
      </c>
      <c r="P135" s="5">
        <v>0</v>
      </c>
      <c r="Q135" s="5">
        <v>0</v>
      </c>
      <c r="R135" s="5">
        <v>0</v>
      </c>
      <c r="S135" s="5">
        <v>0</v>
      </c>
      <c r="T135" s="5">
        <v>0</v>
      </c>
      <c r="U135" s="5">
        <v>0</v>
      </c>
      <c r="V135" s="5">
        <v>0</v>
      </c>
      <c r="W135" s="5">
        <v>0</v>
      </c>
      <c r="X135" s="5">
        <v>0</v>
      </c>
      <c r="Y135" s="5">
        <v>0</v>
      </c>
      <c r="Z135" s="5">
        <v>0</v>
      </c>
      <c r="AA135" s="5">
        <v>0</v>
      </c>
      <c r="AB135" s="5">
        <v>0</v>
      </c>
      <c r="AC135" s="5">
        <v>0</v>
      </c>
      <c r="AD135" s="5">
        <v>0</v>
      </c>
      <c r="AE135" s="5">
        <v>0</v>
      </c>
      <c r="AF135" s="5">
        <v>0</v>
      </c>
      <c r="AG135" s="5">
        <v>0</v>
      </c>
      <c r="AH135" s="5">
        <v>0</v>
      </c>
      <c r="AI135" s="5">
        <v>0</v>
      </c>
      <c r="AJ135" s="5">
        <v>0</v>
      </c>
      <c r="AK135" s="5">
        <v>0</v>
      </c>
      <c r="AL135" s="5">
        <v>0</v>
      </c>
      <c r="AM135" s="5">
        <v>0</v>
      </c>
      <c r="AN135" s="5">
        <v>0</v>
      </c>
      <c r="AO135" s="5">
        <v>0</v>
      </c>
      <c r="AP135" s="816">
        <v>0</v>
      </c>
      <c r="AQ135" s="816">
        <v>0.443</v>
      </c>
      <c r="AR135" s="5">
        <v>0.48199999999999998</v>
      </c>
      <c r="AS135" s="5">
        <v>0</v>
      </c>
      <c r="AT135" s="5">
        <v>0</v>
      </c>
      <c r="AU135" s="5">
        <v>0</v>
      </c>
      <c r="AV135" s="5">
        <v>0</v>
      </c>
      <c r="AW135" s="815">
        <v>0</v>
      </c>
      <c r="AX135" s="816">
        <v>0</v>
      </c>
      <c r="AY135" s="819">
        <v>0</v>
      </c>
      <c r="AZ135" s="816"/>
      <c r="BA135" s="818"/>
      <c r="BB135" s="802" t="str" cm="1">
        <f t="array" ref="BB135">INDEX(C$4:BA$4,MATCH(TRUE,INDEX(C135:BA135&lt;&gt;0,),0))</f>
        <v>2018-19</v>
      </c>
      <c r="BC135" s="803" t="str" cm="1">
        <f t="array" ref="BC135">LOOKUP(2,1/(C135:BA135&lt;&gt;0),$C$4:$BA$4)</f>
        <v>2019-20</v>
      </c>
      <c r="BD135" s="804">
        <f>COUNTIF(RDprograms[[#This Row],[1978-79]:[2028-29]], "&gt;0")</f>
        <v>2</v>
      </c>
      <c r="BE135" s="805">
        <f>SUM(C135:BA135)/RDprograms[[#This Row],[Years with &gt; $0 investment]]</f>
        <v>0.46250000000000002</v>
      </c>
      <c r="BF135" s="806" t="s">
        <v>273</v>
      </c>
      <c r="BG135" s="807" t="s">
        <v>544</v>
      </c>
      <c r="BH135" s="807" t="s">
        <v>258</v>
      </c>
      <c r="BI135" s="809"/>
      <c r="BJ135" s="809"/>
      <c r="BK135" s="809"/>
      <c r="BL135" s="809"/>
      <c r="BM135" s="809"/>
      <c r="BN135" s="810"/>
      <c r="BO135" s="811" t="s">
        <v>236</v>
      </c>
      <c r="BP135" s="812" t="s">
        <v>554</v>
      </c>
      <c r="BQ135" s="812"/>
      <c r="BR135" s="812"/>
      <c r="BS135" s="812"/>
      <c r="BT135" s="812" t="s">
        <v>238</v>
      </c>
    </row>
    <row r="136" spans="1:72" ht="12.75" customHeight="1">
      <c r="A136" s="813" t="s">
        <v>542</v>
      </c>
      <c r="B136" s="820" t="s">
        <v>555</v>
      </c>
      <c r="C136" s="5">
        <v>0</v>
      </c>
      <c r="D136" s="5">
        <v>0</v>
      </c>
      <c r="E136" s="5">
        <v>0</v>
      </c>
      <c r="F136" s="5">
        <v>0</v>
      </c>
      <c r="G136" s="5">
        <v>0</v>
      </c>
      <c r="H136" s="5">
        <v>0</v>
      </c>
      <c r="I136" s="5">
        <v>0</v>
      </c>
      <c r="J136" s="5">
        <v>0</v>
      </c>
      <c r="K136" s="5">
        <v>0</v>
      </c>
      <c r="L136" s="5">
        <v>0</v>
      </c>
      <c r="M136" s="5">
        <v>0</v>
      </c>
      <c r="N136" s="5">
        <v>0</v>
      </c>
      <c r="O136" s="5">
        <v>0</v>
      </c>
      <c r="P136" s="5">
        <v>0</v>
      </c>
      <c r="Q136" s="5">
        <v>0</v>
      </c>
      <c r="R136" s="5">
        <v>0</v>
      </c>
      <c r="S136" s="5">
        <v>0</v>
      </c>
      <c r="T136" s="5">
        <v>0</v>
      </c>
      <c r="U136" s="5">
        <v>0</v>
      </c>
      <c r="V136" s="5">
        <v>0</v>
      </c>
      <c r="W136" s="5">
        <v>0</v>
      </c>
      <c r="X136" s="5">
        <v>0</v>
      </c>
      <c r="Y136" s="5">
        <v>0</v>
      </c>
      <c r="Z136" s="5">
        <v>0</v>
      </c>
      <c r="AA136" s="5">
        <v>0</v>
      </c>
      <c r="AB136" s="5">
        <v>0</v>
      </c>
      <c r="AC136" s="5">
        <v>0</v>
      </c>
      <c r="AD136" s="5">
        <v>0</v>
      </c>
      <c r="AE136" s="5">
        <v>0</v>
      </c>
      <c r="AF136" s="5">
        <v>0</v>
      </c>
      <c r="AG136" s="5">
        <v>0</v>
      </c>
      <c r="AH136" s="5">
        <v>0</v>
      </c>
      <c r="AI136" s="5">
        <v>0</v>
      </c>
      <c r="AJ136" s="5">
        <v>0</v>
      </c>
      <c r="AK136" s="5">
        <v>0</v>
      </c>
      <c r="AL136" s="5">
        <v>0</v>
      </c>
      <c r="AM136" s="5">
        <v>0</v>
      </c>
      <c r="AN136" s="5">
        <v>0</v>
      </c>
      <c r="AO136" s="5">
        <v>0</v>
      </c>
      <c r="AP136" s="816">
        <v>0</v>
      </c>
      <c r="AQ136" s="816">
        <v>0</v>
      </c>
      <c r="AR136" s="5">
        <v>0</v>
      </c>
      <c r="AS136" s="5">
        <v>8.3000000000000004E-2</v>
      </c>
      <c r="AT136" s="5">
        <v>0.17</v>
      </c>
      <c r="AU136" s="5"/>
      <c r="AV136" s="5">
        <v>0</v>
      </c>
      <c r="AW136" s="815">
        <v>0</v>
      </c>
      <c r="AX136" s="816">
        <v>0</v>
      </c>
      <c r="AY136" s="819">
        <v>0</v>
      </c>
      <c r="AZ136" s="816">
        <v>0</v>
      </c>
      <c r="BA136" s="818"/>
      <c r="BB136" s="802" t="str" cm="1">
        <f t="array" ref="BB136">INDEX(C$4:BA$4,MATCH(TRUE,INDEX(C136:BA136&lt;&gt;0,),0))</f>
        <v>2020-21</v>
      </c>
      <c r="BC136" s="803" t="str" cm="1">
        <f t="array" ref="BC136">LOOKUP(2,1/(C136:BA136&lt;&gt;0),$C$4:$BA$4)</f>
        <v>2021-22</v>
      </c>
      <c r="BD136" s="804">
        <f>COUNTIF(RDprograms[[#This Row],[1978-79]:[2028-29]], "&gt;0")</f>
        <v>2</v>
      </c>
      <c r="BE136" s="805">
        <f>SUM(C136:BA136)/RDprograms[[#This Row],[Years with &gt; $0 investment]]</f>
        <v>0.1265</v>
      </c>
      <c r="BF136" s="806" t="s">
        <v>273</v>
      </c>
      <c r="BG136" s="807" t="s">
        <v>544</v>
      </c>
      <c r="BH136" s="807" t="s">
        <v>258</v>
      </c>
      <c r="BI136" s="809"/>
      <c r="BJ136" s="809"/>
      <c r="BK136" s="809"/>
      <c r="BL136" s="809"/>
      <c r="BM136" s="809"/>
      <c r="BN136" s="810"/>
      <c r="BO136" s="811" t="s">
        <v>236</v>
      </c>
      <c r="BP136" s="812" t="s">
        <v>556</v>
      </c>
      <c r="BQ136" s="812"/>
      <c r="BR136" s="812"/>
      <c r="BS136" s="812"/>
      <c r="BT136" s="812" t="s">
        <v>238</v>
      </c>
    </row>
    <row r="137" spans="1:72" ht="12.75" customHeight="1">
      <c r="A137" s="813" t="s">
        <v>542</v>
      </c>
      <c r="B137" s="820" t="s">
        <v>557</v>
      </c>
      <c r="C137" s="5">
        <v>0</v>
      </c>
      <c r="D137" s="5">
        <v>0</v>
      </c>
      <c r="E137" s="5">
        <v>0</v>
      </c>
      <c r="F137" s="5">
        <v>0</v>
      </c>
      <c r="G137" s="5">
        <v>0</v>
      </c>
      <c r="H137" s="5">
        <v>0</v>
      </c>
      <c r="I137" s="5">
        <v>0</v>
      </c>
      <c r="J137" s="5">
        <v>0</v>
      </c>
      <c r="K137" s="5">
        <v>0</v>
      </c>
      <c r="L137" s="5">
        <v>0</v>
      </c>
      <c r="M137" s="5">
        <v>0</v>
      </c>
      <c r="N137" s="5">
        <v>0</v>
      </c>
      <c r="O137" s="5">
        <v>0</v>
      </c>
      <c r="P137" s="5">
        <v>0</v>
      </c>
      <c r="Q137" s="5">
        <v>0</v>
      </c>
      <c r="R137" s="5">
        <v>0</v>
      </c>
      <c r="S137" s="5">
        <v>0</v>
      </c>
      <c r="T137" s="5">
        <v>0</v>
      </c>
      <c r="U137" s="5">
        <v>0</v>
      </c>
      <c r="V137" s="5">
        <v>0</v>
      </c>
      <c r="W137" s="5">
        <v>0</v>
      </c>
      <c r="X137" s="5">
        <v>0</v>
      </c>
      <c r="Y137" s="5">
        <v>0</v>
      </c>
      <c r="Z137" s="5">
        <v>0</v>
      </c>
      <c r="AA137" s="5">
        <v>0</v>
      </c>
      <c r="AB137" s="5">
        <v>0</v>
      </c>
      <c r="AC137" s="5">
        <v>0</v>
      </c>
      <c r="AD137" s="5">
        <v>0</v>
      </c>
      <c r="AE137" s="5">
        <v>0</v>
      </c>
      <c r="AF137" s="5">
        <v>0</v>
      </c>
      <c r="AG137" s="5">
        <v>0</v>
      </c>
      <c r="AH137" s="5">
        <v>0.30399999999999999</v>
      </c>
      <c r="AI137" s="5">
        <v>0.77400000000000002</v>
      </c>
      <c r="AJ137" s="5">
        <v>0.875</v>
      </c>
      <c r="AK137" s="5">
        <v>1.254</v>
      </c>
      <c r="AL137" s="5">
        <v>0.45300000000000001</v>
      </c>
      <c r="AM137" s="5">
        <v>0.38600000000000001</v>
      </c>
      <c r="AN137" s="5">
        <v>0.52100000000000002</v>
      </c>
      <c r="AO137" s="5">
        <v>0.33</v>
      </c>
      <c r="AP137" s="5">
        <v>0.32</v>
      </c>
      <c r="AQ137" s="5">
        <v>0.23599999999999999</v>
      </c>
      <c r="AR137" s="5">
        <v>0.72799999999999998</v>
      </c>
      <c r="AS137" s="5">
        <v>0.747</v>
      </c>
      <c r="AT137" s="5">
        <v>0.76600000000000001</v>
      </c>
      <c r="AU137" s="5">
        <v>0.78400000000000003</v>
      </c>
      <c r="AV137" s="5">
        <v>0.80400000000000005</v>
      </c>
      <c r="AW137" s="815">
        <v>1.129</v>
      </c>
      <c r="AX137" s="816">
        <v>1.647</v>
      </c>
      <c r="AY137" s="819">
        <v>0</v>
      </c>
      <c r="AZ137" s="816"/>
      <c r="BA137" s="818"/>
      <c r="BB137" s="802" t="str" cm="1">
        <f t="array" ref="BB137">INDEX(C$4:BA$4,MATCH(TRUE,INDEX(C137:BA137&lt;&gt;0,),0))</f>
        <v>2009-10</v>
      </c>
      <c r="BC137" s="803" t="str" cm="1">
        <f t="array" ref="BC137">LOOKUP(2,1/(C137:BA137&lt;&gt;0),$C$4:$BA$4)</f>
        <v>2025-26</v>
      </c>
      <c r="BD137" s="804">
        <f>COUNTIF(RDprograms[[#This Row],[1978-79]:[2028-29]], "&gt;0")</f>
        <v>17</v>
      </c>
      <c r="BE137" s="805">
        <f>SUM(C137:BA137)/RDprograms[[#This Row],[Years with &gt; $0 investment]]</f>
        <v>0.70929411764705885</v>
      </c>
      <c r="BF137" s="806" t="s">
        <v>273</v>
      </c>
      <c r="BG137" s="807" t="s">
        <v>544</v>
      </c>
      <c r="BH137" s="807" t="s">
        <v>241</v>
      </c>
      <c r="BI137" s="809"/>
      <c r="BJ137" s="809"/>
      <c r="BK137" s="809"/>
      <c r="BL137" s="809"/>
      <c r="BM137" s="809">
        <v>1</v>
      </c>
      <c r="BN137" s="810"/>
      <c r="BO137" s="811" t="s">
        <v>236</v>
      </c>
      <c r="BP137" s="812" t="s">
        <v>558</v>
      </c>
      <c r="BQ137" s="812"/>
      <c r="BR137" s="812"/>
      <c r="BS137" s="812"/>
      <c r="BT137" s="812" t="s">
        <v>238</v>
      </c>
    </row>
    <row r="138" spans="1:72" ht="12.75" customHeight="1">
      <c r="A138" s="813" t="s">
        <v>542</v>
      </c>
      <c r="B138" s="820" t="s">
        <v>559</v>
      </c>
      <c r="C138" s="5">
        <v>0</v>
      </c>
      <c r="D138" s="5">
        <v>0</v>
      </c>
      <c r="E138" s="5">
        <v>0</v>
      </c>
      <c r="F138" s="5">
        <v>0</v>
      </c>
      <c r="G138" s="5">
        <v>0</v>
      </c>
      <c r="H138" s="5">
        <v>0</v>
      </c>
      <c r="I138" s="5">
        <v>0</v>
      </c>
      <c r="J138" s="5">
        <v>0</v>
      </c>
      <c r="K138" s="5">
        <v>0</v>
      </c>
      <c r="L138" s="5">
        <v>0</v>
      </c>
      <c r="M138" s="5">
        <v>0</v>
      </c>
      <c r="N138" s="5">
        <v>0</v>
      </c>
      <c r="O138" s="5">
        <v>0</v>
      </c>
      <c r="P138" s="5">
        <v>0</v>
      </c>
      <c r="Q138" s="5">
        <v>0</v>
      </c>
      <c r="R138" s="5">
        <v>0</v>
      </c>
      <c r="S138" s="5">
        <v>0</v>
      </c>
      <c r="T138" s="5">
        <v>0</v>
      </c>
      <c r="U138" s="5">
        <v>0</v>
      </c>
      <c r="V138" s="5">
        <v>0</v>
      </c>
      <c r="W138" s="5">
        <v>0</v>
      </c>
      <c r="X138" s="5">
        <v>0</v>
      </c>
      <c r="Y138" s="5">
        <v>0</v>
      </c>
      <c r="Z138" s="5">
        <v>0</v>
      </c>
      <c r="AA138" s="5">
        <v>0</v>
      </c>
      <c r="AB138" s="5">
        <v>0</v>
      </c>
      <c r="AC138" s="5">
        <v>0</v>
      </c>
      <c r="AD138" s="5">
        <v>0</v>
      </c>
      <c r="AE138" s="5">
        <v>0</v>
      </c>
      <c r="AF138" s="5">
        <v>0</v>
      </c>
      <c r="AG138" s="5">
        <v>0</v>
      </c>
      <c r="AH138" s="5">
        <v>0</v>
      </c>
      <c r="AI138" s="5">
        <v>0</v>
      </c>
      <c r="AJ138" s="5">
        <v>0</v>
      </c>
      <c r="AK138" s="5">
        <v>0</v>
      </c>
      <c r="AL138" s="5">
        <v>0</v>
      </c>
      <c r="AM138" s="5">
        <v>0</v>
      </c>
      <c r="AN138" s="5">
        <v>0</v>
      </c>
      <c r="AO138" s="5">
        <v>0</v>
      </c>
      <c r="AP138" s="5">
        <v>0</v>
      </c>
      <c r="AQ138" s="5">
        <v>0</v>
      </c>
      <c r="AR138" s="5">
        <v>0</v>
      </c>
      <c r="AS138" s="5">
        <v>0</v>
      </c>
      <c r="AT138" s="5">
        <v>0</v>
      </c>
      <c r="AU138" s="5">
        <v>0</v>
      </c>
      <c r="AV138" s="5">
        <v>0</v>
      </c>
      <c r="AW138" s="815">
        <v>0</v>
      </c>
      <c r="AX138" s="816">
        <v>0.4</v>
      </c>
      <c r="AY138" s="819"/>
      <c r="AZ138" s="826"/>
      <c r="BA138" s="818"/>
      <c r="BB138" s="802" t="str" cm="1">
        <f t="array" ref="BB138">INDEX(C$4:BA$4,MATCH(TRUE,INDEX(C138:BA138&lt;&gt;0,),0))</f>
        <v>2025-26</v>
      </c>
      <c r="BC138" s="803" t="str" cm="1">
        <f t="array" ref="BC138">LOOKUP(2,1/(C138:BA138&lt;&gt;0),$C$4:$BA$4)</f>
        <v>2025-26</v>
      </c>
      <c r="BD138" s="804">
        <f>COUNTIF(RDprograms[[#This Row],[1978-79]:[2028-29]], "&gt;0")</f>
        <v>1</v>
      </c>
      <c r="BE138" s="805">
        <f>SUM(C138:BA138)/RDprograms[[#This Row],[Years with &gt; $0 investment]]</f>
        <v>0.4</v>
      </c>
      <c r="BF138" s="806" t="s">
        <v>273</v>
      </c>
      <c r="BG138" s="807" t="s">
        <v>544</v>
      </c>
      <c r="BH138" s="806" t="s">
        <v>258</v>
      </c>
      <c r="BI138" s="809"/>
      <c r="BJ138" s="809"/>
      <c r="BK138" s="809"/>
      <c r="BL138" s="809"/>
      <c r="BM138" s="809">
        <v>1</v>
      </c>
      <c r="BN138" s="810"/>
      <c r="BO138" s="811" t="s">
        <v>236</v>
      </c>
      <c r="BP138" s="812" t="s">
        <v>560</v>
      </c>
      <c r="BQ138" s="812"/>
      <c r="BR138" s="812"/>
      <c r="BS138" s="812"/>
      <c r="BT138" s="812"/>
    </row>
    <row r="139" spans="1:72" ht="12.75" customHeight="1">
      <c r="A139" s="813" t="s">
        <v>542</v>
      </c>
      <c r="B139" s="820" t="s">
        <v>561</v>
      </c>
      <c r="C139" s="5">
        <v>0</v>
      </c>
      <c r="D139" s="5">
        <v>0</v>
      </c>
      <c r="E139" s="5">
        <v>0</v>
      </c>
      <c r="F139" s="5">
        <v>0</v>
      </c>
      <c r="G139" s="5">
        <v>0</v>
      </c>
      <c r="H139" s="5">
        <v>0</v>
      </c>
      <c r="I139" s="5">
        <v>0</v>
      </c>
      <c r="J139" s="5">
        <v>0</v>
      </c>
      <c r="K139" s="5">
        <v>0</v>
      </c>
      <c r="L139" s="5">
        <v>0</v>
      </c>
      <c r="M139" s="5">
        <v>0</v>
      </c>
      <c r="N139" s="5">
        <v>0</v>
      </c>
      <c r="O139" s="5">
        <v>0</v>
      </c>
      <c r="P139" s="5">
        <v>0</v>
      </c>
      <c r="Q139" s="5">
        <v>0</v>
      </c>
      <c r="R139" s="5">
        <v>0</v>
      </c>
      <c r="S139" s="5">
        <v>0</v>
      </c>
      <c r="T139" s="5">
        <v>0</v>
      </c>
      <c r="U139" s="5">
        <v>0</v>
      </c>
      <c r="V139" s="5">
        <v>0</v>
      </c>
      <c r="W139" s="5">
        <v>0</v>
      </c>
      <c r="X139" s="5">
        <v>0</v>
      </c>
      <c r="Y139" s="5">
        <v>0</v>
      </c>
      <c r="Z139" s="5">
        <v>0</v>
      </c>
      <c r="AA139" s="5">
        <v>0</v>
      </c>
      <c r="AB139" s="5">
        <v>0</v>
      </c>
      <c r="AC139" s="5">
        <v>0</v>
      </c>
      <c r="AD139" s="5">
        <v>0</v>
      </c>
      <c r="AE139" s="5">
        <v>0</v>
      </c>
      <c r="AF139" s="5">
        <v>2.2250000000000001</v>
      </c>
      <c r="AG139" s="5">
        <v>10.869</v>
      </c>
      <c r="AH139" s="5">
        <v>10.416</v>
      </c>
      <c r="AI139" s="5">
        <v>10.057</v>
      </c>
      <c r="AJ139" s="5">
        <v>10.36</v>
      </c>
      <c r="AK139" s="5">
        <v>1.2E-2</v>
      </c>
      <c r="AL139" s="5">
        <v>0</v>
      </c>
      <c r="AM139" s="5">
        <v>0</v>
      </c>
      <c r="AN139" s="5">
        <v>0</v>
      </c>
      <c r="AO139" s="5">
        <v>0</v>
      </c>
      <c r="AP139" s="5">
        <v>0</v>
      </c>
      <c r="AQ139" s="5">
        <v>0</v>
      </c>
      <c r="AR139" s="5">
        <v>0</v>
      </c>
      <c r="AS139" s="5">
        <v>0</v>
      </c>
      <c r="AT139" s="5">
        <v>0</v>
      </c>
      <c r="AU139" s="5">
        <v>0</v>
      </c>
      <c r="AV139" s="5">
        <v>0</v>
      </c>
      <c r="AW139" s="815">
        <v>0</v>
      </c>
      <c r="AX139" s="816">
        <v>0</v>
      </c>
      <c r="AY139" s="819">
        <v>0</v>
      </c>
      <c r="AZ139" s="816">
        <v>0</v>
      </c>
      <c r="BA139" s="818">
        <v>0</v>
      </c>
      <c r="BB139" s="802" t="str" cm="1">
        <f t="array" ref="BB139">INDEX(C$4:BA$4,MATCH(TRUE,INDEX(C139:BA139&lt;&gt;0,),0))</f>
        <v>2007-08</v>
      </c>
      <c r="BC139" s="803" t="str" cm="1">
        <f t="array" ref="BC139">LOOKUP(2,1/(C139:BA139&lt;&gt;0),$C$4:$BA$4)</f>
        <v>2012-13</v>
      </c>
      <c r="BD139" s="804">
        <f>COUNTIF(RDprograms[[#This Row],[1978-79]:[2028-29]], "&gt;0")</f>
        <v>6</v>
      </c>
      <c r="BE139" s="805">
        <f>SUM(C139:BA139)/RDprograms[[#This Row],[Years with &gt; $0 investment]]</f>
        <v>7.3231666666666664</v>
      </c>
      <c r="BF139" s="806" t="s">
        <v>249</v>
      </c>
      <c r="BG139" s="807" t="s">
        <v>544</v>
      </c>
      <c r="BH139" s="807" t="s">
        <v>241</v>
      </c>
      <c r="BI139" s="809"/>
      <c r="BJ139" s="809"/>
      <c r="BK139" s="809"/>
      <c r="BL139" s="809"/>
      <c r="BM139" s="809"/>
      <c r="BN139" s="810"/>
      <c r="BO139" s="811" t="s">
        <v>236</v>
      </c>
      <c r="BP139" s="812"/>
      <c r="BQ139" s="812" t="s">
        <v>562</v>
      </c>
      <c r="BR139" s="812"/>
      <c r="BS139" s="812"/>
      <c r="BT139" s="812" t="s">
        <v>238</v>
      </c>
    </row>
    <row r="140" spans="1:72" ht="12.75" customHeight="1">
      <c r="A140" s="813" t="s">
        <v>542</v>
      </c>
      <c r="B140" s="820" t="s">
        <v>563</v>
      </c>
      <c r="C140" s="5">
        <v>0</v>
      </c>
      <c r="D140" s="5">
        <v>0</v>
      </c>
      <c r="E140" s="5">
        <v>0</v>
      </c>
      <c r="F140" s="5">
        <v>0</v>
      </c>
      <c r="G140" s="5">
        <v>0</v>
      </c>
      <c r="H140" s="5">
        <v>0</v>
      </c>
      <c r="I140" s="5">
        <v>0</v>
      </c>
      <c r="J140" s="5">
        <v>0</v>
      </c>
      <c r="K140" s="5">
        <v>0</v>
      </c>
      <c r="L140" s="5">
        <v>0</v>
      </c>
      <c r="M140" s="5">
        <v>0</v>
      </c>
      <c r="N140" s="5">
        <v>0</v>
      </c>
      <c r="O140" s="5">
        <v>0</v>
      </c>
      <c r="P140" s="5">
        <v>0</v>
      </c>
      <c r="Q140" s="5">
        <v>0</v>
      </c>
      <c r="R140" s="5">
        <v>0</v>
      </c>
      <c r="S140" s="5">
        <v>0</v>
      </c>
      <c r="T140" s="5">
        <v>0</v>
      </c>
      <c r="U140" s="5">
        <v>0</v>
      </c>
      <c r="V140" s="5">
        <v>0</v>
      </c>
      <c r="W140" s="5">
        <v>0</v>
      </c>
      <c r="X140" s="5">
        <v>0</v>
      </c>
      <c r="Y140" s="5">
        <v>0</v>
      </c>
      <c r="Z140" s="5">
        <v>0</v>
      </c>
      <c r="AA140" s="5">
        <v>0</v>
      </c>
      <c r="AB140" s="5">
        <v>0</v>
      </c>
      <c r="AC140" s="5">
        <v>0</v>
      </c>
      <c r="AD140" s="5">
        <v>0</v>
      </c>
      <c r="AE140" s="5">
        <v>0</v>
      </c>
      <c r="AF140" s="5">
        <v>0</v>
      </c>
      <c r="AG140" s="5">
        <v>0</v>
      </c>
      <c r="AH140" s="5">
        <v>0</v>
      </c>
      <c r="AI140" s="5">
        <v>0</v>
      </c>
      <c r="AJ140" s="5">
        <v>0</v>
      </c>
      <c r="AK140" s="5">
        <v>0</v>
      </c>
      <c r="AL140" s="5">
        <v>0</v>
      </c>
      <c r="AM140" s="5">
        <v>2.5</v>
      </c>
      <c r="AN140" s="5">
        <v>2.7</v>
      </c>
      <c r="AO140" s="5">
        <v>3</v>
      </c>
      <c r="AP140" s="5">
        <v>3.1</v>
      </c>
      <c r="AQ140" s="5">
        <v>3</v>
      </c>
      <c r="AR140" s="5">
        <v>3.1</v>
      </c>
      <c r="AS140" s="5">
        <v>3.4</v>
      </c>
      <c r="AT140" s="5">
        <v>4</v>
      </c>
      <c r="AU140" s="5">
        <v>4.8949999999999996</v>
      </c>
      <c r="AV140" s="5">
        <v>3.2850000000000001</v>
      </c>
      <c r="AW140" s="815">
        <v>0</v>
      </c>
      <c r="AX140" s="816">
        <v>0</v>
      </c>
      <c r="AY140" s="819">
        <v>0</v>
      </c>
      <c r="AZ140" s="816">
        <v>0</v>
      </c>
      <c r="BA140" s="818">
        <v>0</v>
      </c>
      <c r="BB140" s="802" t="str" cm="1">
        <f t="array" ref="BB140">INDEX(C$4:BA$4,MATCH(TRUE,INDEX(C140:BA140&lt;&gt;0,),0))</f>
        <v>2014-15</v>
      </c>
      <c r="BC140" s="803" t="str" cm="1">
        <f t="array" ref="BC140">LOOKUP(2,1/(C140:BA140&lt;&gt;0),$C$4:$BA$4)</f>
        <v>2023-24</v>
      </c>
      <c r="BD140" s="804">
        <f>COUNTIF(RDprograms[[#This Row],[1978-79]:[2028-29]], "&gt;0")</f>
        <v>10</v>
      </c>
      <c r="BE140" s="805">
        <f>SUM(C140:BA140)/RDprograms[[#This Row],[Years with &gt; $0 investment]]</f>
        <v>3.2979999999999996</v>
      </c>
      <c r="BF140" s="806" t="s">
        <v>273</v>
      </c>
      <c r="BG140" s="807" t="s">
        <v>544</v>
      </c>
      <c r="BH140" s="807" t="s">
        <v>258</v>
      </c>
      <c r="BI140" s="809"/>
      <c r="BJ140" s="809"/>
      <c r="BK140" s="809"/>
      <c r="BL140" s="809"/>
      <c r="BM140" s="809"/>
      <c r="BN140" s="810"/>
      <c r="BO140" s="811" t="s">
        <v>236</v>
      </c>
      <c r="BP140" s="812" t="s">
        <v>564</v>
      </c>
      <c r="BQ140" s="812"/>
      <c r="BR140" s="812"/>
      <c r="BS140" s="812"/>
      <c r="BT140" s="812"/>
    </row>
    <row r="141" spans="1:72" ht="12.75" customHeight="1">
      <c r="A141" s="813" t="s">
        <v>542</v>
      </c>
      <c r="B141" s="820" t="s">
        <v>565</v>
      </c>
      <c r="C141" s="5">
        <v>0</v>
      </c>
      <c r="D141" s="5">
        <v>0</v>
      </c>
      <c r="E141" s="5">
        <v>0</v>
      </c>
      <c r="F141" s="5">
        <v>0</v>
      </c>
      <c r="G141" s="5">
        <v>0</v>
      </c>
      <c r="H141" s="5">
        <v>0</v>
      </c>
      <c r="I141" s="5">
        <v>0</v>
      </c>
      <c r="J141" s="5">
        <v>0</v>
      </c>
      <c r="K141" s="5">
        <v>0</v>
      </c>
      <c r="L141" s="5">
        <v>0</v>
      </c>
      <c r="M141" s="5">
        <v>0</v>
      </c>
      <c r="N141" s="5">
        <v>0</v>
      </c>
      <c r="O141" s="5">
        <v>0</v>
      </c>
      <c r="P141" s="5">
        <v>0</v>
      </c>
      <c r="Q141" s="5">
        <v>0</v>
      </c>
      <c r="R141" s="5">
        <v>0</v>
      </c>
      <c r="S141" s="5">
        <v>0</v>
      </c>
      <c r="T141" s="5">
        <v>0</v>
      </c>
      <c r="U141" s="5">
        <v>0</v>
      </c>
      <c r="V141" s="5">
        <v>0</v>
      </c>
      <c r="W141" s="5">
        <v>0</v>
      </c>
      <c r="X141" s="5">
        <v>0</v>
      </c>
      <c r="Y141" s="5">
        <v>0</v>
      </c>
      <c r="Z141" s="5">
        <v>0</v>
      </c>
      <c r="AA141" s="5">
        <v>0</v>
      </c>
      <c r="AB141" s="5">
        <v>0</v>
      </c>
      <c r="AC141" s="5">
        <v>0</v>
      </c>
      <c r="AD141" s="5">
        <v>0</v>
      </c>
      <c r="AE141" s="5">
        <v>0</v>
      </c>
      <c r="AF141" s="5">
        <v>1.2</v>
      </c>
      <c r="AG141" s="5">
        <v>3</v>
      </c>
      <c r="AH141" s="5">
        <v>4</v>
      </c>
      <c r="AI141" s="5">
        <v>4.3</v>
      </c>
      <c r="AJ141" s="5">
        <v>5.4</v>
      </c>
      <c r="AK141" s="5">
        <v>6.8</v>
      </c>
      <c r="AL141" s="5">
        <v>6.8</v>
      </c>
      <c r="AM141" s="5">
        <v>4.5</v>
      </c>
      <c r="AN141" s="5">
        <v>6.5</v>
      </c>
      <c r="AO141" s="5">
        <v>3</v>
      </c>
      <c r="AP141" s="5">
        <v>0</v>
      </c>
      <c r="AQ141" s="5">
        <v>0</v>
      </c>
      <c r="AR141" s="5">
        <v>0</v>
      </c>
      <c r="AS141" s="5">
        <v>0</v>
      </c>
      <c r="AT141" s="5">
        <v>0</v>
      </c>
      <c r="AU141" s="5">
        <v>0</v>
      </c>
      <c r="AV141" s="5">
        <v>0</v>
      </c>
      <c r="AW141" s="815">
        <v>0</v>
      </c>
      <c r="AX141" s="816">
        <v>0</v>
      </c>
      <c r="AY141" s="819">
        <v>0</v>
      </c>
      <c r="AZ141" s="816">
        <v>0</v>
      </c>
      <c r="BA141" s="818">
        <v>0</v>
      </c>
      <c r="BB141" s="802" t="str" cm="1">
        <f t="array" ref="BB141">INDEX(C$4:BA$4,MATCH(TRUE,INDEX(C141:BA141&lt;&gt;0,),0))</f>
        <v>2007-08</v>
      </c>
      <c r="BC141" s="803" t="str" cm="1">
        <f t="array" ref="BC141">LOOKUP(2,1/(C141:BA141&lt;&gt;0),$C$4:$BA$4)</f>
        <v>2016-17</v>
      </c>
      <c r="BD141" s="804">
        <f>COUNTIF(RDprograms[[#This Row],[1978-79]:[2028-29]], "&gt;0")</f>
        <v>10</v>
      </c>
      <c r="BE141" s="805">
        <f>SUM(C141:BA141)/RDprograms[[#This Row],[Years with &gt; $0 investment]]</f>
        <v>4.55</v>
      </c>
      <c r="BF141" s="806" t="s">
        <v>273</v>
      </c>
      <c r="BG141" s="807" t="s">
        <v>544</v>
      </c>
      <c r="BH141" s="807" t="s">
        <v>241</v>
      </c>
      <c r="BI141" s="809"/>
      <c r="BJ141" s="809"/>
      <c r="BK141" s="809"/>
      <c r="BL141" s="809"/>
      <c r="BM141" s="809"/>
      <c r="BN141" s="810"/>
      <c r="BO141" s="811" t="s">
        <v>236</v>
      </c>
      <c r="BP141" s="812" t="s">
        <v>566</v>
      </c>
      <c r="BQ141" s="812" t="s">
        <v>562</v>
      </c>
      <c r="BR141" s="812"/>
      <c r="BS141" s="812"/>
      <c r="BT141" s="812" t="s">
        <v>238</v>
      </c>
    </row>
    <row r="142" spans="1:72" ht="12.75" customHeight="1">
      <c r="A142" s="813" t="s">
        <v>542</v>
      </c>
      <c r="B142" s="820" t="s">
        <v>567</v>
      </c>
      <c r="C142" s="5">
        <v>0</v>
      </c>
      <c r="D142" s="5">
        <v>0</v>
      </c>
      <c r="E142" s="5">
        <v>0</v>
      </c>
      <c r="F142" s="5">
        <v>0</v>
      </c>
      <c r="G142" s="5">
        <v>0</v>
      </c>
      <c r="H142" s="5">
        <v>0</v>
      </c>
      <c r="I142" s="5">
        <v>0</v>
      </c>
      <c r="J142" s="5">
        <v>0</v>
      </c>
      <c r="K142" s="5">
        <v>0</v>
      </c>
      <c r="L142" s="5">
        <v>0</v>
      </c>
      <c r="M142" s="5">
        <v>0</v>
      </c>
      <c r="N142" s="5">
        <v>0</v>
      </c>
      <c r="O142" s="5">
        <v>0</v>
      </c>
      <c r="P142" s="5">
        <v>0</v>
      </c>
      <c r="Q142" s="5">
        <v>0</v>
      </c>
      <c r="R142" s="5">
        <v>0</v>
      </c>
      <c r="S142" s="5">
        <v>0</v>
      </c>
      <c r="T142" s="5">
        <v>0</v>
      </c>
      <c r="U142" s="5">
        <v>0</v>
      </c>
      <c r="V142" s="5">
        <v>0</v>
      </c>
      <c r="W142" s="5">
        <v>0</v>
      </c>
      <c r="X142" s="5">
        <v>0</v>
      </c>
      <c r="Y142" s="5">
        <v>0</v>
      </c>
      <c r="Z142" s="5">
        <v>0</v>
      </c>
      <c r="AA142" s="5">
        <v>0</v>
      </c>
      <c r="AB142" s="5">
        <v>0</v>
      </c>
      <c r="AC142" s="5">
        <v>0</v>
      </c>
      <c r="AD142" s="5">
        <v>0</v>
      </c>
      <c r="AE142" s="5">
        <v>0</v>
      </c>
      <c r="AF142" s="5">
        <v>0</v>
      </c>
      <c r="AG142" s="5">
        <v>0</v>
      </c>
      <c r="AH142" s="5">
        <v>0</v>
      </c>
      <c r="AI142" s="5">
        <v>0</v>
      </c>
      <c r="AJ142" s="5">
        <v>0</v>
      </c>
      <c r="AK142" s="5">
        <v>0</v>
      </c>
      <c r="AL142" s="5">
        <v>0</v>
      </c>
      <c r="AM142" s="5">
        <v>0</v>
      </c>
      <c r="AN142" s="5">
        <v>0</v>
      </c>
      <c r="AO142" s="5">
        <v>39.5</v>
      </c>
      <c r="AP142" s="5">
        <v>55.3</v>
      </c>
      <c r="AQ142" s="5">
        <v>52.9</v>
      </c>
      <c r="AR142" s="5">
        <v>64.587000000000003</v>
      </c>
      <c r="AS142" s="5">
        <v>97.9</v>
      </c>
      <c r="AT142" s="5">
        <v>99.858999999999995</v>
      </c>
      <c r="AU142" s="5">
        <v>100.925</v>
      </c>
      <c r="AV142" s="5">
        <v>0</v>
      </c>
      <c r="AW142" s="815">
        <v>0</v>
      </c>
      <c r="AX142" s="816">
        <v>0</v>
      </c>
      <c r="AY142" s="819">
        <v>0</v>
      </c>
      <c r="AZ142" s="816">
        <v>0</v>
      </c>
      <c r="BA142" s="818"/>
      <c r="BB142" s="802" t="str" cm="1">
        <f t="array" ref="BB142">INDEX(C$4:BA$4,MATCH(TRUE,INDEX(C142:BA142&lt;&gt;0,),0))</f>
        <v>2016-17</v>
      </c>
      <c r="BC142" s="803" t="str" cm="1">
        <f t="array" ref="BC142">LOOKUP(2,1/(C142:BA142&lt;&gt;0),$C$4:$BA$4)</f>
        <v>2022-23</v>
      </c>
      <c r="BD142" s="804">
        <f>COUNTIF(RDprograms[[#This Row],[1978-79]:[2028-29]], "&gt;0")</f>
        <v>7</v>
      </c>
      <c r="BE142" s="805">
        <f>SUM(C142:BA142)/RDprograms[[#This Row],[Years with &gt; $0 investment]]</f>
        <v>72.995857142857147</v>
      </c>
      <c r="BF142" s="806" t="s">
        <v>240</v>
      </c>
      <c r="BG142" s="807" t="s">
        <v>544</v>
      </c>
      <c r="BH142" s="807" t="s">
        <v>241</v>
      </c>
      <c r="BI142" s="809"/>
      <c r="BJ142" s="809"/>
      <c r="BK142" s="809"/>
      <c r="BL142" s="809"/>
      <c r="BM142" s="809"/>
      <c r="BN142" s="810"/>
      <c r="BO142" s="811" t="s">
        <v>236</v>
      </c>
      <c r="BP142" s="812" t="s">
        <v>547</v>
      </c>
      <c r="BQ142" s="812" t="s">
        <v>548</v>
      </c>
      <c r="BR142" s="812"/>
      <c r="BS142" s="812"/>
      <c r="BT142" s="828" t="s">
        <v>277</v>
      </c>
    </row>
    <row r="143" spans="1:72" ht="12.75" customHeight="1">
      <c r="A143" s="813" t="s">
        <v>542</v>
      </c>
      <c r="B143" s="820" t="s">
        <v>568</v>
      </c>
      <c r="C143" s="5">
        <v>77.8</v>
      </c>
      <c r="D143" s="5">
        <v>85.9</v>
      </c>
      <c r="E143" s="5">
        <v>95.4</v>
      </c>
      <c r="F143" s="5">
        <v>126.1</v>
      </c>
      <c r="G143" s="5">
        <v>138.80000000000001</v>
      </c>
      <c r="H143" s="5">
        <v>146.6</v>
      </c>
      <c r="I143" s="5">
        <v>158.4</v>
      </c>
      <c r="J143" s="5">
        <v>165.9</v>
      </c>
      <c r="K143" s="5">
        <v>191.4</v>
      </c>
      <c r="L143" s="5">
        <v>195.1</v>
      </c>
      <c r="M143" s="5">
        <v>219</v>
      </c>
      <c r="N143" s="5">
        <v>235</v>
      </c>
      <c r="O143" s="5">
        <v>237.1</v>
      </c>
      <c r="P143" s="5">
        <v>242.4</v>
      </c>
      <c r="Q143" s="5">
        <v>241.5</v>
      </c>
      <c r="R143" s="5">
        <v>268.5</v>
      </c>
      <c r="S143" s="5">
        <v>247.4</v>
      </c>
      <c r="T143" s="5">
        <v>267.60000000000002</v>
      </c>
      <c r="U143" s="5">
        <v>254.9</v>
      </c>
      <c r="V143" s="5">
        <v>212.1</v>
      </c>
      <c r="W143" s="5">
        <v>221.3</v>
      </c>
      <c r="X143" s="5">
        <v>237.6</v>
      </c>
      <c r="Y143" s="5">
        <v>261</v>
      </c>
      <c r="Z143" s="5">
        <v>275</v>
      </c>
      <c r="AA143" s="5">
        <v>283.39999999999998</v>
      </c>
      <c r="AB143" s="5">
        <v>293.89999999999998</v>
      </c>
      <c r="AC143" s="5">
        <v>315.39999999999998</v>
      </c>
      <c r="AD143" s="5">
        <v>351.13099999999997</v>
      </c>
      <c r="AE143" s="5">
        <v>408.1</v>
      </c>
      <c r="AF143" s="5">
        <v>406.04</v>
      </c>
      <c r="AG143" s="5">
        <v>379.54599999999999</v>
      </c>
      <c r="AH143" s="5">
        <v>407.60599999999999</v>
      </c>
      <c r="AI143" s="5">
        <v>421.71499999999997</v>
      </c>
      <c r="AJ143" s="5">
        <v>450.91199999999998</v>
      </c>
      <c r="AK143" s="5">
        <v>434.07</v>
      </c>
      <c r="AL143" s="5">
        <v>425.66399999999999</v>
      </c>
      <c r="AM143" s="5">
        <v>439.76600000000002</v>
      </c>
      <c r="AN143" s="5">
        <v>503.483</v>
      </c>
      <c r="AO143" s="5">
        <v>447.46800000000002</v>
      </c>
      <c r="AP143" s="5">
        <v>471.86599999999999</v>
      </c>
      <c r="AQ143" s="5">
        <v>468.75400000000002</v>
      </c>
      <c r="AR143" s="5">
        <v>377.71199999999999</v>
      </c>
      <c r="AS143" s="5">
        <v>441.72700000000003</v>
      </c>
      <c r="AT143" s="5">
        <v>493.209</v>
      </c>
      <c r="AU143" s="5">
        <v>512.95899999999995</v>
      </c>
      <c r="AV143" s="5">
        <v>488.39400000000001</v>
      </c>
      <c r="AW143" s="815">
        <v>538.27599999999995</v>
      </c>
      <c r="AX143" s="816">
        <v>543.06100000000004</v>
      </c>
      <c r="AY143" s="819">
        <v>553.86800000000005</v>
      </c>
      <c r="AZ143" s="816">
        <v>605.25699999999995</v>
      </c>
      <c r="BA143" s="818">
        <v>749.42700000000002</v>
      </c>
      <c r="BB143" s="802" t="str" cm="1">
        <f t="array" ref="BB143">INDEX(C$4:BA$4,MATCH(TRUE,INDEX(C143:BA143&lt;&gt;0,),0))</f>
        <v>1978-79</v>
      </c>
      <c r="BC143" s="803" t="str" cm="1">
        <f t="array" ref="BC143">LOOKUP(2,1/(C143:BA143&lt;&gt;0),$C$4:$BA$4)</f>
        <v>2028-29</v>
      </c>
      <c r="BD143" s="804">
        <f>COUNTIF(RDprograms[[#This Row],[1978-79]:[2028-29]], "&gt;0")</f>
        <v>51</v>
      </c>
      <c r="BE143" s="805">
        <f>SUM(C143:BA143)/RDprograms[[#This Row],[Years with &gt; $0 investment]]</f>
        <v>333.61786274509808</v>
      </c>
      <c r="BF143" s="806" t="s">
        <v>273</v>
      </c>
      <c r="BG143" s="807" t="s">
        <v>544</v>
      </c>
      <c r="BH143" s="807" t="s">
        <v>569</v>
      </c>
      <c r="BI143" s="809">
        <v>1</v>
      </c>
      <c r="BJ143" s="809"/>
      <c r="BK143" s="809"/>
      <c r="BL143" s="809"/>
      <c r="BM143" s="809">
        <v>1</v>
      </c>
      <c r="BN143" s="810">
        <v>1</v>
      </c>
      <c r="BO143" s="811" t="s">
        <v>236</v>
      </c>
      <c r="BP143" s="812" t="s">
        <v>570</v>
      </c>
      <c r="BQ143" s="812" t="s">
        <v>571</v>
      </c>
      <c r="BR143" s="812"/>
      <c r="BS143" s="812"/>
      <c r="BT143" s="812"/>
    </row>
    <row r="144" spans="1:72" ht="12.75" customHeight="1">
      <c r="A144" s="813" t="s">
        <v>542</v>
      </c>
      <c r="B144" s="820" t="s">
        <v>572</v>
      </c>
      <c r="C144" s="5">
        <v>0</v>
      </c>
      <c r="D144" s="5">
        <v>0</v>
      </c>
      <c r="E144" s="5">
        <v>0</v>
      </c>
      <c r="F144" s="5">
        <v>0</v>
      </c>
      <c r="G144" s="5">
        <v>0</v>
      </c>
      <c r="H144" s="5">
        <v>0</v>
      </c>
      <c r="I144" s="5">
        <v>0</v>
      </c>
      <c r="J144" s="5">
        <v>0</v>
      </c>
      <c r="K144" s="5">
        <v>0</v>
      </c>
      <c r="L144" s="5">
        <v>0</v>
      </c>
      <c r="M144" s="5">
        <v>0</v>
      </c>
      <c r="N144" s="5">
        <v>0</v>
      </c>
      <c r="O144" s="5">
        <v>0</v>
      </c>
      <c r="P144" s="5">
        <v>0</v>
      </c>
      <c r="Q144" s="5">
        <v>0</v>
      </c>
      <c r="R144" s="5">
        <v>0</v>
      </c>
      <c r="S144" s="5">
        <v>0</v>
      </c>
      <c r="T144" s="5">
        <v>0</v>
      </c>
      <c r="U144" s="5">
        <v>0</v>
      </c>
      <c r="V144" s="5">
        <v>0</v>
      </c>
      <c r="W144" s="5">
        <v>0</v>
      </c>
      <c r="X144" s="5">
        <v>0</v>
      </c>
      <c r="Y144" s="5">
        <v>0</v>
      </c>
      <c r="Z144" s="5">
        <v>0</v>
      </c>
      <c r="AA144" s="5">
        <v>0</v>
      </c>
      <c r="AB144" s="5">
        <v>0</v>
      </c>
      <c r="AC144" s="5">
        <v>0</v>
      </c>
      <c r="AD144" s="5">
        <v>0</v>
      </c>
      <c r="AE144" s="5">
        <v>0</v>
      </c>
      <c r="AF144" s="5">
        <v>0</v>
      </c>
      <c r="AG144" s="5">
        <v>0</v>
      </c>
      <c r="AH144" s="5">
        <v>0</v>
      </c>
      <c r="AI144" s="5">
        <v>0</v>
      </c>
      <c r="AJ144" s="5">
        <v>0</v>
      </c>
      <c r="AK144" s="5">
        <v>0</v>
      </c>
      <c r="AL144" s="5">
        <v>0</v>
      </c>
      <c r="AM144" s="5">
        <v>0</v>
      </c>
      <c r="AN144" s="5">
        <v>0</v>
      </c>
      <c r="AO144" s="5">
        <v>0</v>
      </c>
      <c r="AP144" s="5">
        <v>0</v>
      </c>
      <c r="AQ144" s="5">
        <v>0</v>
      </c>
      <c r="AR144" s="5">
        <v>0</v>
      </c>
      <c r="AS144" s="5">
        <v>1.8560000000000001</v>
      </c>
      <c r="AT144" s="5">
        <v>2.609</v>
      </c>
      <c r="AU144" s="5">
        <v>2</v>
      </c>
      <c r="AV144" s="5">
        <v>2</v>
      </c>
      <c r="AW144" s="815">
        <v>2</v>
      </c>
      <c r="AX144" s="816">
        <v>1.5</v>
      </c>
      <c r="AY144" s="819">
        <v>0</v>
      </c>
      <c r="AZ144" s="816"/>
      <c r="BA144" s="818"/>
      <c r="BB144" s="802" t="str" cm="1">
        <f t="array" ref="BB144">INDEX(C$4:BA$4,MATCH(TRUE,INDEX(C144:BA144&lt;&gt;0,),0))</f>
        <v>2020-21</v>
      </c>
      <c r="BC144" s="803" t="str" cm="1">
        <f t="array" ref="BC144">LOOKUP(2,1/(C144:BA144&lt;&gt;0),$C$4:$BA$4)</f>
        <v>2025-26</v>
      </c>
      <c r="BD144" s="804">
        <f>COUNTIF(RDprograms[[#This Row],[1978-79]:[2028-29]], "&gt;0")</f>
        <v>6</v>
      </c>
      <c r="BE144" s="805">
        <f>SUM(C144:BA144)/RDprograms[[#This Row],[Years with &gt; $0 investment]]</f>
        <v>1.9941666666666666</v>
      </c>
      <c r="BF144" s="806" t="s">
        <v>273</v>
      </c>
      <c r="BG144" s="807" t="s">
        <v>544</v>
      </c>
      <c r="BH144" s="807" t="s">
        <v>258</v>
      </c>
      <c r="BI144" s="809"/>
      <c r="BJ144" s="809"/>
      <c r="BK144" s="809"/>
      <c r="BL144" s="809"/>
      <c r="BM144" s="809">
        <v>1</v>
      </c>
      <c r="BN144" s="810"/>
      <c r="BO144" s="811" t="s">
        <v>236</v>
      </c>
      <c r="BP144" s="812" t="s">
        <v>573</v>
      </c>
      <c r="BQ144" s="812" t="s">
        <v>574</v>
      </c>
      <c r="BR144" s="812"/>
      <c r="BS144" s="812"/>
      <c r="BT144" s="812" t="s">
        <v>238</v>
      </c>
    </row>
    <row r="145" spans="1:72" ht="12.75" customHeight="1">
      <c r="A145" s="813" t="s">
        <v>542</v>
      </c>
      <c r="B145" s="820" t="s">
        <v>575</v>
      </c>
      <c r="C145" s="5">
        <v>0</v>
      </c>
      <c r="D145" s="5">
        <v>0</v>
      </c>
      <c r="E145" s="5">
        <v>0</v>
      </c>
      <c r="F145" s="5">
        <v>0</v>
      </c>
      <c r="G145" s="5">
        <v>0</v>
      </c>
      <c r="H145" s="5">
        <v>0</v>
      </c>
      <c r="I145" s="5">
        <v>0</v>
      </c>
      <c r="J145" s="5">
        <v>0</v>
      </c>
      <c r="K145" s="5">
        <v>0</v>
      </c>
      <c r="L145" s="5">
        <v>0</v>
      </c>
      <c r="M145" s="5">
        <v>0</v>
      </c>
      <c r="N145" s="5">
        <v>0</v>
      </c>
      <c r="O145" s="5">
        <v>0</v>
      </c>
      <c r="P145" s="5">
        <v>0</v>
      </c>
      <c r="Q145" s="5">
        <v>0</v>
      </c>
      <c r="R145" s="5">
        <v>0</v>
      </c>
      <c r="S145" s="5">
        <v>0</v>
      </c>
      <c r="T145" s="5">
        <v>0</v>
      </c>
      <c r="U145" s="5">
        <v>0</v>
      </c>
      <c r="V145" s="5">
        <v>0</v>
      </c>
      <c r="W145" s="5">
        <v>0</v>
      </c>
      <c r="X145" s="5">
        <v>0</v>
      </c>
      <c r="Y145" s="5">
        <v>0</v>
      </c>
      <c r="Z145" s="5">
        <v>0</v>
      </c>
      <c r="AA145" s="5">
        <v>0</v>
      </c>
      <c r="AB145" s="5">
        <v>0</v>
      </c>
      <c r="AC145" s="5">
        <v>0</v>
      </c>
      <c r="AD145" s="5">
        <v>0</v>
      </c>
      <c r="AE145" s="5">
        <v>0</v>
      </c>
      <c r="AF145" s="5">
        <v>0</v>
      </c>
      <c r="AG145" s="5">
        <v>0</v>
      </c>
      <c r="AH145" s="5">
        <v>0</v>
      </c>
      <c r="AI145" s="5">
        <v>0</v>
      </c>
      <c r="AJ145" s="5">
        <v>0</v>
      </c>
      <c r="AK145" s="5">
        <v>0</v>
      </c>
      <c r="AL145" s="5">
        <v>0</v>
      </c>
      <c r="AM145" s="5">
        <v>0</v>
      </c>
      <c r="AN145" s="5">
        <v>0</v>
      </c>
      <c r="AO145" s="5">
        <v>0</v>
      </c>
      <c r="AP145" s="816">
        <v>0</v>
      </c>
      <c r="AQ145" s="816">
        <v>0</v>
      </c>
      <c r="AR145" s="5">
        <v>0</v>
      </c>
      <c r="AS145" s="5">
        <v>0.501</v>
      </c>
      <c r="AT145" s="5">
        <v>4.82</v>
      </c>
      <c r="AU145" s="5">
        <v>0.83599999999999997</v>
      </c>
      <c r="AV145" s="5">
        <v>0.33900000000000002</v>
      </c>
      <c r="AW145" s="815">
        <v>2.1480000000000001</v>
      </c>
      <c r="AX145" s="816">
        <v>2.536</v>
      </c>
      <c r="AY145" s="819">
        <v>2.2229999999999999</v>
      </c>
      <c r="AZ145" s="816">
        <v>2.839</v>
      </c>
      <c r="BA145" s="818">
        <v>2.3879999999999999</v>
      </c>
      <c r="BB145" s="802" t="str" cm="1">
        <f t="array" ref="BB145">INDEX(C$4:BA$4,MATCH(TRUE,INDEX(C145:BA145&lt;&gt;0,),0))</f>
        <v>2020-21</v>
      </c>
      <c r="BC145" s="803" t="str" cm="1">
        <f t="array" ref="BC145">LOOKUP(2,1/(C145:BA145&lt;&gt;0),$C$4:$BA$4)</f>
        <v>2028-29</v>
      </c>
      <c r="BD145" s="804">
        <f>COUNTIF(RDprograms[[#This Row],[1978-79]:[2028-29]], "&gt;0")</f>
        <v>9</v>
      </c>
      <c r="BE145" s="805">
        <f>SUM(C145:BA145)/RDprograms[[#This Row],[Years with &gt; $0 investment]]</f>
        <v>2.0700000000000003</v>
      </c>
      <c r="BF145" s="806" t="s">
        <v>273</v>
      </c>
      <c r="BG145" s="807" t="s">
        <v>544</v>
      </c>
      <c r="BH145" s="807" t="s">
        <v>258</v>
      </c>
      <c r="BI145" s="809"/>
      <c r="BJ145" s="809"/>
      <c r="BK145" s="809"/>
      <c r="BL145" s="809"/>
      <c r="BM145" s="809">
        <v>1</v>
      </c>
      <c r="BN145" s="810"/>
      <c r="BO145" s="811" t="s">
        <v>236</v>
      </c>
      <c r="BP145" s="812" t="s">
        <v>576</v>
      </c>
      <c r="BQ145" s="812"/>
      <c r="BR145" s="812"/>
      <c r="BS145" s="812"/>
      <c r="BT145" s="812" t="s">
        <v>238</v>
      </c>
    </row>
    <row r="146" spans="1:72" ht="12.75" customHeight="1">
      <c r="A146" s="813" t="s">
        <v>542</v>
      </c>
      <c r="B146" s="820" t="s">
        <v>577</v>
      </c>
      <c r="C146" s="5">
        <v>0</v>
      </c>
      <c r="D146" s="5">
        <v>0</v>
      </c>
      <c r="E146" s="5">
        <v>0</v>
      </c>
      <c r="F146" s="5">
        <v>0</v>
      </c>
      <c r="G146" s="5">
        <v>0</v>
      </c>
      <c r="H146" s="5">
        <v>0</v>
      </c>
      <c r="I146" s="5">
        <v>0</v>
      </c>
      <c r="J146" s="5">
        <v>0</v>
      </c>
      <c r="K146" s="5">
        <v>0</v>
      </c>
      <c r="L146" s="5">
        <v>0</v>
      </c>
      <c r="M146" s="5">
        <v>0</v>
      </c>
      <c r="N146" s="5">
        <v>0</v>
      </c>
      <c r="O146" s="5">
        <v>0</v>
      </c>
      <c r="P146" s="5">
        <v>0</v>
      </c>
      <c r="Q146" s="5">
        <v>0</v>
      </c>
      <c r="R146" s="5">
        <v>0</v>
      </c>
      <c r="S146" s="5">
        <v>0</v>
      </c>
      <c r="T146" s="5">
        <v>0</v>
      </c>
      <c r="U146" s="5">
        <v>0</v>
      </c>
      <c r="V146" s="5">
        <v>0</v>
      </c>
      <c r="W146" s="5">
        <v>0</v>
      </c>
      <c r="X146" s="5">
        <v>0</v>
      </c>
      <c r="Y146" s="5">
        <v>0</v>
      </c>
      <c r="Z146" s="5">
        <v>0</v>
      </c>
      <c r="AA146" s="5">
        <v>0</v>
      </c>
      <c r="AB146" s="5">
        <v>0</v>
      </c>
      <c r="AC146" s="5">
        <v>0</v>
      </c>
      <c r="AD146" s="5">
        <v>0</v>
      </c>
      <c r="AE146" s="5">
        <v>0</v>
      </c>
      <c r="AF146" s="5">
        <v>0</v>
      </c>
      <c r="AG146" s="5">
        <v>0</v>
      </c>
      <c r="AH146" s="5">
        <v>0</v>
      </c>
      <c r="AI146" s="5">
        <v>0</v>
      </c>
      <c r="AJ146" s="5">
        <v>0</v>
      </c>
      <c r="AK146" s="5">
        <v>0</v>
      </c>
      <c r="AL146" s="5">
        <v>0.46</v>
      </c>
      <c r="AM146" s="5">
        <v>0.35199999999999998</v>
      </c>
      <c r="AN146" s="5">
        <v>0.496</v>
      </c>
      <c r="AO146" s="5">
        <v>0.22900000000000001</v>
      </c>
      <c r="AP146" s="5">
        <v>0.33800000000000002</v>
      </c>
      <c r="AQ146" s="5">
        <v>0.21</v>
      </c>
      <c r="AR146" s="5">
        <v>0</v>
      </c>
      <c r="AS146" s="5">
        <v>0.16800000000000001</v>
      </c>
      <c r="AT146" s="5">
        <v>14.991</v>
      </c>
      <c r="AU146" s="5">
        <v>0.37</v>
      </c>
      <c r="AV146" s="5">
        <v>9.2999999999999999E-2</v>
      </c>
      <c r="AW146" s="815">
        <v>1.3640000000000001</v>
      </c>
      <c r="AX146" s="816">
        <v>1.391</v>
      </c>
      <c r="AY146" s="819">
        <v>1.429</v>
      </c>
      <c r="AZ146" s="816">
        <v>1.458</v>
      </c>
      <c r="BA146" s="818">
        <v>1.4870000000000001</v>
      </c>
      <c r="BB146" s="802" t="str" cm="1">
        <f t="array" ref="BB146">INDEX(C$4:BA$4,MATCH(TRUE,INDEX(C146:BA146&lt;&gt;0,),0))</f>
        <v>2013-14</v>
      </c>
      <c r="BC146" s="803" t="str" cm="1">
        <f t="array" ref="BC146">LOOKUP(2,1/(C146:BA146&lt;&gt;0),$C$4:$BA$4)</f>
        <v>2028-29</v>
      </c>
      <c r="BD146" s="804">
        <f>COUNTIF(RDprograms[[#This Row],[1978-79]:[2028-29]], "&gt;0")</f>
        <v>15</v>
      </c>
      <c r="BE146" s="805">
        <f>SUM(C146:BA146)/RDprograms[[#This Row],[Years with &gt; $0 investment]]</f>
        <v>1.6557333333333333</v>
      </c>
      <c r="BF146" s="806" t="s">
        <v>273</v>
      </c>
      <c r="BG146" s="807" t="s">
        <v>544</v>
      </c>
      <c r="BH146" s="807" t="s">
        <v>258</v>
      </c>
      <c r="BI146" s="809"/>
      <c r="BJ146" s="809"/>
      <c r="BK146" s="809"/>
      <c r="BL146" s="809"/>
      <c r="BM146" s="809">
        <v>1</v>
      </c>
      <c r="BN146" s="810"/>
      <c r="BO146" s="811" t="s">
        <v>236</v>
      </c>
      <c r="BP146" s="812" t="s">
        <v>578</v>
      </c>
      <c r="BQ146" s="812" t="s">
        <v>579</v>
      </c>
      <c r="BR146" s="812"/>
      <c r="BS146" s="812"/>
      <c r="BT146" s="812" t="s">
        <v>238</v>
      </c>
    </row>
    <row r="147" spans="1:72" ht="12.75" customHeight="1">
      <c r="A147" s="813" t="s">
        <v>542</v>
      </c>
      <c r="B147" s="820" t="s">
        <v>580</v>
      </c>
      <c r="C147" s="5">
        <v>0</v>
      </c>
      <c r="D147" s="5">
        <v>0</v>
      </c>
      <c r="E147" s="5">
        <v>0</v>
      </c>
      <c r="F147" s="5">
        <v>0</v>
      </c>
      <c r="G147" s="5">
        <v>0</v>
      </c>
      <c r="H147" s="5">
        <v>0</v>
      </c>
      <c r="I147" s="5">
        <v>0</v>
      </c>
      <c r="J147" s="5">
        <v>0</v>
      </c>
      <c r="K147" s="5">
        <v>0</v>
      </c>
      <c r="L147" s="5">
        <v>0</v>
      </c>
      <c r="M147" s="5">
        <v>0</v>
      </c>
      <c r="N147" s="5">
        <v>0</v>
      </c>
      <c r="O147" s="5">
        <v>0</v>
      </c>
      <c r="P147" s="5">
        <v>0</v>
      </c>
      <c r="Q147" s="5">
        <v>0</v>
      </c>
      <c r="R147" s="5">
        <v>0</v>
      </c>
      <c r="S147" s="5">
        <v>0</v>
      </c>
      <c r="T147" s="5">
        <v>0</v>
      </c>
      <c r="U147" s="5">
        <v>0</v>
      </c>
      <c r="V147" s="5">
        <v>0</v>
      </c>
      <c r="W147" s="5">
        <v>0</v>
      </c>
      <c r="X147" s="5">
        <v>0</v>
      </c>
      <c r="Y147" s="5">
        <v>0</v>
      </c>
      <c r="Z147" s="5">
        <v>0</v>
      </c>
      <c r="AA147" s="5">
        <v>0</v>
      </c>
      <c r="AB147" s="5">
        <v>0</v>
      </c>
      <c r="AC147" s="5">
        <v>0</v>
      </c>
      <c r="AD147" s="5">
        <v>0</v>
      </c>
      <c r="AE147" s="5">
        <v>0</v>
      </c>
      <c r="AF147" s="5">
        <v>0</v>
      </c>
      <c r="AG147" s="5">
        <v>0</v>
      </c>
      <c r="AH147" s="5">
        <v>0</v>
      </c>
      <c r="AI147" s="5">
        <v>0</v>
      </c>
      <c r="AJ147" s="5">
        <v>0</v>
      </c>
      <c r="AK147" s="5">
        <v>0</v>
      </c>
      <c r="AL147" s="5">
        <v>0</v>
      </c>
      <c r="AM147" s="5">
        <v>0</v>
      </c>
      <c r="AN147" s="5">
        <v>0</v>
      </c>
      <c r="AO147" s="5">
        <v>0</v>
      </c>
      <c r="AP147" s="5">
        <v>0</v>
      </c>
      <c r="AQ147" s="5">
        <v>0</v>
      </c>
      <c r="AR147" s="5">
        <v>0.15</v>
      </c>
      <c r="AS147" s="5">
        <v>0</v>
      </c>
      <c r="AT147" s="5">
        <v>0</v>
      </c>
      <c r="AU147" s="5">
        <v>0</v>
      </c>
      <c r="AV147" s="5">
        <v>0</v>
      </c>
      <c r="AW147" s="815">
        <v>0</v>
      </c>
      <c r="AX147" s="816">
        <v>0</v>
      </c>
      <c r="AY147" s="819">
        <v>0</v>
      </c>
      <c r="AZ147" s="816"/>
      <c r="BA147" s="818"/>
      <c r="BB147" s="802" t="str" cm="1">
        <f t="array" ref="BB147">INDEX(C$4:BA$4,MATCH(TRUE,INDEX(C147:BA147&lt;&gt;0,),0))</f>
        <v>2019-20</v>
      </c>
      <c r="BC147" s="803" t="str" cm="1">
        <f t="array" ref="BC147">LOOKUP(2,1/(C147:BA147&lt;&gt;0),$C$4:$BA$4)</f>
        <v>2019-20</v>
      </c>
      <c r="BD147" s="804">
        <f>COUNTIF(RDprograms[[#This Row],[1978-79]:[2028-29]], "&gt;0")</f>
        <v>1</v>
      </c>
      <c r="BE147" s="805">
        <f>SUM(C147:BA147)/RDprograms[[#This Row],[Years with &gt; $0 investment]]</f>
        <v>0.15</v>
      </c>
      <c r="BF147" s="806" t="s">
        <v>273</v>
      </c>
      <c r="BG147" s="807" t="s">
        <v>544</v>
      </c>
      <c r="BH147" s="807" t="s">
        <v>258</v>
      </c>
      <c r="BI147" s="809"/>
      <c r="BJ147" s="809"/>
      <c r="BK147" s="809"/>
      <c r="BL147" s="809"/>
      <c r="BM147" s="809"/>
      <c r="BN147" s="810"/>
      <c r="BO147" s="811" t="s">
        <v>236</v>
      </c>
      <c r="BP147" s="812" t="s">
        <v>581</v>
      </c>
      <c r="BQ147" s="812"/>
      <c r="BR147" s="812"/>
      <c r="BS147" s="812"/>
      <c r="BT147" s="812" t="s">
        <v>238</v>
      </c>
    </row>
    <row r="148" spans="1:72" ht="12.75" customHeight="1">
      <c r="A148" s="813" t="s">
        <v>542</v>
      </c>
      <c r="B148" s="820" t="s">
        <v>582</v>
      </c>
      <c r="C148" s="5">
        <v>0</v>
      </c>
      <c r="D148" s="5">
        <v>0</v>
      </c>
      <c r="E148" s="5">
        <v>0</v>
      </c>
      <c r="F148" s="5">
        <v>0</v>
      </c>
      <c r="G148" s="5">
        <v>0</v>
      </c>
      <c r="H148" s="5">
        <v>0</v>
      </c>
      <c r="I148" s="5">
        <v>0</v>
      </c>
      <c r="J148" s="5">
        <v>0</v>
      </c>
      <c r="K148" s="5">
        <v>0</v>
      </c>
      <c r="L148" s="5">
        <v>0</v>
      </c>
      <c r="M148" s="5">
        <v>0</v>
      </c>
      <c r="N148" s="5">
        <v>0</v>
      </c>
      <c r="O148" s="5">
        <v>0</v>
      </c>
      <c r="P148" s="5">
        <v>0</v>
      </c>
      <c r="Q148" s="5">
        <v>0</v>
      </c>
      <c r="R148" s="5">
        <v>0</v>
      </c>
      <c r="S148" s="5">
        <v>0</v>
      </c>
      <c r="T148" s="5">
        <v>0</v>
      </c>
      <c r="U148" s="5">
        <v>0</v>
      </c>
      <c r="V148" s="5">
        <v>0</v>
      </c>
      <c r="W148" s="5">
        <v>0</v>
      </c>
      <c r="X148" s="5">
        <v>0</v>
      </c>
      <c r="Y148" s="5">
        <v>0</v>
      </c>
      <c r="Z148" s="5">
        <v>0</v>
      </c>
      <c r="AA148" s="5">
        <v>0</v>
      </c>
      <c r="AB148" s="5">
        <v>0</v>
      </c>
      <c r="AC148" s="5">
        <v>0</v>
      </c>
      <c r="AD148" s="5">
        <v>0</v>
      </c>
      <c r="AE148" s="5">
        <v>0</v>
      </c>
      <c r="AF148" s="5">
        <v>0</v>
      </c>
      <c r="AG148" s="5">
        <v>0</v>
      </c>
      <c r="AH148" s="5">
        <v>0</v>
      </c>
      <c r="AI148" s="5">
        <v>0</v>
      </c>
      <c r="AJ148" s="5">
        <v>0</v>
      </c>
      <c r="AK148" s="5">
        <v>0</v>
      </c>
      <c r="AL148" s="5">
        <v>0</v>
      </c>
      <c r="AM148" s="5">
        <v>0</v>
      </c>
      <c r="AN148" s="5">
        <v>0</v>
      </c>
      <c r="AO148" s="5">
        <v>0</v>
      </c>
      <c r="AP148" s="5">
        <v>0</v>
      </c>
      <c r="AQ148" s="5">
        <v>0</v>
      </c>
      <c r="AR148" s="5">
        <v>0</v>
      </c>
      <c r="AS148" s="5">
        <v>0</v>
      </c>
      <c r="AT148" s="5">
        <v>0</v>
      </c>
      <c r="AU148" s="5">
        <v>0</v>
      </c>
      <c r="AV148" s="5">
        <v>0</v>
      </c>
      <c r="AW148" s="815">
        <v>9.3740000000000006</v>
      </c>
      <c r="AX148" s="816">
        <v>17.399000000000001</v>
      </c>
      <c r="AY148" s="819">
        <v>13.201000000000001</v>
      </c>
      <c r="AZ148" s="826">
        <v>7.3170000000000002</v>
      </c>
      <c r="BA148" s="818">
        <v>10.353</v>
      </c>
      <c r="BB148" s="802" t="str" cm="1">
        <f t="array" ref="BB148">INDEX(C$4:BA$4,MATCH(TRUE,INDEX(C148:BA148&lt;&gt;0,),0))</f>
        <v>2024-25</v>
      </c>
      <c r="BC148" s="803" t="str" cm="1">
        <f t="array" ref="BC148">LOOKUP(2,1/(C148:BA148&lt;&gt;0),$C$4:$BA$4)</f>
        <v>2028-29</v>
      </c>
      <c r="BD148" s="804">
        <f>COUNTIF(RDprograms[[#This Row],[1978-79]:[2028-29]], "&gt;0")</f>
        <v>5</v>
      </c>
      <c r="BE148" s="805">
        <f>SUM(C148:BA148)/RDprograms[[#This Row],[Years with &gt; $0 investment]]</f>
        <v>11.5288</v>
      </c>
      <c r="BF148" s="806" t="s">
        <v>273</v>
      </c>
      <c r="BG148" s="807" t="s">
        <v>544</v>
      </c>
      <c r="BH148" s="807" t="s">
        <v>569</v>
      </c>
      <c r="BI148" s="809"/>
      <c r="BJ148" s="809"/>
      <c r="BK148" s="809"/>
      <c r="BL148" s="809"/>
      <c r="BM148" s="809">
        <v>1</v>
      </c>
      <c r="BN148" s="810"/>
      <c r="BO148" s="811" t="s">
        <v>236</v>
      </c>
      <c r="BP148" s="812" t="s">
        <v>583</v>
      </c>
      <c r="BQ148" s="812"/>
      <c r="BR148" s="812"/>
      <c r="BS148" s="812"/>
      <c r="BT148" s="812"/>
    </row>
    <row r="149" spans="1:72" ht="12.75" customHeight="1">
      <c r="A149" s="813" t="s">
        <v>542</v>
      </c>
      <c r="B149" s="820" t="s">
        <v>584</v>
      </c>
      <c r="C149" s="5">
        <v>0</v>
      </c>
      <c r="D149" s="5">
        <v>0</v>
      </c>
      <c r="E149" s="5">
        <v>0</v>
      </c>
      <c r="F149" s="5">
        <v>0</v>
      </c>
      <c r="G149" s="5">
        <v>0</v>
      </c>
      <c r="H149" s="5">
        <v>0</v>
      </c>
      <c r="I149" s="5">
        <v>0</v>
      </c>
      <c r="J149" s="5">
        <v>0</v>
      </c>
      <c r="K149" s="5">
        <v>0</v>
      </c>
      <c r="L149" s="5">
        <v>0</v>
      </c>
      <c r="M149" s="5">
        <v>0</v>
      </c>
      <c r="N149" s="5">
        <v>0</v>
      </c>
      <c r="O149" s="5">
        <v>0</v>
      </c>
      <c r="P149" s="5">
        <v>0</v>
      </c>
      <c r="Q149" s="5">
        <v>0</v>
      </c>
      <c r="R149" s="5">
        <v>0</v>
      </c>
      <c r="S149" s="5">
        <v>0</v>
      </c>
      <c r="T149" s="5">
        <v>0</v>
      </c>
      <c r="U149" s="5">
        <v>0</v>
      </c>
      <c r="V149" s="5">
        <v>0</v>
      </c>
      <c r="W149" s="5">
        <v>0</v>
      </c>
      <c r="X149" s="5">
        <v>0</v>
      </c>
      <c r="Y149" s="5">
        <v>0</v>
      </c>
      <c r="Z149" s="5">
        <v>0</v>
      </c>
      <c r="AA149" s="5">
        <v>0</v>
      </c>
      <c r="AB149" s="5">
        <v>0</v>
      </c>
      <c r="AC149" s="5">
        <v>0</v>
      </c>
      <c r="AD149" s="5">
        <v>0</v>
      </c>
      <c r="AE149" s="5">
        <v>0</v>
      </c>
      <c r="AF149" s="5">
        <v>0</v>
      </c>
      <c r="AG149" s="5">
        <v>0</v>
      </c>
      <c r="AH149" s="5">
        <v>0</v>
      </c>
      <c r="AI149" s="5">
        <v>0</v>
      </c>
      <c r="AJ149" s="5">
        <v>0</v>
      </c>
      <c r="AK149" s="5">
        <v>0</v>
      </c>
      <c r="AL149" s="5">
        <v>0</v>
      </c>
      <c r="AM149" s="5">
        <v>0</v>
      </c>
      <c r="AN149" s="5">
        <v>0</v>
      </c>
      <c r="AO149" s="5">
        <v>0</v>
      </c>
      <c r="AP149" s="5">
        <v>0</v>
      </c>
      <c r="AQ149" s="5">
        <v>0</v>
      </c>
      <c r="AR149" s="5">
        <v>0.15</v>
      </c>
      <c r="AS149" s="5">
        <v>0</v>
      </c>
      <c r="AT149" s="5">
        <v>0</v>
      </c>
      <c r="AU149" s="5">
        <v>0</v>
      </c>
      <c r="AV149" s="5">
        <v>0</v>
      </c>
      <c r="AW149" s="815">
        <v>0</v>
      </c>
      <c r="AX149" s="816">
        <v>0</v>
      </c>
      <c r="AY149" s="819">
        <v>0</v>
      </c>
      <c r="AZ149" s="816"/>
      <c r="BA149" s="818"/>
      <c r="BB149" s="802" t="str" cm="1">
        <f t="array" ref="BB149">INDEX(C$4:BA$4,MATCH(TRUE,INDEX(C149:BA149&lt;&gt;0,),0))</f>
        <v>2019-20</v>
      </c>
      <c r="BC149" s="803" t="str" cm="1">
        <f t="array" ref="BC149">LOOKUP(2,1/(C149:BA149&lt;&gt;0),$C$4:$BA$4)</f>
        <v>2019-20</v>
      </c>
      <c r="BD149" s="804">
        <f>COUNTIF(RDprograms[[#This Row],[1978-79]:[2028-29]], "&gt;0")</f>
        <v>1</v>
      </c>
      <c r="BE149" s="805">
        <f>SUM(C149:BA149)/RDprograms[[#This Row],[Years with &gt; $0 investment]]</f>
        <v>0.15</v>
      </c>
      <c r="BF149" s="806" t="s">
        <v>273</v>
      </c>
      <c r="BG149" s="807" t="s">
        <v>544</v>
      </c>
      <c r="BH149" s="807" t="s">
        <v>258</v>
      </c>
      <c r="BI149" s="809"/>
      <c r="BJ149" s="809"/>
      <c r="BK149" s="809"/>
      <c r="BL149" s="809"/>
      <c r="BM149" s="809"/>
      <c r="BN149" s="810"/>
      <c r="BO149" s="811" t="s">
        <v>236</v>
      </c>
      <c r="BP149" s="812" t="s">
        <v>581</v>
      </c>
      <c r="BQ149" s="812"/>
      <c r="BR149" s="812"/>
      <c r="BS149" s="812"/>
      <c r="BT149" s="812" t="s">
        <v>238</v>
      </c>
    </row>
    <row r="150" spans="1:72" ht="12.75" customHeight="1">
      <c r="A150" s="813" t="s">
        <v>542</v>
      </c>
      <c r="B150" s="820" t="s">
        <v>585</v>
      </c>
      <c r="C150" s="5">
        <v>0</v>
      </c>
      <c r="D150" s="5">
        <v>0</v>
      </c>
      <c r="E150" s="5">
        <v>0</v>
      </c>
      <c r="F150" s="5">
        <v>0</v>
      </c>
      <c r="G150" s="5">
        <v>0</v>
      </c>
      <c r="H150" s="5">
        <v>0</v>
      </c>
      <c r="I150" s="5">
        <v>0</v>
      </c>
      <c r="J150" s="5">
        <v>0</v>
      </c>
      <c r="K150" s="5">
        <v>0</v>
      </c>
      <c r="L150" s="5">
        <v>0</v>
      </c>
      <c r="M150" s="5">
        <v>0</v>
      </c>
      <c r="N150" s="5">
        <v>0</v>
      </c>
      <c r="O150" s="5">
        <v>0</v>
      </c>
      <c r="P150" s="5">
        <v>0</v>
      </c>
      <c r="Q150" s="5">
        <v>0</v>
      </c>
      <c r="R150" s="5">
        <v>0</v>
      </c>
      <c r="S150" s="5">
        <v>0</v>
      </c>
      <c r="T150" s="5">
        <v>0</v>
      </c>
      <c r="U150" s="5">
        <v>0</v>
      </c>
      <c r="V150" s="5">
        <v>0</v>
      </c>
      <c r="W150" s="5">
        <v>0</v>
      </c>
      <c r="X150" s="5">
        <v>0</v>
      </c>
      <c r="Y150" s="5">
        <v>0</v>
      </c>
      <c r="Z150" s="5">
        <v>0</v>
      </c>
      <c r="AA150" s="5">
        <v>0</v>
      </c>
      <c r="AB150" s="5">
        <v>0</v>
      </c>
      <c r="AC150" s="5">
        <v>0</v>
      </c>
      <c r="AD150" s="5">
        <v>0</v>
      </c>
      <c r="AE150" s="5">
        <v>0</v>
      </c>
      <c r="AF150" s="5">
        <v>0</v>
      </c>
      <c r="AG150" s="5">
        <v>0</v>
      </c>
      <c r="AH150" s="5">
        <v>0</v>
      </c>
      <c r="AI150" s="5">
        <v>0</v>
      </c>
      <c r="AJ150" s="5">
        <v>0</v>
      </c>
      <c r="AK150" s="5">
        <v>0</v>
      </c>
      <c r="AL150" s="5">
        <v>0</v>
      </c>
      <c r="AM150" s="5">
        <v>0</v>
      </c>
      <c r="AN150" s="5">
        <v>0</v>
      </c>
      <c r="AO150" s="5">
        <v>0</v>
      </c>
      <c r="AP150" s="5">
        <v>0</v>
      </c>
      <c r="AQ150" s="5">
        <v>0</v>
      </c>
      <c r="AR150" s="5">
        <v>0</v>
      </c>
      <c r="AS150" s="5">
        <v>0</v>
      </c>
      <c r="AT150" s="5">
        <v>0</v>
      </c>
      <c r="AU150" s="5">
        <v>0</v>
      </c>
      <c r="AV150" s="5">
        <v>0</v>
      </c>
      <c r="AW150" s="815">
        <v>0.38</v>
      </c>
      <c r="AX150" s="816">
        <v>0.34799999999999998</v>
      </c>
      <c r="AY150" s="819"/>
      <c r="AZ150" s="826"/>
      <c r="BA150" s="818"/>
      <c r="BB150" s="802" t="str" cm="1">
        <f t="array" ref="BB150">INDEX(C$4:BA$4,MATCH(TRUE,INDEX(C150:BA150&lt;&gt;0,),0))</f>
        <v>2024-25</v>
      </c>
      <c r="BC150" s="803" t="str" cm="1">
        <f t="array" ref="BC150">LOOKUP(2,1/(C150:BA150&lt;&gt;0),$C$4:$BA$4)</f>
        <v>2025-26</v>
      </c>
      <c r="BD150" s="804">
        <f>COUNTIF(RDprograms[[#This Row],[1978-79]:[2028-29]], "&gt;0")</f>
        <v>2</v>
      </c>
      <c r="BE150" s="805">
        <f>SUM(C150:BA150)/RDprograms[[#This Row],[Years with &gt; $0 investment]]</f>
        <v>0.36399999999999999</v>
      </c>
      <c r="BF150" s="806" t="s">
        <v>273</v>
      </c>
      <c r="BG150" s="807" t="s">
        <v>544</v>
      </c>
      <c r="BH150" s="806" t="s">
        <v>258</v>
      </c>
      <c r="BI150" s="809"/>
      <c r="BJ150" s="809"/>
      <c r="BK150" s="809"/>
      <c r="BL150" s="809"/>
      <c r="BM150" s="809"/>
      <c r="BN150" s="810">
        <v>1</v>
      </c>
      <c r="BO150" s="811" t="s">
        <v>236</v>
      </c>
      <c r="BP150" s="812" t="s">
        <v>586</v>
      </c>
      <c r="BQ150" s="812"/>
      <c r="BR150" s="812"/>
      <c r="BS150" s="812"/>
      <c r="BT150" s="812"/>
    </row>
    <row r="151" spans="1:72" ht="12.75" customHeight="1">
      <c r="A151" s="813" t="s">
        <v>542</v>
      </c>
      <c r="B151" s="820" t="s">
        <v>587</v>
      </c>
      <c r="C151" s="5">
        <v>0</v>
      </c>
      <c r="D151" s="5">
        <v>0</v>
      </c>
      <c r="E151" s="5">
        <v>0</v>
      </c>
      <c r="F151" s="5">
        <v>0</v>
      </c>
      <c r="G151" s="5">
        <v>0</v>
      </c>
      <c r="H151" s="5">
        <v>0</v>
      </c>
      <c r="I151" s="5">
        <v>0</v>
      </c>
      <c r="J151" s="5">
        <v>0</v>
      </c>
      <c r="K151" s="5">
        <v>0</v>
      </c>
      <c r="L151" s="5">
        <v>0</v>
      </c>
      <c r="M151" s="5">
        <v>0</v>
      </c>
      <c r="N151" s="5">
        <v>0</v>
      </c>
      <c r="O151" s="5">
        <v>0</v>
      </c>
      <c r="P151" s="5">
        <v>0</v>
      </c>
      <c r="Q151" s="5">
        <v>0</v>
      </c>
      <c r="R151" s="5">
        <v>0</v>
      </c>
      <c r="S151" s="5">
        <v>0</v>
      </c>
      <c r="T151" s="5">
        <v>0</v>
      </c>
      <c r="U151" s="5">
        <v>0</v>
      </c>
      <c r="V151" s="5">
        <v>0</v>
      </c>
      <c r="W151" s="5">
        <v>0</v>
      </c>
      <c r="X151" s="5">
        <v>0</v>
      </c>
      <c r="Y151" s="5">
        <v>0</v>
      </c>
      <c r="Z151" s="5">
        <v>0</v>
      </c>
      <c r="AA151" s="5">
        <v>0</v>
      </c>
      <c r="AB151" s="5">
        <v>0</v>
      </c>
      <c r="AC151" s="5">
        <v>0</v>
      </c>
      <c r="AD151" s="5">
        <v>0</v>
      </c>
      <c r="AE151" s="5">
        <v>0</v>
      </c>
      <c r="AF151" s="5">
        <v>0</v>
      </c>
      <c r="AG151" s="5">
        <v>0</v>
      </c>
      <c r="AH151" s="5">
        <v>0</v>
      </c>
      <c r="AI151" s="5">
        <v>0</v>
      </c>
      <c r="AJ151" s="5">
        <v>0</v>
      </c>
      <c r="AK151" s="5">
        <v>0</v>
      </c>
      <c r="AL151" s="5">
        <v>0</v>
      </c>
      <c r="AM151" s="5">
        <v>0</v>
      </c>
      <c r="AN151" s="5">
        <v>0</v>
      </c>
      <c r="AO151" s="5">
        <v>0</v>
      </c>
      <c r="AP151" s="5">
        <v>0</v>
      </c>
      <c r="AQ151" s="5">
        <v>0</v>
      </c>
      <c r="AR151" s="5">
        <v>0</v>
      </c>
      <c r="AS151" s="5">
        <v>0</v>
      </c>
      <c r="AT151" s="5">
        <v>0</v>
      </c>
      <c r="AU151" s="5">
        <v>0</v>
      </c>
      <c r="AV151" s="5">
        <v>0</v>
      </c>
      <c r="AW151" s="815">
        <v>0</v>
      </c>
      <c r="AX151" s="816">
        <v>0.44</v>
      </c>
      <c r="AY151" s="819"/>
      <c r="AZ151" s="826"/>
      <c r="BA151" s="818"/>
      <c r="BB151" s="802" t="str" cm="1">
        <f t="array" ref="BB151">INDEX(C$4:BA$4,MATCH(TRUE,INDEX(C151:BA151&lt;&gt;0,),0))</f>
        <v>2025-26</v>
      </c>
      <c r="BC151" s="803" t="str" cm="1">
        <f t="array" ref="BC151">LOOKUP(2,1/(C151:BA151&lt;&gt;0),$C$4:$BA$4)</f>
        <v>2025-26</v>
      </c>
      <c r="BD151" s="804">
        <f>COUNTIF(RDprograms[[#This Row],[1978-79]:[2028-29]], "&gt;0")</f>
        <v>1</v>
      </c>
      <c r="BE151" s="805">
        <f>SUM(C151:BA151)/RDprograms[[#This Row],[Years with &gt; $0 investment]]</f>
        <v>0.44</v>
      </c>
      <c r="BF151" s="806" t="s">
        <v>273</v>
      </c>
      <c r="BG151" s="807" t="s">
        <v>544</v>
      </c>
      <c r="BH151" s="806" t="s">
        <v>258</v>
      </c>
      <c r="BI151" s="809"/>
      <c r="BJ151" s="809"/>
      <c r="BK151" s="809"/>
      <c r="BL151" s="809"/>
      <c r="BM151" s="809"/>
      <c r="BN151" s="810">
        <v>1</v>
      </c>
      <c r="BO151" s="811" t="s">
        <v>236</v>
      </c>
      <c r="BP151" s="812" t="s">
        <v>588</v>
      </c>
      <c r="BQ151" s="812"/>
      <c r="BR151" s="812"/>
      <c r="BS151" s="812"/>
      <c r="BT151" s="812"/>
    </row>
    <row r="152" spans="1:72" ht="12.75" customHeight="1">
      <c r="A152" s="813" t="s">
        <v>542</v>
      </c>
      <c r="B152" s="820" t="s">
        <v>589</v>
      </c>
      <c r="C152" s="5">
        <v>0</v>
      </c>
      <c r="D152" s="5">
        <v>0</v>
      </c>
      <c r="E152" s="5">
        <v>0</v>
      </c>
      <c r="F152" s="5">
        <v>0</v>
      </c>
      <c r="G152" s="5">
        <v>0</v>
      </c>
      <c r="H152" s="5">
        <v>0</v>
      </c>
      <c r="I152" s="5">
        <v>0</v>
      </c>
      <c r="J152" s="5">
        <v>0</v>
      </c>
      <c r="K152" s="5">
        <v>0</v>
      </c>
      <c r="L152" s="5">
        <v>0</v>
      </c>
      <c r="M152" s="5">
        <v>0</v>
      </c>
      <c r="N152" s="5">
        <v>0</v>
      </c>
      <c r="O152" s="5">
        <v>0</v>
      </c>
      <c r="P152" s="5">
        <v>0</v>
      </c>
      <c r="Q152" s="5">
        <v>0</v>
      </c>
      <c r="R152" s="5">
        <v>0</v>
      </c>
      <c r="S152" s="5">
        <v>0</v>
      </c>
      <c r="T152" s="5">
        <v>0</v>
      </c>
      <c r="U152" s="5">
        <v>0</v>
      </c>
      <c r="V152" s="5">
        <v>0</v>
      </c>
      <c r="W152" s="5">
        <v>0</v>
      </c>
      <c r="X152" s="5">
        <v>0</v>
      </c>
      <c r="Y152" s="5">
        <v>0</v>
      </c>
      <c r="Z152" s="5">
        <v>0</v>
      </c>
      <c r="AA152" s="5">
        <v>0</v>
      </c>
      <c r="AB152" s="5">
        <v>0</v>
      </c>
      <c r="AC152" s="5">
        <v>0</v>
      </c>
      <c r="AD152" s="5">
        <v>0</v>
      </c>
      <c r="AE152" s="5">
        <v>0</v>
      </c>
      <c r="AF152" s="5">
        <v>0</v>
      </c>
      <c r="AG152" s="5">
        <v>0</v>
      </c>
      <c r="AH152" s="5">
        <v>0</v>
      </c>
      <c r="AI152" s="5">
        <v>0</v>
      </c>
      <c r="AJ152" s="5">
        <v>0</v>
      </c>
      <c r="AK152" s="5">
        <v>0</v>
      </c>
      <c r="AL152" s="5">
        <v>0</v>
      </c>
      <c r="AM152" s="5">
        <v>5.0999999999999997E-2</v>
      </c>
      <c r="AN152" s="5">
        <v>9.5000000000000001E-2</v>
      </c>
      <c r="AO152" s="5">
        <v>4.2999999999999997E-2</v>
      </c>
      <c r="AP152" s="5">
        <v>4.9000000000000002E-2</v>
      </c>
      <c r="AQ152" s="5">
        <v>0.76</v>
      </c>
      <c r="AR152" s="5">
        <v>1.8939999999999999</v>
      </c>
      <c r="AS152" s="5">
        <v>1.9419999999999999</v>
      </c>
      <c r="AT152" s="5">
        <v>1.7649999999999999</v>
      </c>
      <c r="AU152" s="5">
        <v>0.97</v>
      </c>
      <c r="AV152" s="5">
        <v>0.99399999999999999</v>
      </c>
      <c r="AW152" s="815">
        <v>1.0189999999999999</v>
      </c>
      <c r="AX152" s="816">
        <v>1.0449999999999999</v>
      </c>
      <c r="AY152" s="819">
        <v>1.071</v>
      </c>
      <c r="AZ152" s="816"/>
      <c r="BA152" s="818"/>
      <c r="BB152" s="802" t="str" cm="1">
        <f t="array" ref="BB152">INDEX(C$4:BA$4,MATCH(TRUE,INDEX(C152:BA152&lt;&gt;0,),0))</f>
        <v>2014-15</v>
      </c>
      <c r="BC152" s="803" t="str" cm="1">
        <f t="array" ref="BC152">LOOKUP(2,1/(C152:BA152&lt;&gt;0),$C$4:$BA$4)</f>
        <v>2026-27</v>
      </c>
      <c r="BD152" s="804">
        <f>COUNTIF(RDprograms[[#This Row],[1978-79]:[2028-29]], "&gt;0")</f>
        <v>13</v>
      </c>
      <c r="BE152" s="805">
        <f>SUM(C152:BA152)/RDprograms[[#This Row],[Years with &gt; $0 investment]]</f>
        <v>0.89984615384615374</v>
      </c>
      <c r="BF152" s="806" t="s">
        <v>273</v>
      </c>
      <c r="BG152" s="807" t="s">
        <v>544</v>
      </c>
      <c r="BH152" s="807" t="s">
        <v>258</v>
      </c>
      <c r="BI152" s="809"/>
      <c r="BJ152" s="809"/>
      <c r="BK152" s="809"/>
      <c r="BL152" s="809"/>
      <c r="BM152" s="809">
        <v>1</v>
      </c>
      <c r="BN152" s="810"/>
      <c r="BO152" s="811" t="s">
        <v>236</v>
      </c>
      <c r="BP152" s="812" t="s">
        <v>590</v>
      </c>
      <c r="BQ152" s="812"/>
      <c r="BR152" s="812"/>
      <c r="BS152" s="812"/>
      <c r="BT152" s="812" t="s">
        <v>238</v>
      </c>
    </row>
    <row r="153" spans="1:72" ht="12.75" customHeight="1">
      <c r="A153" s="813" t="s">
        <v>542</v>
      </c>
      <c r="B153" s="820" t="s">
        <v>591</v>
      </c>
      <c r="C153" s="5">
        <v>0</v>
      </c>
      <c r="D153" s="5">
        <v>0</v>
      </c>
      <c r="E153" s="5">
        <v>0</v>
      </c>
      <c r="F153" s="5">
        <v>0</v>
      </c>
      <c r="G153" s="5">
        <v>0</v>
      </c>
      <c r="H153" s="5">
        <v>0</v>
      </c>
      <c r="I153" s="5">
        <v>0</v>
      </c>
      <c r="J153" s="5">
        <v>0</v>
      </c>
      <c r="K153" s="5">
        <v>0</v>
      </c>
      <c r="L153" s="5">
        <v>0</v>
      </c>
      <c r="M153" s="5">
        <v>0</v>
      </c>
      <c r="N153" s="5">
        <v>0</v>
      </c>
      <c r="O153" s="5">
        <v>0</v>
      </c>
      <c r="P153" s="5">
        <v>0</v>
      </c>
      <c r="Q153" s="5">
        <v>0</v>
      </c>
      <c r="R153" s="5">
        <v>0</v>
      </c>
      <c r="S153" s="5">
        <v>0</v>
      </c>
      <c r="T153" s="5">
        <v>0</v>
      </c>
      <c r="U153" s="5">
        <v>0</v>
      </c>
      <c r="V153" s="5">
        <v>0</v>
      </c>
      <c r="W153" s="5">
        <v>0</v>
      </c>
      <c r="X153" s="5">
        <v>0</v>
      </c>
      <c r="Y153" s="5">
        <v>0</v>
      </c>
      <c r="Z153" s="5">
        <v>0</v>
      </c>
      <c r="AA153" s="5">
        <v>0</v>
      </c>
      <c r="AB153" s="5">
        <v>0</v>
      </c>
      <c r="AC153" s="5">
        <v>0</v>
      </c>
      <c r="AD153" s="5">
        <v>0</v>
      </c>
      <c r="AE153" s="5">
        <v>0</v>
      </c>
      <c r="AF153" s="5">
        <v>0</v>
      </c>
      <c r="AG153" s="5">
        <v>0</v>
      </c>
      <c r="AH153" s="5">
        <v>0</v>
      </c>
      <c r="AI153" s="5">
        <v>0</v>
      </c>
      <c r="AJ153" s="5">
        <v>0</v>
      </c>
      <c r="AK153" s="5">
        <v>0</v>
      </c>
      <c r="AL153" s="5">
        <v>0</v>
      </c>
      <c r="AM153" s="5">
        <v>0</v>
      </c>
      <c r="AN153" s="5">
        <v>0</v>
      </c>
      <c r="AO153" s="5">
        <v>0</v>
      </c>
      <c r="AP153" s="816">
        <v>0</v>
      </c>
      <c r="AQ153" s="816">
        <v>0</v>
      </c>
      <c r="AR153" s="5">
        <v>0</v>
      </c>
      <c r="AS153" s="5">
        <v>0</v>
      </c>
      <c r="AT153" s="5">
        <v>0.83699999999999997</v>
      </c>
      <c r="AU153" s="5">
        <v>0.36499999999999999</v>
      </c>
      <c r="AV153" s="5">
        <v>0</v>
      </c>
      <c r="AW153" s="815">
        <v>0</v>
      </c>
      <c r="AX153" s="816">
        <v>0</v>
      </c>
      <c r="AY153" s="819">
        <v>0</v>
      </c>
      <c r="AZ153" s="816"/>
      <c r="BA153" s="818"/>
      <c r="BB153" s="802" t="str" cm="1">
        <f t="array" ref="BB153">INDEX(C$4:BA$4,MATCH(TRUE,INDEX(C153:BA153&lt;&gt;0,),0))</f>
        <v>2021-22</v>
      </c>
      <c r="BC153" s="803" t="str" cm="1">
        <f t="array" ref="BC153">LOOKUP(2,1/(C153:BA153&lt;&gt;0),$C$4:$BA$4)</f>
        <v>2022-23</v>
      </c>
      <c r="BD153" s="804">
        <f>COUNTIF(RDprograms[[#This Row],[1978-79]:[2028-29]], "&gt;0")</f>
        <v>2</v>
      </c>
      <c r="BE153" s="805">
        <f>SUM(C153:BA153)/RDprograms[[#This Row],[Years with &gt; $0 investment]]</f>
        <v>0.60099999999999998</v>
      </c>
      <c r="BF153" s="806" t="s">
        <v>273</v>
      </c>
      <c r="BG153" s="807" t="s">
        <v>544</v>
      </c>
      <c r="BH153" s="807" t="s">
        <v>258</v>
      </c>
      <c r="BI153" s="809"/>
      <c r="BJ153" s="809"/>
      <c r="BK153" s="809"/>
      <c r="BL153" s="809"/>
      <c r="BM153" s="809"/>
      <c r="BN153" s="810"/>
      <c r="BO153" s="811" t="s">
        <v>236</v>
      </c>
      <c r="BP153" s="812" t="s">
        <v>592</v>
      </c>
      <c r="BQ153" s="812"/>
      <c r="BR153" s="812"/>
      <c r="BS153" s="812"/>
      <c r="BT153" s="812" t="s">
        <v>238</v>
      </c>
    </row>
    <row r="154" spans="1:72" ht="12.75" customHeight="1">
      <c r="A154" s="813" t="s">
        <v>542</v>
      </c>
      <c r="B154" s="820" t="s">
        <v>593</v>
      </c>
      <c r="C154" s="5">
        <v>0</v>
      </c>
      <c r="D154" s="5">
        <v>0</v>
      </c>
      <c r="E154" s="5">
        <v>0</v>
      </c>
      <c r="F154" s="5">
        <v>0</v>
      </c>
      <c r="G154" s="5">
        <v>0</v>
      </c>
      <c r="H154" s="5">
        <v>0</v>
      </c>
      <c r="I154" s="5">
        <v>0</v>
      </c>
      <c r="J154" s="5">
        <v>0</v>
      </c>
      <c r="K154" s="5">
        <v>0</v>
      </c>
      <c r="L154" s="5">
        <v>0</v>
      </c>
      <c r="M154" s="5">
        <v>0</v>
      </c>
      <c r="N154" s="5">
        <v>0</v>
      </c>
      <c r="O154" s="5">
        <v>0</v>
      </c>
      <c r="P154" s="5">
        <v>0</v>
      </c>
      <c r="Q154" s="5">
        <v>0</v>
      </c>
      <c r="R154" s="5">
        <v>0</v>
      </c>
      <c r="S154" s="5">
        <v>0</v>
      </c>
      <c r="T154" s="5">
        <v>0</v>
      </c>
      <c r="U154" s="5">
        <v>0</v>
      </c>
      <c r="V154" s="5">
        <v>0</v>
      </c>
      <c r="W154" s="5">
        <v>0</v>
      </c>
      <c r="X154" s="5">
        <v>0</v>
      </c>
      <c r="Y154" s="5">
        <v>0</v>
      </c>
      <c r="Z154" s="5">
        <v>0</v>
      </c>
      <c r="AA154" s="5">
        <v>0</v>
      </c>
      <c r="AB154" s="5">
        <v>0</v>
      </c>
      <c r="AC154" s="5">
        <v>0</v>
      </c>
      <c r="AD154" s="5">
        <v>0</v>
      </c>
      <c r="AE154" s="5">
        <v>0</v>
      </c>
      <c r="AF154" s="5">
        <v>0</v>
      </c>
      <c r="AG154" s="5">
        <v>0</v>
      </c>
      <c r="AH154" s="5">
        <v>0</v>
      </c>
      <c r="AI154" s="5">
        <v>0</v>
      </c>
      <c r="AJ154" s="5">
        <v>0</v>
      </c>
      <c r="AK154" s="5">
        <v>0</v>
      </c>
      <c r="AL154" s="5">
        <v>0</v>
      </c>
      <c r="AM154" s="5">
        <v>0</v>
      </c>
      <c r="AN154" s="5">
        <v>0</v>
      </c>
      <c r="AO154" s="5">
        <v>0</v>
      </c>
      <c r="AP154" s="816">
        <v>0</v>
      </c>
      <c r="AQ154" s="816">
        <v>0</v>
      </c>
      <c r="AR154" s="5">
        <v>4.2</v>
      </c>
      <c r="AS154" s="5">
        <v>5.3997999999999999</v>
      </c>
      <c r="AT154" s="5">
        <v>5.3997999999999999</v>
      </c>
      <c r="AU154" s="5">
        <v>3</v>
      </c>
      <c r="AV154" s="5">
        <v>0</v>
      </c>
      <c r="AW154" s="815">
        <v>0</v>
      </c>
      <c r="AX154" s="816">
        <v>0</v>
      </c>
      <c r="AY154" s="819">
        <v>0</v>
      </c>
      <c r="AZ154" s="816">
        <v>0</v>
      </c>
      <c r="BA154" s="818">
        <v>0</v>
      </c>
      <c r="BB154" s="802" t="str" cm="1">
        <f t="array" ref="BB154">INDEX(C$4:BA$4,MATCH(TRUE,INDEX(C154:BA154&lt;&gt;0,),0))</f>
        <v>2019-20</v>
      </c>
      <c r="BC154" s="803" t="str" cm="1">
        <f t="array" ref="BC154">LOOKUP(2,1/(C154:BA154&lt;&gt;0),$C$4:$BA$4)</f>
        <v>2022-23</v>
      </c>
      <c r="BD154" s="804">
        <f>COUNTIF(RDprograms[[#This Row],[1978-79]:[2028-29]], "&gt;0")</f>
        <v>4</v>
      </c>
      <c r="BE154" s="805">
        <f>SUM(C154:BA154)/RDprograms[[#This Row],[Years with &gt; $0 investment]]</f>
        <v>4.4999000000000002</v>
      </c>
      <c r="BF154" s="806" t="s">
        <v>273</v>
      </c>
      <c r="BG154" s="807" t="s">
        <v>544</v>
      </c>
      <c r="BH154" s="807" t="s">
        <v>258</v>
      </c>
      <c r="BI154" s="809"/>
      <c r="BJ154" s="809"/>
      <c r="BK154" s="809"/>
      <c r="BL154" s="809"/>
      <c r="BM154" s="809"/>
      <c r="BN154" s="810"/>
      <c r="BO154" s="811" t="s">
        <v>236</v>
      </c>
      <c r="BP154" s="812" t="s">
        <v>594</v>
      </c>
      <c r="BQ154" s="812"/>
      <c r="BR154" s="812"/>
      <c r="BS154" s="812"/>
      <c r="BT154" s="812" t="s">
        <v>238</v>
      </c>
    </row>
    <row r="155" spans="1:72" ht="12.75" customHeight="1">
      <c r="A155" s="813" t="s">
        <v>542</v>
      </c>
      <c r="B155" s="820" t="s">
        <v>595</v>
      </c>
      <c r="C155" s="5">
        <v>0</v>
      </c>
      <c r="D155" s="5">
        <v>0</v>
      </c>
      <c r="E155" s="5">
        <v>0</v>
      </c>
      <c r="F155" s="5">
        <v>0</v>
      </c>
      <c r="G155" s="5">
        <v>0</v>
      </c>
      <c r="H155" s="5">
        <v>0</v>
      </c>
      <c r="I155" s="5">
        <v>0</v>
      </c>
      <c r="J155" s="5">
        <v>0</v>
      </c>
      <c r="K155" s="5">
        <v>0</v>
      </c>
      <c r="L155" s="5">
        <v>0</v>
      </c>
      <c r="M155" s="5">
        <v>0</v>
      </c>
      <c r="N155" s="5">
        <v>0</v>
      </c>
      <c r="O155" s="5">
        <v>0</v>
      </c>
      <c r="P155" s="5">
        <v>0</v>
      </c>
      <c r="Q155" s="5">
        <v>0</v>
      </c>
      <c r="R155" s="5">
        <v>0</v>
      </c>
      <c r="S155" s="5">
        <v>0</v>
      </c>
      <c r="T155" s="5">
        <v>0</v>
      </c>
      <c r="U155" s="5">
        <v>0</v>
      </c>
      <c r="V155" s="5">
        <v>0</v>
      </c>
      <c r="W155" s="5">
        <v>0</v>
      </c>
      <c r="X155" s="5">
        <v>0</v>
      </c>
      <c r="Y155" s="5">
        <v>0</v>
      </c>
      <c r="Z155" s="5">
        <v>0</v>
      </c>
      <c r="AA155" s="5">
        <v>0</v>
      </c>
      <c r="AB155" s="5">
        <v>0</v>
      </c>
      <c r="AC155" s="5">
        <v>0</v>
      </c>
      <c r="AD155" s="5">
        <v>0</v>
      </c>
      <c r="AE155" s="5">
        <v>0</v>
      </c>
      <c r="AF155" s="5">
        <v>0</v>
      </c>
      <c r="AG155" s="5">
        <v>0</v>
      </c>
      <c r="AH155" s="5">
        <v>0</v>
      </c>
      <c r="AI155" s="5">
        <v>0</v>
      </c>
      <c r="AJ155" s="5">
        <v>0</v>
      </c>
      <c r="AK155" s="5">
        <v>0</v>
      </c>
      <c r="AL155" s="5">
        <v>0</v>
      </c>
      <c r="AM155" s="5">
        <v>0</v>
      </c>
      <c r="AN155" s="5">
        <v>0</v>
      </c>
      <c r="AO155" s="5">
        <v>0</v>
      </c>
      <c r="AP155" s="5">
        <v>0</v>
      </c>
      <c r="AQ155" s="5">
        <v>0</v>
      </c>
      <c r="AR155" s="5">
        <v>0</v>
      </c>
      <c r="AS155" s="5">
        <v>0</v>
      </c>
      <c r="AT155" s="5">
        <v>0</v>
      </c>
      <c r="AU155" s="5">
        <v>0</v>
      </c>
      <c r="AV155" s="5">
        <v>0</v>
      </c>
      <c r="AW155" s="815">
        <v>0</v>
      </c>
      <c r="AX155" s="816">
        <v>0.33</v>
      </c>
      <c r="AY155" s="819"/>
      <c r="AZ155" s="826"/>
      <c r="BA155" s="818"/>
      <c r="BB155" s="802" t="str" cm="1">
        <f t="array" ref="BB155">INDEX(C$4:BA$4,MATCH(TRUE,INDEX(C155:BA155&lt;&gt;0,),0))</f>
        <v>2025-26</v>
      </c>
      <c r="BC155" s="803" t="str" cm="1">
        <f t="array" ref="BC155">LOOKUP(2,1/(C155:BA155&lt;&gt;0),$C$4:$BA$4)</f>
        <v>2025-26</v>
      </c>
      <c r="BD155" s="804">
        <f>COUNTIF(RDprograms[[#This Row],[1978-79]:[2028-29]], "&gt;0")</f>
        <v>1</v>
      </c>
      <c r="BE155" s="805">
        <f>SUM(C155:BA155)/RDprograms[[#This Row],[Years with &gt; $0 investment]]</f>
        <v>0.33</v>
      </c>
      <c r="BF155" s="806" t="s">
        <v>273</v>
      </c>
      <c r="BG155" s="807" t="s">
        <v>544</v>
      </c>
      <c r="BH155" s="806" t="s">
        <v>258</v>
      </c>
      <c r="BI155" s="809"/>
      <c r="BJ155" s="809"/>
      <c r="BK155" s="809"/>
      <c r="BL155" s="809"/>
      <c r="BM155" s="809">
        <v>1</v>
      </c>
      <c r="BN155" s="810"/>
      <c r="BO155" s="811" t="s">
        <v>236</v>
      </c>
      <c r="BP155" s="812" t="s">
        <v>596</v>
      </c>
      <c r="BQ155" s="812"/>
      <c r="BR155" s="812"/>
      <c r="BS155" s="812"/>
      <c r="BT155" s="812"/>
    </row>
    <row r="156" spans="1:72" ht="12.75" customHeight="1">
      <c r="A156" s="813" t="s">
        <v>542</v>
      </c>
      <c r="B156" s="820" t="s">
        <v>597</v>
      </c>
      <c r="C156" s="5">
        <v>0</v>
      </c>
      <c r="D156" s="5">
        <v>0</v>
      </c>
      <c r="E156" s="5">
        <v>0</v>
      </c>
      <c r="F156" s="5">
        <v>0</v>
      </c>
      <c r="G156" s="5">
        <v>0</v>
      </c>
      <c r="H156" s="5">
        <v>0</v>
      </c>
      <c r="I156" s="5">
        <v>0</v>
      </c>
      <c r="J156" s="5">
        <v>0</v>
      </c>
      <c r="K156" s="5">
        <v>0</v>
      </c>
      <c r="L156" s="5">
        <v>0</v>
      </c>
      <c r="M156" s="5">
        <v>0</v>
      </c>
      <c r="N156" s="5">
        <v>0</v>
      </c>
      <c r="O156" s="5">
        <v>0</v>
      </c>
      <c r="P156" s="5">
        <v>0</v>
      </c>
      <c r="Q156" s="5">
        <v>0</v>
      </c>
      <c r="R156" s="5">
        <v>0</v>
      </c>
      <c r="S156" s="5">
        <v>0</v>
      </c>
      <c r="T156" s="5">
        <v>0</v>
      </c>
      <c r="U156" s="5">
        <v>0</v>
      </c>
      <c r="V156" s="5">
        <v>0</v>
      </c>
      <c r="W156" s="5">
        <v>0</v>
      </c>
      <c r="X156" s="5">
        <v>0</v>
      </c>
      <c r="Y156" s="5">
        <v>0</v>
      </c>
      <c r="Z156" s="5">
        <v>0</v>
      </c>
      <c r="AA156" s="5">
        <v>0</v>
      </c>
      <c r="AB156" s="5">
        <v>0</v>
      </c>
      <c r="AC156" s="5">
        <v>0</v>
      </c>
      <c r="AD156" s="5">
        <v>0</v>
      </c>
      <c r="AE156" s="5">
        <v>0</v>
      </c>
      <c r="AF156" s="5">
        <v>0</v>
      </c>
      <c r="AG156" s="5">
        <v>0</v>
      </c>
      <c r="AH156" s="5">
        <v>0</v>
      </c>
      <c r="AI156" s="5">
        <v>0</v>
      </c>
      <c r="AJ156" s="5">
        <v>0</v>
      </c>
      <c r="AK156" s="5">
        <v>0</v>
      </c>
      <c r="AL156" s="5">
        <v>0</v>
      </c>
      <c r="AM156" s="5">
        <v>0</v>
      </c>
      <c r="AN156" s="5">
        <v>0</v>
      </c>
      <c r="AO156" s="5">
        <v>0</v>
      </c>
      <c r="AP156" s="5">
        <v>0</v>
      </c>
      <c r="AQ156" s="5">
        <v>0</v>
      </c>
      <c r="AR156" s="5">
        <v>0</v>
      </c>
      <c r="AS156" s="5">
        <v>0</v>
      </c>
      <c r="AT156" s="5">
        <v>0</v>
      </c>
      <c r="AU156" s="5">
        <v>0.13400000000000001</v>
      </c>
      <c r="AV156" s="5">
        <v>1.4999999999999999E-2</v>
      </c>
      <c r="AW156" s="815">
        <v>0</v>
      </c>
      <c r="AX156" s="816">
        <v>0</v>
      </c>
      <c r="AY156" s="819"/>
      <c r="AZ156" s="826"/>
      <c r="BA156" s="818"/>
      <c r="BB156" s="802" t="str" cm="1">
        <f t="array" ref="BB156">INDEX(C$4:BA$4,MATCH(TRUE,INDEX(C156:BA156&lt;&gt;0,),0))</f>
        <v>2022-23</v>
      </c>
      <c r="BC156" s="803" t="str" cm="1">
        <f t="array" ref="BC156">LOOKUP(2,1/(C156:BA156&lt;&gt;0),$C$4:$BA$4)</f>
        <v>2023-24</v>
      </c>
      <c r="BD156" s="804">
        <f>COUNTIF(RDprograms[[#This Row],[1978-79]:[2028-29]], "&gt;0")</f>
        <v>2</v>
      </c>
      <c r="BE156" s="805">
        <f>SUM(C156:BA156)/RDprograms[[#This Row],[Years with &gt; $0 investment]]</f>
        <v>7.4500000000000011E-2</v>
      </c>
      <c r="BF156" s="806" t="s">
        <v>273</v>
      </c>
      <c r="BG156" s="807" t="s">
        <v>544</v>
      </c>
      <c r="BH156" s="807" t="s">
        <v>258</v>
      </c>
      <c r="BI156" s="809"/>
      <c r="BJ156" s="809"/>
      <c r="BK156" s="809"/>
      <c r="BL156" s="809"/>
      <c r="BM156" s="809"/>
      <c r="BN156" s="810"/>
      <c r="BO156" s="811" t="s">
        <v>236</v>
      </c>
      <c r="BP156" s="812" t="s">
        <v>598</v>
      </c>
      <c r="BQ156" s="812"/>
      <c r="BR156" s="812"/>
      <c r="BS156" s="812"/>
      <c r="BT156" s="812"/>
    </row>
    <row r="157" spans="1:72" ht="12.75" customHeight="1">
      <c r="A157" s="813" t="s">
        <v>542</v>
      </c>
      <c r="B157" s="844" t="s">
        <v>599</v>
      </c>
      <c r="C157" s="5">
        <v>0</v>
      </c>
      <c r="D157" s="5">
        <v>0</v>
      </c>
      <c r="E157" s="5">
        <v>0</v>
      </c>
      <c r="F157" s="5">
        <v>0</v>
      </c>
      <c r="G157" s="5">
        <v>0</v>
      </c>
      <c r="H157" s="5">
        <v>0</v>
      </c>
      <c r="I157" s="5">
        <v>0</v>
      </c>
      <c r="J157" s="5">
        <v>0</v>
      </c>
      <c r="K157" s="5">
        <v>0</v>
      </c>
      <c r="L157" s="5">
        <v>0</v>
      </c>
      <c r="M157" s="5">
        <v>0</v>
      </c>
      <c r="N157" s="5">
        <v>0</v>
      </c>
      <c r="O157" s="5">
        <v>0</v>
      </c>
      <c r="P157" s="5">
        <v>0</v>
      </c>
      <c r="Q157" s="5">
        <v>0</v>
      </c>
      <c r="R157" s="5">
        <v>0</v>
      </c>
      <c r="S157" s="5">
        <v>0</v>
      </c>
      <c r="T157" s="5">
        <v>0</v>
      </c>
      <c r="U157" s="5">
        <v>0</v>
      </c>
      <c r="V157" s="5">
        <v>0</v>
      </c>
      <c r="W157" s="5">
        <v>0</v>
      </c>
      <c r="X157" s="5">
        <v>0</v>
      </c>
      <c r="Y157" s="5">
        <v>0</v>
      </c>
      <c r="Z157" s="5">
        <v>0</v>
      </c>
      <c r="AA157" s="5">
        <v>0</v>
      </c>
      <c r="AB157" s="5">
        <v>0</v>
      </c>
      <c r="AC157" s="5">
        <v>0</v>
      </c>
      <c r="AD157" s="5">
        <v>0</v>
      </c>
      <c r="AE157" s="5">
        <v>0</v>
      </c>
      <c r="AF157" s="5">
        <v>0</v>
      </c>
      <c r="AG157" s="5">
        <v>0</v>
      </c>
      <c r="AH157" s="5">
        <v>0</v>
      </c>
      <c r="AI157" s="5">
        <v>0</v>
      </c>
      <c r="AJ157" s="5">
        <v>0</v>
      </c>
      <c r="AK157" s="5">
        <v>0</v>
      </c>
      <c r="AL157" s="5">
        <v>0</v>
      </c>
      <c r="AM157" s="5">
        <v>0</v>
      </c>
      <c r="AN157" s="5">
        <v>0</v>
      </c>
      <c r="AO157" s="5">
        <v>0</v>
      </c>
      <c r="AP157" s="5">
        <v>0</v>
      </c>
      <c r="AQ157" s="5">
        <v>0</v>
      </c>
      <c r="AR157" s="5">
        <v>0</v>
      </c>
      <c r="AS157" s="5">
        <v>0</v>
      </c>
      <c r="AT157" s="5">
        <v>0</v>
      </c>
      <c r="AU157" s="5">
        <v>0.12</v>
      </c>
      <c r="AV157" s="5">
        <v>0.13</v>
      </c>
      <c r="AW157" s="815">
        <v>0.17699999999999999</v>
      </c>
      <c r="AX157" s="816">
        <v>0</v>
      </c>
      <c r="AY157" s="819"/>
      <c r="AZ157" s="826"/>
      <c r="BA157" s="818"/>
      <c r="BB157" s="802" t="str" cm="1">
        <f t="array" ref="BB157">INDEX(C$4:BA$4,MATCH(TRUE,INDEX(C157:BA157&lt;&gt;0,),0))</f>
        <v>2022-23</v>
      </c>
      <c r="BC157" s="803" t="str" cm="1">
        <f t="array" ref="BC157">LOOKUP(2,1/(C157:BA157&lt;&gt;0),$C$4:$BA$4)</f>
        <v>2024-25</v>
      </c>
      <c r="BD157" s="804">
        <f>COUNTIF(RDprograms[[#This Row],[1978-79]:[2028-29]], "&gt;0")</f>
        <v>3</v>
      </c>
      <c r="BE157" s="805">
        <f>SUM(C157:BA157)/RDprograms[[#This Row],[Years with &gt; $0 investment]]</f>
        <v>0.14233333333333334</v>
      </c>
      <c r="BF157" s="806" t="s">
        <v>273</v>
      </c>
      <c r="BG157" s="807" t="s">
        <v>544</v>
      </c>
      <c r="BH157" s="807" t="s">
        <v>258</v>
      </c>
      <c r="BI157" s="809"/>
      <c r="BJ157" s="809"/>
      <c r="BK157" s="809"/>
      <c r="BL157" s="809"/>
      <c r="BM157" s="809"/>
      <c r="BN157" s="810"/>
      <c r="BO157" s="811" t="s">
        <v>236</v>
      </c>
      <c r="BP157" s="812" t="s">
        <v>600</v>
      </c>
      <c r="BQ157" s="812"/>
      <c r="BR157" s="812"/>
      <c r="BS157" s="812"/>
      <c r="BT157" s="812"/>
    </row>
    <row r="158" spans="1:72" ht="12.75" customHeight="1">
      <c r="A158" s="813" t="s">
        <v>542</v>
      </c>
      <c r="B158" s="844" t="s">
        <v>601</v>
      </c>
      <c r="C158" s="5">
        <v>0</v>
      </c>
      <c r="D158" s="5">
        <v>0</v>
      </c>
      <c r="E158" s="5">
        <v>0</v>
      </c>
      <c r="F158" s="5">
        <v>0</v>
      </c>
      <c r="G158" s="5">
        <v>0</v>
      </c>
      <c r="H158" s="5">
        <v>0</v>
      </c>
      <c r="I158" s="5">
        <v>0</v>
      </c>
      <c r="J158" s="5">
        <v>0</v>
      </c>
      <c r="K158" s="5">
        <v>0</v>
      </c>
      <c r="L158" s="5">
        <v>0</v>
      </c>
      <c r="M158" s="5">
        <v>0</v>
      </c>
      <c r="N158" s="5">
        <v>0</v>
      </c>
      <c r="O158" s="5">
        <v>0</v>
      </c>
      <c r="P158" s="5">
        <v>0</v>
      </c>
      <c r="Q158" s="5">
        <v>0</v>
      </c>
      <c r="R158" s="5">
        <v>0</v>
      </c>
      <c r="S158" s="5">
        <v>0</v>
      </c>
      <c r="T158" s="5">
        <v>0</v>
      </c>
      <c r="U158" s="5">
        <v>0</v>
      </c>
      <c r="V158" s="5">
        <v>0</v>
      </c>
      <c r="W158" s="5">
        <v>0</v>
      </c>
      <c r="X158" s="5">
        <v>0</v>
      </c>
      <c r="Y158" s="5">
        <v>0</v>
      </c>
      <c r="Z158" s="5">
        <v>0</v>
      </c>
      <c r="AA158" s="5">
        <v>0</v>
      </c>
      <c r="AB158" s="5">
        <v>0</v>
      </c>
      <c r="AC158" s="5">
        <v>0</v>
      </c>
      <c r="AD158" s="5">
        <v>0</v>
      </c>
      <c r="AE158" s="5">
        <v>0</v>
      </c>
      <c r="AF158" s="5">
        <v>0</v>
      </c>
      <c r="AG158" s="5">
        <v>0</v>
      </c>
      <c r="AH158" s="5">
        <v>0</v>
      </c>
      <c r="AI158" s="5">
        <v>0</v>
      </c>
      <c r="AJ158" s="5">
        <v>0</v>
      </c>
      <c r="AK158" s="5">
        <v>0</v>
      </c>
      <c r="AL158" s="5">
        <v>0</v>
      </c>
      <c r="AM158" s="5">
        <v>0</v>
      </c>
      <c r="AN158" s="5">
        <v>0</v>
      </c>
      <c r="AO158" s="5">
        <v>0</v>
      </c>
      <c r="AP158" s="5">
        <v>0</v>
      </c>
      <c r="AQ158" s="5">
        <v>0</v>
      </c>
      <c r="AR158" s="5">
        <v>0</v>
      </c>
      <c r="AS158" s="5">
        <v>0</v>
      </c>
      <c r="AT158" s="5">
        <v>0.89500000000000002</v>
      </c>
      <c r="AU158" s="5">
        <v>0</v>
      </c>
      <c r="AV158" s="5">
        <v>0.124</v>
      </c>
      <c r="AW158" s="815">
        <v>0</v>
      </c>
      <c r="AX158" s="816">
        <v>0.4</v>
      </c>
      <c r="AY158" s="819">
        <v>0.4</v>
      </c>
      <c r="AZ158" s="826"/>
      <c r="BA158" s="818"/>
      <c r="BB158" s="802" t="str" cm="1">
        <f t="array" ref="BB158">INDEX(C$4:BA$4,MATCH(TRUE,INDEX(C158:BA158&lt;&gt;0,),0))</f>
        <v>2021-22</v>
      </c>
      <c r="BC158" s="803" t="str" cm="1">
        <f t="array" ref="BC158">LOOKUP(2,1/(C158:BA158&lt;&gt;0),$C$4:$BA$4)</f>
        <v>2026-27</v>
      </c>
      <c r="BD158" s="804">
        <f>COUNTIF(RDprograms[[#This Row],[1978-79]:[2028-29]], "&gt;0")</f>
        <v>4</v>
      </c>
      <c r="BE158" s="805">
        <f>SUM(C158:BA158)/RDprograms[[#This Row],[Years with &gt; $0 investment]]</f>
        <v>0.45474999999999999</v>
      </c>
      <c r="BF158" s="806" t="s">
        <v>273</v>
      </c>
      <c r="BG158" s="807" t="s">
        <v>544</v>
      </c>
      <c r="BH158" s="807" t="s">
        <v>258</v>
      </c>
      <c r="BI158" s="809"/>
      <c r="BJ158" s="809"/>
      <c r="BK158" s="809"/>
      <c r="BL158" s="809"/>
      <c r="BM158" s="809"/>
      <c r="BN158" s="810">
        <v>1</v>
      </c>
      <c r="BO158" s="811" t="s">
        <v>236</v>
      </c>
      <c r="BP158" s="812" t="s">
        <v>602</v>
      </c>
      <c r="BQ158" s="812"/>
      <c r="BR158" s="812"/>
      <c r="BS158" s="812"/>
      <c r="BT158" s="812"/>
    </row>
    <row r="159" spans="1:72" ht="12.75" customHeight="1">
      <c r="A159" s="813" t="s">
        <v>542</v>
      </c>
      <c r="B159" s="844" t="s">
        <v>603</v>
      </c>
      <c r="C159" s="5">
        <v>0</v>
      </c>
      <c r="D159" s="5">
        <v>0</v>
      </c>
      <c r="E159" s="5">
        <v>0</v>
      </c>
      <c r="F159" s="5">
        <v>0</v>
      </c>
      <c r="G159" s="5">
        <v>0</v>
      </c>
      <c r="H159" s="5">
        <v>0</v>
      </c>
      <c r="I159" s="5">
        <v>0</v>
      </c>
      <c r="J159" s="5">
        <v>0</v>
      </c>
      <c r="K159" s="5">
        <v>0</v>
      </c>
      <c r="L159" s="5">
        <v>0</v>
      </c>
      <c r="M159" s="5">
        <v>0</v>
      </c>
      <c r="N159" s="5">
        <v>0</v>
      </c>
      <c r="O159" s="5">
        <v>0</v>
      </c>
      <c r="P159" s="5">
        <v>0</v>
      </c>
      <c r="Q159" s="5">
        <v>0</v>
      </c>
      <c r="R159" s="5">
        <v>0</v>
      </c>
      <c r="S159" s="5">
        <v>0</v>
      </c>
      <c r="T159" s="5">
        <v>0</v>
      </c>
      <c r="U159" s="5">
        <v>0</v>
      </c>
      <c r="V159" s="5">
        <v>0</v>
      </c>
      <c r="W159" s="5">
        <v>0</v>
      </c>
      <c r="X159" s="5">
        <v>0</v>
      </c>
      <c r="Y159" s="5">
        <v>0</v>
      </c>
      <c r="Z159" s="5">
        <v>0</v>
      </c>
      <c r="AA159" s="5">
        <v>0</v>
      </c>
      <c r="AB159" s="5">
        <v>0</v>
      </c>
      <c r="AC159" s="5">
        <v>0</v>
      </c>
      <c r="AD159" s="5">
        <v>0</v>
      </c>
      <c r="AE159" s="5">
        <v>0</v>
      </c>
      <c r="AF159" s="5">
        <v>0</v>
      </c>
      <c r="AG159" s="5">
        <v>0</v>
      </c>
      <c r="AH159" s="5">
        <v>0</v>
      </c>
      <c r="AI159" s="5">
        <v>0</v>
      </c>
      <c r="AJ159" s="5">
        <v>0</v>
      </c>
      <c r="AK159" s="5">
        <v>0</v>
      </c>
      <c r="AL159" s="5">
        <v>0</v>
      </c>
      <c r="AM159" s="5">
        <v>0</v>
      </c>
      <c r="AN159" s="5">
        <v>0</v>
      </c>
      <c r="AO159" s="5">
        <v>0</v>
      </c>
      <c r="AP159" s="5">
        <v>0</v>
      </c>
      <c r="AQ159" s="5">
        <v>0</v>
      </c>
      <c r="AR159" s="5">
        <v>0</v>
      </c>
      <c r="AS159" s="5">
        <v>0</v>
      </c>
      <c r="AT159" s="5">
        <v>0</v>
      </c>
      <c r="AU159" s="5">
        <v>0.33100000000000002</v>
      </c>
      <c r="AV159" s="5">
        <v>9.0999999999999998E-2</v>
      </c>
      <c r="AW159" s="815">
        <v>0.25</v>
      </c>
      <c r="AX159" s="816">
        <v>0</v>
      </c>
      <c r="AY159" s="819"/>
      <c r="AZ159" s="826"/>
      <c r="BA159" s="818"/>
      <c r="BB159" s="802" t="str" cm="1">
        <f t="array" ref="BB159">INDEX(C$4:BA$4,MATCH(TRUE,INDEX(C159:BA159&lt;&gt;0,),0))</f>
        <v>2022-23</v>
      </c>
      <c r="BC159" s="803" t="str" cm="1">
        <f t="array" ref="BC159">LOOKUP(2,1/(C159:BA159&lt;&gt;0),$C$4:$BA$4)</f>
        <v>2024-25</v>
      </c>
      <c r="BD159" s="804">
        <f>COUNTIF(RDprograms[[#This Row],[1978-79]:[2028-29]], "&gt;0")</f>
        <v>3</v>
      </c>
      <c r="BE159" s="805">
        <f>SUM(C159:BA159)/RDprograms[[#This Row],[Years with &gt; $0 investment]]</f>
        <v>0.224</v>
      </c>
      <c r="BF159" s="806" t="s">
        <v>273</v>
      </c>
      <c r="BG159" s="807" t="s">
        <v>544</v>
      </c>
      <c r="BH159" s="806" t="s">
        <v>258</v>
      </c>
      <c r="BI159" s="809"/>
      <c r="BJ159" s="809"/>
      <c r="BK159" s="809"/>
      <c r="BL159" s="809"/>
      <c r="BM159" s="809"/>
      <c r="BN159" s="810"/>
      <c r="BO159" s="811" t="s">
        <v>236</v>
      </c>
      <c r="BP159" s="812" t="s">
        <v>604</v>
      </c>
      <c r="BQ159" s="812"/>
      <c r="BR159" s="812"/>
      <c r="BS159" s="812"/>
      <c r="BT159" s="812"/>
    </row>
    <row r="160" spans="1:72" ht="12.75" customHeight="1">
      <c r="A160" s="813" t="s">
        <v>542</v>
      </c>
      <c r="B160" s="820" t="s">
        <v>605</v>
      </c>
      <c r="C160" s="5">
        <v>0</v>
      </c>
      <c r="D160" s="5">
        <v>0</v>
      </c>
      <c r="E160" s="5">
        <v>0</v>
      </c>
      <c r="F160" s="5">
        <v>0</v>
      </c>
      <c r="G160" s="5">
        <v>0</v>
      </c>
      <c r="H160" s="5">
        <v>0</v>
      </c>
      <c r="I160" s="5">
        <v>0</v>
      </c>
      <c r="J160" s="5">
        <v>0</v>
      </c>
      <c r="K160" s="5">
        <v>0</v>
      </c>
      <c r="L160" s="5">
        <v>0</v>
      </c>
      <c r="M160" s="5">
        <v>0</v>
      </c>
      <c r="N160" s="5">
        <v>0</v>
      </c>
      <c r="O160" s="5">
        <v>0</v>
      </c>
      <c r="P160" s="5">
        <v>0</v>
      </c>
      <c r="Q160" s="5">
        <v>0</v>
      </c>
      <c r="R160" s="5">
        <v>0</v>
      </c>
      <c r="S160" s="5">
        <v>0</v>
      </c>
      <c r="T160" s="5">
        <v>0</v>
      </c>
      <c r="U160" s="5">
        <v>0</v>
      </c>
      <c r="V160" s="5">
        <v>0</v>
      </c>
      <c r="W160" s="5">
        <v>0</v>
      </c>
      <c r="X160" s="5">
        <v>0</v>
      </c>
      <c r="Y160" s="5">
        <v>0</v>
      </c>
      <c r="Z160" s="5">
        <v>0</v>
      </c>
      <c r="AA160" s="5">
        <v>0</v>
      </c>
      <c r="AB160" s="5">
        <v>0</v>
      </c>
      <c r="AC160" s="5">
        <v>0</v>
      </c>
      <c r="AD160" s="5">
        <v>0</v>
      </c>
      <c r="AE160" s="5">
        <v>0</v>
      </c>
      <c r="AF160" s="5">
        <v>0</v>
      </c>
      <c r="AG160" s="5">
        <v>0</v>
      </c>
      <c r="AH160" s="5">
        <v>0</v>
      </c>
      <c r="AI160" s="5">
        <v>0</v>
      </c>
      <c r="AJ160" s="5">
        <v>0</v>
      </c>
      <c r="AK160" s="5">
        <v>0</v>
      </c>
      <c r="AL160" s="5">
        <v>0</v>
      </c>
      <c r="AM160" s="5">
        <v>0</v>
      </c>
      <c r="AN160" s="5">
        <v>0</v>
      </c>
      <c r="AO160" s="5">
        <v>0</v>
      </c>
      <c r="AP160" s="5">
        <v>0</v>
      </c>
      <c r="AQ160" s="5">
        <v>0</v>
      </c>
      <c r="AR160" s="5">
        <v>0</v>
      </c>
      <c r="AS160" s="5">
        <v>0.2</v>
      </c>
      <c r="AT160" s="5">
        <v>1</v>
      </c>
      <c r="AU160" s="5">
        <v>2</v>
      </c>
      <c r="AV160" s="5">
        <v>2.5</v>
      </c>
      <c r="AW160" s="815">
        <v>3</v>
      </c>
      <c r="AX160" s="816">
        <v>0</v>
      </c>
      <c r="AY160" s="819">
        <v>0</v>
      </c>
      <c r="AZ160" s="816"/>
      <c r="BA160" s="818"/>
      <c r="BB160" s="802" t="str" cm="1">
        <f t="array" ref="BB160">INDEX(C$4:BA$4,MATCH(TRUE,INDEX(C160:BA160&lt;&gt;0,),0))</f>
        <v>2020-21</v>
      </c>
      <c r="BC160" s="803" t="str" cm="1">
        <f t="array" ref="BC160">LOOKUP(2,1/(C160:BA160&lt;&gt;0),$C$4:$BA$4)</f>
        <v>2024-25</v>
      </c>
      <c r="BD160" s="804">
        <f>COUNTIF(RDprograms[[#This Row],[1978-79]:[2028-29]], "&gt;0")</f>
        <v>5</v>
      </c>
      <c r="BE160" s="805">
        <f>SUM(C160:BA160)/RDprograms[[#This Row],[Years with &gt; $0 investment]]</f>
        <v>1.7399999999999998</v>
      </c>
      <c r="BF160" s="806" t="s">
        <v>273</v>
      </c>
      <c r="BG160" s="807" t="s">
        <v>544</v>
      </c>
      <c r="BH160" s="807" t="s">
        <v>258</v>
      </c>
      <c r="BI160" s="809"/>
      <c r="BJ160" s="809"/>
      <c r="BK160" s="809"/>
      <c r="BL160" s="809"/>
      <c r="BM160" s="809"/>
      <c r="BN160" s="810"/>
      <c r="BO160" s="811" t="s">
        <v>236</v>
      </c>
      <c r="BP160" s="812" t="s">
        <v>606</v>
      </c>
      <c r="BQ160" s="812"/>
      <c r="BR160" s="812"/>
      <c r="BS160" s="812"/>
      <c r="BT160" s="812"/>
    </row>
    <row r="161" spans="1:72" ht="12.75" customHeight="1">
      <c r="A161" s="845" t="s">
        <v>542</v>
      </c>
      <c r="B161" s="846" t="s">
        <v>607</v>
      </c>
      <c r="C161" s="5">
        <v>0</v>
      </c>
      <c r="D161" s="5">
        <v>0</v>
      </c>
      <c r="E161" s="5">
        <v>0</v>
      </c>
      <c r="F161" s="5">
        <v>0</v>
      </c>
      <c r="G161" s="5">
        <v>0</v>
      </c>
      <c r="H161" s="5">
        <v>0</v>
      </c>
      <c r="I161" s="5">
        <v>0</v>
      </c>
      <c r="J161" s="5">
        <v>0</v>
      </c>
      <c r="K161" s="5">
        <v>0</v>
      </c>
      <c r="L161" s="5">
        <v>0</v>
      </c>
      <c r="M161" s="5">
        <v>0</v>
      </c>
      <c r="N161" s="5">
        <v>0</v>
      </c>
      <c r="O161" s="5">
        <v>0</v>
      </c>
      <c r="P161" s="5">
        <v>0</v>
      </c>
      <c r="Q161" s="5">
        <v>0</v>
      </c>
      <c r="R161" s="5">
        <v>0</v>
      </c>
      <c r="S161" s="5">
        <v>0</v>
      </c>
      <c r="T161" s="5">
        <v>0</v>
      </c>
      <c r="U161" s="5">
        <v>0</v>
      </c>
      <c r="V161" s="5">
        <v>0</v>
      </c>
      <c r="W161" s="5">
        <v>0</v>
      </c>
      <c r="X161" s="5">
        <v>0</v>
      </c>
      <c r="Y161" s="5">
        <v>0</v>
      </c>
      <c r="Z161" s="5">
        <v>0</v>
      </c>
      <c r="AA161" s="5">
        <v>0</v>
      </c>
      <c r="AB161" s="5">
        <v>0</v>
      </c>
      <c r="AC161" s="5">
        <v>0</v>
      </c>
      <c r="AD161" s="5">
        <v>0</v>
      </c>
      <c r="AE161" s="5">
        <v>0</v>
      </c>
      <c r="AF161" s="5">
        <v>0</v>
      </c>
      <c r="AG161" s="5">
        <v>0</v>
      </c>
      <c r="AH161" s="5">
        <v>0</v>
      </c>
      <c r="AI161" s="5">
        <v>0</v>
      </c>
      <c r="AJ161" s="5">
        <v>0</v>
      </c>
      <c r="AK161" s="5">
        <v>0</v>
      </c>
      <c r="AL161" s="5">
        <v>0</v>
      </c>
      <c r="AM161" s="5">
        <v>0</v>
      </c>
      <c r="AN161" s="5">
        <v>0</v>
      </c>
      <c r="AO161" s="5">
        <v>0</v>
      </c>
      <c r="AP161" s="5">
        <v>0</v>
      </c>
      <c r="AQ161" s="5">
        <v>0</v>
      </c>
      <c r="AR161" s="5">
        <v>0</v>
      </c>
      <c r="AS161" s="5">
        <v>0</v>
      </c>
      <c r="AT161" s="5">
        <v>0</v>
      </c>
      <c r="AU161" s="5">
        <v>0</v>
      </c>
      <c r="AV161" s="5">
        <v>0</v>
      </c>
      <c r="AW161" s="815">
        <v>0</v>
      </c>
      <c r="AX161" s="816">
        <v>0.2</v>
      </c>
      <c r="AY161" s="819"/>
      <c r="AZ161" s="826"/>
      <c r="BA161" s="818"/>
      <c r="BB161" s="802" t="str" cm="1">
        <f t="array" ref="BB161">INDEX(C$4:BA$4,MATCH(TRUE,INDEX(C161:BA161&lt;&gt;0,),0))</f>
        <v>2025-26</v>
      </c>
      <c r="BC161" s="803" t="str" cm="1">
        <f t="array" ref="BC161">LOOKUP(2,1/(C161:BA161&lt;&gt;0),$C$4:$BA$4)</f>
        <v>2025-26</v>
      </c>
      <c r="BD161" s="804">
        <f>COUNTIF(RDprograms[[#This Row],[1978-79]:[2028-29]], "&gt;0")</f>
        <v>1</v>
      </c>
      <c r="BE161" s="805">
        <f>SUM(C161:BA161)/RDprograms[[#This Row],[Years with &gt; $0 investment]]</f>
        <v>0.2</v>
      </c>
      <c r="BF161" s="806" t="s">
        <v>273</v>
      </c>
      <c r="BG161" s="807" t="s">
        <v>544</v>
      </c>
      <c r="BH161" s="806" t="s">
        <v>258</v>
      </c>
      <c r="BI161" s="809"/>
      <c r="BJ161" s="809"/>
      <c r="BK161" s="809"/>
      <c r="BL161" s="809"/>
      <c r="BM161" s="809"/>
      <c r="BN161" s="810">
        <v>1</v>
      </c>
      <c r="BO161" s="811" t="s">
        <v>236</v>
      </c>
      <c r="BP161" s="812" t="s">
        <v>608</v>
      </c>
      <c r="BQ161" s="812"/>
      <c r="BR161" s="812"/>
      <c r="BS161" s="812"/>
      <c r="BT161" s="812"/>
    </row>
    <row r="162" spans="1:72" ht="12.75" customHeight="1">
      <c r="A162" s="813" t="s">
        <v>542</v>
      </c>
      <c r="B162" s="820" t="s">
        <v>609</v>
      </c>
      <c r="C162" s="5">
        <v>0</v>
      </c>
      <c r="D162" s="5">
        <v>0</v>
      </c>
      <c r="E162" s="5">
        <v>0</v>
      </c>
      <c r="F162" s="5">
        <v>0</v>
      </c>
      <c r="G162" s="5">
        <v>0</v>
      </c>
      <c r="H162" s="5">
        <v>0</v>
      </c>
      <c r="I162" s="5">
        <v>0</v>
      </c>
      <c r="J162" s="5">
        <v>0</v>
      </c>
      <c r="K162" s="5">
        <v>0</v>
      </c>
      <c r="L162" s="5">
        <v>0</v>
      </c>
      <c r="M162" s="5">
        <v>0</v>
      </c>
      <c r="N162" s="5">
        <v>0</v>
      </c>
      <c r="O162" s="5">
        <v>0</v>
      </c>
      <c r="P162" s="5">
        <v>0</v>
      </c>
      <c r="Q162" s="5">
        <v>0</v>
      </c>
      <c r="R162" s="5">
        <v>0</v>
      </c>
      <c r="S162" s="5">
        <v>0</v>
      </c>
      <c r="T162" s="5">
        <v>0</v>
      </c>
      <c r="U162" s="5">
        <v>0</v>
      </c>
      <c r="V162" s="5">
        <v>0</v>
      </c>
      <c r="W162" s="5">
        <v>0</v>
      </c>
      <c r="X162" s="5">
        <v>0</v>
      </c>
      <c r="Y162" s="5">
        <v>0</v>
      </c>
      <c r="Z162" s="5">
        <v>0</v>
      </c>
      <c r="AA162" s="5">
        <v>0</v>
      </c>
      <c r="AB162" s="5">
        <v>0</v>
      </c>
      <c r="AC162" s="5">
        <v>0</v>
      </c>
      <c r="AD162" s="5">
        <v>0</v>
      </c>
      <c r="AE162" s="5">
        <v>0</v>
      </c>
      <c r="AF162" s="5">
        <v>0</v>
      </c>
      <c r="AG162" s="5">
        <v>0</v>
      </c>
      <c r="AH162" s="5">
        <v>0</v>
      </c>
      <c r="AI162" s="5">
        <v>0</v>
      </c>
      <c r="AJ162" s="5">
        <v>0</v>
      </c>
      <c r="AK162" s="5">
        <v>0</v>
      </c>
      <c r="AL162" s="5">
        <v>0</v>
      </c>
      <c r="AM162" s="5">
        <v>0</v>
      </c>
      <c r="AN162" s="5">
        <v>0</v>
      </c>
      <c r="AO162" s="5">
        <v>0</v>
      </c>
      <c r="AP162" s="5">
        <v>0</v>
      </c>
      <c r="AQ162" s="5">
        <v>0</v>
      </c>
      <c r="AR162" s="5">
        <v>0</v>
      </c>
      <c r="AS162" s="5">
        <v>0</v>
      </c>
      <c r="AT162" s="5">
        <v>0.95199999999999996</v>
      </c>
      <c r="AU162" s="5">
        <v>0</v>
      </c>
      <c r="AV162" s="5">
        <v>0.11899999999999999</v>
      </c>
      <c r="AW162" s="815">
        <v>0.03</v>
      </c>
      <c r="AX162" s="816">
        <v>0.1</v>
      </c>
      <c r="AY162" s="819"/>
      <c r="AZ162" s="826"/>
      <c r="BA162" s="818"/>
      <c r="BB162" s="802" t="str" cm="1">
        <f t="array" ref="BB162">INDEX(C$4:BA$4,MATCH(TRUE,INDEX(C162:BA162&lt;&gt;0,),0))</f>
        <v>2021-22</v>
      </c>
      <c r="BC162" s="803" t="str" cm="1">
        <f t="array" ref="BC162">LOOKUP(2,1/(C162:BA162&lt;&gt;0),$C$4:$BA$4)</f>
        <v>2025-26</v>
      </c>
      <c r="BD162" s="804">
        <f>COUNTIF(RDprograms[[#This Row],[1978-79]:[2028-29]], "&gt;0")</f>
        <v>4</v>
      </c>
      <c r="BE162" s="805">
        <f>SUM(C162:BA162)/RDprograms[[#This Row],[Years with &gt; $0 investment]]</f>
        <v>0.30025000000000002</v>
      </c>
      <c r="BF162" s="806" t="s">
        <v>273</v>
      </c>
      <c r="BG162" s="807" t="s">
        <v>544</v>
      </c>
      <c r="BH162" s="806" t="s">
        <v>258</v>
      </c>
      <c r="BI162" s="809"/>
      <c r="BJ162" s="809"/>
      <c r="BK162" s="809"/>
      <c r="BL162" s="809"/>
      <c r="BM162" s="809"/>
      <c r="BN162" s="810">
        <v>1</v>
      </c>
      <c r="BO162" s="811" t="s">
        <v>236</v>
      </c>
      <c r="BP162" s="812" t="s">
        <v>610</v>
      </c>
      <c r="BQ162" s="812"/>
      <c r="BR162" s="812"/>
      <c r="BS162" s="812"/>
      <c r="BT162" s="812"/>
    </row>
    <row r="163" spans="1:72" ht="12.75" customHeight="1">
      <c r="A163" s="813" t="s">
        <v>542</v>
      </c>
      <c r="B163" s="820" t="s">
        <v>611</v>
      </c>
      <c r="C163" s="5">
        <v>0</v>
      </c>
      <c r="D163" s="5">
        <v>0</v>
      </c>
      <c r="E163" s="5">
        <v>0</v>
      </c>
      <c r="F163" s="5">
        <v>0</v>
      </c>
      <c r="G163" s="5">
        <v>0</v>
      </c>
      <c r="H163" s="5">
        <v>0</v>
      </c>
      <c r="I163" s="5">
        <v>0</v>
      </c>
      <c r="J163" s="5">
        <v>0</v>
      </c>
      <c r="K163" s="5">
        <v>0</v>
      </c>
      <c r="L163" s="5">
        <v>0</v>
      </c>
      <c r="M163" s="5">
        <v>0</v>
      </c>
      <c r="N163" s="5">
        <v>0</v>
      </c>
      <c r="O163" s="5">
        <v>0</v>
      </c>
      <c r="P163" s="5">
        <v>0</v>
      </c>
      <c r="Q163" s="5">
        <v>0</v>
      </c>
      <c r="R163" s="5">
        <v>0</v>
      </c>
      <c r="S163" s="5">
        <v>0</v>
      </c>
      <c r="T163" s="5">
        <v>0</v>
      </c>
      <c r="U163" s="5">
        <v>0</v>
      </c>
      <c r="V163" s="5">
        <v>0</v>
      </c>
      <c r="W163" s="5">
        <v>0</v>
      </c>
      <c r="X163" s="5">
        <v>0</v>
      </c>
      <c r="Y163" s="5">
        <v>0</v>
      </c>
      <c r="Z163" s="5">
        <v>0</v>
      </c>
      <c r="AA163" s="5">
        <v>0</v>
      </c>
      <c r="AB163" s="5">
        <v>0</v>
      </c>
      <c r="AC163" s="5">
        <v>0</v>
      </c>
      <c r="AD163" s="5">
        <v>0</v>
      </c>
      <c r="AE163" s="5">
        <v>0</v>
      </c>
      <c r="AF163" s="5">
        <v>0</v>
      </c>
      <c r="AG163" s="5">
        <v>0</v>
      </c>
      <c r="AH163" s="5">
        <v>0</v>
      </c>
      <c r="AI163" s="5">
        <v>0</v>
      </c>
      <c r="AJ163" s="5">
        <v>0</v>
      </c>
      <c r="AK163" s="5">
        <v>0</v>
      </c>
      <c r="AL163" s="5">
        <v>0</v>
      </c>
      <c r="AM163" s="5">
        <v>0</v>
      </c>
      <c r="AN163" s="5">
        <v>0</v>
      </c>
      <c r="AO163" s="5">
        <v>0</v>
      </c>
      <c r="AP163" s="5">
        <v>0</v>
      </c>
      <c r="AQ163" s="5">
        <v>0</v>
      </c>
      <c r="AR163" s="5">
        <v>0</v>
      </c>
      <c r="AS163" s="5">
        <v>0</v>
      </c>
      <c r="AT163" s="5">
        <v>0.159</v>
      </c>
      <c r="AU163" s="5">
        <v>0.16900000000000001</v>
      </c>
      <c r="AV163" s="5">
        <v>0.25</v>
      </c>
      <c r="AW163" s="815">
        <v>0.1</v>
      </c>
      <c r="AX163" s="816">
        <v>0.3</v>
      </c>
      <c r="AY163" s="819">
        <v>0.3</v>
      </c>
      <c r="AZ163" s="826"/>
      <c r="BA163" s="818"/>
      <c r="BB163" s="802" t="str" cm="1">
        <f t="array" ref="BB163">INDEX(C$4:BA$4,MATCH(TRUE,INDEX(C163:BA163&lt;&gt;0,),0))</f>
        <v>2021-22</v>
      </c>
      <c r="BC163" s="803" t="str" cm="1">
        <f t="array" ref="BC163">LOOKUP(2,1/(C163:BA163&lt;&gt;0),$C$4:$BA$4)</f>
        <v>2026-27</v>
      </c>
      <c r="BD163" s="804">
        <f>COUNTIF(RDprograms[[#This Row],[1978-79]:[2028-29]], "&gt;0")</f>
        <v>6</v>
      </c>
      <c r="BE163" s="805">
        <f>SUM(C163:BA163)/RDprograms[[#This Row],[Years with &gt; $0 investment]]</f>
        <v>0.21299999999999999</v>
      </c>
      <c r="BF163" s="806" t="s">
        <v>273</v>
      </c>
      <c r="BG163" s="807" t="s">
        <v>544</v>
      </c>
      <c r="BH163" s="806" t="s">
        <v>258</v>
      </c>
      <c r="BI163" s="809"/>
      <c r="BJ163" s="809"/>
      <c r="BK163" s="809"/>
      <c r="BL163" s="809"/>
      <c r="BM163" s="809"/>
      <c r="BN163" s="810">
        <v>1</v>
      </c>
      <c r="BO163" s="811" t="s">
        <v>236</v>
      </c>
      <c r="BP163" s="812" t="s">
        <v>612</v>
      </c>
      <c r="BQ163" s="812"/>
      <c r="BR163" s="812"/>
      <c r="BS163" s="812"/>
      <c r="BT163" s="812"/>
    </row>
    <row r="164" spans="1:72" ht="12.75" customHeight="1">
      <c r="A164" s="813" t="s">
        <v>542</v>
      </c>
      <c r="B164" s="820" t="s">
        <v>613</v>
      </c>
      <c r="C164" s="5">
        <v>0</v>
      </c>
      <c r="D164" s="5">
        <v>0</v>
      </c>
      <c r="E164" s="5">
        <v>0</v>
      </c>
      <c r="F164" s="5">
        <v>0</v>
      </c>
      <c r="G164" s="5">
        <v>0</v>
      </c>
      <c r="H164" s="5">
        <v>0</v>
      </c>
      <c r="I164" s="5">
        <v>0</v>
      </c>
      <c r="J164" s="5">
        <v>0</v>
      </c>
      <c r="K164" s="5">
        <v>0</v>
      </c>
      <c r="L164" s="5">
        <v>0</v>
      </c>
      <c r="M164" s="5">
        <v>0</v>
      </c>
      <c r="N164" s="5">
        <v>0</v>
      </c>
      <c r="O164" s="5">
        <v>0</v>
      </c>
      <c r="P164" s="5">
        <v>0</v>
      </c>
      <c r="Q164" s="5">
        <v>0</v>
      </c>
      <c r="R164" s="5">
        <v>0</v>
      </c>
      <c r="S164" s="5">
        <v>0</v>
      </c>
      <c r="T164" s="5">
        <v>0</v>
      </c>
      <c r="U164" s="5">
        <v>0</v>
      </c>
      <c r="V164" s="5">
        <v>0</v>
      </c>
      <c r="W164" s="5">
        <v>0</v>
      </c>
      <c r="X164" s="5">
        <v>0</v>
      </c>
      <c r="Y164" s="5">
        <v>0</v>
      </c>
      <c r="Z164" s="5">
        <v>0</v>
      </c>
      <c r="AA164" s="5">
        <v>0</v>
      </c>
      <c r="AB164" s="5">
        <v>0</v>
      </c>
      <c r="AC164" s="5">
        <v>0</v>
      </c>
      <c r="AD164" s="5">
        <v>0</v>
      </c>
      <c r="AE164" s="5">
        <v>0</v>
      </c>
      <c r="AF164" s="5">
        <v>0</v>
      </c>
      <c r="AG164" s="5">
        <v>0</v>
      </c>
      <c r="AH164" s="5">
        <v>0</v>
      </c>
      <c r="AI164" s="5">
        <v>0</v>
      </c>
      <c r="AJ164" s="5">
        <v>0</v>
      </c>
      <c r="AK164" s="5">
        <v>0</v>
      </c>
      <c r="AL164" s="5">
        <v>0</v>
      </c>
      <c r="AM164" s="5">
        <v>0</v>
      </c>
      <c r="AN164" s="5">
        <v>0</v>
      </c>
      <c r="AO164" s="5">
        <v>0</v>
      </c>
      <c r="AP164" s="816">
        <v>0</v>
      </c>
      <c r="AQ164" s="816">
        <v>0.11899999999999999</v>
      </c>
      <c r="AR164" s="5">
        <v>0.17499999999999999</v>
      </c>
      <c r="AS164" s="5">
        <v>0.20399999999999999</v>
      </c>
      <c r="AT164" s="5">
        <v>6.7000000000000004E-2</v>
      </c>
      <c r="AU164" s="5">
        <v>0</v>
      </c>
      <c r="AV164" s="5">
        <v>0</v>
      </c>
      <c r="AW164" s="815">
        <v>0</v>
      </c>
      <c r="AX164" s="816">
        <v>0</v>
      </c>
      <c r="AY164" s="819">
        <v>0</v>
      </c>
      <c r="AZ164" s="816"/>
      <c r="BA164" s="818"/>
      <c r="BB164" s="802" t="str" cm="1">
        <f t="array" ref="BB164">INDEX(C$4:BA$4,MATCH(TRUE,INDEX(C164:BA164&lt;&gt;0,),0))</f>
        <v>2018-19</v>
      </c>
      <c r="BC164" s="803" t="str" cm="1">
        <f t="array" ref="BC164">LOOKUP(2,1/(C164:BA164&lt;&gt;0),$C$4:$BA$4)</f>
        <v>2021-22</v>
      </c>
      <c r="BD164" s="804">
        <f>COUNTIF(RDprograms[[#This Row],[1978-79]:[2028-29]], "&gt;0")</f>
        <v>4</v>
      </c>
      <c r="BE164" s="805">
        <f>SUM(C164:BA164)/RDprograms[[#This Row],[Years with &gt; $0 investment]]</f>
        <v>0.14124999999999999</v>
      </c>
      <c r="BF164" s="806" t="s">
        <v>273</v>
      </c>
      <c r="BG164" s="807" t="s">
        <v>544</v>
      </c>
      <c r="BH164" s="807" t="s">
        <v>258</v>
      </c>
      <c r="BI164" s="809"/>
      <c r="BJ164" s="809"/>
      <c r="BK164" s="809"/>
      <c r="BL164" s="809"/>
      <c r="BM164" s="809"/>
      <c r="BN164" s="810"/>
      <c r="BO164" s="811" t="s">
        <v>236</v>
      </c>
      <c r="BP164" s="812" t="s">
        <v>614</v>
      </c>
      <c r="BQ164" s="812"/>
      <c r="BR164" s="812"/>
      <c r="BS164" s="812"/>
      <c r="BT164" s="812" t="s">
        <v>238</v>
      </c>
    </row>
    <row r="165" spans="1:72" ht="12.75" customHeight="1">
      <c r="A165" s="813" t="s">
        <v>542</v>
      </c>
      <c r="B165" s="820" t="s">
        <v>615</v>
      </c>
      <c r="C165" s="5">
        <v>0</v>
      </c>
      <c r="D165" s="5">
        <v>0</v>
      </c>
      <c r="E165" s="5">
        <v>0</v>
      </c>
      <c r="F165" s="5">
        <v>0</v>
      </c>
      <c r="G165" s="5">
        <v>0</v>
      </c>
      <c r="H165" s="5">
        <v>0</v>
      </c>
      <c r="I165" s="5">
        <v>0</v>
      </c>
      <c r="J165" s="5">
        <v>0</v>
      </c>
      <c r="K165" s="5">
        <v>0</v>
      </c>
      <c r="L165" s="5">
        <v>0</v>
      </c>
      <c r="M165" s="5">
        <v>0</v>
      </c>
      <c r="N165" s="5">
        <v>0</v>
      </c>
      <c r="O165" s="5">
        <v>0</v>
      </c>
      <c r="P165" s="5">
        <v>0</v>
      </c>
      <c r="Q165" s="5">
        <v>0</v>
      </c>
      <c r="R165" s="5">
        <v>0</v>
      </c>
      <c r="S165" s="5">
        <v>0</v>
      </c>
      <c r="T165" s="5">
        <v>0</v>
      </c>
      <c r="U165" s="5">
        <v>0</v>
      </c>
      <c r="V165" s="5">
        <v>0</v>
      </c>
      <c r="W165" s="5">
        <v>0</v>
      </c>
      <c r="X165" s="5">
        <v>0</v>
      </c>
      <c r="Y165" s="5">
        <v>0</v>
      </c>
      <c r="Z165" s="5">
        <v>0</v>
      </c>
      <c r="AA165" s="5">
        <v>0</v>
      </c>
      <c r="AB165" s="5">
        <v>0</v>
      </c>
      <c r="AC165" s="5">
        <v>0</v>
      </c>
      <c r="AD165" s="5">
        <v>0</v>
      </c>
      <c r="AE165" s="5">
        <v>0</v>
      </c>
      <c r="AF165" s="5">
        <v>0</v>
      </c>
      <c r="AG165" s="5">
        <v>0</v>
      </c>
      <c r="AH165" s="5">
        <v>0</v>
      </c>
      <c r="AI165" s="5">
        <v>0</v>
      </c>
      <c r="AJ165" s="5">
        <v>0</v>
      </c>
      <c r="AK165" s="5">
        <v>0</v>
      </c>
      <c r="AL165" s="5">
        <v>0</v>
      </c>
      <c r="AM165" s="5">
        <v>0</v>
      </c>
      <c r="AN165" s="5">
        <v>0</v>
      </c>
      <c r="AO165" s="5">
        <v>0</v>
      </c>
      <c r="AP165" s="5">
        <v>0</v>
      </c>
      <c r="AQ165" s="5">
        <v>0</v>
      </c>
      <c r="AR165" s="5">
        <v>7.0000000000000007E-2</v>
      </c>
      <c r="AS165" s="5">
        <v>0.46</v>
      </c>
      <c r="AT165" s="5">
        <v>0.24299999999999999</v>
      </c>
      <c r="AU165" s="5">
        <v>0</v>
      </c>
      <c r="AV165" s="5">
        <v>0</v>
      </c>
      <c r="AW165" s="815">
        <v>0</v>
      </c>
      <c r="AX165" s="816">
        <v>0</v>
      </c>
      <c r="AY165" s="819">
        <v>0</v>
      </c>
      <c r="AZ165" s="816"/>
      <c r="BA165" s="818"/>
      <c r="BB165" s="802" t="str" cm="1">
        <f t="array" ref="BB165">INDEX(C$4:BA$4,MATCH(TRUE,INDEX(C165:BA165&lt;&gt;0,),0))</f>
        <v>2019-20</v>
      </c>
      <c r="BC165" s="803" t="str" cm="1">
        <f t="array" ref="BC165">LOOKUP(2,1/(C165:BA165&lt;&gt;0),$C$4:$BA$4)</f>
        <v>2021-22</v>
      </c>
      <c r="BD165" s="804">
        <f>COUNTIF(RDprograms[[#This Row],[1978-79]:[2028-29]], "&gt;0")</f>
        <v>3</v>
      </c>
      <c r="BE165" s="805">
        <f>SUM(C165:BA165)/RDprograms[[#This Row],[Years with &gt; $0 investment]]</f>
        <v>0.25766666666666665</v>
      </c>
      <c r="BF165" s="806" t="s">
        <v>273</v>
      </c>
      <c r="BG165" s="807" t="s">
        <v>544</v>
      </c>
      <c r="BH165" s="807" t="s">
        <v>258</v>
      </c>
      <c r="BI165" s="809"/>
      <c r="BJ165" s="809"/>
      <c r="BK165" s="809"/>
      <c r="BL165" s="809"/>
      <c r="BM165" s="809"/>
      <c r="BN165" s="810"/>
      <c r="BO165" s="811" t="s">
        <v>236</v>
      </c>
      <c r="BP165" s="812" t="s">
        <v>616</v>
      </c>
      <c r="BQ165" s="812" t="s">
        <v>617</v>
      </c>
      <c r="BR165" s="812"/>
      <c r="BS165" s="812"/>
      <c r="BT165" s="812"/>
    </row>
    <row r="166" spans="1:72" ht="12.75" customHeight="1">
      <c r="A166" s="813" t="s">
        <v>542</v>
      </c>
      <c r="B166" s="820" t="s">
        <v>618</v>
      </c>
      <c r="C166" s="5">
        <v>0</v>
      </c>
      <c r="D166" s="5">
        <v>0</v>
      </c>
      <c r="E166" s="5">
        <v>0</v>
      </c>
      <c r="F166" s="5">
        <v>0</v>
      </c>
      <c r="G166" s="5">
        <v>0</v>
      </c>
      <c r="H166" s="5">
        <v>0</v>
      </c>
      <c r="I166" s="5">
        <v>0</v>
      </c>
      <c r="J166" s="5">
        <v>0</v>
      </c>
      <c r="K166" s="5">
        <v>0</v>
      </c>
      <c r="L166" s="5">
        <v>0</v>
      </c>
      <c r="M166" s="5">
        <v>0</v>
      </c>
      <c r="N166" s="5">
        <v>0</v>
      </c>
      <c r="O166" s="5">
        <v>0</v>
      </c>
      <c r="P166" s="5">
        <v>0</v>
      </c>
      <c r="Q166" s="5">
        <v>0</v>
      </c>
      <c r="R166" s="5">
        <v>0</v>
      </c>
      <c r="S166" s="5">
        <v>0</v>
      </c>
      <c r="T166" s="5">
        <v>0</v>
      </c>
      <c r="U166" s="5">
        <v>0</v>
      </c>
      <c r="V166" s="5">
        <v>0</v>
      </c>
      <c r="W166" s="5">
        <v>0</v>
      </c>
      <c r="X166" s="5">
        <v>0</v>
      </c>
      <c r="Y166" s="5">
        <v>0</v>
      </c>
      <c r="Z166" s="5">
        <v>0</v>
      </c>
      <c r="AA166" s="5">
        <v>0</v>
      </c>
      <c r="AB166" s="5">
        <v>0</v>
      </c>
      <c r="AC166" s="5">
        <v>0</v>
      </c>
      <c r="AD166" s="5">
        <v>0</v>
      </c>
      <c r="AE166" s="5">
        <v>0</v>
      </c>
      <c r="AF166" s="5">
        <v>0</v>
      </c>
      <c r="AG166" s="5">
        <v>0</v>
      </c>
      <c r="AH166" s="5">
        <v>0</v>
      </c>
      <c r="AI166" s="5">
        <v>0.27900000000000003</v>
      </c>
      <c r="AJ166" s="5">
        <v>0.81799999999999995</v>
      </c>
      <c r="AK166" s="5">
        <v>1.1579999999999999</v>
      </c>
      <c r="AL166" s="5">
        <v>0.58099999999999996</v>
      </c>
      <c r="AM166" s="5">
        <v>0</v>
      </c>
      <c r="AN166" s="5">
        <v>0</v>
      </c>
      <c r="AO166" s="5">
        <v>0</v>
      </c>
      <c r="AP166" s="816">
        <v>0</v>
      </c>
      <c r="AQ166" s="816">
        <v>0</v>
      </c>
      <c r="AR166" s="5">
        <v>0</v>
      </c>
      <c r="AS166" s="5">
        <v>0</v>
      </c>
      <c r="AT166" s="5">
        <v>0</v>
      </c>
      <c r="AU166" s="5">
        <v>0</v>
      </c>
      <c r="AV166" s="5">
        <v>0</v>
      </c>
      <c r="AW166" s="815">
        <v>0</v>
      </c>
      <c r="AX166" s="816">
        <v>0</v>
      </c>
      <c r="AY166" s="819">
        <v>0</v>
      </c>
      <c r="AZ166" s="816"/>
      <c r="BA166" s="818"/>
      <c r="BB166" s="802" t="str" cm="1">
        <f t="array" ref="BB166">INDEX(C$4:BA$4,MATCH(TRUE,INDEX(C166:BA166&lt;&gt;0,),0))</f>
        <v>2010-11</v>
      </c>
      <c r="BC166" s="803" t="str" cm="1">
        <f t="array" ref="BC166">LOOKUP(2,1/(C166:BA166&lt;&gt;0),$C$4:$BA$4)</f>
        <v>2013-14</v>
      </c>
      <c r="BD166" s="804">
        <f>COUNTIF(RDprograms[[#This Row],[1978-79]:[2028-29]], "&gt;0")</f>
        <v>4</v>
      </c>
      <c r="BE166" s="805">
        <f>SUM(C166:BA166)/RDprograms[[#This Row],[Years with &gt; $0 investment]]</f>
        <v>0.70899999999999996</v>
      </c>
      <c r="BF166" s="806" t="s">
        <v>249</v>
      </c>
      <c r="BG166" s="807" t="s">
        <v>544</v>
      </c>
      <c r="BH166" s="807" t="s">
        <v>241</v>
      </c>
      <c r="BI166" s="809"/>
      <c r="BJ166" s="809"/>
      <c r="BK166" s="809"/>
      <c r="BL166" s="809"/>
      <c r="BM166" s="809"/>
      <c r="BN166" s="810"/>
      <c r="BO166" s="811" t="s">
        <v>236</v>
      </c>
      <c r="BP166" s="812"/>
      <c r="BQ166" s="812"/>
      <c r="BR166" s="812"/>
      <c r="BS166" s="812"/>
      <c r="BT166" s="812"/>
    </row>
    <row r="167" spans="1:72" ht="12.75" customHeight="1">
      <c r="A167" s="813" t="s">
        <v>542</v>
      </c>
      <c r="B167" s="820" t="s">
        <v>619</v>
      </c>
      <c r="C167" s="5">
        <v>0</v>
      </c>
      <c r="D167" s="5">
        <v>0</v>
      </c>
      <c r="E167" s="5">
        <v>0</v>
      </c>
      <c r="F167" s="5">
        <v>0</v>
      </c>
      <c r="G167" s="5">
        <v>0</v>
      </c>
      <c r="H167" s="5">
        <v>0</v>
      </c>
      <c r="I167" s="5">
        <v>0</v>
      </c>
      <c r="J167" s="5">
        <v>0</v>
      </c>
      <c r="K167" s="5">
        <v>0</v>
      </c>
      <c r="L167" s="5">
        <v>0</v>
      </c>
      <c r="M167" s="5">
        <v>0</v>
      </c>
      <c r="N167" s="5">
        <v>0</v>
      </c>
      <c r="O167" s="5">
        <v>0</v>
      </c>
      <c r="P167" s="5">
        <v>0</v>
      </c>
      <c r="Q167" s="5">
        <v>0</v>
      </c>
      <c r="R167" s="5">
        <v>0</v>
      </c>
      <c r="S167" s="5">
        <v>0</v>
      </c>
      <c r="T167" s="5">
        <v>0</v>
      </c>
      <c r="U167" s="5">
        <v>0</v>
      </c>
      <c r="V167" s="5">
        <v>0</v>
      </c>
      <c r="W167" s="5">
        <v>0</v>
      </c>
      <c r="X167" s="5">
        <v>0</v>
      </c>
      <c r="Y167" s="5">
        <v>0</v>
      </c>
      <c r="Z167" s="5">
        <v>0</v>
      </c>
      <c r="AA167" s="5">
        <v>0</v>
      </c>
      <c r="AB167" s="5">
        <v>0</v>
      </c>
      <c r="AC167" s="5">
        <v>0</v>
      </c>
      <c r="AD167" s="5">
        <v>0</v>
      </c>
      <c r="AE167" s="5">
        <v>0</v>
      </c>
      <c r="AF167" s="5">
        <v>0</v>
      </c>
      <c r="AG167" s="5">
        <v>0</v>
      </c>
      <c r="AH167" s="5">
        <v>0</v>
      </c>
      <c r="AI167" s="5">
        <v>0</v>
      </c>
      <c r="AJ167" s="5">
        <v>0</v>
      </c>
      <c r="AK167" s="5">
        <v>0</v>
      </c>
      <c r="AL167" s="5">
        <v>0</v>
      </c>
      <c r="AM167" s="5">
        <v>0.11700000000000001</v>
      </c>
      <c r="AN167" s="5">
        <v>0.71299999999999997</v>
      </c>
      <c r="AO167" s="5">
        <v>0.28100000000000003</v>
      </c>
      <c r="AP167" s="5">
        <v>0</v>
      </c>
      <c r="AQ167" s="5">
        <v>0</v>
      </c>
      <c r="AR167" s="5">
        <v>0</v>
      </c>
      <c r="AS167" s="5">
        <v>0</v>
      </c>
      <c r="AT167" s="5">
        <v>0</v>
      </c>
      <c r="AU167" s="5">
        <v>0</v>
      </c>
      <c r="AV167" s="5">
        <v>0</v>
      </c>
      <c r="AW167" s="815">
        <v>0</v>
      </c>
      <c r="AX167" s="816">
        <v>0</v>
      </c>
      <c r="AY167" s="819">
        <v>0</v>
      </c>
      <c r="AZ167" s="816"/>
      <c r="BA167" s="818"/>
      <c r="BB167" s="802" t="str" cm="1">
        <f t="array" ref="BB167">INDEX(C$4:BA$4,MATCH(TRUE,INDEX(C167:BA167&lt;&gt;0,),0))</f>
        <v>2014-15</v>
      </c>
      <c r="BC167" s="803" t="str" cm="1">
        <f t="array" ref="BC167">LOOKUP(2,1/(C167:BA167&lt;&gt;0),$C$4:$BA$4)</f>
        <v>2016-17</v>
      </c>
      <c r="BD167" s="804">
        <f>COUNTIF(RDprograms[[#This Row],[1978-79]:[2028-29]], "&gt;0")</f>
        <v>3</v>
      </c>
      <c r="BE167" s="805">
        <f>SUM(C167:BA167)/RDprograms[[#This Row],[Years with &gt; $0 investment]]</f>
        <v>0.37033333333333335</v>
      </c>
      <c r="BF167" s="806" t="s">
        <v>273</v>
      </c>
      <c r="BG167" s="807" t="s">
        <v>544</v>
      </c>
      <c r="BH167" s="807" t="s">
        <v>258</v>
      </c>
      <c r="BI167" s="809"/>
      <c r="BJ167" s="809"/>
      <c r="BK167" s="809"/>
      <c r="BL167" s="809"/>
      <c r="BM167" s="809"/>
      <c r="BN167" s="810"/>
      <c r="BO167" s="811" t="s">
        <v>236</v>
      </c>
      <c r="BP167" s="812" t="s">
        <v>620</v>
      </c>
      <c r="BQ167" s="812"/>
      <c r="BR167" s="812"/>
      <c r="BS167" s="812"/>
      <c r="BT167" s="812" t="s">
        <v>238</v>
      </c>
    </row>
    <row r="168" spans="1:72" ht="12.75" customHeight="1">
      <c r="A168" s="813" t="s">
        <v>542</v>
      </c>
      <c r="B168" s="820" t="s">
        <v>621</v>
      </c>
      <c r="C168" s="5">
        <v>0</v>
      </c>
      <c r="D168" s="5">
        <v>0</v>
      </c>
      <c r="E168" s="5">
        <v>0</v>
      </c>
      <c r="F168" s="5">
        <v>0</v>
      </c>
      <c r="G168" s="5">
        <v>0</v>
      </c>
      <c r="H168" s="5">
        <v>0</v>
      </c>
      <c r="I168" s="5">
        <v>0</v>
      </c>
      <c r="J168" s="5">
        <v>0</v>
      </c>
      <c r="K168" s="5">
        <v>0</v>
      </c>
      <c r="L168" s="5">
        <v>0</v>
      </c>
      <c r="M168" s="5">
        <v>0</v>
      </c>
      <c r="N168" s="5">
        <v>0</v>
      </c>
      <c r="O168" s="5">
        <v>0</v>
      </c>
      <c r="P168" s="5">
        <v>0</v>
      </c>
      <c r="Q168" s="5">
        <v>0</v>
      </c>
      <c r="R168" s="5">
        <v>0</v>
      </c>
      <c r="S168" s="5">
        <v>0</v>
      </c>
      <c r="T168" s="5">
        <v>0</v>
      </c>
      <c r="U168" s="5">
        <v>0</v>
      </c>
      <c r="V168" s="5">
        <v>0</v>
      </c>
      <c r="W168" s="5">
        <v>0</v>
      </c>
      <c r="X168" s="5">
        <v>0</v>
      </c>
      <c r="Y168" s="5">
        <v>0</v>
      </c>
      <c r="Z168" s="5">
        <v>0</v>
      </c>
      <c r="AA168" s="5">
        <v>0</v>
      </c>
      <c r="AB168" s="5">
        <v>0</v>
      </c>
      <c r="AC168" s="5">
        <v>0</v>
      </c>
      <c r="AD168" s="5">
        <v>0</v>
      </c>
      <c r="AE168" s="5">
        <v>0</v>
      </c>
      <c r="AF168" s="5">
        <v>0</v>
      </c>
      <c r="AG168" s="5">
        <v>0</v>
      </c>
      <c r="AH168" s="5">
        <v>0</v>
      </c>
      <c r="AI168" s="5">
        <v>0</v>
      </c>
      <c r="AJ168" s="5">
        <v>0</v>
      </c>
      <c r="AK168" s="5">
        <v>0</v>
      </c>
      <c r="AL168" s="5">
        <v>0</v>
      </c>
      <c r="AM168" s="5">
        <v>0</v>
      </c>
      <c r="AN168" s="5">
        <v>0</v>
      </c>
      <c r="AO168" s="5">
        <v>0.59</v>
      </c>
      <c r="AP168" s="816">
        <v>0</v>
      </c>
      <c r="AQ168" s="816">
        <v>0</v>
      </c>
      <c r="AR168" s="5">
        <v>0</v>
      </c>
      <c r="AS168" s="5">
        <v>0</v>
      </c>
      <c r="AT168" s="5">
        <v>0</v>
      </c>
      <c r="AU168" s="5">
        <v>0</v>
      </c>
      <c r="AV168" s="5">
        <v>0</v>
      </c>
      <c r="AW168" s="815">
        <v>0</v>
      </c>
      <c r="AX168" s="816">
        <v>0</v>
      </c>
      <c r="AY168" s="819">
        <v>0</v>
      </c>
      <c r="AZ168" s="816"/>
      <c r="BA168" s="818"/>
      <c r="BB168" s="802" t="str" cm="1">
        <f t="array" ref="BB168">INDEX(C$4:BA$4,MATCH(TRUE,INDEX(C168:BA168&lt;&gt;0,),0))</f>
        <v>2016-17</v>
      </c>
      <c r="BC168" s="803" t="str" cm="1">
        <f t="array" ref="BC168">LOOKUP(2,1/(C168:BA168&lt;&gt;0),$C$4:$BA$4)</f>
        <v>2016-17</v>
      </c>
      <c r="BD168" s="804">
        <f>COUNTIF(RDprograms[[#This Row],[1978-79]:[2028-29]], "&gt;0")</f>
        <v>1</v>
      </c>
      <c r="BE168" s="805">
        <f>SUM(C168:BA168)/RDprograms[[#This Row],[Years with &gt; $0 investment]]</f>
        <v>0.59</v>
      </c>
      <c r="BF168" s="806" t="s">
        <v>273</v>
      </c>
      <c r="BG168" s="807" t="s">
        <v>544</v>
      </c>
      <c r="BH168" s="807" t="s">
        <v>258</v>
      </c>
      <c r="BI168" s="809"/>
      <c r="BJ168" s="809"/>
      <c r="BK168" s="809"/>
      <c r="BL168" s="809"/>
      <c r="BM168" s="809"/>
      <c r="BN168" s="810"/>
      <c r="BO168" s="811" t="s">
        <v>236</v>
      </c>
      <c r="BP168" s="812" t="s">
        <v>622</v>
      </c>
      <c r="BQ168" s="812"/>
      <c r="BR168" s="812"/>
      <c r="BS168" s="812"/>
      <c r="BT168" s="812"/>
    </row>
    <row r="169" spans="1:72" ht="12.75" customHeight="1">
      <c r="A169" s="813" t="s">
        <v>542</v>
      </c>
      <c r="B169" s="820" t="s">
        <v>623</v>
      </c>
      <c r="C169" s="5">
        <v>0</v>
      </c>
      <c r="D169" s="5">
        <v>0</v>
      </c>
      <c r="E169" s="5">
        <v>0</v>
      </c>
      <c r="F169" s="5">
        <v>0</v>
      </c>
      <c r="G169" s="5">
        <v>0</v>
      </c>
      <c r="H169" s="5">
        <v>0</v>
      </c>
      <c r="I169" s="5">
        <v>0</v>
      </c>
      <c r="J169" s="5">
        <v>0</v>
      </c>
      <c r="K169" s="5">
        <v>0</v>
      </c>
      <c r="L169" s="5">
        <v>0</v>
      </c>
      <c r="M169" s="5">
        <v>0</v>
      </c>
      <c r="N169" s="5">
        <v>0</v>
      </c>
      <c r="O169" s="5">
        <v>0</v>
      </c>
      <c r="P169" s="5">
        <v>0</v>
      </c>
      <c r="Q169" s="5">
        <v>0</v>
      </c>
      <c r="R169" s="5">
        <v>0</v>
      </c>
      <c r="S169" s="5">
        <v>0</v>
      </c>
      <c r="T169" s="5">
        <v>0</v>
      </c>
      <c r="U169" s="5">
        <v>0</v>
      </c>
      <c r="V169" s="5">
        <v>0</v>
      </c>
      <c r="W169" s="5">
        <v>0</v>
      </c>
      <c r="X169" s="5">
        <v>0</v>
      </c>
      <c r="Y169" s="5">
        <v>0</v>
      </c>
      <c r="Z169" s="5">
        <v>0</v>
      </c>
      <c r="AA169" s="5">
        <v>0</v>
      </c>
      <c r="AB169" s="5">
        <v>0</v>
      </c>
      <c r="AC169" s="5">
        <v>0</v>
      </c>
      <c r="AD169" s="5">
        <v>0</v>
      </c>
      <c r="AE169" s="5">
        <v>0</v>
      </c>
      <c r="AF169" s="5">
        <v>0</v>
      </c>
      <c r="AG169" s="5">
        <v>0</v>
      </c>
      <c r="AH169" s="5">
        <v>0</v>
      </c>
      <c r="AI169" s="5">
        <v>0</v>
      </c>
      <c r="AJ169" s="5">
        <v>0</v>
      </c>
      <c r="AK169" s="5">
        <v>0</v>
      </c>
      <c r="AL169" s="5">
        <v>0</v>
      </c>
      <c r="AM169" s="5">
        <v>0</v>
      </c>
      <c r="AN169" s="5">
        <v>0</v>
      </c>
      <c r="AO169" s="5">
        <v>0.20699999999999999</v>
      </c>
      <c r="AP169" s="5">
        <v>0</v>
      </c>
      <c r="AQ169" s="5">
        <v>0</v>
      </c>
      <c r="AR169" s="5">
        <v>0</v>
      </c>
      <c r="AS169" s="5">
        <v>0</v>
      </c>
      <c r="AT169" s="5">
        <v>0</v>
      </c>
      <c r="AU169" s="5">
        <v>0</v>
      </c>
      <c r="AV169" s="5">
        <v>0</v>
      </c>
      <c r="AW169" s="815">
        <v>0</v>
      </c>
      <c r="AX169" s="816">
        <v>0</v>
      </c>
      <c r="AY169" s="819">
        <v>0</v>
      </c>
      <c r="AZ169" s="816"/>
      <c r="BA169" s="818"/>
      <c r="BB169" s="802" t="str" cm="1">
        <f t="array" ref="BB169">INDEX(C$4:BA$4,MATCH(TRUE,INDEX(C169:BA169&lt;&gt;0,),0))</f>
        <v>2016-17</v>
      </c>
      <c r="BC169" s="803" t="str" cm="1">
        <f t="array" ref="BC169">LOOKUP(2,1/(C169:BA169&lt;&gt;0),$C$4:$BA$4)</f>
        <v>2016-17</v>
      </c>
      <c r="BD169" s="804">
        <f>COUNTIF(RDprograms[[#This Row],[1978-79]:[2028-29]], "&gt;0")</f>
        <v>1</v>
      </c>
      <c r="BE169" s="805">
        <f>SUM(C169:BA169)/RDprograms[[#This Row],[Years with &gt; $0 investment]]</f>
        <v>0.20699999999999999</v>
      </c>
      <c r="BF169" s="806" t="s">
        <v>273</v>
      </c>
      <c r="BG169" s="807" t="s">
        <v>544</v>
      </c>
      <c r="BH169" s="807" t="s">
        <v>258</v>
      </c>
      <c r="BI169" s="809"/>
      <c r="BJ169" s="809"/>
      <c r="BK169" s="809"/>
      <c r="BL169" s="809"/>
      <c r="BM169" s="809"/>
      <c r="BN169" s="810"/>
      <c r="BO169" s="811" t="s">
        <v>236</v>
      </c>
      <c r="BP169" s="812" t="s">
        <v>624</v>
      </c>
      <c r="BQ169" s="812"/>
      <c r="BR169" s="812"/>
      <c r="BS169" s="812"/>
      <c r="BT169" s="812" t="s">
        <v>238</v>
      </c>
    </row>
    <row r="170" spans="1:72" ht="12.75" customHeight="1">
      <c r="A170" s="813" t="s">
        <v>542</v>
      </c>
      <c r="B170" s="820" t="s">
        <v>625</v>
      </c>
      <c r="C170" s="5">
        <v>0</v>
      </c>
      <c r="D170" s="5">
        <v>0</v>
      </c>
      <c r="E170" s="5">
        <v>0</v>
      </c>
      <c r="F170" s="5">
        <v>0</v>
      </c>
      <c r="G170" s="5">
        <v>0</v>
      </c>
      <c r="H170" s="5">
        <v>0</v>
      </c>
      <c r="I170" s="5">
        <v>0</v>
      </c>
      <c r="J170" s="5">
        <v>0</v>
      </c>
      <c r="K170" s="5">
        <v>0</v>
      </c>
      <c r="L170" s="5">
        <v>0</v>
      </c>
      <c r="M170" s="5">
        <v>0</v>
      </c>
      <c r="N170" s="5">
        <v>0</v>
      </c>
      <c r="O170" s="5">
        <v>0</v>
      </c>
      <c r="P170" s="5">
        <v>0</v>
      </c>
      <c r="Q170" s="5">
        <v>0</v>
      </c>
      <c r="R170" s="5">
        <v>0</v>
      </c>
      <c r="S170" s="5">
        <v>0</v>
      </c>
      <c r="T170" s="5">
        <v>0</v>
      </c>
      <c r="U170" s="5">
        <v>0</v>
      </c>
      <c r="V170" s="5">
        <v>0</v>
      </c>
      <c r="W170" s="5">
        <v>0</v>
      </c>
      <c r="X170" s="5">
        <v>0</v>
      </c>
      <c r="Y170" s="5">
        <v>0</v>
      </c>
      <c r="Z170" s="5">
        <v>0</v>
      </c>
      <c r="AA170" s="5">
        <v>0</v>
      </c>
      <c r="AB170" s="5">
        <v>0</v>
      </c>
      <c r="AC170" s="5">
        <v>0</v>
      </c>
      <c r="AD170" s="5">
        <v>0</v>
      </c>
      <c r="AE170" s="5">
        <v>0</v>
      </c>
      <c r="AF170" s="5">
        <v>0</v>
      </c>
      <c r="AG170" s="5">
        <v>0</v>
      </c>
      <c r="AH170" s="5">
        <v>0.12</v>
      </c>
      <c r="AI170" s="5">
        <v>0.14000000000000001</v>
      </c>
      <c r="AJ170" s="5">
        <v>0.27</v>
      </c>
      <c r="AK170" s="5">
        <v>0.3</v>
      </c>
      <c r="AL170" s="5">
        <v>0</v>
      </c>
      <c r="AM170" s="5">
        <v>0.17899999999999999</v>
      </c>
      <c r="AN170" s="5">
        <v>0.20699999999999999</v>
      </c>
      <c r="AO170" s="5">
        <v>0.29499999999999998</v>
      </c>
      <c r="AP170" s="816">
        <v>0.36</v>
      </c>
      <c r="AQ170" s="816">
        <v>0.35</v>
      </c>
      <c r="AR170" s="5">
        <v>0</v>
      </c>
      <c r="AS170" s="5">
        <v>0</v>
      </c>
      <c r="AT170" s="5">
        <v>0.3</v>
      </c>
      <c r="AU170" s="5">
        <v>0</v>
      </c>
      <c r="AV170" s="5">
        <v>0</v>
      </c>
      <c r="AW170" s="815">
        <v>0</v>
      </c>
      <c r="AX170" s="816">
        <v>0</v>
      </c>
      <c r="AY170" s="819">
        <v>0</v>
      </c>
      <c r="AZ170" s="816"/>
      <c r="BA170" s="818"/>
      <c r="BB170" s="802" t="str" cm="1">
        <f t="array" ref="BB170">INDEX(C$4:BA$4,MATCH(TRUE,INDEX(C170:BA170&lt;&gt;0,),0))</f>
        <v>2009-10</v>
      </c>
      <c r="BC170" s="803" t="str" cm="1">
        <f t="array" ref="BC170">LOOKUP(2,1/(C170:BA170&lt;&gt;0),$C$4:$BA$4)</f>
        <v>2021-22</v>
      </c>
      <c r="BD170" s="804">
        <f>COUNTIF(RDprograms[[#This Row],[1978-79]:[2028-29]], "&gt;0")</f>
        <v>10</v>
      </c>
      <c r="BE170" s="805">
        <f>SUM(C170:BA170)/RDprograms[[#This Row],[Years with &gt; $0 investment]]</f>
        <v>0.25209999999999999</v>
      </c>
      <c r="BF170" s="806" t="s">
        <v>273</v>
      </c>
      <c r="BG170" s="807" t="s">
        <v>544</v>
      </c>
      <c r="BH170" s="807" t="s">
        <v>241</v>
      </c>
      <c r="BI170" s="809"/>
      <c r="BJ170" s="809"/>
      <c r="BK170" s="809"/>
      <c r="BL170" s="809"/>
      <c r="BM170" s="809"/>
      <c r="BN170" s="810"/>
      <c r="BO170" s="811" t="s">
        <v>236</v>
      </c>
      <c r="BP170" s="812" t="s">
        <v>626</v>
      </c>
      <c r="BQ170" s="812"/>
      <c r="BR170" s="812"/>
      <c r="BS170" s="812"/>
      <c r="BT170" s="812"/>
    </row>
    <row r="171" spans="1:72" ht="12.75" customHeight="1">
      <c r="A171" s="813" t="s">
        <v>542</v>
      </c>
      <c r="B171" s="820" t="s">
        <v>627</v>
      </c>
      <c r="C171" s="5">
        <v>0</v>
      </c>
      <c r="D171" s="5">
        <v>0</v>
      </c>
      <c r="E171" s="5">
        <v>0</v>
      </c>
      <c r="F171" s="5">
        <v>0</v>
      </c>
      <c r="G171" s="5">
        <v>0</v>
      </c>
      <c r="H171" s="5">
        <v>0</v>
      </c>
      <c r="I171" s="5">
        <v>0</v>
      </c>
      <c r="J171" s="5">
        <v>0</v>
      </c>
      <c r="K171" s="5">
        <v>0</v>
      </c>
      <c r="L171" s="5">
        <v>0</v>
      </c>
      <c r="M171" s="5">
        <v>0</v>
      </c>
      <c r="N171" s="5">
        <v>0</v>
      </c>
      <c r="O171" s="5">
        <v>0</v>
      </c>
      <c r="P171" s="5">
        <v>0</v>
      </c>
      <c r="Q171" s="5">
        <v>0</v>
      </c>
      <c r="R171" s="5">
        <v>0</v>
      </c>
      <c r="S171" s="5">
        <v>0</v>
      </c>
      <c r="T171" s="5">
        <v>0</v>
      </c>
      <c r="U171" s="5">
        <v>0</v>
      </c>
      <c r="V171" s="5">
        <v>0</v>
      </c>
      <c r="W171" s="5">
        <v>0</v>
      </c>
      <c r="X171" s="5">
        <v>0</v>
      </c>
      <c r="Y171" s="5">
        <v>0</v>
      </c>
      <c r="Z171" s="5">
        <v>0</v>
      </c>
      <c r="AA171" s="5">
        <v>0</v>
      </c>
      <c r="AB171" s="5">
        <v>0</v>
      </c>
      <c r="AC171" s="5">
        <v>0</v>
      </c>
      <c r="AD171" s="5">
        <v>0</v>
      </c>
      <c r="AE171" s="5">
        <v>0</v>
      </c>
      <c r="AF171" s="5">
        <v>0</v>
      </c>
      <c r="AG171" s="5">
        <v>0</v>
      </c>
      <c r="AH171" s="5">
        <v>0</v>
      </c>
      <c r="AI171" s="5">
        <v>0</v>
      </c>
      <c r="AJ171" s="5">
        <v>0</v>
      </c>
      <c r="AK171" s="5">
        <v>0</v>
      </c>
      <c r="AL171" s="5">
        <v>0</v>
      </c>
      <c r="AM171" s="5">
        <v>0.34599999999999997</v>
      </c>
      <c r="AN171" s="5">
        <v>0.48399999999999999</v>
      </c>
      <c r="AO171" s="5">
        <v>0.5</v>
      </c>
      <c r="AP171" s="816">
        <v>0.23799999999999999</v>
      </c>
      <c r="AQ171" s="816">
        <v>0</v>
      </c>
      <c r="AR171" s="5">
        <v>0</v>
      </c>
      <c r="AS171" s="5">
        <v>0</v>
      </c>
      <c r="AT171" s="5">
        <v>0</v>
      </c>
      <c r="AU171" s="5">
        <v>0</v>
      </c>
      <c r="AV171" s="5">
        <v>0</v>
      </c>
      <c r="AW171" s="815">
        <v>0</v>
      </c>
      <c r="AX171" s="816">
        <v>0</v>
      </c>
      <c r="AY171" s="819">
        <v>0</v>
      </c>
      <c r="AZ171" s="816"/>
      <c r="BA171" s="818"/>
      <c r="BB171" s="802" t="str" cm="1">
        <f t="array" ref="BB171">INDEX(C$4:BA$4,MATCH(TRUE,INDEX(C171:BA171&lt;&gt;0,),0))</f>
        <v>2014-15</v>
      </c>
      <c r="BC171" s="803" t="str" cm="1">
        <f t="array" ref="BC171">LOOKUP(2,1/(C171:BA171&lt;&gt;0),$C$4:$BA$4)</f>
        <v>2017-18</v>
      </c>
      <c r="BD171" s="804">
        <f>COUNTIF(RDprograms[[#This Row],[1978-79]:[2028-29]], "&gt;0")</f>
        <v>4</v>
      </c>
      <c r="BE171" s="805">
        <f>SUM(C171:BA171)/RDprograms[[#This Row],[Years with &gt; $0 investment]]</f>
        <v>0.39200000000000002</v>
      </c>
      <c r="BF171" s="806" t="s">
        <v>273</v>
      </c>
      <c r="BG171" s="807" t="s">
        <v>544</v>
      </c>
      <c r="BH171" s="807" t="s">
        <v>241</v>
      </c>
      <c r="BI171" s="809"/>
      <c r="BJ171" s="809"/>
      <c r="BK171" s="809"/>
      <c r="BL171" s="809"/>
      <c r="BM171" s="809"/>
      <c r="BN171" s="810"/>
      <c r="BO171" s="811" t="s">
        <v>236</v>
      </c>
      <c r="BP171" s="812" t="s">
        <v>628</v>
      </c>
      <c r="BQ171" s="812"/>
      <c r="BR171" s="812"/>
      <c r="BS171" s="812"/>
      <c r="BT171" s="812" t="s">
        <v>238</v>
      </c>
    </row>
    <row r="172" spans="1:72" ht="12.75" customHeight="1">
      <c r="A172" s="813" t="s">
        <v>542</v>
      </c>
      <c r="B172" s="820" t="s">
        <v>629</v>
      </c>
      <c r="C172" s="5">
        <v>0</v>
      </c>
      <c r="D172" s="5">
        <v>0</v>
      </c>
      <c r="E172" s="5">
        <v>0</v>
      </c>
      <c r="F172" s="5">
        <v>0</v>
      </c>
      <c r="G172" s="5">
        <v>0</v>
      </c>
      <c r="H172" s="5">
        <v>0</v>
      </c>
      <c r="I172" s="5">
        <v>0</v>
      </c>
      <c r="J172" s="5">
        <v>0</v>
      </c>
      <c r="K172" s="5">
        <v>0</v>
      </c>
      <c r="L172" s="5">
        <v>0</v>
      </c>
      <c r="M172" s="5">
        <v>0</v>
      </c>
      <c r="N172" s="5">
        <v>0</v>
      </c>
      <c r="O172" s="5">
        <v>0</v>
      </c>
      <c r="P172" s="5">
        <v>0</v>
      </c>
      <c r="Q172" s="5">
        <v>0</v>
      </c>
      <c r="R172" s="5">
        <v>0</v>
      </c>
      <c r="S172" s="5">
        <v>0</v>
      </c>
      <c r="T172" s="5">
        <v>0</v>
      </c>
      <c r="U172" s="5">
        <v>0</v>
      </c>
      <c r="V172" s="5">
        <v>0</v>
      </c>
      <c r="W172" s="5">
        <v>0</v>
      </c>
      <c r="X172" s="5">
        <v>0</v>
      </c>
      <c r="Y172" s="5">
        <v>0</v>
      </c>
      <c r="Z172" s="5">
        <v>0</v>
      </c>
      <c r="AA172" s="5">
        <v>0</v>
      </c>
      <c r="AB172" s="5">
        <v>0</v>
      </c>
      <c r="AC172" s="5">
        <v>0</v>
      </c>
      <c r="AD172" s="5">
        <v>0</v>
      </c>
      <c r="AE172" s="5">
        <v>0</v>
      </c>
      <c r="AF172" s="5">
        <v>0</v>
      </c>
      <c r="AG172" s="5">
        <v>0</v>
      </c>
      <c r="AH172" s="5">
        <v>0</v>
      </c>
      <c r="AI172" s="5">
        <v>0</v>
      </c>
      <c r="AJ172" s="5">
        <v>0</v>
      </c>
      <c r="AK172" s="5">
        <v>0</v>
      </c>
      <c r="AL172" s="5">
        <v>0</v>
      </c>
      <c r="AM172" s="5">
        <v>0</v>
      </c>
      <c r="AN172" s="5">
        <v>0.154</v>
      </c>
      <c r="AO172" s="5">
        <v>0.87</v>
      </c>
      <c r="AP172" s="5">
        <v>2.3E-2</v>
      </c>
      <c r="AQ172" s="5">
        <v>0</v>
      </c>
      <c r="AR172" s="5">
        <v>0</v>
      </c>
      <c r="AS172" s="5">
        <v>0.01</v>
      </c>
      <c r="AT172" s="5">
        <v>0.01</v>
      </c>
      <c r="AU172" s="5">
        <v>0.01</v>
      </c>
      <c r="AV172" s="5">
        <v>0.01</v>
      </c>
      <c r="AW172" s="815">
        <v>0</v>
      </c>
      <c r="AX172" s="816">
        <v>0</v>
      </c>
      <c r="AY172" s="819">
        <v>0</v>
      </c>
      <c r="AZ172" s="816"/>
      <c r="BA172" s="818"/>
      <c r="BB172" s="802" t="str" cm="1">
        <f t="array" ref="BB172">INDEX(C$4:BA$4,MATCH(TRUE,INDEX(C172:BA172&lt;&gt;0,),0))</f>
        <v>2015-16</v>
      </c>
      <c r="BC172" s="803" t="str" cm="1">
        <f t="array" ref="BC172">LOOKUP(2,1/(C172:BA172&lt;&gt;0),$C$4:$BA$4)</f>
        <v>2023-24</v>
      </c>
      <c r="BD172" s="804">
        <f>COUNTIF(RDprograms[[#This Row],[1978-79]:[2028-29]], "&gt;0")</f>
        <v>7</v>
      </c>
      <c r="BE172" s="805">
        <f>SUM(C172:BA172)/RDprograms[[#This Row],[Years with &gt; $0 investment]]</f>
        <v>0.15528571428571428</v>
      </c>
      <c r="BF172" s="806" t="s">
        <v>273</v>
      </c>
      <c r="BG172" s="807" t="s">
        <v>544</v>
      </c>
      <c r="BH172" s="807" t="s">
        <v>258</v>
      </c>
      <c r="BI172" s="809"/>
      <c r="BJ172" s="809"/>
      <c r="BK172" s="809"/>
      <c r="BL172" s="809"/>
      <c r="BM172" s="809"/>
      <c r="BN172" s="810"/>
      <c r="BO172" s="811" t="s">
        <v>236</v>
      </c>
      <c r="BP172" s="812" t="s">
        <v>630</v>
      </c>
      <c r="BQ172" s="812"/>
      <c r="BR172" s="812"/>
      <c r="BS172" s="812"/>
      <c r="BT172" s="812" t="s">
        <v>238</v>
      </c>
    </row>
    <row r="173" spans="1:72" ht="12.75" customHeight="1">
      <c r="A173" s="813" t="s">
        <v>542</v>
      </c>
      <c r="B173" s="820" t="s">
        <v>631</v>
      </c>
      <c r="C173" s="5">
        <v>0</v>
      </c>
      <c r="D173" s="5">
        <v>0</v>
      </c>
      <c r="E173" s="5">
        <v>0</v>
      </c>
      <c r="F173" s="5">
        <v>0</v>
      </c>
      <c r="G173" s="5">
        <v>0</v>
      </c>
      <c r="H173" s="5">
        <v>0</v>
      </c>
      <c r="I173" s="5">
        <v>0</v>
      </c>
      <c r="J173" s="5">
        <v>0</v>
      </c>
      <c r="K173" s="5">
        <v>0</v>
      </c>
      <c r="L173" s="5">
        <v>0</v>
      </c>
      <c r="M173" s="5">
        <v>0</v>
      </c>
      <c r="N173" s="5">
        <v>0</v>
      </c>
      <c r="O173" s="5">
        <v>0</v>
      </c>
      <c r="P173" s="5">
        <v>0</v>
      </c>
      <c r="Q173" s="5">
        <v>0</v>
      </c>
      <c r="R173" s="5">
        <v>0</v>
      </c>
      <c r="S173" s="5">
        <v>0</v>
      </c>
      <c r="T173" s="5">
        <v>0</v>
      </c>
      <c r="U173" s="5">
        <v>0</v>
      </c>
      <c r="V173" s="5">
        <v>0</v>
      </c>
      <c r="W173" s="5">
        <v>0</v>
      </c>
      <c r="X173" s="5">
        <v>0</v>
      </c>
      <c r="Y173" s="5">
        <v>0</v>
      </c>
      <c r="Z173" s="5">
        <v>0</v>
      </c>
      <c r="AA173" s="5">
        <v>0</v>
      </c>
      <c r="AB173" s="5">
        <v>0</v>
      </c>
      <c r="AC173" s="5">
        <v>0</v>
      </c>
      <c r="AD173" s="5">
        <v>0</v>
      </c>
      <c r="AE173" s="5">
        <v>0</v>
      </c>
      <c r="AF173" s="5">
        <v>0</v>
      </c>
      <c r="AG173" s="5">
        <v>0</v>
      </c>
      <c r="AH173" s="5">
        <v>0</v>
      </c>
      <c r="AI173" s="5">
        <v>0</v>
      </c>
      <c r="AJ173" s="5">
        <v>0</v>
      </c>
      <c r="AK173" s="5">
        <v>0</v>
      </c>
      <c r="AL173" s="5">
        <v>0</v>
      </c>
      <c r="AM173" s="5">
        <v>0</v>
      </c>
      <c r="AN173" s="5">
        <v>0</v>
      </c>
      <c r="AO173" s="5">
        <v>0</v>
      </c>
      <c r="AP173" s="5">
        <v>0</v>
      </c>
      <c r="AQ173" s="5">
        <v>0</v>
      </c>
      <c r="AR173" s="5">
        <v>0</v>
      </c>
      <c r="AS173" s="5">
        <v>0.17299999999999999</v>
      </c>
      <c r="AT173" s="5">
        <v>0.13200000000000001</v>
      </c>
      <c r="AU173" s="5">
        <v>5.5E-2</v>
      </c>
      <c r="AV173" s="5">
        <v>0</v>
      </c>
      <c r="AW173" s="815">
        <v>0</v>
      </c>
      <c r="AX173" s="816">
        <v>0</v>
      </c>
      <c r="AY173" s="819">
        <v>0</v>
      </c>
      <c r="AZ173" s="816"/>
      <c r="BA173" s="818"/>
      <c r="BB173" s="802" t="str" cm="1">
        <f t="array" ref="BB173">INDEX(C$4:BA$4,MATCH(TRUE,INDEX(C173:BA173&lt;&gt;0,),0))</f>
        <v>2020-21</v>
      </c>
      <c r="BC173" s="803" t="str" cm="1">
        <f t="array" ref="BC173">LOOKUP(2,1/(C173:BA173&lt;&gt;0),$C$4:$BA$4)</f>
        <v>2022-23</v>
      </c>
      <c r="BD173" s="804">
        <f>COUNTIF(RDprograms[[#This Row],[1978-79]:[2028-29]], "&gt;0")</f>
        <v>3</v>
      </c>
      <c r="BE173" s="805">
        <f>SUM(C173:BA173)/RDprograms[[#This Row],[Years with &gt; $0 investment]]</f>
        <v>0.12</v>
      </c>
      <c r="BF173" s="806" t="s">
        <v>273</v>
      </c>
      <c r="BG173" s="807" t="s">
        <v>544</v>
      </c>
      <c r="BH173" s="807" t="s">
        <v>241</v>
      </c>
      <c r="BI173" s="809"/>
      <c r="BJ173" s="809"/>
      <c r="BK173" s="809"/>
      <c r="BL173" s="809"/>
      <c r="BM173" s="809"/>
      <c r="BN173" s="810"/>
      <c r="BO173" s="811" t="s">
        <v>236</v>
      </c>
      <c r="BP173" s="812" t="s">
        <v>632</v>
      </c>
      <c r="BQ173" s="812"/>
      <c r="BR173" s="812"/>
      <c r="BS173" s="812"/>
      <c r="BT173" s="812" t="s">
        <v>238</v>
      </c>
    </row>
    <row r="174" spans="1:72" ht="12.75" customHeight="1">
      <c r="A174" s="813" t="s">
        <v>542</v>
      </c>
      <c r="B174" s="820" t="s">
        <v>633</v>
      </c>
      <c r="C174" s="5">
        <v>0</v>
      </c>
      <c r="D174" s="5">
        <v>0</v>
      </c>
      <c r="E174" s="5">
        <v>0</v>
      </c>
      <c r="F174" s="5">
        <v>0</v>
      </c>
      <c r="G174" s="5">
        <v>0</v>
      </c>
      <c r="H174" s="5">
        <v>0</v>
      </c>
      <c r="I174" s="5">
        <v>0</v>
      </c>
      <c r="J174" s="5">
        <v>0</v>
      </c>
      <c r="K174" s="5">
        <v>0</v>
      </c>
      <c r="L174" s="5">
        <v>0</v>
      </c>
      <c r="M174" s="5">
        <v>0</v>
      </c>
      <c r="N174" s="5">
        <v>0</v>
      </c>
      <c r="O174" s="5">
        <v>0</v>
      </c>
      <c r="P174" s="5">
        <v>0</v>
      </c>
      <c r="Q174" s="5">
        <v>0</v>
      </c>
      <c r="R174" s="5">
        <v>0</v>
      </c>
      <c r="S174" s="5">
        <v>0</v>
      </c>
      <c r="T174" s="5">
        <v>0</v>
      </c>
      <c r="U174" s="5">
        <v>0</v>
      </c>
      <c r="V174" s="5">
        <v>0</v>
      </c>
      <c r="W174" s="5">
        <v>0</v>
      </c>
      <c r="X174" s="5">
        <v>0</v>
      </c>
      <c r="Y174" s="5">
        <v>0</v>
      </c>
      <c r="Z174" s="5">
        <v>0</v>
      </c>
      <c r="AA174" s="5">
        <v>0</v>
      </c>
      <c r="AB174" s="5">
        <v>0</v>
      </c>
      <c r="AC174" s="5">
        <v>0</v>
      </c>
      <c r="AD174" s="5">
        <v>0</v>
      </c>
      <c r="AE174" s="5">
        <v>0</v>
      </c>
      <c r="AF174" s="5">
        <v>0</v>
      </c>
      <c r="AG174" s="5">
        <v>0</v>
      </c>
      <c r="AH174" s="5">
        <v>0</v>
      </c>
      <c r="AI174" s="5">
        <v>0</v>
      </c>
      <c r="AJ174" s="5">
        <v>0</v>
      </c>
      <c r="AK174" s="5">
        <v>0</v>
      </c>
      <c r="AL174" s="5">
        <v>0</v>
      </c>
      <c r="AM174" s="5">
        <v>0</v>
      </c>
      <c r="AN174" s="5">
        <v>0</v>
      </c>
      <c r="AO174" s="5">
        <v>0</v>
      </c>
      <c r="AP174" s="816">
        <v>0</v>
      </c>
      <c r="AQ174" s="816">
        <v>0</v>
      </c>
      <c r="AR174" s="5">
        <v>1.5</v>
      </c>
      <c r="AS174" s="5">
        <v>0</v>
      </c>
      <c r="AT174" s="5">
        <v>0</v>
      </c>
      <c r="AU174" s="5">
        <v>0</v>
      </c>
      <c r="AV174" s="5">
        <v>0</v>
      </c>
      <c r="AW174" s="815">
        <v>0</v>
      </c>
      <c r="AX174" s="816">
        <v>0</v>
      </c>
      <c r="AY174" s="819">
        <v>0</v>
      </c>
      <c r="AZ174" s="816"/>
      <c r="BA174" s="818"/>
      <c r="BB174" s="802" t="str" cm="1">
        <f t="array" ref="BB174">INDEX(C$4:BA$4,MATCH(TRUE,INDEX(C174:BA174&lt;&gt;0,),0))</f>
        <v>2019-20</v>
      </c>
      <c r="BC174" s="803" t="str" cm="1">
        <f t="array" ref="BC174">LOOKUP(2,1/(C174:BA174&lt;&gt;0),$C$4:$BA$4)</f>
        <v>2019-20</v>
      </c>
      <c r="BD174" s="804">
        <f>COUNTIF(RDprograms[[#This Row],[1978-79]:[2028-29]], "&gt;0")</f>
        <v>1</v>
      </c>
      <c r="BE174" s="805">
        <f>SUM(C174:BA174)/RDprograms[[#This Row],[Years with &gt; $0 investment]]</f>
        <v>1.5</v>
      </c>
      <c r="BF174" s="806" t="s">
        <v>273</v>
      </c>
      <c r="BG174" s="807" t="s">
        <v>544</v>
      </c>
      <c r="BH174" s="807" t="s">
        <v>258</v>
      </c>
      <c r="BI174" s="809"/>
      <c r="BJ174" s="809"/>
      <c r="BK174" s="809"/>
      <c r="BL174" s="809"/>
      <c r="BM174" s="809"/>
      <c r="BN174" s="810"/>
      <c r="BO174" s="811" t="s">
        <v>236</v>
      </c>
      <c r="BP174" s="812" t="s">
        <v>634</v>
      </c>
      <c r="BQ174" s="812"/>
      <c r="BR174" s="812"/>
      <c r="BS174" s="812"/>
      <c r="BT174" s="812" t="s">
        <v>238</v>
      </c>
    </row>
    <row r="175" spans="1:72" ht="12.75" customHeight="1">
      <c r="A175" s="813" t="s">
        <v>542</v>
      </c>
      <c r="B175" s="820" t="s">
        <v>635</v>
      </c>
      <c r="C175" s="5">
        <v>0</v>
      </c>
      <c r="D175" s="5">
        <v>0</v>
      </c>
      <c r="E175" s="5">
        <v>0</v>
      </c>
      <c r="F175" s="5">
        <v>0</v>
      </c>
      <c r="G175" s="5">
        <v>0</v>
      </c>
      <c r="H175" s="5">
        <v>0</v>
      </c>
      <c r="I175" s="5">
        <v>0</v>
      </c>
      <c r="J175" s="5">
        <v>0</v>
      </c>
      <c r="K175" s="5">
        <v>0</v>
      </c>
      <c r="L175" s="5">
        <v>0</v>
      </c>
      <c r="M175" s="5">
        <v>0</v>
      </c>
      <c r="N175" s="5">
        <v>0</v>
      </c>
      <c r="O175" s="5">
        <v>0</v>
      </c>
      <c r="P175" s="5">
        <v>0</v>
      </c>
      <c r="Q175" s="5">
        <v>0</v>
      </c>
      <c r="R175" s="5">
        <v>0</v>
      </c>
      <c r="S175" s="5">
        <v>0</v>
      </c>
      <c r="T175" s="5">
        <v>0</v>
      </c>
      <c r="U175" s="5">
        <v>0</v>
      </c>
      <c r="V175" s="5">
        <v>0</v>
      </c>
      <c r="W175" s="5">
        <v>0</v>
      </c>
      <c r="X175" s="5">
        <v>0</v>
      </c>
      <c r="Y175" s="5">
        <v>0</v>
      </c>
      <c r="Z175" s="5">
        <v>0</v>
      </c>
      <c r="AA175" s="5">
        <v>0</v>
      </c>
      <c r="AB175" s="5">
        <v>0</v>
      </c>
      <c r="AC175" s="5">
        <v>0</v>
      </c>
      <c r="AD175" s="5">
        <v>0</v>
      </c>
      <c r="AE175" s="5">
        <v>0</v>
      </c>
      <c r="AF175" s="5">
        <v>0</v>
      </c>
      <c r="AG175" s="5">
        <v>0</v>
      </c>
      <c r="AH175" s="5">
        <v>0</v>
      </c>
      <c r="AI175" s="5">
        <v>0</v>
      </c>
      <c r="AJ175" s="5">
        <v>0</v>
      </c>
      <c r="AK175" s="5">
        <v>0</v>
      </c>
      <c r="AL175" s="5">
        <v>0</v>
      </c>
      <c r="AM175" s="5">
        <v>0</v>
      </c>
      <c r="AN175" s="5">
        <v>0</v>
      </c>
      <c r="AO175" s="5">
        <v>0</v>
      </c>
      <c r="AP175" s="5">
        <v>0</v>
      </c>
      <c r="AQ175" s="5">
        <v>0.6</v>
      </c>
      <c r="AR175" s="5">
        <v>0.3</v>
      </c>
      <c r="AS175" s="5">
        <v>0.39500000000000002</v>
      </c>
      <c r="AT175" s="5">
        <v>0</v>
      </c>
      <c r="AU175" s="5">
        <v>0</v>
      </c>
      <c r="AV175" s="5">
        <v>0</v>
      </c>
      <c r="AW175" s="815">
        <v>0</v>
      </c>
      <c r="AX175" s="816">
        <v>0</v>
      </c>
      <c r="AY175" s="819">
        <v>0</v>
      </c>
      <c r="AZ175" s="816"/>
      <c r="BA175" s="818"/>
      <c r="BB175" s="802" t="str" cm="1">
        <f t="array" ref="BB175">INDEX(C$4:BA$4,MATCH(TRUE,INDEX(C175:BA175&lt;&gt;0,),0))</f>
        <v>2018-19</v>
      </c>
      <c r="BC175" s="803" t="str" cm="1">
        <f t="array" ref="BC175">LOOKUP(2,1/(C175:BA175&lt;&gt;0),$C$4:$BA$4)</f>
        <v>2020-21</v>
      </c>
      <c r="BD175" s="804">
        <f>COUNTIF(RDprograms[[#This Row],[1978-79]:[2028-29]], "&gt;0")</f>
        <v>3</v>
      </c>
      <c r="BE175" s="805">
        <f>SUM(C175:BA175)/RDprograms[[#This Row],[Years with &gt; $0 investment]]</f>
        <v>0.43166666666666664</v>
      </c>
      <c r="BF175" s="806" t="s">
        <v>273</v>
      </c>
      <c r="BG175" s="807" t="s">
        <v>544</v>
      </c>
      <c r="BH175" s="807" t="s">
        <v>258</v>
      </c>
      <c r="BI175" s="809"/>
      <c r="BJ175" s="809"/>
      <c r="BK175" s="809"/>
      <c r="BL175" s="809"/>
      <c r="BM175" s="809"/>
      <c r="BN175" s="810"/>
      <c r="BO175" s="811" t="s">
        <v>236</v>
      </c>
      <c r="BP175" s="812" t="s">
        <v>636</v>
      </c>
      <c r="BQ175" s="812"/>
      <c r="BR175" s="812"/>
      <c r="BS175" s="812"/>
      <c r="BT175" s="812" t="s">
        <v>238</v>
      </c>
    </row>
    <row r="176" spans="1:72" ht="12.75" customHeight="1">
      <c r="A176" s="813" t="s">
        <v>542</v>
      </c>
      <c r="B176" s="820" t="s">
        <v>637</v>
      </c>
      <c r="C176" s="5">
        <v>0</v>
      </c>
      <c r="D176" s="5">
        <v>0</v>
      </c>
      <c r="E176" s="5">
        <v>0</v>
      </c>
      <c r="F176" s="5">
        <v>0</v>
      </c>
      <c r="G176" s="5">
        <v>0</v>
      </c>
      <c r="H176" s="5">
        <v>0</v>
      </c>
      <c r="I176" s="5">
        <v>0</v>
      </c>
      <c r="J176" s="5">
        <v>0</v>
      </c>
      <c r="K176" s="5">
        <v>0</v>
      </c>
      <c r="L176" s="5">
        <v>0</v>
      </c>
      <c r="M176" s="5">
        <v>0</v>
      </c>
      <c r="N176" s="5">
        <v>0</v>
      </c>
      <c r="O176" s="5">
        <v>0</v>
      </c>
      <c r="P176" s="5">
        <v>0</v>
      </c>
      <c r="Q176" s="5">
        <v>0</v>
      </c>
      <c r="R176" s="5">
        <v>0</v>
      </c>
      <c r="S176" s="5">
        <v>0</v>
      </c>
      <c r="T176" s="5">
        <v>0</v>
      </c>
      <c r="U176" s="5">
        <v>0</v>
      </c>
      <c r="V176" s="5">
        <v>0</v>
      </c>
      <c r="W176" s="5">
        <v>0</v>
      </c>
      <c r="X176" s="5">
        <v>0</v>
      </c>
      <c r="Y176" s="5">
        <v>0</v>
      </c>
      <c r="Z176" s="5">
        <v>0</v>
      </c>
      <c r="AA176" s="5">
        <v>0</v>
      </c>
      <c r="AB176" s="5">
        <v>0</v>
      </c>
      <c r="AC176" s="5">
        <v>0</v>
      </c>
      <c r="AD176" s="5">
        <v>0</v>
      </c>
      <c r="AE176" s="5">
        <v>0</v>
      </c>
      <c r="AF176" s="5">
        <v>0</v>
      </c>
      <c r="AG176" s="5">
        <v>0</v>
      </c>
      <c r="AH176" s="5">
        <v>0</v>
      </c>
      <c r="AI176" s="5">
        <v>0</v>
      </c>
      <c r="AJ176" s="5">
        <v>0</v>
      </c>
      <c r="AK176" s="5">
        <v>0</v>
      </c>
      <c r="AL176" s="5">
        <v>0</v>
      </c>
      <c r="AM176" s="5">
        <v>0</v>
      </c>
      <c r="AN176" s="5">
        <v>0</v>
      </c>
      <c r="AO176" s="5">
        <v>0</v>
      </c>
      <c r="AP176" s="816">
        <v>0</v>
      </c>
      <c r="AQ176" s="816">
        <v>0</v>
      </c>
      <c r="AR176" s="5">
        <v>0</v>
      </c>
      <c r="AS176" s="5">
        <v>0</v>
      </c>
      <c r="AT176" s="5">
        <v>0.436</v>
      </c>
      <c r="AU176" s="5">
        <v>0</v>
      </c>
      <c r="AV176" s="5">
        <v>0</v>
      </c>
      <c r="AW176" s="815">
        <v>0</v>
      </c>
      <c r="AX176" s="816">
        <v>0</v>
      </c>
      <c r="AY176" s="819">
        <v>0</v>
      </c>
      <c r="AZ176" s="816"/>
      <c r="BA176" s="818"/>
      <c r="BB176" s="802" t="str" cm="1">
        <f t="array" ref="BB176">INDEX(C$4:BA$4,MATCH(TRUE,INDEX(C176:BA176&lt;&gt;0,),0))</f>
        <v>2021-22</v>
      </c>
      <c r="BC176" s="803" t="str" cm="1">
        <f t="array" ref="BC176">LOOKUP(2,1/(C176:BA176&lt;&gt;0),$C$4:$BA$4)</f>
        <v>2021-22</v>
      </c>
      <c r="BD176" s="804">
        <f>COUNTIF(RDprograms[[#This Row],[1978-79]:[2028-29]], "&gt;0")</f>
        <v>1</v>
      </c>
      <c r="BE176" s="805">
        <f>SUM(C176:BA176)/RDprograms[[#This Row],[Years with &gt; $0 investment]]</f>
        <v>0.436</v>
      </c>
      <c r="BF176" s="806" t="s">
        <v>273</v>
      </c>
      <c r="BG176" s="807" t="s">
        <v>544</v>
      </c>
      <c r="BH176" s="807" t="s">
        <v>569</v>
      </c>
      <c r="BI176" s="809"/>
      <c r="BJ176" s="809"/>
      <c r="BK176" s="809"/>
      <c r="BL176" s="809"/>
      <c r="BM176" s="809"/>
      <c r="BN176" s="810"/>
      <c r="BO176" s="811" t="s">
        <v>236</v>
      </c>
      <c r="BP176" s="812" t="s">
        <v>638</v>
      </c>
      <c r="BQ176" s="812" t="s">
        <v>639</v>
      </c>
      <c r="BR176" s="812"/>
      <c r="BS176" s="812"/>
      <c r="BT176" s="812" t="s">
        <v>238</v>
      </c>
    </row>
    <row r="177" spans="1:72" ht="12.75" customHeight="1">
      <c r="A177" s="813" t="s">
        <v>542</v>
      </c>
      <c r="B177" s="820" t="s">
        <v>640</v>
      </c>
      <c r="C177" s="5">
        <v>0</v>
      </c>
      <c r="D177" s="5">
        <v>0</v>
      </c>
      <c r="E177" s="5">
        <v>0</v>
      </c>
      <c r="F177" s="5">
        <v>0</v>
      </c>
      <c r="G177" s="5">
        <v>0</v>
      </c>
      <c r="H177" s="5">
        <v>0</v>
      </c>
      <c r="I177" s="5">
        <v>0</v>
      </c>
      <c r="J177" s="5">
        <v>0</v>
      </c>
      <c r="K177" s="5">
        <v>0</v>
      </c>
      <c r="L177" s="5">
        <v>0</v>
      </c>
      <c r="M177" s="5">
        <v>0</v>
      </c>
      <c r="N177" s="5">
        <v>0</v>
      </c>
      <c r="O177" s="5">
        <v>0</v>
      </c>
      <c r="P177" s="5">
        <v>0</v>
      </c>
      <c r="Q177" s="5">
        <v>0</v>
      </c>
      <c r="R177" s="5">
        <v>0</v>
      </c>
      <c r="S177" s="5">
        <v>0</v>
      </c>
      <c r="T177" s="5">
        <v>0</v>
      </c>
      <c r="U177" s="5">
        <v>0</v>
      </c>
      <c r="V177" s="5">
        <v>0</v>
      </c>
      <c r="W177" s="5">
        <v>0</v>
      </c>
      <c r="X177" s="5">
        <v>0</v>
      </c>
      <c r="Y177" s="5">
        <v>0</v>
      </c>
      <c r="Z177" s="5">
        <v>0</v>
      </c>
      <c r="AA177" s="5">
        <v>0</v>
      </c>
      <c r="AB177" s="5">
        <v>0</v>
      </c>
      <c r="AC177" s="5">
        <v>0</v>
      </c>
      <c r="AD177" s="5">
        <v>0</v>
      </c>
      <c r="AE177" s="5">
        <v>0</v>
      </c>
      <c r="AF177" s="5">
        <v>0</v>
      </c>
      <c r="AG177" s="5">
        <v>0</v>
      </c>
      <c r="AH177" s="5">
        <v>0</v>
      </c>
      <c r="AI177" s="5">
        <v>0</v>
      </c>
      <c r="AJ177" s="5">
        <v>0</v>
      </c>
      <c r="AK177" s="5">
        <v>0</v>
      </c>
      <c r="AL177" s="5">
        <v>0</v>
      </c>
      <c r="AM177" s="5">
        <v>0</v>
      </c>
      <c r="AN177" s="5">
        <v>0</v>
      </c>
      <c r="AO177" s="5">
        <v>0</v>
      </c>
      <c r="AP177" s="816">
        <v>15</v>
      </c>
      <c r="AQ177" s="816">
        <v>0</v>
      </c>
      <c r="AR177" s="5">
        <v>0</v>
      </c>
      <c r="AS177" s="5">
        <v>0</v>
      </c>
      <c r="AT177" s="5">
        <v>0</v>
      </c>
      <c r="AU177" s="5">
        <v>0</v>
      </c>
      <c r="AV177" s="5">
        <v>0</v>
      </c>
      <c r="AW177" s="815">
        <v>0</v>
      </c>
      <c r="AX177" s="816">
        <v>0</v>
      </c>
      <c r="AY177" s="819">
        <v>0</v>
      </c>
      <c r="AZ177" s="816"/>
      <c r="BA177" s="818"/>
      <c r="BB177" s="802" t="str" cm="1">
        <f t="array" ref="BB177">INDEX(C$4:BA$4,MATCH(TRUE,INDEX(C177:BA177&lt;&gt;0,),0))</f>
        <v>2017-18</v>
      </c>
      <c r="BC177" s="803" t="str" cm="1">
        <f t="array" ref="BC177">LOOKUP(2,1/(C177:BA177&lt;&gt;0),$C$4:$BA$4)</f>
        <v>2017-18</v>
      </c>
      <c r="BD177" s="804">
        <f>COUNTIF(RDprograms[[#This Row],[1978-79]:[2028-29]], "&gt;0")</f>
        <v>1</v>
      </c>
      <c r="BE177" s="805">
        <f>SUM(C177:BA177)/RDprograms[[#This Row],[Years with &gt; $0 investment]]</f>
        <v>15</v>
      </c>
      <c r="BF177" s="806" t="s">
        <v>273</v>
      </c>
      <c r="BG177" s="807" t="s">
        <v>544</v>
      </c>
      <c r="BH177" s="807" t="s">
        <v>258</v>
      </c>
      <c r="BI177" s="809"/>
      <c r="BJ177" s="809"/>
      <c r="BK177" s="809"/>
      <c r="BL177" s="809"/>
      <c r="BM177" s="809"/>
      <c r="BN177" s="810"/>
      <c r="BO177" s="811" t="s">
        <v>236</v>
      </c>
      <c r="BP177" s="812" t="s">
        <v>641</v>
      </c>
      <c r="BQ177" s="812"/>
      <c r="BR177" s="812"/>
      <c r="BS177" s="812"/>
      <c r="BT177" s="812" t="s">
        <v>238</v>
      </c>
    </row>
    <row r="178" spans="1:72" ht="12.75" customHeight="1">
      <c r="A178" s="813" t="s">
        <v>542</v>
      </c>
      <c r="B178" s="820" t="s">
        <v>642</v>
      </c>
      <c r="C178" s="5">
        <v>0</v>
      </c>
      <c r="D178" s="5">
        <v>0</v>
      </c>
      <c r="E178" s="5">
        <v>0</v>
      </c>
      <c r="F178" s="5">
        <v>0</v>
      </c>
      <c r="G178" s="5">
        <v>0</v>
      </c>
      <c r="H178" s="5">
        <v>0</v>
      </c>
      <c r="I178" s="5">
        <v>0</v>
      </c>
      <c r="J178" s="5">
        <v>0</v>
      </c>
      <c r="K178" s="5">
        <v>0</v>
      </c>
      <c r="L178" s="5">
        <v>0</v>
      </c>
      <c r="M178" s="5">
        <v>0</v>
      </c>
      <c r="N178" s="5">
        <v>0</v>
      </c>
      <c r="O178" s="5">
        <v>0</v>
      </c>
      <c r="P178" s="5">
        <v>0</v>
      </c>
      <c r="Q178" s="5">
        <v>0</v>
      </c>
      <c r="R178" s="5">
        <v>0</v>
      </c>
      <c r="S178" s="5">
        <v>0</v>
      </c>
      <c r="T178" s="5">
        <v>0</v>
      </c>
      <c r="U178" s="5">
        <v>0</v>
      </c>
      <c r="V178" s="5">
        <v>0</v>
      </c>
      <c r="W178" s="5">
        <v>0</v>
      </c>
      <c r="X178" s="5">
        <v>0</v>
      </c>
      <c r="Y178" s="5">
        <v>0</v>
      </c>
      <c r="Z178" s="5">
        <v>0</v>
      </c>
      <c r="AA178" s="5">
        <v>0</v>
      </c>
      <c r="AB178" s="5">
        <v>0</v>
      </c>
      <c r="AC178" s="5">
        <v>0</v>
      </c>
      <c r="AD178" s="5">
        <v>0</v>
      </c>
      <c r="AE178" s="5">
        <v>0</v>
      </c>
      <c r="AF178" s="5">
        <v>0</v>
      </c>
      <c r="AG178" s="5">
        <v>0</v>
      </c>
      <c r="AH178" s="5">
        <v>0</v>
      </c>
      <c r="AI178" s="5">
        <v>0</v>
      </c>
      <c r="AJ178" s="5">
        <v>0</v>
      </c>
      <c r="AK178" s="5">
        <v>0</v>
      </c>
      <c r="AL178" s="5">
        <v>0</v>
      </c>
      <c r="AM178" s="5">
        <v>0</v>
      </c>
      <c r="AN178" s="5">
        <v>0</v>
      </c>
      <c r="AO178" s="5">
        <v>0</v>
      </c>
      <c r="AP178" s="816">
        <v>0</v>
      </c>
      <c r="AQ178" s="816">
        <v>0</v>
      </c>
      <c r="AR178" s="5">
        <v>0.69899999999999995</v>
      </c>
      <c r="AS178" s="5">
        <v>1.2549999999999999</v>
      </c>
      <c r="AT178" s="5">
        <v>1.0009999999999999</v>
      </c>
      <c r="AU178" s="5">
        <v>0.22500000000000001</v>
      </c>
      <c r="AV178" s="5">
        <v>0.57199999999999995</v>
      </c>
      <c r="AW178" s="815">
        <v>0.999</v>
      </c>
      <c r="AX178" s="816">
        <v>0</v>
      </c>
      <c r="AY178" s="819">
        <v>0</v>
      </c>
      <c r="AZ178" s="816">
        <v>0</v>
      </c>
      <c r="BA178" s="818">
        <v>0</v>
      </c>
      <c r="BB178" s="802" t="str" cm="1">
        <f t="array" ref="BB178">INDEX(C$4:BA$4,MATCH(TRUE,INDEX(C178:BA178&lt;&gt;0,),0))</f>
        <v>2019-20</v>
      </c>
      <c r="BC178" s="803" t="str" cm="1">
        <f t="array" ref="BC178">LOOKUP(2,1/(C178:BA178&lt;&gt;0),$C$4:$BA$4)</f>
        <v>2024-25</v>
      </c>
      <c r="BD178" s="804">
        <f>COUNTIF(RDprograms[[#This Row],[1978-79]:[2028-29]], "&gt;0")</f>
        <v>6</v>
      </c>
      <c r="BE178" s="805">
        <f>SUM(C178:BA178)/RDprograms[[#This Row],[Years with &gt; $0 investment]]</f>
        <v>0.79183333333333328</v>
      </c>
      <c r="BF178" s="806" t="s">
        <v>273</v>
      </c>
      <c r="BG178" s="807" t="s">
        <v>544</v>
      </c>
      <c r="BH178" s="807" t="s">
        <v>258</v>
      </c>
      <c r="BI178" s="809"/>
      <c r="BJ178" s="809"/>
      <c r="BK178" s="809"/>
      <c r="BL178" s="809"/>
      <c r="BM178" s="809"/>
      <c r="BN178" s="810"/>
      <c r="BO178" s="811" t="s">
        <v>236</v>
      </c>
      <c r="BP178" s="812" t="s">
        <v>643</v>
      </c>
      <c r="BQ178" s="812"/>
      <c r="BR178" s="812"/>
      <c r="BS178" s="812"/>
      <c r="BT178" s="812" t="s">
        <v>238</v>
      </c>
    </row>
    <row r="179" spans="1:72" ht="12.75" customHeight="1">
      <c r="A179" s="813" t="s">
        <v>542</v>
      </c>
      <c r="B179" s="820" t="s">
        <v>644</v>
      </c>
      <c r="C179" s="5">
        <v>0</v>
      </c>
      <c r="D179" s="5">
        <v>0</v>
      </c>
      <c r="E179" s="5">
        <v>0</v>
      </c>
      <c r="F179" s="5">
        <v>0</v>
      </c>
      <c r="G179" s="5">
        <v>0</v>
      </c>
      <c r="H179" s="5">
        <v>0</v>
      </c>
      <c r="I179" s="5">
        <v>0</v>
      </c>
      <c r="J179" s="5">
        <v>0</v>
      </c>
      <c r="K179" s="5">
        <v>0</v>
      </c>
      <c r="L179" s="5">
        <v>0</v>
      </c>
      <c r="M179" s="5">
        <v>0</v>
      </c>
      <c r="N179" s="5">
        <v>0</v>
      </c>
      <c r="O179" s="5">
        <v>0</v>
      </c>
      <c r="P179" s="5">
        <v>0</v>
      </c>
      <c r="Q179" s="5">
        <v>0</v>
      </c>
      <c r="R179" s="5">
        <v>0</v>
      </c>
      <c r="S179" s="5">
        <v>0</v>
      </c>
      <c r="T179" s="5">
        <v>0</v>
      </c>
      <c r="U179" s="5">
        <v>0</v>
      </c>
      <c r="V179" s="5">
        <v>0</v>
      </c>
      <c r="W179" s="5">
        <v>0</v>
      </c>
      <c r="X179" s="5">
        <v>0</v>
      </c>
      <c r="Y179" s="5">
        <v>0</v>
      </c>
      <c r="Z179" s="5">
        <v>0</v>
      </c>
      <c r="AA179" s="5">
        <v>0</v>
      </c>
      <c r="AB179" s="5">
        <v>0</v>
      </c>
      <c r="AC179" s="5">
        <v>0</v>
      </c>
      <c r="AD179" s="5">
        <v>0</v>
      </c>
      <c r="AE179" s="5">
        <v>0</v>
      </c>
      <c r="AF179" s="5">
        <v>0</v>
      </c>
      <c r="AG179" s="5">
        <v>0</v>
      </c>
      <c r="AH179" s="5">
        <v>0</v>
      </c>
      <c r="AI179" s="5">
        <v>0</v>
      </c>
      <c r="AJ179" s="5">
        <v>0</v>
      </c>
      <c r="AK179" s="5">
        <v>0</v>
      </c>
      <c r="AL179" s="5">
        <v>0</v>
      </c>
      <c r="AM179" s="5">
        <v>0</v>
      </c>
      <c r="AN179" s="5">
        <v>0</v>
      </c>
      <c r="AO179" s="5">
        <v>0</v>
      </c>
      <c r="AP179" s="816">
        <v>12</v>
      </c>
      <c r="AQ179" s="816">
        <v>0.1</v>
      </c>
      <c r="AR179" s="5">
        <v>0.1</v>
      </c>
      <c r="AS179" s="5">
        <v>0.1</v>
      </c>
      <c r="AT179" s="5">
        <v>0</v>
      </c>
      <c r="AU179" s="5">
        <v>0</v>
      </c>
      <c r="AV179" s="5">
        <v>0</v>
      </c>
      <c r="AW179" s="815">
        <v>0</v>
      </c>
      <c r="AX179" s="816">
        <v>0</v>
      </c>
      <c r="AY179" s="819">
        <v>0</v>
      </c>
      <c r="AZ179" s="816"/>
      <c r="BA179" s="818"/>
      <c r="BB179" s="802" t="str" cm="1">
        <f t="array" ref="BB179">INDEX(C$4:BA$4,MATCH(TRUE,INDEX(C179:BA179&lt;&gt;0,),0))</f>
        <v>2017-18</v>
      </c>
      <c r="BC179" s="803" t="str" cm="1">
        <f t="array" ref="BC179">LOOKUP(2,1/(C179:BA179&lt;&gt;0),$C$4:$BA$4)</f>
        <v>2020-21</v>
      </c>
      <c r="BD179" s="804">
        <f>COUNTIF(RDprograms[[#This Row],[1978-79]:[2028-29]], "&gt;0")</f>
        <v>4</v>
      </c>
      <c r="BE179" s="805">
        <f>SUM(C179:BA179)/RDprograms[[#This Row],[Years with &gt; $0 investment]]</f>
        <v>3.0749999999999997</v>
      </c>
      <c r="BF179" s="806" t="s">
        <v>273</v>
      </c>
      <c r="BG179" s="807" t="s">
        <v>544</v>
      </c>
      <c r="BH179" s="807" t="s">
        <v>258</v>
      </c>
      <c r="BI179" s="809"/>
      <c r="BJ179" s="809"/>
      <c r="BK179" s="809"/>
      <c r="BL179" s="809"/>
      <c r="BM179" s="809"/>
      <c r="BN179" s="810"/>
      <c r="BO179" s="811" t="s">
        <v>236</v>
      </c>
      <c r="BP179" s="812" t="s">
        <v>645</v>
      </c>
      <c r="BQ179" s="812"/>
      <c r="BR179" s="812"/>
      <c r="BS179" s="812"/>
      <c r="BT179" s="812" t="s">
        <v>238</v>
      </c>
    </row>
    <row r="180" spans="1:72" ht="12.75" customHeight="1">
      <c r="A180" s="813" t="s">
        <v>542</v>
      </c>
      <c r="B180" s="820" t="s">
        <v>646</v>
      </c>
      <c r="C180" s="5">
        <v>0</v>
      </c>
      <c r="D180" s="5">
        <v>0</v>
      </c>
      <c r="E180" s="5">
        <v>0</v>
      </c>
      <c r="F180" s="5">
        <v>0</v>
      </c>
      <c r="G180" s="5">
        <v>0</v>
      </c>
      <c r="H180" s="5">
        <v>0</v>
      </c>
      <c r="I180" s="5">
        <v>0</v>
      </c>
      <c r="J180" s="5">
        <v>0</v>
      </c>
      <c r="K180" s="5">
        <v>0</v>
      </c>
      <c r="L180" s="5">
        <v>0</v>
      </c>
      <c r="M180" s="5">
        <v>0</v>
      </c>
      <c r="N180" s="5">
        <v>0</v>
      </c>
      <c r="O180" s="5">
        <v>0</v>
      </c>
      <c r="P180" s="5">
        <v>0</v>
      </c>
      <c r="Q180" s="5">
        <v>0</v>
      </c>
      <c r="R180" s="5">
        <v>0</v>
      </c>
      <c r="S180" s="5">
        <v>0</v>
      </c>
      <c r="T180" s="5">
        <v>0</v>
      </c>
      <c r="U180" s="5">
        <v>0</v>
      </c>
      <c r="V180" s="5">
        <v>0</v>
      </c>
      <c r="W180" s="5">
        <v>0</v>
      </c>
      <c r="X180" s="5">
        <v>0</v>
      </c>
      <c r="Y180" s="5">
        <v>0</v>
      </c>
      <c r="Z180" s="5">
        <v>0</v>
      </c>
      <c r="AA180" s="5">
        <v>0</v>
      </c>
      <c r="AB180" s="5">
        <v>0</v>
      </c>
      <c r="AC180" s="5">
        <v>0</v>
      </c>
      <c r="AD180" s="5">
        <v>0</v>
      </c>
      <c r="AE180" s="5">
        <v>0</v>
      </c>
      <c r="AF180" s="5">
        <v>0</v>
      </c>
      <c r="AG180" s="5">
        <v>0</v>
      </c>
      <c r="AH180" s="5">
        <v>0</v>
      </c>
      <c r="AI180" s="5">
        <v>0</v>
      </c>
      <c r="AJ180" s="5">
        <v>0</v>
      </c>
      <c r="AK180" s="5">
        <v>0</v>
      </c>
      <c r="AL180" s="5">
        <v>0</v>
      </c>
      <c r="AM180" s="5">
        <v>0</v>
      </c>
      <c r="AN180" s="5">
        <v>0</v>
      </c>
      <c r="AO180" s="5">
        <v>0</v>
      </c>
      <c r="AP180" s="5">
        <v>0</v>
      </c>
      <c r="AQ180" s="5">
        <v>0</v>
      </c>
      <c r="AR180" s="5">
        <v>0</v>
      </c>
      <c r="AS180" s="5">
        <v>0</v>
      </c>
      <c r="AT180" s="5">
        <v>0</v>
      </c>
      <c r="AU180" s="5">
        <v>0</v>
      </c>
      <c r="AV180" s="5">
        <v>0</v>
      </c>
      <c r="AW180" s="815">
        <v>0</v>
      </c>
      <c r="AX180" s="816">
        <v>0.6</v>
      </c>
      <c r="AY180" s="819">
        <v>0.6</v>
      </c>
      <c r="AZ180" s="826"/>
      <c r="BA180" s="818"/>
      <c r="BB180" s="802" t="str" cm="1">
        <f t="array" ref="BB180">INDEX(C$4:BA$4,MATCH(TRUE,INDEX(C180:BA180&lt;&gt;0,),0))</f>
        <v>2025-26</v>
      </c>
      <c r="BC180" s="803" t="str" cm="1">
        <f t="array" ref="BC180">LOOKUP(2,1/(C180:BA180&lt;&gt;0),$C$4:$BA$4)</f>
        <v>2026-27</v>
      </c>
      <c r="BD180" s="804">
        <f>COUNTIF(RDprograms[[#This Row],[1978-79]:[2028-29]], "&gt;0")</f>
        <v>2</v>
      </c>
      <c r="BE180" s="805">
        <f>SUM(C180:BA180)/RDprograms[[#This Row],[Years with &gt; $0 investment]]</f>
        <v>0.6</v>
      </c>
      <c r="BF180" s="806" t="s">
        <v>273</v>
      </c>
      <c r="BG180" s="807" t="s">
        <v>544</v>
      </c>
      <c r="BH180" s="806" t="s">
        <v>258</v>
      </c>
      <c r="BI180" s="809"/>
      <c r="BJ180" s="809"/>
      <c r="BK180" s="809"/>
      <c r="BL180" s="809"/>
      <c r="BM180" s="809"/>
      <c r="BN180" s="810">
        <v>1</v>
      </c>
      <c r="BO180" s="811" t="s">
        <v>236</v>
      </c>
      <c r="BP180" s="812" t="s">
        <v>647</v>
      </c>
      <c r="BQ180" s="812"/>
      <c r="BR180" s="812"/>
      <c r="BS180" s="812"/>
      <c r="BT180" s="812"/>
    </row>
    <row r="181" spans="1:72" ht="12.75" customHeight="1">
      <c r="A181" s="813" t="s">
        <v>542</v>
      </c>
      <c r="B181" s="820" t="s">
        <v>648</v>
      </c>
      <c r="C181" s="5">
        <v>0</v>
      </c>
      <c r="D181" s="5">
        <v>0</v>
      </c>
      <c r="E181" s="5">
        <v>0</v>
      </c>
      <c r="F181" s="5">
        <v>0</v>
      </c>
      <c r="G181" s="5">
        <v>0</v>
      </c>
      <c r="H181" s="5">
        <v>0</v>
      </c>
      <c r="I181" s="5">
        <v>0</v>
      </c>
      <c r="J181" s="5">
        <v>0</v>
      </c>
      <c r="K181" s="5">
        <v>0</v>
      </c>
      <c r="L181" s="5">
        <v>0</v>
      </c>
      <c r="M181" s="5">
        <v>0</v>
      </c>
      <c r="N181" s="5">
        <v>0</v>
      </c>
      <c r="O181" s="5">
        <v>0</v>
      </c>
      <c r="P181" s="5">
        <v>0</v>
      </c>
      <c r="Q181" s="5">
        <v>0</v>
      </c>
      <c r="R181" s="5">
        <v>0</v>
      </c>
      <c r="S181" s="5">
        <v>0</v>
      </c>
      <c r="T181" s="5">
        <v>0</v>
      </c>
      <c r="U181" s="5">
        <v>0</v>
      </c>
      <c r="V181" s="5">
        <v>0</v>
      </c>
      <c r="W181" s="5">
        <v>0</v>
      </c>
      <c r="X181" s="5">
        <v>0</v>
      </c>
      <c r="Y181" s="5">
        <v>0</v>
      </c>
      <c r="Z181" s="5">
        <v>0</v>
      </c>
      <c r="AA181" s="5">
        <v>0</v>
      </c>
      <c r="AB181" s="5">
        <v>0</v>
      </c>
      <c r="AC181" s="5">
        <v>0</v>
      </c>
      <c r="AD181" s="5">
        <v>0</v>
      </c>
      <c r="AE181" s="5">
        <v>0</v>
      </c>
      <c r="AF181" s="5">
        <v>0</v>
      </c>
      <c r="AG181" s="5">
        <v>0</v>
      </c>
      <c r="AH181" s="5">
        <v>0</v>
      </c>
      <c r="AI181" s="5">
        <v>0</v>
      </c>
      <c r="AJ181" s="5">
        <v>0</v>
      </c>
      <c r="AK181" s="5">
        <v>0</v>
      </c>
      <c r="AL181" s="5">
        <v>0</v>
      </c>
      <c r="AM181" s="5">
        <v>0</v>
      </c>
      <c r="AN181" s="5">
        <v>0</v>
      </c>
      <c r="AO181" s="5">
        <v>0</v>
      </c>
      <c r="AP181" s="816">
        <v>0</v>
      </c>
      <c r="AQ181" s="816">
        <v>0</v>
      </c>
      <c r="AR181" s="5">
        <v>0.2</v>
      </c>
      <c r="AS181" s="5">
        <v>0</v>
      </c>
      <c r="AT181" s="5">
        <v>0</v>
      </c>
      <c r="AU181" s="5">
        <v>0</v>
      </c>
      <c r="AV181" s="5">
        <v>0</v>
      </c>
      <c r="AW181" s="815">
        <v>0</v>
      </c>
      <c r="AX181" s="816">
        <v>0</v>
      </c>
      <c r="AY181" s="819">
        <v>0</v>
      </c>
      <c r="AZ181" s="816"/>
      <c r="BA181" s="818"/>
      <c r="BB181" s="802" t="str" cm="1">
        <f t="array" ref="BB181">INDEX(C$4:BA$4,MATCH(TRUE,INDEX(C181:BA181&lt;&gt;0,),0))</f>
        <v>2019-20</v>
      </c>
      <c r="BC181" s="803" t="str" cm="1">
        <f t="array" ref="BC181">LOOKUP(2,1/(C181:BA181&lt;&gt;0),$C$4:$BA$4)</f>
        <v>2019-20</v>
      </c>
      <c r="BD181" s="804">
        <f>COUNTIF(RDprograms[[#This Row],[1978-79]:[2028-29]], "&gt;0")</f>
        <v>1</v>
      </c>
      <c r="BE181" s="805">
        <f>SUM(C181:BA181)/RDprograms[[#This Row],[Years with &gt; $0 investment]]</f>
        <v>0.2</v>
      </c>
      <c r="BF181" s="806" t="s">
        <v>273</v>
      </c>
      <c r="BG181" s="807" t="s">
        <v>544</v>
      </c>
      <c r="BH181" s="807" t="s">
        <v>258</v>
      </c>
      <c r="BI181" s="809"/>
      <c r="BJ181" s="809"/>
      <c r="BK181" s="809"/>
      <c r="BL181" s="809"/>
      <c r="BM181" s="809"/>
      <c r="BN181" s="810"/>
      <c r="BO181" s="811" t="s">
        <v>236</v>
      </c>
      <c r="BP181" s="812" t="s">
        <v>649</v>
      </c>
      <c r="BQ181" s="812"/>
      <c r="BR181" s="812"/>
      <c r="BS181" s="812"/>
      <c r="BT181" s="812" t="s">
        <v>238</v>
      </c>
    </row>
    <row r="182" spans="1:72" ht="12.75" customHeight="1">
      <c r="A182" s="813" t="s">
        <v>542</v>
      </c>
      <c r="B182" s="820" t="s">
        <v>650</v>
      </c>
      <c r="C182" s="5">
        <v>0</v>
      </c>
      <c r="D182" s="5">
        <v>0</v>
      </c>
      <c r="E182" s="5">
        <v>0</v>
      </c>
      <c r="F182" s="5">
        <v>0</v>
      </c>
      <c r="G182" s="5">
        <v>0</v>
      </c>
      <c r="H182" s="5">
        <v>0</v>
      </c>
      <c r="I182" s="5">
        <v>0</v>
      </c>
      <c r="J182" s="5">
        <v>0</v>
      </c>
      <c r="K182" s="5">
        <v>0</v>
      </c>
      <c r="L182" s="5">
        <v>0</v>
      </c>
      <c r="M182" s="5">
        <v>0</v>
      </c>
      <c r="N182" s="5">
        <v>0</v>
      </c>
      <c r="O182" s="5">
        <v>0</v>
      </c>
      <c r="P182" s="5">
        <v>0</v>
      </c>
      <c r="Q182" s="5">
        <v>0</v>
      </c>
      <c r="R182" s="5">
        <v>0</v>
      </c>
      <c r="S182" s="5">
        <v>0</v>
      </c>
      <c r="T182" s="5">
        <v>0</v>
      </c>
      <c r="U182" s="5">
        <v>0</v>
      </c>
      <c r="V182" s="5">
        <v>0</v>
      </c>
      <c r="W182" s="5">
        <v>0</v>
      </c>
      <c r="X182" s="5">
        <v>0</v>
      </c>
      <c r="Y182" s="5">
        <v>0</v>
      </c>
      <c r="Z182" s="5">
        <v>0</v>
      </c>
      <c r="AA182" s="5">
        <v>0</v>
      </c>
      <c r="AB182" s="5">
        <v>0</v>
      </c>
      <c r="AC182" s="5">
        <v>0</v>
      </c>
      <c r="AD182" s="5">
        <v>0</v>
      </c>
      <c r="AE182" s="5">
        <v>0</v>
      </c>
      <c r="AF182" s="5">
        <v>0</v>
      </c>
      <c r="AG182" s="5">
        <v>0</v>
      </c>
      <c r="AH182" s="5">
        <v>0</v>
      </c>
      <c r="AI182" s="5">
        <v>0</v>
      </c>
      <c r="AJ182" s="5">
        <v>0</v>
      </c>
      <c r="AK182" s="5">
        <v>0</v>
      </c>
      <c r="AL182" s="5">
        <v>0</v>
      </c>
      <c r="AM182" s="5">
        <v>0</v>
      </c>
      <c r="AN182" s="5">
        <v>0</v>
      </c>
      <c r="AO182" s="5">
        <v>0</v>
      </c>
      <c r="AP182" s="816">
        <v>0</v>
      </c>
      <c r="AQ182" s="816">
        <v>0</v>
      </c>
      <c r="AR182" s="5">
        <v>0</v>
      </c>
      <c r="AS182" s="5">
        <v>0</v>
      </c>
      <c r="AT182" s="5">
        <v>0.19</v>
      </c>
      <c r="AU182" s="5">
        <v>0.113</v>
      </c>
      <c r="AV182" s="5">
        <v>0</v>
      </c>
      <c r="AW182" s="815">
        <v>0</v>
      </c>
      <c r="AX182" s="816">
        <v>0</v>
      </c>
      <c r="AY182" s="819">
        <v>0</v>
      </c>
      <c r="AZ182" s="816"/>
      <c r="BA182" s="818"/>
      <c r="BB182" s="802" t="str" cm="1">
        <f t="array" ref="BB182">INDEX(C$4:BA$4,MATCH(TRUE,INDEX(C182:BA182&lt;&gt;0,),0))</f>
        <v>2021-22</v>
      </c>
      <c r="BC182" s="803" t="str" cm="1">
        <f t="array" ref="BC182">LOOKUP(2,1/(C182:BA182&lt;&gt;0),$C$4:$BA$4)</f>
        <v>2022-23</v>
      </c>
      <c r="BD182" s="804">
        <f>COUNTIF(RDprograms[[#This Row],[1978-79]:[2028-29]], "&gt;0")</f>
        <v>2</v>
      </c>
      <c r="BE182" s="805">
        <f>SUM(C182:BA182)/RDprograms[[#This Row],[Years with &gt; $0 investment]]</f>
        <v>0.1515</v>
      </c>
      <c r="BF182" s="806" t="s">
        <v>273</v>
      </c>
      <c r="BG182" s="807" t="s">
        <v>544</v>
      </c>
      <c r="BH182" s="807" t="s">
        <v>258</v>
      </c>
      <c r="BI182" s="809"/>
      <c r="BJ182" s="809"/>
      <c r="BK182" s="809"/>
      <c r="BL182" s="809"/>
      <c r="BM182" s="809"/>
      <c r="BN182" s="810"/>
      <c r="BO182" s="811" t="s">
        <v>236</v>
      </c>
      <c r="BP182" s="812" t="s">
        <v>651</v>
      </c>
      <c r="BQ182" s="812" t="s">
        <v>652</v>
      </c>
      <c r="BR182" s="812"/>
      <c r="BS182" s="812"/>
      <c r="BT182" s="812"/>
    </row>
    <row r="183" spans="1:72" ht="12.75" customHeight="1">
      <c r="A183" s="813" t="s">
        <v>542</v>
      </c>
      <c r="B183" s="820" t="s">
        <v>653</v>
      </c>
      <c r="C183" s="5">
        <v>0</v>
      </c>
      <c r="D183" s="5">
        <v>0</v>
      </c>
      <c r="E183" s="5">
        <v>0</v>
      </c>
      <c r="F183" s="5">
        <v>0</v>
      </c>
      <c r="G183" s="5">
        <v>0</v>
      </c>
      <c r="H183" s="5">
        <v>0</v>
      </c>
      <c r="I183" s="5">
        <v>0</v>
      </c>
      <c r="J183" s="5">
        <v>0</v>
      </c>
      <c r="K183" s="5">
        <v>0</v>
      </c>
      <c r="L183" s="5">
        <v>0</v>
      </c>
      <c r="M183" s="5">
        <v>0</v>
      </c>
      <c r="N183" s="5">
        <v>0</v>
      </c>
      <c r="O183" s="5">
        <v>0</v>
      </c>
      <c r="P183" s="5">
        <v>0</v>
      </c>
      <c r="Q183" s="5">
        <v>0</v>
      </c>
      <c r="R183" s="5">
        <v>0</v>
      </c>
      <c r="S183" s="5">
        <v>0</v>
      </c>
      <c r="T183" s="5">
        <v>0</v>
      </c>
      <c r="U183" s="5">
        <v>0</v>
      </c>
      <c r="V183" s="5">
        <v>0</v>
      </c>
      <c r="W183" s="5">
        <v>0</v>
      </c>
      <c r="X183" s="5">
        <v>0</v>
      </c>
      <c r="Y183" s="5">
        <v>0</v>
      </c>
      <c r="Z183" s="5">
        <v>0</v>
      </c>
      <c r="AA183" s="5">
        <v>0</v>
      </c>
      <c r="AB183" s="5">
        <v>0</v>
      </c>
      <c r="AC183" s="5">
        <v>0</v>
      </c>
      <c r="AD183" s="5">
        <v>0</v>
      </c>
      <c r="AE183" s="5">
        <v>0</v>
      </c>
      <c r="AF183" s="5">
        <v>0</v>
      </c>
      <c r="AG183" s="5">
        <v>0</v>
      </c>
      <c r="AH183" s="5">
        <v>0</v>
      </c>
      <c r="AI183" s="5">
        <v>0</v>
      </c>
      <c r="AJ183" s="5">
        <v>0</v>
      </c>
      <c r="AK183" s="5">
        <v>0</v>
      </c>
      <c r="AL183" s="5">
        <v>0</v>
      </c>
      <c r="AM183" s="5">
        <v>0</v>
      </c>
      <c r="AN183" s="5">
        <v>0</v>
      </c>
      <c r="AO183" s="5">
        <v>0</v>
      </c>
      <c r="AP183" s="5">
        <v>0</v>
      </c>
      <c r="AQ183" s="5">
        <v>0</v>
      </c>
      <c r="AR183" s="5">
        <v>0</v>
      </c>
      <c r="AS183" s="5">
        <v>0</v>
      </c>
      <c r="AT183" s="5">
        <v>1.1830000000000001</v>
      </c>
      <c r="AU183" s="5">
        <v>2.14</v>
      </c>
      <c r="AV183" s="5">
        <v>0</v>
      </c>
      <c r="AW183" s="815">
        <v>0</v>
      </c>
      <c r="AX183" s="816">
        <v>0</v>
      </c>
      <c r="AY183" s="819">
        <v>0</v>
      </c>
      <c r="AZ183" s="816">
        <v>0</v>
      </c>
      <c r="BA183" s="818">
        <v>0</v>
      </c>
      <c r="BB183" s="802" t="str" cm="1">
        <f t="array" ref="BB183">INDEX(C$4:BA$4,MATCH(TRUE,INDEX(C183:BA183&lt;&gt;0,),0))</f>
        <v>2021-22</v>
      </c>
      <c r="BC183" s="803" t="str" cm="1">
        <f t="array" ref="BC183">LOOKUP(2,1/(C183:BA183&lt;&gt;0),$C$4:$BA$4)</f>
        <v>2022-23</v>
      </c>
      <c r="BD183" s="804">
        <f>COUNTIF(RDprograms[[#This Row],[1978-79]:[2028-29]], "&gt;0")</f>
        <v>2</v>
      </c>
      <c r="BE183" s="805">
        <f>SUM(C183:BA183)/RDprograms[[#This Row],[Years with &gt; $0 investment]]</f>
        <v>1.6615000000000002</v>
      </c>
      <c r="BF183" s="806" t="s">
        <v>273</v>
      </c>
      <c r="BG183" s="807" t="s">
        <v>544</v>
      </c>
      <c r="BH183" s="807" t="s">
        <v>258</v>
      </c>
      <c r="BI183" s="809"/>
      <c r="BJ183" s="809"/>
      <c r="BK183" s="809"/>
      <c r="BL183" s="809"/>
      <c r="BM183" s="809"/>
      <c r="BN183" s="810"/>
      <c r="BO183" s="811" t="s">
        <v>236</v>
      </c>
      <c r="BP183" s="812" t="s">
        <v>654</v>
      </c>
      <c r="BQ183" s="812"/>
      <c r="BR183" s="812"/>
      <c r="BS183" s="812"/>
      <c r="BT183" s="812" t="s">
        <v>238</v>
      </c>
    </row>
    <row r="184" spans="1:72" ht="12.75" customHeight="1">
      <c r="A184" s="813" t="s">
        <v>542</v>
      </c>
      <c r="B184" s="820" t="s">
        <v>655</v>
      </c>
      <c r="C184" s="5">
        <v>0</v>
      </c>
      <c r="D184" s="5">
        <v>0</v>
      </c>
      <c r="E184" s="5">
        <v>0</v>
      </c>
      <c r="F184" s="5">
        <v>0</v>
      </c>
      <c r="G184" s="5">
        <v>0</v>
      </c>
      <c r="H184" s="5">
        <v>0</v>
      </c>
      <c r="I184" s="5">
        <v>0</v>
      </c>
      <c r="J184" s="5">
        <v>0</v>
      </c>
      <c r="K184" s="5">
        <v>0</v>
      </c>
      <c r="L184" s="5">
        <v>0</v>
      </c>
      <c r="M184" s="5">
        <v>0</v>
      </c>
      <c r="N184" s="5">
        <v>0</v>
      </c>
      <c r="O184" s="5">
        <v>0</v>
      </c>
      <c r="P184" s="5">
        <v>0</v>
      </c>
      <c r="Q184" s="5">
        <v>0</v>
      </c>
      <c r="R184" s="5">
        <v>0</v>
      </c>
      <c r="S184" s="5">
        <v>0</v>
      </c>
      <c r="T184" s="5">
        <v>0</v>
      </c>
      <c r="U184" s="5">
        <v>0</v>
      </c>
      <c r="V184" s="5">
        <v>0</v>
      </c>
      <c r="W184" s="5">
        <v>0</v>
      </c>
      <c r="X184" s="5">
        <v>0</v>
      </c>
      <c r="Y184" s="5">
        <v>0</v>
      </c>
      <c r="Z184" s="5">
        <v>0</v>
      </c>
      <c r="AA184" s="5">
        <v>0</v>
      </c>
      <c r="AB184" s="5">
        <v>0</v>
      </c>
      <c r="AC184" s="5">
        <v>0</v>
      </c>
      <c r="AD184" s="5">
        <v>0</v>
      </c>
      <c r="AE184" s="5">
        <v>0</v>
      </c>
      <c r="AF184" s="5">
        <v>0</v>
      </c>
      <c r="AG184" s="5">
        <v>0</v>
      </c>
      <c r="AH184" s="5">
        <v>0</v>
      </c>
      <c r="AI184" s="5">
        <v>0</v>
      </c>
      <c r="AJ184" s="5">
        <v>0</v>
      </c>
      <c r="AK184" s="5">
        <v>0</v>
      </c>
      <c r="AL184" s="5">
        <v>0</v>
      </c>
      <c r="AM184" s="5">
        <v>0</v>
      </c>
      <c r="AN184" s="5">
        <v>0</v>
      </c>
      <c r="AO184" s="5">
        <v>0</v>
      </c>
      <c r="AP184" s="816">
        <v>0</v>
      </c>
      <c r="AQ184" s="816">
        <v>0</v>
      </c>
      <c r="AR184" s="5">
        <v>0</v>
      </c>
      <c r="AS184" s="5">
        <v>0</v>
      </c>
      <c r="AT184" s="5">
        <v>0.45</v>
      </c>
      <c r="AU184" s="5">
        <v>0.14499999999999999</v>
      </c>
      <c r="AV184" s="5">
        <v>0</v>
      </c>
      <c r="AW184" s="815">
        <v>0</v>
      </c>
      <c r="AX184" s="816">
        <v>0</v>
      </c>
      <c r="AY184" s="819">
        <v>0</v>
      </c>
      <c r="AZ184" s="816"/>
      <c r="BA184" s="818"/>
      <c r="BB184" s="802" t="str" cm="1">
        <f t="array" ref="BB184">INDEX(C$4:BA$4,MATCH(TRUE,INDEX(C184:BA184&lt;&gt;0,),0))</f>
        <v>2021-22</v>
      </c>
      <c r="BC184" s="803" t="str" cm="1">
        <f t="array" ref="BC184">LOOKUP(2,1/(C184:BA184&lt;&gt;0),$C$4:$BA$4)</f>
        <v>2022-23</v>
      </c>
      <c r="BD184" s="804">
        <f>COUNTIF(RDprograms[[#This Row],[1978-79]:[2028-29]], "&gt;0")</f>
        <v>2</v>
      </c>
      <c r="BE184" s="805">
        <f>SUM(C184:BA184)/RDprograms[[#This Row],[Years with &gt; $0 investment]]</f>
        <v>0.29749999999999999</v>
      </c>
      <c r="BF184" s="806" t="s">
        <v>273</v>
      </c>
      <c r="BG184" s="807" t="s">
        <v>544</v>
      </c>
      <c r="BH184" s="807" t="s">
        <v>258</v>
      </c>
      <c r="BI184" s="809"/>
      <c r="BJ184" s="809"/>
      <c r="BK184" s="809"/>
      <c r="BL184" s="809"/>
      <c r="BM184" s="809"/>
      <c r="BN184" s="810"/>
      <c r="BO184" s="811" t="s">
        <v>236</v>
      </c>
      <c r="BP184" s="812" t="s">
        <v>656</v>
      </c>
      <c r="BQ184" s="812" t="s">
        <v>657</v>
      </c>
      <c r="BR184" s="812"/>
      <c r="BS184" s="812"/>
      <c r="BT184" s="812"/>
    </row>
    <row r="185" spans="1:72" ht="12.75" customHeight="1">
      <c r="A185" s="813" t="s">
        <v>658</v>
      </c>
      <c r="B185" s="820" t="s">
        <v>659</v>
      </c>
      <c r="C185" s="5">
        <v>0</v>
      </c>
      <c r="D185" s="5">
        <v>0</v>
      </c>
      <c r="E185" s="5">
        <v>0</v>
      </c>
      <c r="F185" s="5">
        <v>0</v>
      </c>
      <c r="G185" s="5">
        <v>0</v>
      </c>
      <c r="H185" s="5">
        <v>0</v>
      </c>
      <c r="I185" s="5">
        <v>0</v>
      </c>
      <c r="J185" s="5">
        <v>0</v>
      </c>
      <c r="K185" s="5">
        <v>0</v>
      </c>
      <c r="L185" s="5">
        <v>0</v>
      </c>
      <c r="M185" s="5">
        <v>0</v>
      </c>
      <c r="N185" s="5">
        <v>0</v>
      </c>
      <c r="O185" s="5">
        <v>0</v>
      </c>
      <c r="P185" s="5">
        <v>0</v>
      </c>
      <c r="Q185" s="5">
        <v>0</v>
      </c>
      <c r="R185" s="5">
        <v>0</v>
      </c>
      <c r="S185" s="5">
        <v>0</v>
      </c>
      <c r="T185" s="5">
        <v>0</v>
      </c>
      <c r="U185" s="5">
        <v>0</v>
      </c>
      <c r="V185" s="5">
        <v>0</v>
      </c>
      <c r="W185" s="5">
        <v>0</v>
      </c>
      <c r="X185" s="5">
        <v>0</v>
      </c>
      <c r="Y185" s="5">
        <v>0</v>
      </c>
      <c r="Z185" s="5">
        <v>0</v>
      </c>
      <c r="AA185" s="5">
        <v>0</v>
      </c>
      <c r="AB185" s="5">
        <v>0</v>
      </c>
      <c r="AC185" s="5">
        <v>0</v>
      </c>
      <c r="AD185" s="5">
        <v>0</v>
      </c>
      <c r="AE185" s="5">
        <v>0</v>
      </c>
      <c r="AF185" s="5">
        <v>0</v>
      </c>
      <c r="AG185" s="5">
        <v>0</v>
      </c>
      <c r="AH185" s="5">
        <v>0</v>
      </c>
      <c r="AI185" s="5">
        <v>0</v>
      </c>
      <c r="AJ185" s="5">
        <v>0</v>
      </c>
      <c r="AK185" s="5">
        <v>0</v>
      </c>
      <c r="AL185" s="5">
        <v>0</v>
      </c>
      <c r="AM185" s="5">
        <v>0</v>
      </c>
      <c r="AN185" s="5">
        <v>0</v>
      </c>
      <c r="AO185" s="5">
        <v>0.46300000000000002</v>
      </c>
      <c r="AP185" s="5">
        <v>0.47</v>
      </c>
      <c r="AQ185" s="5">
        <v>0.47899999999999998</v>
      </c>
      <c r="AR185" s="5">
        <v>0.48799999999999999</v>
      </c>
      <c r="AS185" s="5">
        <v>0</v>
      </c>
      <c r="AT185" s="5">
        <v>0</v>
      </c>
      <c r="AU185" s="5">
        <v>0</v>
      </c>
      <c r="AV185" s="5">
        <v>0</v>
      </c>
      <c r="AW185" s="815">
        <v>0</v>
      </c>
      <c r="AX185" s="816">
        <v>0</v>
      </c>
      <c r="AY185" s="819">
        <v>0</v>
      </c>
      <c r="AZ185" s="816"/>
      <c r="BA185" s="818"/>
      <c r="BB185" s="802" t="str" cm="1">
        <f t="array" ref="BB185">INDEX(C$4:BA$4,MATCH(TRUE,INDEX(C185:BA185&lt;&gt;0,),0))</f>
        <v>2016-17</v>
      </c>
      <c r="BC185" s="803" t="str" cm="1">
        <f t="array" ref="BC185">LOOKUP(2,1/(C185:BA185&lt;&gt;0),$C$4:$BA$4)</f>
        <v>2019-20</v>
      </c>
      <c r="BD185" s="804">
        <f>COUNTIF(RDprograms[[#This Row],[1978-79]:[2028-29]], "&gt;0")</f>
        <v>4</v>
      </c>
      <c r="BE185" s="805">
        <f>SUM(C185:BA185)/RDprograms[[#This Row],[Years with &gt; $0 investment]]</f>
        <v>0.47499999999999998</v>
      </c>
      <c r="BF185" s="806" t="s">
        <v>240</v>
      </c>
      <c r="BG185" s="807" t="s">
        <v>397</v>
      </c>
      <c r="BH185" s="807" t="s">
        <v>269</v>
      </c>
      <c r="BI185" s="809"/>
      <c r="BJ185" s="809"/>
      <c r="BK185" s="809"/>
      <c r="BL185" s="809"/>
      <c r="BM185" s="809"/>
      <c r="BN185" s="810"/>
      <c r="BO185" s="811" t="s">
        <v>251</v>
      </c>
      <c r="BP185" s="812" t="s">
        <v>660</v>
      </c>
      <c r="BQ185" s="812" t="s">
        <v>661</v>
      </c>
      <c r="BR185" s="812" t="s">
        <v>662</v>
      </c>
      <c r="BS185" s="812" t="s">
        <v>663</v>
      </c>
      <c r="BT185" s="812" t="s">
        <v>238</v>
      </c>
    </row>
    <row r="186" spans="1:72" ht="12.75" customHeight="1">
      <c r="A186" s="813" t="s">
        <v>658</v>
      </c>
      <c r="B186" s="820" t="s">
        <v>664</v>
      </c>
      <c r="C186" s="5">
        <v>0</v>
      </c>
      <c r="D186" s="5">
        <v>0</v>
      </c>
      <c r="E186" s="5">
        <v>0</v>
      </c>
      <c r="F186" s="5">
        <v>0</v>
      </c>
      <c r="G186" s="5">
        <v>0</v>
      </c>
      <c r="H186" s="5">
        <v>0</v>
      </c>
      <c r="I186" s="5">
        <v>0</v>
      </c>
      <c r="J186" s="5">
        <v>0</v>
      </c>
      <c r="K186" s="5">
        <v>0</v>
      </c>
      <c r="L186" s="5">
        <v>0</v>
      </c>
      <c r="M186" s="5">
        <v>0</v>
      </c>
      <c r="N186" s="5">
        <v>0</v>
      </c>
      <c r="O186" s="5">
        <v>0</v>
      </c>
      <c r="P186" s="5">
        <v>0</v>
      </c>
      <c r="Q186" s="5">
        <v>0</v>
      </c>
      <c r="R186" s="5">
        <v>0</v>
      </c>
      <c r="S186" s="5">
        <v>0</v>
      </c>
      <c r="T186" s="5">
        <v>0</v>
      </c>
      <c r="U186" s="5">
        <v>0</v>
      </c>
      <c r="V186" s="5">
        <v>0</v>
      </c>
      <c r="W186" s="5">
        <v>0</v>
      </c>
      <c r="X186" s="5">
        <v>0</v>
      </c>
      <c r="Y186" s="5">
        <v>0</v>
      </c>
      <c r="Z186" s="5">
        <v>0</v>
      </c>
      <c r="AA186" s="5">
        <v>0</v>
      </c>
      <c r="AB186" s="5">
        <v>0</v>
      </c>
      <c r="AC186" s="5">
        <v>0</v>
      </c>
      <c r="AD186" s="5">
        <v>0</v>
      </c>
      <c r="AE186" s="5">
        <v>0</v>
      </c>
      <c r="AF186" s="5">
        <v>0</v>
      </c>
      <c r="AG186" s="5">
        <v>0</v>
      </c>
      <c r="AH186" s="5">
        <v>0</v>
      </c>
      <c r="AI186" s="5">
        <v>0</v>
      </c>
      <c r="AJ186" s="5">
        <v>9.35E-2</v>
      </c>
      <c r="AK186" s="5">
        <v>9.35E-2</v>
      </c>
      <c r="AL186" s="5">
        <v>9.35E-2</v>
      </c>
      <c r="AM186" s="5">
        <v>0</v>
      </c>
      <c r="AN186" s="5">
        <v>0</v>
      </c>
      <c r="AO186" s="5">
        <v>0</v>
      </c>
      <c r="AP186" s="816">
        <v>0</v>
      </c>
      <c r="AQ186" s="816">
        <v>0</v>
      </c>
      <c r="AR186" s="5">
        <v>0</v>
      </c>
      <c r="AS186" s="5">
        <v>0</v>
      </c>
      <c r="AT186" s="5">
        <v>0</v>
      </c>
      <c r="AU186" s="5">
        <v>0</v>
      </c>
      <c r="AV186" s="5">
        <v>0</v>
      </c>
      <c r="AW186" s="815">
        <v>0</v>
      </c>
      <c r="AX186" s="816">
        <v>0</v>
      </c>
      <c r="AY186" s="819">
        <v>0</v>
      </c>
      <c r="AZ186" s="816"/>
      <c r="BA186" s="818"/>
      <c r="BB186" s="802" t="str" cm="1">
        <f t="array" ref="BB186">INDEX(C$4:BA$4,MATCH(TRUE,INDEX(C186:BA186&lt;&gt;0,),0))</f>
        <v>2011-12</v>
      </c>
      <c r="BC186" s="803" t="str" cm="1">
        <f t="array" ref="BC186">LOOKUP(2,1/(C186:BA186&lt;&gt;0),$C$4:$BA$4)</f>
        <v>2013-14</v>
      </c>
      <c r="BD186" s="804">
        <f>COUNTIF(RDprograms[[#This Row],[1978-79]:[2028-29]], "&gt;0")</f>
        <v>3</v>
      </c>
      <c r="BE186" s="805">
        <f>SUM(C186:BA186)/RDprograms[[#This Row],[Years with &gt; $0 investment]]</f>
        <v>9.3499999999999986E-2</v>
      </c>
      <c r="BF186" s="806" t="s">
        <v>273</v>
      </c>
      <c r="BG186" s="807" t="s">
        <v>362</v>
      </c>
      <c r="BH186" s="807" t="s">
        <v>269</v>
      </c>
      <c r="BI186" s="809"/>
      <c r="BJ186" s="809"/>
      <c r="BK186" s="809"/>
      <c r="BL186" s="809"/>
      <c r="BM186" s="809"/>
      <c r="BN186" s="810"/>
      <c r="BO186" s="811" t="s">
        <v>236</v>
      </c>
      <c r="BP186" s="812"/>
      <c r="BQ186" s="812"/>
      <c r="BR186" s="812"/>
      <c r="BS186" s="812"/>
      <c r="BT186" s="812"/>
    </row>
    <row r="187" spans="1:72" ht="12.75" customHeight="1">
      <c r="A187" s="813" t="s">
        <v>658</v>
      </c>
      <c r="B187" s="820" t="s">
        <v>665</v>
      </c>
      <c r="C187" s="5">
        <v>0</v>
      </c>
      <c r="D187" s="5">
        <v>0</v>
      </c>
      <c r="E187" s="5">
        <v>0</v>
      </c>
      <c r="F187" s="5">
        <v>0</v>
      </c>
      <c r="G187" s="5">
        <v>0</v>
      </c>
      <c r="H187" s="5">
        <v>0</v>
      </c>
      <c r="I187" s="5">
        <v>0</v>
      </c>
      <c r="J187" s="5">
        <v>0</v>
      </c>
      <c r="K187" s="5">
        <v>0</v>
      </c>
      <c r="L187" s="5">
        <v>0</v>
      </c>
      <c r="M187" s="5">
        <v>0</v>
      </c>
      <c r="N187" s="5">
        <v>0</v>
      </c>
      <c r="O187" s="5">
        <v>0</v>
      </c>
      <c r="P187" s="5">
        <v>0</v>
      </c>
      <c r="Q187" s="5">
        <v>0</v>
      </c>
      <c r="R187" s="5">
        <v>0</v>
      </c>
      <c r="S187" s="5">
        <v>0</v>
      </c>
      <c r="T187" s="5">
        <v>0</v>
      </c>
      <c r="U187" s="5">
        <v>0</v>
      </c>
      <c r="V187" s="5">
        <v>0</v>
      </c>
      <c r="W187" s="5">
        <v>0</v>
      </c>
      <c r="X187" s="5">
        <v>0</v>
      </c>
      <c r="Y187" s="5">
        <v>0</v>
      </c>
      <c r="Z187" s="5">
        <v>0</v>
      </c>
      <c r="AA187" s="5">
        <v>0</v>
      </c>
      <c r="AB187" s="5">
        <v>0</v>
      </c>
      <c r="AC187" s="5">
        <v>0</v>
      </c>
      <c r="AD187" s="5">
        <v>0</v>
      </c>
      <c r="AE187" s="5">
        <v>0</v>
      </c>
      <c r="AF187" s="5">
        <v>0</v>
      </c>
      <c r="AG187" s="5">
        <v>0</v>
      </c>
      <c r="AH187" s="5">
        <v>0</v>
      </c>
      <c r="AI187" s="5">
        <v>0</v>
      </c>
      <c r="AJ187" s="5">
        <v>0</v>
      </c>
      <c r="AK187" s="5">
        <v>0</v>
      </c>
      <c r="AL187" s="5">
        <v>0</v>
      </c>
      <c r="AM187" s="5">
        <v>0</v>
      </c>
      <c r="AN187" s="5">
        <v>0</v>
      </c>
      <c r="AO187" s="5">
        <v>0</v>
      </c>
      <c r="AP187" s="5">
        <v>0.05</v>
      </c>
      <c r="AQ187" s="5">
        <v>0.05</v>
      </c>
      <c r="AR187" s="5">
        <v>0.05</v>
      </c>
      <c r="AS187" s="5">
        <v>0</v>
      </c>
      <c r="AT187" s="5">
        <v>0</v>
      </c>
      <c r="AU187" s="5">
        <v>0</v>
      </c>
      <c r="AV187" s="5">
        <v>0</v>
      </c>
      <c r="AW187" s="815">
        <v>0</v>
      </c>
      <c r="AX187" s="816">
        <v>0</v>
      </c>
      <c r="AY187" s="819">
        <v>0</v>
      </c>
      <c r="AZ187" s="816"/>
      <c r="BA187" s="818"/>
      <c r="BB187" s="802" t="str" cm="1">
        <f t="array" ref="BB187">INDEX(C$4:BA$4,MATCH(TRUE,INDEX(C187:BA187&lt;&gt;0,),0))</f>
        <v>2017-18</v>
      </c>
      <c r="BC187" s="803" t="str" cm="1">
        <f t="array" ref="BC187">LOOKUP(2,1/(C187:BA187&lt;&gt;0),$C$4:$BA$4)</f>
        <v>2019-20</v>
      </c>
      <c r="BD187" s="804">
        <f>COUNTIF(RDprograms[[#This Row],[1978-79]:[2028-29]], "&gt;0")</f>
        <v>3</v>
      </c>
      <c r="BE187" s="805">
        <f>SUM(C187:BA187)/RDprograms[[#This Row],[Years with &gt; $0 investment]]</f>
        <v>5.000000000000001E-2</v>
      </c>
      <c r="BF187" s="806" t="s">
        <v>273</v>
      </c>
      <c r="BG187" s="807" t="s">
        <v>362</v>
      </c>
      <c r="BH187" s="807" t="s">
        <v>264</v>
      </c>
      <c r="BI187" s="809"/>
      <c r="BJ187" s="809"/>
      <c r="BK187" s="809"/>
      <c r="BL187" s="809"/>
      <c r="BM187" s="809"/>
      <c r="BN187" s="810"/>
      <c r="BO187" s="811" t="s">
        <v>236</v>
      </c>
      <c r="BP187" s="812" t="s">
        <v>666</v>
      </c>
      <c r="BQ187" s="812" t="s">
        <v>667</v>
      </c>
      <c r="BR187" s="812"/>
      <c r="BS187" s="812"/>
      <c r="BT187" s="812"/>
    </row>
    <row r="188" spans="1:72" ht="12.75" customHeight="1">
      <c r="A188" s="813" t="s">
        <v>658</v>
      </c>
      <c r="B188" s="820" t="s">
        <v>668</v>
      </c>
      <c r="C188" s="5">
        <v>12.7</v>
      </c>
      <c r="D188" s="5">
        <v>13.9</v>
      </c>
      <c r="E188" s="5">
        <v>18.399999999999999</v>
      </c>
      <c r="F188" s="5">
        <v>20.7</v>
      </c>
      <c r="G188" s="5">
        <v>22.7</v>
      </c>
      <c r="H188" s="5">
        <v>25.5</v>
      </c>
      <c r="I188" s="5">
        <v>30.8</v>
      </c>
      <c r="J188" s="5">
        <v>34.6</v>
      </c>
      <c r="K188" s="5">
        <v>39.799999999999997</v>
      </c>
      <c r="L188" s="5">
        <v>42.7</v>
      </c>
      <c r="M188" s="5">
        <v>50.7</v>
      </c>
      <c r="N188" s="5">
        <v>35.6</v>
      </c>
      <c r="O188" s="5">
        <v>1.2</v>
      </c>
      <c r="P188" s="5">
        <v>0</v>
      </c>
      <c r="Q188" s="5">
        <v>0</v>
      </c>
      <c r="R188" s="5">
        <v>0</v>
      </c>
      <c r="S188" s="5">
        <v>0</v>
      </c>
      <c r="T188" s="5">
        <v>0</v>
      </c>
      <c r="U188" s="5">
        <v>0</v>
      </c>
      <c r="V188" s="5">
        <v>0</v>
      </c>
      <c r="W188" s="5">
        <v>0</v>
      </c>
      <c r="X188" s="5">
        <v>0</v>
      </c>
      <c r="Y188" s="5">
        <v>0</v>
      </c>
      <c r="Z188" s="5">
        <v>0</v>
      </c>
      <c r="AA188" s="5">
        <v>0</v>
      </c>
      <c r="AB188" s="5">
        <v>0</v>
      </c>
      <c r="AC188" s="5">
        <v>0</v>
      </c>
      <c r="AD188" s="5">
        <v>0</v>
      </c>
      <c r="AE188" s="5">
        <v>0</v>
      </c>
      <c r="AF188" s="5">
        <v>0</v>
      </c>
      <c r="AG188" s="5">
        <v>0</v>
      </c>
      <c r="AH188" s="5">
        <v>0</v>
      </c>
      <c r="AI188" s="5">
        <v>0</v>
      </c>
      <c r="AJ188" s="5">
        <v>0</v>
      </c>
      <c r="AK188" s="5">
        <v>0</v>
      </c>
      <c r="AL188" s="5">
        <v>0</v>
      </c>
      <c r="AM188" s="5">
        <v>0</v>
      </c>
      <c r="AN188" s="5">
        <v>0</v>
      </c>
      <c r="AO188" s="5">
        <v>0</v>
      </c>
      <c r="AP188" s="816">
        <v>0</v>
      </c>
      <c r="AQ188" s="816">
        <v>0</v>
      </c>
      <c r="AR188" s="5">
        <v>0</v>
      </c>
      <c r="AS188" s="5">
        <v>0</v>
      </c>
      <c r="AT188" s="5">
        <v>0</v>
      </c>
      <c r="AU188" s="5">
        <v>0</v>
      </c>
      <c r="AV188" s="5">
        <v>0</v>
      </c>
      <c r="AW188" s="815">
        <v>0</v>
      </c>
      <c r="AX188" s="816">
        <v>0</v>
      </c>
      <c r="AY188" s="819">
        <v>0</v>
      </c>
      <c r="AZ188" s="816"/>
      <c r="BA188" s="818"/>
      <c r="BB188" s="802" t="str" cm="1">
        <f t="array" ref="BB188">INDEX(C$4:BA$4,MATCH(TRUE,INDEX(C188:BA188&lt;&gt;0,),0))</f>
        <v>1978-79</v>
      </c>
      <c r="BC188" s="803" t="str" cm="1">
        <f t="array" ref="BC188">LOOKUP(2,1/(C188:BA188&lt;&gt;0),$C$4:$BA$4)</f>
        <v>1990-91</v>
      </c>
      <c r="BD188" s="804">
        <f>COUNTIF(RDprograms[[#This Row],[1978-79]:[2028-29]], "&gt;0")</f>
        <v>13</v>
      </c>
      <c r="BE188" s="805">
        <f>SUM(C188:BA188)/RDprograms[[#This Row],[Years with &gt; $0 investment]]</f>
        <v>26.869230769230771</v>
      </c>
      <c r="BF188" s="806" t="s">
        <v>233</v>
      </c>
      <c r="BG188" s="807" t="s">
        <v>669</v>
      </c>
      <c r="BH188" s="847" t="s">
        <v>670</v>
      </c>
      <c r="BI188" s="809"/>
      <c r="BJ188" s="809"/>
      <c r="BK188" s="809"/>
      <c r="BL188" s="809"/>
      <c r="BM188" s="809"/>
      <c r="BN188" s="810"/>
      <c r="BO188" s="811" t="s">
        <v>236</v>
      </c>
      <c r="BP188" s="812"/>
      <c r="BQ188" s="812"/>
      <c r="BR188" s="812"/>
      <c r="BS188" s="812"/>
      <c r="BT188" s="812" t="s">
        <v>238</v>
      </c>
    </row>
    <row r="189" spans="1:72" ht="12.75" customHeight="1">
      <c r="A189" s="813" t="s">
        <v>658</v>
      </c>
      <c r="B189" s="820" t="s">
        <v>671</v>
      </c>
      <c r="C189" s="5">
        <v>0</v>
      </c>
      <c r="D189" s="5">
        <v>0</v>
      </c>
      <c r="E189" s="5">
        <v>0</v>
      </c>
      <c r="F189" s="5">
        <v>0</v>
      </c>
      <c r="G189" s="5">
        <v>0</v>
      </c>
      <c r="H189" s="5">
        <v>0</v>
      </c>
      <c r="I189" s="5">
        <v>0</v>
      </c>
      <c r="J189" s="5">
        <v>0</v>
      </c>
      <c r="K189" s="5">
        <v>0</v>
      </c>
      <c r="L189" s="5">
        <v>0</v>
      </c>
      <c r="M189" s="5">
        <v>0</v>
      </c>
      <c r="N189" s="5">
        <v>0</v>
      </c>
      <c r="O189" s="5">
        <v>0</v>
      </c>
      <c r="P189" s="5">
        <v>0</v>
      </c>
      <c r="Q189" s="5">
        <v>0</v>
      </c>
      <c r="R189" s="5">
        <v>0</v>
      </c>
      <c r="S189" s="5">
        <v>0</v>
      </c>
      <c r="T189" s="5">
        <v>0</v>
      </c>
      <c r="U189" s="5">
        <v>0</v>
      </c>
      <c r="V189" s="5">
        <v>0</v>
      </c>
      <c r="W189" s="5">
        <v>0</v>
      </c>
      <c r="X189" s="5">
        <v>0</v>
      </c>
      <c r="Y189" s="5">
        <v>0</v>
      </c>
      <c r="Z189" s="5">
        <v>0</v>
      </c>
      <c r="AA189" s="5">
        <v>0</v>
      </c>
      <c r="AB189" s="5">
        <v>0</v>
      </c>
      <c r="AC189" s="5">
        <v>0</v>
      </c>
      <c r="AD189" s="5">
        <v>0</v>
      </c>
      <c r="AE189" s="5">
        <v>0</v>
      </c>
      <c r="AF189" s="5">
        <v>0</v>
      </c>
      <c r="AG189" s="5">
        <v>0</v>
      </c>
      <c r="AH189" s="5">
        <v>0</v>
      </c>
      <c r="AI189" s="5">
        <v>0</v>
      </c>
      <c r="AJ189" s="5">
        <v>0</v>
      </c>
      <c r="AK189" s="5">
        <v>1.1579999999999999</v>
      </c>
      <c r="AL189" s="5">
        <v>2.3159999999999998</v>
      </c>
      <c r="AM189" s="5">
        <v>0</v>
      </c>
      <c r="AN189" s="5">
        <v>0</v>
      </c>
      <c r="AO189" s="5">
        <v>0</v>
      </c>
      <c r="AP189" s="5">
        <v>0</v>
      </c>
      <c r="AQ189" s="5">
        <v>0</v>
      </c>
      <c r="AR189" s="5">
        <v>0</v>
      </c>
      <c r="AS189" s="5">
        <v>0</v>
      </c>
      <c r="AT189" s="5">
        <v>0</v>
      </c>
      <c r="AU189" s="5">
        <v>0</v>
      </c>
      <c r="AV189" s="5">
        <v>0</v>
      </c>
      <c r="AW189" s="815">
        <v>0</v>
      </c>
      <c r="AX189" s="816">
        <v>0</v>
      </c>
      <c r="AY189" s="819">
        <v>0</v>
      </c>
      <c r="AZ189" s="816"/>
      <c r="BA189" s="818"/>
      <c r="BB189" s="802" t="str" cm="1">
        <f t="array" ref="BB189">INDEX(C$4:BA$4,MATCH(TRUE,INDEX(C189:BA189&lt;&gt;0,),0))</f>
        <v>2012-13</v>
      </c>
      <c r="BC189" s="803" t="str" cm="1">
        <f t="array" ref="BC189">LOOKUP(2,1/(C189:BA189&lt;&gt;0),$C$4:$BA$4)</f>
        <v>2013-14</v>
      </c>
      <c r="BD189" s="804">
        <f>COUNTIF(RDprograms[[#This Row],[1978-79]:[2028-29]], "&gt;0")</f>
        <v>2</v>
      </c>
      <c r="BE189" s="805">
        <f>SUM(C189:BA189)/RDprograms[[#This Row],[Years with &gt; $0 investment]]</f>
        <v>1.7369999999999999</v>
      </c>
      <c r="BF189" s="806" t="s">
        <v>273</v>
      </c>
      <c r="BG189" s="807" t="s">
        <v>397</v>
      </c>
      <c r="BH189" s="847" t="s">
        <v>269</v>
      </c>
      <c r="BI189" s="809"/>
      <c r="BJ189" s="809"/>
      <c r="BK189" s="809"/>
      <c r="BL189" s="809"/>
      <c r="BM189" s="809"/>
      <c r="BN189" s="810"/>
      <c r="BO189" s="811" t="s">
        <v>251</v>
      </c>
      <c r="BP189" s="812"/>
      <c r="BQ189" s="812"/>
      <c r="BR189" s="812"/>
      <c r="BS189" s="812" t="s">
        <v>672</v>
      </c>
      <c r="BT189" s="812" t="s">
        <v>238</v>
      </c>
    </row>
    <row r="190" spans="1:72" ht="12.75" customHeight="1">
      <c r="A190" s="813" t="s">
        <v>658</v>
      </c>
      <c r="B190" s="820" t="s">
        <v>673</v>
      </c>
      <c r="C190" s="5">
        <v>0</v>
      </c>
      <c r="D190" s="5">
        <v>0</v>
      </c>
      <c r="E190" s="5">
        <v>0</v>
      </c>
      <c r="F190" s="5">
        <v>0</v>
      </c>
      <c r="G190" s="5">
        <v>0</v>
      </c>
      <c r="H190" s="5">
        <v>0</v>
      </c>
      <c r="I190" s="5">
        <v>0</v>
      </c>
      <c r="J190" s="5">
        <v>0</v>
      </c>
      <c r="K190" s="5">
        <v>0</v>
      </c>
      <c r="L190" s="5">
        <v>0</v>
      </c>
      <c r="M190" s="5">
        <v>0</v>
      </c>
      <c r="N190" s="5">
        <v>0</v>
      </c>
      <c r="O190" s="5">
        <v>0</v>
      </c>
      <c r="P190" s="5">
        <v>0</v>
      </c>
      <c r="Q190" s="5">
        <v>0</v>
      </c>
      <c r="R190" s="5">
        <v>0</v>
      </c>
      <c r="S190" s="5">
        <v>0</v>
      </c>
      <c r="T190" s="5">
        <v>0</v>
      </c>
      <c r="U190" s="5">
        <v>0</v>
      </c>
      <c r="V190" s="5">
        <v>0</v>
      </c>
      <c r="W190" s="5">
        <v>0</v>
      </c>
      <c r="X190" s="5">
        <v>0</v>
      </c>
      <c r="Y190" s="5">
        <v>0</v>
      </c>
      <c r="Z190" s="5">
        <v>0</v>
      </c>
      <c r="AA190" s="5">
        <v>0</v>
      </c>
      <c r="AB190" s="5">
        <v>0</v>
      </c>
      <c r="AC190" s="5">
        <v>0</v>
      </c>
      <c r="AD190" s="5">
        <v>0</v>
      </c>
      <c r="AE190" s="5">
        <v>0</v>
      </c>
      <c r="AF190" s="5">
        <v>0</v>
      </c>
      <c r="AG190" s="5">
        <v>0</v>
      </c>
      <c r="AH190" s="5">
        <v>0</v>
      </c>
      <c r="AI190" s="5">
        <v>0</v>
      </c>
      <c r="AJ190" s="5">
        <v>0</v>
      </c>
      <c r="AK190" s="5">
        <v>0.93200000000000005</v>
      </c>
      <c r="AL190" s="5">
        <v>1.863</v>
      </c>
      <c r="AM190" s="5">
        <v>0</v>
      </c>
      <c r="AN190" s="5">
        <v>0</v>
      </c>
      <c r="AO190" s="5">
        <v>0</v>
      </c>
      <c r="AP190" s="816">
        <v>0</v>
      </c>
      <c r="AQ190" s="816">
        <v>0</v>
      </c>
      <c r="AR190" s="5">
        <v>0</v>
      </c>
      <c r="AS190" s="5">
        <v>0</v>
      </c>
      <c r="AT190" s="5">
        <v>0</v>
      </c>
      <c r="AU190" s="5">
        <v>0</v>
      </c>
      <c r="AV190" s="5">
        <v>0</v>
      </c>
      <c r="AW190" s="815">
        <v>0</v>
      </c>
      <c r="AX190" s="816">
        <v>0</v>
      </c>
      <c r="AY190" s="819">
        <v>0</v>
      </c>
      <c r="AZ190" s="816"/>
      <c r="BA190" s="818"/>
      <c r="BB190" s="802" t="str" cm="1">
        <f t="array" ref="BB190">INDEX(C$4:BA$4,MATCH(TRUE,INDEX(C190:BA190&lt;&gt;0,),0))</f>
        <v>2012-13</v>
      </c>
      <c r="BC190" s="803" t="str" cm="1">
        <f t="array" ref="BC190">LOOKUP(2,1/(C190:BA190&lt;&gt;0),$C$4:$BA$4)</f>
        <v>2013-14</v>
      </c>
      <c r="BD190" s="804">
        <f>COUNTIF(RDprograms[[#This Row],[1978-79]:[2028-29]], "&gt;0")</f>
        <v>2</v>
      </c>
      <c r="BE190" s="805">
        <f>SUM(C190:BA190)/RDprograms[[#This Row],[Years with &gt; $0 investment]]</f>
        <v>1.3975</v>
      </c>
      <c r="BF190" s="806" t="s">
        <v>273</v>
      </c>
      <c r="BG190" s="807" t="s">
        <v>406</v>
      </c>
      <c r="BH190" s="847" t="s">
        <v>269</v>
      </c>
      <c r="BI190" s="809"/>
      <c r="BJ190" s="809"/>
      <c r="BK190" s="809"/>
      <c r="BL190" s="809"/>
      <c r="BM190" s="809"/>
      <c r="BN190" s="810"/>
      <c r="BO190" s="811" t="s">
        <v>251</v>
      </c>
      <c r="BP190" s="812"/>
      <c r="BQ190" s="812"/>
      <c r="BR190" s="812"/>
      <c r="BS190" s="812" t="s">
        <v>672</v>
      </c>
      <c r="BT190" s="812"/>
    </row>
    <row r="191" spans="1:72" ht="12.75" customHeight="1">
      <c r="A191" s="813" t="s">
        <v>658</v>
      </c>
      <c r="B191" s="820" t="s">
        <v>674</v>
      </c>
      <c r="C191" s="5">
        <v>0</v>
      </c>
      <c r="D191" s="5">
        <v>0</v>
      </c>
      <c r="E191" s="5">
        <v>0</v>
      </c>
      <c r="F191" s="5">
        <v>0</v>
      </c>
      <c r="G191" s="5">
        <v>0</v>
      </c>
      <c r="H191" s="5">
        <v>0</v>
      </c>
      <c r="I191" s="5">
        <v>0</v>
      </c>
      <c r="J191" s="5">
        <v>0</v>
      </c>
      <c r="K191" s="5">
        <v>0</v>
      </c>
      <c r="L191" s="5">
        <v>0</v>
      </c>
      <c r="M191" s="5">
        <v>0</v>
      </c>
      <c r="N191" s="5">
        <v>0</v>
      </c>
      <c r="O191" s="5">
        <v>0</v>
      </c>
      <c r="P191" s="5">
        <v>0</v>
      </c>
      <c r="Q191" s="5">
        <v>0</v>
      </c>
      <c r="R191" s="5">
        <v>0</v>
      </c>
      <c r="S191" s="5">
        <v>0</v>
      </c>
      <c r="T191" s="5">
        <v>0</v>
      </c>
      <c r="U191" s="5">
        <v>0</v>
      </c>
      <c r="V191" s="5">
        <v>0</v>
      </c>
      <c r="W191" s="5">
        <v>0</v>
      </c>
      <c r="X191" s="5">
        <v>0</v>
      </c>
      <c r="Y191" s="5">
        <v>0</v>
      </c>
      <c r="Z191" s="5">
        <v>0</v>
      </c>
      <c r="AA191" s="5">
        <v>0</v>
      </c>
      <c r="AB191" s="5">
        <v>0</v>
      </c>
      <c r="AC191" s="5">
        <v>0</v>
      </c>
      <c r="AD191" s="5">
        <v>0</v>
      </c>
      <c r="AE191" s="5">
        <v>0</v>
      </c>
      <c r="AF191" s="5">
        <v>0</v>
      </c>
      <c r="AG191" s="5">
        <v>0</v>
      </c>
      <c r="AH191" s="5">
        <v>0</v>
      </c>
      <c r="AI191" s="5">
        <v>7.2910000000000004</v>
      </c>
      <c r="AJ191" s="5">
        <v>6.8289999999999997</v>
      </c>
      <c r="AK191" s="5">
        <v>5.2919999999999998</v>
      </c>
      <c r="AL191" s="5">
        <v>3.5880000000000001</v>
      </c>
      <c r="AM191" s="5">
        <v>0</v>
      </c>
      <c r="AN191" s="5">
        <v>0</v>
      </c>
      <c r="AO191" s="5">
        <v>0</v>
      </c>
      <c r="AP191" s="5">
        <v>0</v>
      </c>
      <c r="AQ191" s="5">
        <v>0</v>
      </c>
      <c r="AR191" s="5">
        <v>0</v>
      </c>
      <c r="AS191" s="5">
        <v>0</v>
      </c>
      <c r="AT191" s="5">
        <v>0</v>
      </c>
      <c r="AU191" s="5">
        <v>0</v>
      </c>
      <c r="AV191" s="5">
        <v>0</v>
      </c>
      <c r="AW191" s="815">
        <v>0</v>
      </c>
      <c r="AX191" s="816">
        <v>0</v>
      </c>
      <c r="AY191" s="819">
        <v>0</v>
      </c>
      <c r="AZ191" s="816"/>
      <c r="BA191" s="818"/>
      <c r="BB191" s="802" t="str" cm="1">
        <f t="array" ref="BB191">INDEX(C$4:BA$4,MATCH(TRUE,INDEX(C191:BA191&lt;&gt;0,),0))</f>
        <v>2010-11</v>
      </c>
      <c r="BC191" s="803" t="str" cm="1">
        <f t="array" ref="BC191">LOOKUP(2,1/(C191:BA191&lt;&gt;0),$C$4:$BA$4)</f>
        <v>2013-14</v>
      </c>
      <c r="BD191" s="804">
        <f>COUNTIF(RDprograms[[#This Row],[1978-79]:[2028-29]], "&gt;0")</f>
        <v>4</v>
      </c>
      <c r="BE191" s="805">
        <f>SUM(C191:BA191)/RDprograms[[#This Row],[Years with &gt; $0 investment]]</f>
        <v>5.75</v>
      </c>
      <c r="BF191" s="806" t="s">
        <v>273</v>
      </c>
      <c r="BG191" s="807" t="s">
        <v>393</v>
      </c>
      <c r="BH191" s="847" t="s">
        <v>241</v>
      </c>
      <c r="BI191" s="809"/>
      <c r="BJ191" s="809"/>
      <c r="BK191" s="809"/>
      <c r="BL191" s="809"/>
      <c r="BM191" s="809"/>
      <c r="BN191" s="810"/>
      <c r="BO191" s="811" t="s">
        <v>251</v>
      </c>
      <c r="BP191" s="812"/>
      <c r="BQ191" s="812"/>
      <c r="BR191" s="812"/>
      <c r="BS191" s="812"/>
      <c r="BT191" s="812" t="s">
        <v>238</v>
      </c>
    </row>
    <row r="192" spans="1:72" ht="12.75" customHeight="1">
      <c r="A192" s="813" t="s">
        <v>658</v>
      </c>
      <c r="B192" s="820" t="s">
        <v>675</v>
      </c>
      <c r="C192" s="5">
        <v>0</v>
      </c>
      <c r="D192" s="5">
        <v>0</v>
      </c>
      <c r="E192" s="5">
        <v>0</v>
      </c>
      <c r="F192" s="5">
        <v>0</v>
      </c>
      <c r="G192" s="5">
        <v>0</v>
      </c>
      <c r="H192" s="5">
        <v>0</v>
      </c>
      <c r="I192" s="5">
        <v>0</v>
      </c>
      <c r="J192" s="5">
        <v>0</v>
      </c>
      <c r="K192" s="5">
        <v>0</v>
      </c>
      <c r="L192" s="5">
        <v>0</v>
      </c>
      <c r="M192" s="5">
        <v>0</v>
      </c>
      <c r="N192" s="5">
        <v>0</v>
      </c>
      <c r="O192" s="5">
        <v>0</v>
      </c>
      <c r="P192" s="5">
        <v>0</v>
      </c>
      <c r="Q192" s="5">
        <v>0</v>
      </c>
      <c r="R192" s="5">
        <v>0</v>
      </c>
      <c r="S192" s="5">
        <v>0</v>
      </c>
      <c r="T192" s="5">
        <v>0</v>
      </c>
      <c r="U192" s="5">
        <v>0</v>
      </c>
      <c r="V192" s="5">
        <v>0</v>
      </c>
      <c r="W192" s="5">
        <v>0</v>
      </c>
      <c r="X192" s="5">
        <v>0</v>
      </c>
      <c r="Y192" s="5">
        <v>0</v>
      </c>
      <c r="Z192" s="5">
        <v>0</v>
      </c>
      <c r="AA192" s="5">
        <v>0</v>
      </c>
      <c r="AB192" s="5">
        <v>0</v>
      </c>
      <c r="AC192" s="5">
        <v>0</v>
      </c>
      <c r="AD192" s="5">
        <v>0</v>
      </c>
      <c r="AE192" s="5">
        <v>0</v>
      </c>
      <c r="AF192" s="5">
        <v>0</v>
      </c>
      <c r="AG192" s="5">
        <v>0</v>
      </c>
      <c r="AH192" s="5">
        <v>0</v>
      </c>
      <c r="AI192" s="5">
        <v>0</v>
      </c>
      <c r="AJ192" s="5">
        <v>0</v>
      </c>
      <c r="AK192" s="5">
        <v>0</v>
      </c>
      <c r="AL192" s="5">
        <v>0</v>
      </c>
      <c r="AM192" s="5">
        <v>0</v>
      </c>
      <c r="AN192" s="5">
        <v>0.64</v>
      </c>
      <c r="AO192" s="5">
        <v>0</v>
      </c>
      <c r="AP192" s="5">
        <v>0</v>
      </c>
      <c r="AQ192" s="5">
        <v>0</v>
      </c>
      <c r="AR192" s="5">
        <v>0</v>
      </c>
      <c r="AS192" s="5">
        <v>0</v>
      </c>
      <c r="AT192" s="5">
        <v>0</v>
      </c>
      <c r="AU192" s="5">
        <v>0</v>
      </c>
      <c r="AV192" s="5">
        <v>0</v>
      </c>
      <c r="AW192" s="815">
        <v>0</v>
      </c>
      <c r="AX192" s="816">
        <v>0</v>
      </c>
      <c r="AY192" s="819">
        <v>0</v>
      </c>
      <c r="AZ192" s="816"/>
      <c r="BA192" s="818"/>
      <c r="BB192" s="802" t="str" cm="1">
        <f t="array" ref="BB192">INDEX(C$4:BA$4,MATCH(TRUE,INDEX(C192:BA192&lt;&gt;0,),0))</f>
        <v>2015-16</v>
      </c>
      <c r="BC192" s="803" t="str" cm="1">
        <f t="array" ref="BC192">LOOKUP(2,1/(C192:BA192&lt;&gt;0),$C$4:$BA$4)</f>
        <v>2015-16</v>
      </c>
      <c r="BD192" s="804">
        <f>COUNTIF(RDprograms[[#This Row],[1978-79]:[2028-29]], "&gt;0")</f>
        <v>1</v>
      </c>
      <c r="BE192" s="805">
        <f>SUM(C192:BA192)/RDprograms[[#This Row],[Years with &gt; $0 investment]]</f>
        <v>0.64</v>
      </c>
      <c r="BF192" s="806" t="s">
        <v>273</v>
      </c>
      <c r="BG192" s="807" t="s">
        <v>362</v>
      </c>
      <c r="BH192" s="847" t="s">
        <v>258</v>
      </c>
      <c r="BI192" s="809"/>
      <c r="BJ192" s="809"/>
      <c r="BK192" s="809"/>
      <c r="BL192" s="809"/>
      <c r="BM192" s="809"/>
      <c r="BN192" s="810"/>
      <c r="BO192" s="811" t="s">
        <v>236</v>
      </c>
      <c r="BP192" s="812"/>
      <c r="BQ192" s="812"/>
      <c r="BR192" s="812"/>
      <c r="BS192" s="812"/>
      <c r="BT192" s="812" t="s">
        <v>238</v>
      </c>
    </row>
    <row r="193" spans="1:72" ht="12.75" customHeight="1">
      <c r="A193" s="813" t="s">
        <v>658</v>
      </c>
      <c r="B193" s="820" t="s">
        <v>676</v>
      </c>
      <c r="C193" s="5">
        <v>0</v>
      </c>
      <c r="D193" s="5">
        <v>0</v>
      </c>
      <c r="E193" s="5">
        <v>0</v>
      </c>
      <c r="F193" s="5">
        <v>0</v>
      </c>
      <c r="G193" s="5">
        <v>0</v>
      </c>
      <c r="H193" s="5">
        <v>0</v>
      </c>
      <c r="I193" s="5">
        <v>0</v>
      </c>
      <c r="J193" s="5">
        <v>0</v>
      </c>
      <c r="K193" s="5">
        <v>0</v>
      </c>
      <c r="L193" s="5">
        <v>0</v>
      </c>
      <c r="M193" s="5">
        <v>0</v>
      </c>
      <c r="N193" s="5">
        <v>0</v>
      </c>
      <c r="O193" s="5">
        <v>0</v>
      </c>
      <c r="P193" s="5">
        <v>0</v>
      </c>
      <c r="Q193" s="5">
        <v>0</v>
      </c>
      <c r="R193" s="5">
        <v>0</v>
      </c>
      <c r="S193" s="5">
        <v>0</v>
      </c>
      <c r="T193" s="5">
        <v>0</v>
      </c>
      <c r="U193" s="5">
        <v>0</v>
      </c>
      <c r="V193" s="5">
        <v>0</v>
      </c>
      <c r="W193" s="5">
        <v>0</v>
      </c>
      <c r="X193" s="5">
        <v>0</v>
      </c>
      <c r="Y193" s="5">
        <v>0</v>
      </c>
      <c r="Z193" s="5">
        <v>0</v>
      </c>
      <c r="AA193" s="5">
        <v>0</v>
      </c>
      <c r="AB193" s="5">
        <v>0</v>
      </c>
      <c r="AC193" s="5">
        <v>0</v>
      </c>
      <c r="AD193" s="5">
        <v>0</v>
      </c>
      <c r="AE193" s="5">
        <v>0</v>
      </c>
      <c r="AF193" s="5">
        <v>0</v>
      </c>
      <c r="AG193" s="5">
        <v>0</v>
      </c>
      <c r="AH193" s="5">
        <v>0</v>
      </c>
      <c r="AI193" s="5">
        <v>3.5</v>
      </c>
      <c r="AJ193" s="5">
        <v>15</v>
      </c>
      <c r="AK193" s="5">
        <v>18.5</v>
      </c>
      <c r="AL193" s="5">
        <v>0</v>
      </c>
      <c r="AM193" s="5">
        <v>0</v>
      </c>
      <c r="AN193" s="5">
        <v>0</v>
      </c>
      <c r="AO193" s="5">
        <v>0</v>
      </c>
      <c r="AP193" s="816">
        <v>0</v>
      </c>
      <c r="AQ193" s="816">
        <v>0</v>
      </c>
      <c r="AR193" s="5">
        <v>0</v>
      </c>
      <c r="AS193" s="5">
        <v>0</v>
      </c>
      <c r="AT193" s="5">
        <v>0</v>
      </c>
      <c r="AU193" s="5">
        <v>0</v>
      </c>
      <c r="AV193" s="5">
        <v>0</v>
      </c>
      <c r="AW193" s="815">
        <v>0</v>
      </c>
      <c r="AX193" s="816">
        <v>0</v>
      </c>
      <c r="AY193" s="819">
        <v>0</v>
      </c>
      <c r="AZ193" s="816"/>
      <c r="BA193" s="818"/>
      <c r="BB193" s="802" t="str" cm="1">
        <f t="array" ref="BB193">INDEX(C$4:BA$4,MATCH(TRUE,INDEX(C193:BA193&lt;&gt;0,),0))</f>
        <v>2010-11</v>
      </c>
      <c r="BC193" s="803" t="str" cm="1">
        <f t="array" ref="BC193">LOOKUP(2,1/(C193:BA193&lt;&gt;0),$C$4:$BA$4)</f>
        <v>2012-13</v>
      </c>
      <c r="BD193" s="804">
        <f>COUNTIF(RDprograms[[#This Row],[1978-79]:[2028-29]], "&gt;0")</f>
        <v>3</v>
      </c>
      <c r="BE193" s="805">
        <f>SUM(C193:BA193)/RDprograms[[#This Row],[Years with &gt; $0 investment]]</f>
        <v>12.333333333333334</v>
      </c>
      <c r="BF193" s="806" t="s">
        <v>273</v>
      </c>
      <c r="BG193" s="807" t="s">
        <v>389</v>
      </c>
      <c r="BH193" s="847" t="s">
        <v>241</v>
      </c>
      <c r="BI193" s="809"/>
      <c r="BJ193" s="809"/>
      <c r="BK193" s="809"/>
      <c r="BL193" s="809"/>
      <c r="BM193" s="809"/>
      <c r="BN193" s="810"/>
      <c r="BO193" s="811" t="s">
        <v>251</v>
      </c>
      <c r="BP193" s="812"/>
      <c r="BQ193" s="812"/>
      <c r="BR193" s="812"/>
      <c r="BS193" s="812"/>
      <c r="BT193" s="812" t="s">
        <v>238</v>
      </c>
    </row>
    <row r="194" spans="1:72" ht="12.75" customHeight="1">
      <c r="A194" s="813" t="s">
        <v>658</v>
      </c>
      <c r="B194" s="820" t="s">
        <v>677</v>
      </c>
      <c r="C194" s="5">
        <v>0</v>
      </c>
      <c r="D194" s="5">
        <v>0</v>
      </c>
      <c r="E194" s="5">
        <v>0</v>
      </c>
      <c r="F194" s="5">
        <v>0</v>
      </c>
      <c r="G194" s="5">
        <v>0</v>
      </c>
      <c r="H194" s="5">
        <v>0</v>
      </c>
      <c r="I194" s="5">
        <v>0</v>
      </c>
      <c r="J194" s="5">
        <v>0</v>
      </c>
      <c r="K194" s="5">
        <v>0</v>
      </c>
      <c r="L194" s="5">
        <v>0</v>
      </c>
      <c r="M194" s="5">
        <v>0</v>
      </c>
      <c r="N194" s="5">
        <v>0</v>
      </c>
      <c r="O194" s="5">
        <v>0</v>
      </c>
      <c r="P194" s="5">
        <v>0</v>
      </c>
      <c r="Q194" s="5">
        <v>0</v>
      </c>
      <c r="R194" s="5">
        <v>0</v>
      </c>
      <c r="S194" s="5">
        <v>0</v>
      </c>
      <c r="T194" s="5">
        <v>0</v>
      </c>
      <c r="U194" s="5">
        <v>0</v>
      </c>
      <c r="V194" s="5">
        <v>0</v>
      </c>
      <c r="W194" s="5">
        <v>0</v>
      </c>
      <c r="X194" s="5">
        <v>0</v>
      </c>
      <c r="Y194" s="5">
        <v>0</v>
      </c>
      <c r="Z194" s="5">
        <v>0</v>
      </c>
      <c r="AA194" s="5">
        <v>0</v>
      </c>
      <c r="AB194" s="5">
        <v>0</v>
      </c>
      <c r="AC194" s="5">
        <v>0</v>
      </c>
      <c r="AD194" s="5">
        <v>0</v>
      </c>
      <c r="AE194" s="5">
        <v>0</v>
      </c>
      <c r="AF194" s="5">
        <v>0</v>
      </c>
      <c r="AG194" s="5">
        <v>0</v>
      </c>
      <c r="AH194" s="5">
        <v>27.8</v>
      </c>
      <c r="AI194" s="5">
        <v>16</v>
      </c>
      <c r="AJ194" s="5">
        <v>0</v>
      </c>
      <c r="AK194" s="5">
        <v>0</v>
      </c>
      <c r="AL194" s="5">
        <v>0</v>
      </c>
      <c r="AM194" s="5">
        <v>0</v>
      </c>
      <c r="AN194" s="5">
        <v>0</v>
      </c>
      <c r="AO194" s="5">
        <v>0</v>
      </c>
      <c r="AP194" s="816">
        <v>0</v>
      </c>
      <c r="AQ194" s="816">
        <v>0</v>
      </c>
      <c r="AR194" s="5">
        <v>0</v>
      </c>
      <c r="AS194" s="5">
        <v>0</v>
      </c>
      <c r="AT194" s="5">
        <v>0</v>
      </c>
      <c r="AU194" s="5">
        <v>0</v>
      </c>
      <c r="AV194" s="5">
        <v>0</v>
      </c>
      <c r="AW194" s="815">
        <v>0</v>
      </c>
      <c r="AX194" s="816">
        <v>0</v>
      </c>
      <c r="AY194" s="819">
        <v>0</v>
      </c>
      <c r="AZ194" s="816"/>
      <c r="BA194" s="818"/>
      <c r="BB194" s="802" t="str" cm="1">
        <f t="array" ref="BB194">INDEX(C$4:BA$4,MATCH(TRUE,INDEX(C194:BA194&lt;&gt;0,),0))</f>
        <v>2009-10</v>
      </c>
      <c r="BC194" s="803" t="str" cm="1">
        <f t="array" ref="BC194">LOOKUP(2,1/(C194:BA194&lt;&gt;0),$C$4:$BA$4)</f>
        <v>2010-11</v>
      </c>
      <c r="BD194" s="804">
        <f>COUNTIF(RDprograms[[#This Row],[1978-79]:[2028-29]], "&gt;0")</f>
        <v>2</v>
      </c>
      <c r="BE194" s="805">
        <f>SUM(C194:BA194)/RDprograms[[#This Row],[Years with &gt; $0 investment]]</f>
        <v>21.9</v>
      </c>
      <c r="BF194" s="806" t="s">
        <v>273</v>
      </c>
      <c r="BG194" s="807" t="s">
        <v>389</v>
      </c>
      <c r="BH194" s="847" t="s">
        <v>269</v>
      </c>
      <c r="BI194" s="809"/>
      <c r="BJ194" s="809"/>
      <c r="BK194" s="809"/>
      <c r="BL194" s="809"/>
      <c r="BM194" s="809"/>
      <c r="BN194" s="810"/>
      <c r="BO194" s="811" t="s">
        <v>251</v>
      </c>
      <c r="BP194" s="812"/>
      <c r="BQ194" s="812"/>
      <c r="BR194" s="812"/>
      <c r="BS194" s="812"/>
      <c r="BT194" s="812" t="s">
        <v>238</v>
      </c>
    </row>
    <row r="195" spans="1:72" ht="12.75" customHeight="1">
      <c r="A195" s="813" t="s">
        <v>658</v>
      </c>
      <c r="B195" s="820" t="s">
        <v>678</v>
      </c>
      <c r="C195" s="5">
        <v>0</v>
      </c>
      <c r="D195" s="5">
        <v>0</v>
      </c>
      <c r="E195" s="5">
        <v>0</v>
      </c>
      <c r="F195" s="5">
        <v>0</v>
      </c>
      <c r="G195" s="5">
        <v>0</v>
      </c>
      <c r="H195" s="5">
        <v>0</v>
      </c>
      <c r="I195" s="5">
        <v>0</v>
      </c>
      <c r="J195" s="5">
        <v>0</v>
      </c>
      <c r="K195" s="5">
        <v>0</v>
      </c>
      <c r="L195" s="5">
        <v>0</v>
      </c>
      <c r="M195" s="5">
        <v>0</v>
      </c>
      <c r="N195" s="5">
        <v>0</v>
      </c>
      <c r="O195" s="5">
        <v>0</v>
      </c>
      <c r="P195" s="5">
        <v>0</v>
      </c>
      <c r="Q195" s="5">
        <v>0</v>
      </c>
      <c r="R195" s="5">
        <v>0</v>
      </c>
      <c r="S195" s="5">
        <v>0</v>
      </c>
      <c r="T195" s="5">
        <v>0</v>
      </c>
      <c r="U195" s="5">
        <v>0</v>
      </c>
      <c r="V195" s="5">
        <v>0</v>
      </c>
      <c r="W195" s="5">
        <v>0</v>
      </c>
      <c r="X195" s="5">
        <v>0</v>
      </c>
      <c r="Y195" s="5">
        <v>0</v>
      </c>
      <c r="Z195" s="5">
        <v>0</v>
      </c>
      <c r="AA195" s="5">
        <v>0</v>
      </c>
      <c r="AB195" s="5">
        <v>0</v>
      </c>
      <c r="AC195" s="5">
        <v>0</v>
      </c>
      <c r="AD195" s="5">
        <v>0</v>
      </c>
      <c r="AE195" s="5">
        <v>0</v>
      </c>
      <c r="AF195" s="5">
        <v>0</v>
      </c>
      <c r="AG195" s="5">
        <v>0</v>
      </c>
      <c r="AH195" s="5">
        <v>0</v>
      </c>
      <c r="AI195" s="5">
        <v>0</v>
      </c>
      <c r="AJ195" s="5">
        <v>0</v>
      </c>
      <c r="AK195" s="5">
        <v>1.6919999999999999</v>
      </c>
      <c r="AL195" s="5">
        <v>3.3839999999999999</v>
      </c>
      <c r="AM195" s="5">
        <v>0</v>
      </c>
      <c r="AN195" s="5">
        <v>0</v>
      </c>
      <c r="AO195" s="5">
        <v>0</v>
      </c>
      <c r="AP195" s="5">
        <v>0</v>
      </c>
      <c r="AQ195" s="5">
        <v>0</v>
      </c>
      <c r="AR195" s="5">
        <v>0</v>
      </c>
      <c r="AS195" s="5">
        <v>0</v>
      </c>
      <c r="AT195" s="5">
        <v>0</v>
      </c>
      <c r="AU195" s="5">
        <v>0</v>
      </c>
      <c r="AV195" s="5">
        <v>0</v>
      </c>
      <c r="AW195" s="815">
        <v>0</v>
      </c>
      <c r="AX195" s="816">
        <v>0</v>
      </c>
      <c r="AY195" s="819">
        <v>0</v>
      </c>
      <c r="AZ195" s="816"/>
      <c r="BA195" s="818"/>
      <c r="BB195" s="802" t="str" cm="1">
        <f t="array" ref="BB195">INDEX(C$4:BA$4,MATCH(TRUE,INDEX(C195:BA195&lt;&gt;0,),0))</f>
        <v>2012-13</v>
      </c>
      <c r="BC195" s="803" t="str" cm="1">
        <f t="array" ref="BC195">LOOKUP(2,1/(C195:BA195&lt;&gt;0),$C$4:$BA$4)</f>
        <v>2013-14</v>
      </c>
      <c r="BD195" s="804">
        <f>COUNTIF(RDprograms[[#This Row],[1978-79]:[2028-29]], "&gt;0")</f>
        <v>2</v>
      </c>
      <c r="BE195" s="805">
        <f>SUM(C195:BA195)/RDprograms[[#This Row],[Years with &gt; $0 investment]]</f>
        <v>2.5379999999999998</v>
      </c>
      <c r="BF195" s="806" t="s">
        <v>273</v>
      </c>
      <c r="BG195" s="807" t="s">
        <v>397</v>
      </c>
      <c r="BH195" s="847" t="s">
        <v>269</v>
      </c>
      <c r="BI195" s="809"/>
      <c r="BJ195" s="809"/>
      <c r="BK195" s="809"/>
      <c r="BL195" s="809"/>
      <c r="BM195" s="809"/>
      <c r="BN195" s="810"/>
      <c r="BO195" s="811" t="s">
        <v>251</v>
      </c>
      <c r="BP195" s="812"/>
      <c r="BQ195" s="812"/>
      <c r="BR195" s="812"/>
      <c r="BS195" s="812" t="s">
        <v>672</v>
      </c>
      <c r="BT195" s="812" t="s">
        <v>238</v>
      </c>
    </row>
    <row r="196" spans="1:72" ht="12.75" customHeight="1">
      <c r="A196" s="813" t="s">
        <v>658</v>
      </c>
      <c r="B196" s="820" t="s">
        <v>679</v>
      </c>
      <c r="C196" s="5">
        <v>0</v>
      </c>
      <c r="D196" s="5">
        <v>0</v>
      </c>
      <c r="E196" s="5">
        <v>0</v>
      </c>
      <c r="F196" s="5">
        <v>0</v>
      </c>
      <c r="G196" s="5">
        <v>0</v>
      </c>
      <c r="H196" s="5">
        <v>0</v>
      </c>
      <c r="I196" s="5">
        <v>0</v>
      </c>
      <c r="J196" s="5">
        <v>0</v>
      </c>
      <c r="K196" s="5">
        <v>0</v>
      </c>
      <c r="L196" s="5">
        <v>0</v>
      </c>
      <c r="M196" s="5">
        <v>0</v>
      </c>
      <c r="N196" s="5">
        <v>0</v>
      </c>
      <c r="O196" s="5">
        <v>0</v>
      </c>
      <c r="P196" s="5">
        <v>0</v>
      </c>
      <c r="Q196" s="5">
        <v>0</v>
      </c>
      <c r="R196" s="5">
        <v>0</v>
      </c>
      <c r="S196" s="5">
        <v>0</v>
      </c>
      <c r="T196" s="5">
        <v>0</v>
      </c>
      <c r="U196" s="5">
        <v>0</v>
      </c>
      <c r="V196" s="5">
        <v>0</v>
      </c>
      <c r="W196" s="5">
        <v>0</v>
      </c>
      <c r="X196" s="5">
        <v>0</v>
      </c>
      <c r="Y196" s="5">
        <v>0</v>
      </c>
      <c r="Z196" s="5">
        <v>0</v>
      </c>
      <c r="AA196" s="5">
        <v>0</v>
      </c>
      <c r="AB196" s="5">
        <v>0</v>
      </c>
      <c r="AC196" s="5">
        <v>0</v>
      </c>
      <c r="AD196" s="5">
        <v>0</v>
      </c>
      <c r="AE196" s="5">
        <v>0</v>
      </c>
      <c r="AF196" s="5">
        <v>0</v>
      </c>
      <c r="AG196" s="5">
        <v>0</v>
      </c>
      <c r="AH196" s="5">
        <v>0</v>
      </c>
      <c r="AI196" s="5">
        <v>0</v>
      </c>
      <c r="AJ196" s="5">
        <v>0</v>
      </c>
      <c r="AK196" s="5">
        <v>1</v>
      </c>
      <c r="AL196" s="5">
        <v>2</v>
      </c>
      <c r="AM196" s="5">
        <v>0</v>
      </c>
      <c r="AN196" s="5">
        <v>0</v>
      </c>
      <c r="AO196" s="5">
        <v>0</v>
      </c>
      <c r="AP196" s="816">
        <v>0</v>
      </c>
      <c r="AQ196" s="816">
        <v>0</v>
      </c>
      <c r="AR196" s="5">
        <v>0</v>
      </c>
      <c r="AS196" s="5">
        <v>0</v>
      </c>
      <c r="AT196" s="5">
        <v>0</v>
      </c>
      <c r="AU196" s="5">
        <v>0</v>
      </c>
      <c r="AV196" s="5">
        <v>0</v>
      </c>
      <c r="AW196" s="815">
        <v>0</v>
      </c>
      <c r="AX196" s="816">
        <v>0</v>
      </c>
      <c r="AY196" s="819">
        <v>0</v>
      </c>
      <c r="AZ196" s="816"/>
      <c r="BA196" s="818"/>
      <c r="BB196" s="802" t="str" cm="1">
        <f t="array" ref="BB196">INDEX(C$4:BA$4,MATCH(TRUE,INDEX(C196:BA196&lt;&gt;0,),0))</f>
        <v>2012-13</v>
      </c>
      <c r="BC196" s="803" t="str" cm="1">
        <f t="array" ref="BC196">LOOKUP(2,1/(C196:BA196&lt;&gt;0),$C$4:$BA$4)</f>
        <v>2013-14</v>
      </c>
      <c r="BD196" s="804">
        <f>COUNTIF(RDprograms[[#This Row],[1978-79]:[2028-29]], "&gt;0")</f>
        <v>2</v>
      </c>
      <c r="BE196" s="805">
        <f>SUM(C196:BA196)/RDprograms[[#This Row],[Years with &gt; $0 investment]]</f>
        <v>1.5</v>
      </c>
      <c r="BF196" s="806" t="s">
        <v>273</v>
      </c>
      <c r="BG196" s="807" t="s">
        <v>397</v>
      </c>
      <c r="BH196" s="847" t="s">
        <v>269</v>
      </c>
      <c r="BI196" s="809"/>
      <c r="BJ196" s="809"/>
      <c r="BK196" s="809"/>
      <c r="BL196" s="809"/>
      <c r="BM196" s="809"/>
      <c r="BN196" s="810"/>
      <c r="BO196" s="811" t="s">
        <v>251</v>
      </c>
      <c r="BP196" s="812"/>
      <c r="BQ196" s="812"/>
      <c r="BR196" s="812"/>
      <c r="BS196" s="812" t="s">
        <v>672</v>
      </c>
      <c r="BT196" s="812" t="s">
        <v>238</v>
      </c>
    </row>
    <row r="197" spans="1:72" ht="12.75" customHeight="1">
      <c r="A197" s="813" t="s">
        <v>658</v>
      </c>
      <c r="B197" s="820" t="s">
        <v>680</v>
      </c>
      <c r="C197" s="5">
        <v>0</v>
      </c>
      <c r="D197" s="5">
        <v>0</v>
      </c>
      <c r="E197" s="5">
        <v>0</v>
      </c>
      <c r="F197" s="5">
        <v>0</v>
      </c>
      <c r="G197" s="5">
        <v>0</v>
      </c>
      <c r="H197" s="5">
        <v>0</v>
      </c>
      <c r="I197" s="5">
        <v>0</v>
      </c>
      <c r="J197" s="5">
        <v>0</v>
      </c>
      <c r="K197" s="5">
        <v>0</v>
      </c>
      <c r="L197" s="5">
        <v>0</v>
      </c>
      <c r="M197" s="5">
        <v>0</v>
      </c>
      <c r="N197" s="5">
        <v>0</v>
      </c>
      <c r="O197" s="5">
        <v>0</v>
      </c>
      <c r="P197" s="5">
        <v>0</v>
      </c>
      <c r="Q197" s="5">
        <v>0</v>
      </c>
      <c r="R197" s="5">
        <v>0</v>
      </c>
      <c r="S197" s="5">
        <v>0</v>
      </c>
      <c r="T197" s="5">
        <v>0</v>
      </c>
      <c r="U197" s="5">
        <v>0</v>
      </c>
      <c r="V197" s="5">
        <v>0</v>
      </c>
      <c r="W197" s="5">
        <v>0</v>
      </c>
      <c r="X197" s="5">
        <v>0</v>
      </c>
      <c r="Y197" s="5">
        <v>0</v>
      </c>
      <c r="Z197" s="5">
        <v>0</v>
      </c>
      <c r="AA197" s="5">
        <v>0</v>
      </c>
      <c r="AB197" s="5">
        <v>0</v>
      </c>
      <c r="AC197" s="5">
        <v>0</v>
      </c>
      <c r="AD197" s="5">
        <v>0</v>
      </c>
      <c r="AE197" s="5">
        <v>0</v>
      </c>
      <c r="AF197" s="5">
        <v>0</v>
      </c>
      <c r="AG197" s="5">
        <v>0</v>
      </c>
      <c r="AH197" s="5">
        <v>0</v>
      </c>
      <c r="AI197" s="5">
        <v>0</v>
      </c>
      <c r="AJ197" s="5">
        <v>0</v>
      </c>
      <c r="AK197" s="5">
        <v>2.4369999999999998</v>
      </c>
      <c r="AL197" s="5">
        <v>4.8730000000000002</v>
      </c>
      <c r="AM197" s="5">
        <v>0</v>
      </c>
      <c r="AN197" s="5">
        <v>0</v>
      </c>
      <c r="AO197" s="5">
        <v>0</v>
      </c>
      <c r="AP197" s="5">
        <v>0</v>
      </c>
      <c r="AQ197" s="5">
        <v>0</v>
      </c>
      <c r="AR197" s="5">
        <v>0</v>
      </c>
      <c r="AS197" s="5">
        <v>0</v>
      </c>
      <c r="AT197" s="5">
        <v>0</v>
      </c>
      <c r="AU197" s="5">
        <v>0</v>
      </c>
      <c r="AV197" s="5">
        <v>0</v>
      </c>
      <c r="AW197" s="815">
        <v>0</v>
      </c>
      <c r="AX197" s="816">
        <v>0</v>
      </c>
      <c r="AY197" s="819">
        <v>0</v>
      </c>
      <c r="AZ197" s="816"/>
      <c r="BA197" s="818"/>
      <c r="BB197" s="802" t="str" cm="1">
        <f t="array" ref="BB197">INDEX(C$4:BA$4,MATCH(TRUE,INDEX(C197:BA197&lt;&gt;0,),0))</f>
        <v>2012-13</v>
      </c>
      <c r="BC197" s="803" t="str" cm="1">
        <f t="array" ref="BC197">LOOKUP(2,1/(C197:BA197&lt;&gt;0),$C$4:$BA$4)</f>
        <v>2013-14</v>
      </c>
      <c r="BD197" s="804">
        <f>COUNTIF(RDprograms[[#This Row],[1978-79]:[2028-29]], "&gt;0")</f>
        <v>2</v>
      </c>
      <c r="BE197" s="805">
        <f>SUM(C197:BA197)/RDprograms[[#This Row],[Years with &gt; $0 investment]]</f>
        <v>3.6550000000000002</v>
      </c>
      <c r="BF197" s="806" t="s">
        <v>273</v>
      </c>
      <c r="BG197" s="807" t="s">
        <v>397</v>
      </c>
      <c r="BH197" s="847" t="s">
        <v>269</v>
      </c>
      <c r="BI197" s="809"/>
      <c r="BJ197" s="809"/>
      <c r="BK197" s="809"/>
      <c r="BL197" s="809"/>
      <c r="BM197" s="809"/>
      <c r="BN197" s="810"/>
      <c r="BO197" s="811" t="s">
        <v>251</v>
      </c>
      <c r="BP197" s="812"/>
      <c r="BQ197" s="812"/>
      <c r="BR197" s="812"/>
      <c r="BS197" s="812" t="s">
        <v>672</v>
      </c>
      <c r="BT197" s="812"/>
    </row>
    <row r="198" spans="1:72" ht="12.75" customHeight="1">
      <c r="A198" s="813" t="s">
        <v>658</v>
      </c>
      <c r="B198" s="820" t="s">
        <v>681</v>
      </c>
      <c r="C198" s="5">
        <v>0</v>
      </c>
      <c r="D198" s="5">
        <v>0</v>
      </c>
      <c r="E198" s="5">
        <v>0</v>
      </c>
      <c r="F198" s="5">
        <v>0</v>
      </c>
      <c r="G198" s="5">
        <v>0</v>
      </c>
      <c r="H198" s="5">
        <v>0</v>
      </c>
      <c r="I198" s="5">
        <v>0</v>
      </c>
      <c r="J198" s="5">
        <v>0</v>
      </c>
      <c r="K198" s="5">
        <v>0</v>
      </c>
      <c r="L198" s="5">
        <v>0</v>
      </c>
      <c r="M198" s="5">
        <v>0</v>
      </c>
      <c r="N198" s="5">
        <v>0</v>
      </c>
      <c r="O198" s="5">
        <v>0</v>
      </c>
      <c r="P198" s="5">
        <v>0</v>
      </c>
      <c r="Q198" s="5">
        <v>0</v>
      </c>
      <c r="R198" s="5">
        <v>0</v>
      </c>
      <c r="S198" s="5">
        <v>0</v>
      </c>
      <c r="T198" s="5">
        <v>0</v>
      </c>
      <c r="U198" s="5">
        <v>0</v>
      </c>
      <c r="V198" s="5">
        <v>0</v>
      </c>
      <c r="W198" s="5">
        <v>0</v>
      </c>
      <c r="X198" s="5">
        <v>0</v>
      </c>
      <c r="Y198" s="5">
        <v>0</v>
      </c>
      <c r="Z198" s="5">
        <v>0</v>
      </c>
      <c r="AA198" s="5">
        <v>0</v>
      </c>
      <c r="AB198" s="5">
        <v>0</v>
      </c>
      <c r="AC198" s="5">
        <v>0</v>
      </c>
      <c r="AD198" s="5">
        <v>0</v>
      </c>
      <c r="AE198" s="5">
        <v>0</v>
      </c>
      <c r="AF198" s="5">
        <v>0</v>
      </c>
      <c r="AG198" s="5">
        <v>0</v>
      </c>
      <c r="AH198" s="5">
        <v>0</v>
      </c>
      <c r="AI198" s="5">
        <v>1.65</v>
      </c>
      <c r="AJ198" s="5">
        <v>2.375</v>
      </c>
      <c r="AK198" s="5">
        <v>0.125</v>
      </c>
      <c r="AL198" s="5">
        <v>0.75</v>
      </c>
      <c r="AM198" s="5">
        <v>0</v>
      </c>
      <c r="AN198" s="5">
        <v>0</v>
      </c>
      <c r="AO198" s="5">
        <v>0</v>
      </c>
      <c r="AP198" s="816">
        <v>0</v>
      </c>
      <c r="AQ198" s="816">
        <v>0</v>
      </c>
      <c r="AR198" s="5">
        <v>0</v>
      </c>
      <c r="AS198" s="5">
        <v>0</v>
      </c>
      <c r="AT198" s="5">
        <v>0</v>
      </c>
      <c r="AU198" s="5">
        <v>0</v>
      </c>
      <c r="AV198" s="5">
        <v>0</v>
      </c>
      <c r="AW198" s="815">
        <v>0</v>
      </c>
      <c r="AX198" s="816">
        <v>0</v>
      </c>
      <c r="AY198" s="819">
        <v>0</v>
      </c>
      <c r="AZ198" s="816"/>
      <c r="BA198" s="818"/>
      <c r="BB198" s="802" t="str" cm="1">
        <f t="array" ref="BB198">INDEX(C$4:BA$4,MATCH(TRUE,INDEX(C198:BA198&lt;&gt;0,),0))</f>
        <v>2010-11</v>
      </c>
      <c r="BC198" s="803" t="str" cm="1">
        <f t="array" ref="BC198">LOOKUP(2,1/(C198:BA198&lt;&gt;0),$C$4:$BA$4)</f>
        <v>2013-14</v>
      </c>
      <c r="BD198" s="804">
        <f>COUNTIF(RDprograms[[#This Row],[1978-79]:[2028-29]], "&gt;0")</f>
        <v>4</v>
      </c>
      <c r="BE198" s="805">
        <f>SUM(C198:BA198)/RDprograms[[#This Row],[Years with &gt; $0 investment]]</f>
        <v>1.2250000000000001</v>
      </c>
      <c r="BF198" s="806" t="s">
        <v>273</v>
      </c>
      <c r="BG198" s="807" t="s">
        <v>362</v>
      </c>
      <c r="BH198" s="847" t="s">
        <v>269</v>
      </c>
      <c r="BI198" s="809"/>
      <c r="BJ198" s="809"/>
      <c r="BK198" s="809"/>
      <c r="BL198" s="809"/>
      <c r="BM198" s="809"/>
      <c r="BN198" s="810"/>
      <c r="BO198" s="811" t="s">
        <v>236</v>
      </c>
      <c r="BP198" s="812"/>
      <c r="BQ198" s="812" t="s">
        <v>682</v>
      </c>
      <c r="BR198" s="812" t="s">
        <v>682</v>
      </c>
      <c r="BS198" s="812"/>
      <c r="BT198" s="812" t="s">
        <v>238</v>
      </c>
    </row>
    <row r="199" spans="1:72" ht="12.75" customHeight="1">
      <c r="A199" s="813" t="s">
        <v>658</v>
      </c>
      <c r="B199" s="820" t="s">
        <v>683</v>
      </c>
      <c r="C199" s="5">
        <v>0</v>
      </c>
      <c r="D199" s="5">
        <v>0</v>
      </c>
      <c r="E199" s="5">
        <v>0</v>
      </c>
      <c r="F199" s="5">
        <v>0</v>
      </c>
      <c r="G199" s="5">
        <v>0</v>
      </c>
      <c r="H199" s="5">
        <v>0</v>
      </c>
      <c r="I199" s="5">
        <v>0</v>
      </c>
      <c r="J199" s="5">
        <v>0</v>
      </c>
      <c r="K199" s="5">
        <v>0</v>
      </c>
      <c r="L199" s="5">
        <v>0</v>
      </c>
      <c r="M199" s="5">
        <v>0</v>
      </c>
      <c r="N199" s="5">
        <v>0</v>
      </c>
      <c r="O199" s="5">
        <v>0</v>
      </c>
      <c r="P199" s="5">
        <v>0</v>
      </c>
      <c r="Q199" s="5">
        <v>0</v>
      </c>
      <c r="R199" s="5">
        <v>0</v>
      </c>
      <c r="S199" s="5">
        <v>0</v>
      </c>
      <c r="T199" s="5">
        <v>0</v>
      </c>
      <c r="U199" s="5">
        <v>0</v>
      </c>
      <c r="V199" s="5">
        <v>0</v>
      </c>
      <c r="W199" s="5">
        <v>0</v>
      </c>
      <c r="X199" s="5">
        <v>0</v>
      </c>
      <c r="Y199" s="5">
        <v>0</v>
      </c>
      <c r="Z199" s="5">
        <v>0</v>
      </c>
      <c r="AA199" s="5">
        <v>0</v>
      </c>
      <c r="AB199" s="5">
        <v>0</v>
      </c>
      <c r="AC199" s="5">
        <v>0</v>
      </c>
      <c r="AD199" s="5">
        <v>125</v>
      </c>
      <c r="AE199" s="5">
        <v>0</v>
      </c>
      <c r="AF199" s="5">
        <v>0</v>
      </c>
      <c r="AG199" s="5">
        <v>0</v>
      </c>
      <c r="AH199" s="5">
        <v>0</v>
      </c>
      <c r="AI199" s="5">
        <v>0</v>
      </c>
      <c r="AJ199" s="5">
        <v>0</v>
      </c>
      <c r="AK199" s="5">
        <v>0</v>
      </c>
      <c r="AL199" s="5">
        <v>0</v>
      </c>
      <c r="AM199" s="5">
        <v>0</v>
      </c>
      <c r="AN199" s="5">
        <v>0</v>
      </c>
      <c r="AO199" s="5">
        <v>0</v>
      </c>
      <c r="AP199" s="5">
        <v>0</v>
      </c>
      <c r="AQ199" s="5">
        <v>0</v>
      </c>
      <c r="AR199" s="5">
        <v>0</v>
      </c>
      <c r="AS199" s="5">
        <v>0</v>
      </c>
      <c r="AT199" s="5">
        <v>0</v>
      </c>
      <c r="AU199" s="5">
        <v>0</v>
      </c>
      <c r="AV199" s="5">
        <v>0</v>
      </c>
      <c r="AW199" s="815">
        <v>0</v>
      </c>
      <c r="AX199" s="816">
        <v>0</v>
      </c>
      <c r="AY199" s="819">
        <v>0</v>
      </c>
      <c r="AZ199" s="816"/>
      <c r="BA199" s="818"/>
      <c r="BB199" s="802" t="str" cm="1">
        <f t="array" ref="BB199">INDEX(C$4:BA$4,MATCH(TRUE,INDEX(C199:BA199&lt;&gt;0,),0))</f>
        <v>2005-06</v>
      </c>
      <c r="BC199" s="803" t="str" cm="1">
        <f t="array" ref="BC199">LOOKUP(2,1/(C199:BA199&lt;&gt;0),$C$4:$BA$4)</f>
        <v>2005-06</v>
      </c>
      <c r="BD199" s="804">
        <f>COUNTIF(RDprograms[[#This Row],[1978-79]:[2028-29]], "&gt;0")</f>
        <v>1</v>
      </c>
      <c r="BE199" s="805">
        <f>SUM(C199:BA199)/RDprograms[[#This Row],[Years with &gt; $0 investment]]</f>
        <v>125</v>
      </c>
      <c r="BF199" s="806" t="s">
        <v>273</v>
      </c>
      <c r="BG199" s="807" t="s">
        <v>397</v>
      </c>
      <c r="BH199" s="847" t="s">
        <v>269</v>
      </c>
      <c r="BI199" s="809"/>
      <c r="BJ199" s="809"/>
      <c r="BK199" s="809"/>
      <c r="BL199" s="809"/>
      <c r="BM199" s="809"/>
      <c r="BN199" s="810"/>
      <c r="BO199" s="811" t="s">
        <v>236</v>
      </c>
      <c r="BP199" s="812"/>
      <c r="BQ199" s="812"/>
      <c r="BR199" s="812"/>
      <c r="BS199" s="812"/>
      <c r="BT199" s="812" t="s">
        <v>684</v>
      </c>
    </row>
    <row r="200" spans="1:72" ht="12.75" customHeight="1">
      <c r="A200" s="813" t="s">
        <v>658</v>
      </c>
      <c r="B200" s="820" t="s">
        <v>685</v>
      </c>
      <c r="C200" s="5">
        <v>0</v>
      </c>
      <c r="D200" s="5">
        <v>0</v>
      </c>
      <c r="E200" s="5">
        <v>0</v>
      </c>
      <c r="F200" s="5">
        <v>0</v>
      </c>
      <c r="G200" s="5">
        <v>0</v>
      </c>
      <c r="H200" s="5">
        <v>0</v>
      </c>
      <c r="I200" s="5">
        <v>0</v>
      </c>
      <c r="J200" s="5">
        <v>0</v>
      </c>
      <c r="K200" s="5">
        <v>0</v>
      </c>
      <c r="L200" s="5">
        <v>0</v>
      </c>
      <c r="M200" s="5">
        <v>0</v>
      </c>
      <c r="N200" s="5">
        <v>0</v>
      </c>
      <c r="O200" s="5">
        <v>0</v>
      </c>
      <c r="P200" s="5">
        <v>0</v>
      </c>
      <c r="Q200" s="5">
        <v>0</v>
      </c>
      <c r="R200" s="5">
        <v>0</v>
      </c>
      <c r="S200" s="5">
        <v>0</v>
      </c>
      <c r="T200" s="5">
        <v>0</v>
      </c>
      <c r="U200" s="5">
        <v>0</v>
      </c>
      <c r="V200" s="5">
        <v>0</v>
      </c>
      <c r="W200" s="5">
        <v>0</v>
      </c>
      <c r="X200" s="5">
        <v>0</v>
      </c>
      <c r="Y200" s="5">
        <v>0</v>
      </c>
      <c r="Z200" s="5">
        <v>0</v>
      </c>
      <c r="AA200" s="5">
        <v>0</v>
      </c>
      <c r="AB200" s="5">
        <v>0</v>
      </c>
      <c r="AC200" s="5">
        <v>0</v>
      </c>
      <c r="AD200" s="5">
        <v>0</v>
      </c>
      <c r="AE200" s="5">
        <v>0</v>
      </c>
      <c r="AF200" s="5">
        <v>0</v>
      </c>
      <c r="AG200" s="5">
        <v>0</v>
      </c>
      <c r="AH200" s="5">
        <v>0</v>
      </c>
      <c r="AI200" s="5">
        <v>0</v>
      </c>
      <c r="AJ200" s="5">
        <v>0</v>
      </c>
      <c r="AK200" s="5">
        <v>1.5669999999999999</v>
      </c>
      <c r="AL200" s="5">
        <v>3.133</v>
      </c>
      <c r="AM200" s="5">
        <v>0</v>
      </c>
      <c r="AN200" s="5">
        <v>0</v>
      </c>
      <c r="AO200" s="5">
        <v>0</v>
      </c>
      <c r="AP200" s="816">
        <v>0</v>
      </c>
      <c r="AQ200" s="816">
        <v>0</v>
      </c>
      <c r="AR200" s="5">
        <v>0</v>
      </c>
      <c r="AS200" s="5">
        <v>0</v>
      </c>
      <c r="AT200" s="5">
        <v>0</v>
      </c>
      <c r="AU200" s="5">
        <v>0</v>
      </c>
      <c r="AV200" s="5">
        <v>0</v>
      </c>
      <c r="AW200" s="815">
        <v>0</v>
      </c>
      <c r="AX200" s="816">
        <v>0</v>
      </c>
      <c r="AY200" s="819">
        <v>0</v>
      </c>
      <c r="AZ200" s="816"/>
      <c r="BA200" s="818"/>
      <c r="BB200" s="802" t="str" cm="1">
        <f t="array" ref="BB200">INDEX(C$4:BA$4,MATCH(TRUE,INDEX(C200:BA200&lt;&gt;0,),0))</f>
        <v>2012-13</v>
      </c>
      <c r="BC200" s="803" t="str" cm="1">
        <f t="array" ref="BC200">LOOKUP(2,1/(C200:BA200&lt;&gt;0),$C$4:$BA$4)</f>
        <v>2013-14</v>
      </c>
      <c r="BD200" s="804">
        <f>COUNTIF(RDprograms[[#This Row],[1978-79]:[2028-29]], "&gt;0")</f>
        <v>2</v>
      </c>
      <c r="BE200" s="805">
        <f>SUM(C200:BA200)/RDprograms[[#This Row],[Years with &gt; $0 investment]]</f>
        <v>2.35</v>
      </c>
      <c r="BF200" s="806" t="s">
        <v>273</v>
      </c>
      <c r="BG200" s="807" t="s">
        <v>397</v>
      </c>
      <c r="BH200" s="847" t="s">
        <v>269</v>
      </c>
      <c r="BI200" s="809"/>
      <c r="BJ200" s="809"/>
      <c r="BK200" s="809"/>
      <c r="BL200" s="809"/>
      <c r="BM200" s="809"/>
      <c r="BN200" s="810"/>
      <c r="BO200" s="811" t="s">
        <v>251</v>
      </c>
      <c r="BP200" s="812"/>
      <c r="BQ200" s="812"/>
      <c r="BR200" s="812"/>
      <c r="BS200" s="812" t="s">
        <v>672</v>
      </c>
      <c r="BT200" s="812" t="s">
        <v>238</v>
      </c>
    </row>
    <row r="201" spans="1:72" ht="12.75" customHeight="1">
      <c r="A201" s="813" t="s">
        <v>658</v>
      </c>
      <c r="B201" s="820" t="s">
        <v>686</v>
      </c>
      <c r="C201" s="5">
        <v>0</v>
      </c>
      <c r="D201" s="5">
        <v>0</v>
      </c>
      <c r="E201" s="5">
        <v>0</v>
      </c>
      <c r="F201" s="5">
        <v>0</v>
      </c>
      <c r="G201" s="5">
        <v>0</v>
      </c>
      <c r="H201" s="5">
        <v>0</v>
      </c>
      <c r="I201" s="5">
        <v>0</v>
      </c>
      <c r="J201" s="5">
        <v>0</v>
      </c>
      <c r="K201" s="5">
        <v>0</v>
      </c>
      <c r="L201" s="5">
        <v>0</v>
      </c>
      <c r="M201" s="5">
        <v>0</v>
      </c>
      <c r="N201" s="5">
        <v>0</v>
      </c>
      <c r="O201" s="5">
        <v>0</v>
      </c>
      <c r="P201" s="5">
        <v>0</v>
      </c>
      <c r="Q201" s="5">
        <v>0</v>
      </c>
      <c r="R201" s="5">
        <v>0</v>
      </c>
      <c r="S201" s="5">
        <v>0</v>
      </c>
      <c r="T201" s="5">
        <v>0</v>
      </c>
      <c r="U201" s="5">
        <v>0</v>
      </c>
      <c r="V201" s="5">
        <v>0</v>
      </c>
      <c r="W201" s="5">
        <v>0</v>
      </c>
      <c r="X201" s="5">
        <v>0</v>
      </c>
      <c r="Y201" s="5">
        <v>0</v>
      </c>
      <c r="Z201" s="5">
        <v>0</v>
      </c>
      <c r="AA201" s="5">
        <v>0</v>
      </c>
      <c r="AB201" s="5">
        <v>0</v>
      </c>
      <c r="AC201" s="5">
        <v>0</v>
      </c>
      <c r="AD201" s="5">
        <v>0</v>
      </c>
      <c r="AE201" s="5">
        <v>0</v>
      </c>
      <c r="AF201" s="5">
        <v>0</v>
      </c>
      <c r="AG201" s="5">
        <v>0</v>
      </c>
      <c r="AH201" s="5">
        <v>0</v>
      </c>
      <c r="AI201" s="5">
        <v>0</v>
      </c>
      <c r="AJ201" s="5">
        <v>0</v>
      </c>
      <c r="AK201" s="5">
        <v>1.093</v>
      </c>
      <c r="AL201" s="5">
        <v>2.1869999999999998</v>
      </c>
      <c r="AM201" s="5">
        <v>0</v>
      </c>
      <c r="AN201" s="5">
        <v>0</v>
      </c>
      <c r="AO201" s="5">
        <v>0</v>
      </c>
      <c r="AP201" s="5">
        <v>0</v>
      </c>
      <c r="AQ201" s="5">
        <v>0</v>
      </c>
      <c r="AR201" s="5">
        <v>0</v>
      </c>
      <c r="AS201" s="5">
        <v>0</v>
      </c>
      <c r="AT201" s="5">
        <v>0</v>
      </c>
      <c r="AU201" s="5">
        <v>0</v>
      </c>
      <c r="AV201" s="5">
        <v>0</v>
      </c>
      <c r="AW201" s="815">
        <v>0</v>
      </c>
      <c r="AX201" s="816">
        <v>0</v>
      </c>
      <c r="AY201" s="819">
        <v>0</v>
      </c>
      <c r="AZ201" s="816"/>
      <c r="BA201" s="818"/>
      <c r="BB201" s="802" t="str" cm="1">
        <f t="array" ref="BB201">INDEX(C$4:BA$4,MATCH(TRUE,INDEX(C201:BA201&lt;&gt;0,),0))</f>
        <v>2012-13</v>
      </c>
      <c r="BC201" s="803" t="str" cm="1">
        <f t="array" ref="BC201">LOOKUP(2,1/(C201:BA201&lt;&gt;0),$C$4:$BA$4)</f>
        <v>2013-14</v>
      </c>
      <c r="BD201" s="804">
        <f>COUNTIF(RDprograms[[#This Row],[1978-79]:[2028-29]], "&gt;0")</f>
        <v>2</v>
      </c>
      <c r="BE201" s="805">
        <f>SUM(C201:BA201)/RDprograms[[#This Row],[Years with &gt; $0 investment]]</f>
        <v>1.64</v>
      </c>
      <c r="BF201" s="806" t="s">
        <v>273</v>
      </c>
      <c r="BG201" s="807" t="s">
        <v>397</v>
      </c>
      <c r="BH201" s="847" t="s">
        <v>269</v>
      </c>
      <c r="BI201" s="809"/>
      <c r="BJ201" s="809"/>
      <c r="BK201" s="809"/>
      <c r="BL201" s="809"/>
      <c r="BM201" s="809"/>
      <c r="BN201" s="810"/>
      <c r="BO201" s="811" t="s">
        <v>251</v>
      </c>
      <c r="BP201" s="812"/>
      <c r="BQ201" s="812"/>
      <c r="BR201" s="812"/>
      <c r="BS201" s="812" t="s">
        <v>672</v>
      </c>
      <c r="BT201" s="812" t="s">
        <v>238</v>
      </c>
    </row>
    <row r="202" spans="1:72" ht="12.75" customHeight="1">
      <c r="A202" s="813" t="s">
        <v>658</v>
      </c>
      <c r="B202" s="820" t="s">
        <v>687</v>
      </c>
      <c r="C202" s="5">
        <v>0</v>
      </c>
      <c r="D202" s="5">
        <v>0</v>
      </c>
      <c r="E202" s="5">
        <v>0</v>
      </c>
      <c r="F202" s="5">
        <v>0</v>
      </c>
      <c r="G202" s="5">
        <v>0</v>
      </c>
      <c r="H202" s="5">
        <v>0</v>
      </c>
      <c r="I202" s="5">
        <v>0</v>
      </c>
      <c r="J202" s="5">
        <v>0</v>
      </c>
      <c r="K202" s="5">
        <v>0</v>
      </c>
      <c r="L202" s="5">
        <v>0</v>
      </c>
      <c r="M202" s="5">
        <v>0</v>
      </c>
      <c r="N202" s="5">
        <v>0</v>
      </c>
      <c r="O202" s="5">
        <v>0</v>
      </c>
      <c r="P202" s="5">
        <v>0</v>
      </c>
      <c r="Q202" s="5">
        <v>0</v>
      </c>
      <c r="R202" s="5">
        <v>0</v>
      </c>
      <c r="S202" s="5">
        <v>0</v>
      </c>
      <c r="T202" s="5">
        <v>0</v>
      </c>
      <c r="U202" s="5">
        <v>0</v>
      </c>
      <c r="V202" s="5">
        <v>0</v>
      </c>
      <c r="W202" s="5">
        <v>0</v>
      </c>
      <c r="X202" s="5">
        <v>0</v>
      </c>
      <c r="Y202" s="5">
        <v>83.1</v>
      </c>
      <c r="Z202" s="5">
        <v>83.2</v>
      </c>
      <c r="AA202" s="5">
        <v>87.1</v>
      </c>
      <c r="AB202" s="5">
        <v>89.5</v>
      </c>
      <c r="AC202" s="5">
        <v>91.2</v>
      </c>
      <c r="AD202" s="5">
        <v>93.1</v>
      </c>
      <c r="AE202" s="5">
        <v>94.1</v>
      </c>
      <c r="AF202" s="5">
        <v>96.6</v>
      </c>
      <c r="AG202" s="5">
        <v>101.404</v>
      </c>
      <c r="AH202" s="5">
        <v>151.09</v>
      </c>
      <c r="AI202" s="5">
        <v>182.97399999999999</v>
      </c>
      <c r="AJ202" s="5">
        <v>218.86699999999999</v>
      </c>
      <c r="AK202" s="5">
        <v>248.36799999999999</v>
      </c>
      <c r="AL202" s="5">
        <v>266.28699999999998</v>
      </c>
      <c r="AM202" s="5">
        <v>276.137</v>
      </c>
      <c r="AN202" s="5">
        <v>282.10599999999999</v>
      </c>
      <c r="AO202" s="5">
        <v>142.209</v>
      </c>
      <c r="AP202" s="5">
        <v>0</v>
      </c>
      <c r="AQ202" s="5">
        <v>0</v>
      </c>
      <c r="AR202" s="5">
        <v>0</v>
      </c>
      <c r="AS202" s="5">
        <v>0</v>
      </c>
      <c r="AT202" s="5">
        <v>0</v>
      </c>
      <c r="AU202" s="5">
        <v>0</v>
      </c>
      <c r="AV202" s="5">
        <v>0</v>
      </c>
      <c r="AW202" s="815">
        <v>0</v>
      </c>
      <c r="AX202" s="816">
        <v>0</v>
      </c>
      <c r="AY202" s="819">
        <v>0</v>
      </c>
      <c r="AZ202" s="816"/>
      <c r="BA202" s="818"/>
      <c r="BB202" s="802" t="str" cm="1">
        <f t="array" ref="BB202">INDEX(C$4:BA$4,MATCH(TRUE,INDEX(C202:BA202&lt;&gt;0,),0))</f>
        <v>2000-01</v>
      </c>
      <c r="BC202" s="803" t="str" cm="1">
        <f t="array" ref="BC202">LOOKUP(2,1/(C202:BA202&lt;&gt;0),$C$4:$BA$4)</f>
        <v>2016-17</v>
      </c>
      <c r="BD202" s="804">
        <f>COUNTIF(RDprograms[[#This Row],[1978-79]:[2028-29]], "&gt;0")</f>
        <v>17</v>
      </c>
      <c r="BE202" s="805">
        <f>SUM(C202:BA202)/RDprograms[[#This Row],[Years with &gt; $0 investment]]</f>
        <v>152.19658823529409</v>
      </c>
      <c r="BF202" s="806" t="s">
        <v>246</v>
      </c>
      <c r="BG202" s="807" t="s">
        <v>669</v>
      </c>
      <c r="BH202" s="847" t="s">
        <v>688</v>
      </c>
      <c r="BI202" s="809"/>
      <c r="BJ202" s="809"/>
      <c r="BK202" s="809"/>
      <c r="BL202" s="809"/>
      <c r="BM202" s="809"/>
      <c r="BN202" s="810"/>
      <c r="BO202" s="811" t="s">
        <v>251</v>
      </c>
      <c r="BP202" s="812" t="s">
        <v>689</v>
      </c>
      <c r="BQ202" s="812" t="s">
        <v>690</v>
      </c>
      <c r="BR202" s="812" t="s">
        <v>691</v>
      </c>
      <c r="BS202" s="812"/>
      <c r="BT202" s="812" t="s">
        <v>238</v>
      </c>
    </row>
    <row r="203" spans="1:72" ht="12.75" customHeight="1">
      <c r="A203" s="813" t="s">
        <v>658</v>
      </c>
      <c r="B203" s="820" t="s">
        <v>692</v>
      </c>
      <c r="C203" s="5">
        <v>0</v>
      </c>
      <c r="D203" s="5">
        <v>0</v>
      </c>
      <c r="E203" s="5">
        <v>0</v>
      </c>
      <c r="F203" s="5">
        <v>0</v>
      </c>
      <c r="G203" s="5">
        <v>0</v>
      </c>
      <c r="H203" s="5">
        <v>0</v>
      </c>
      <c r="I203" s="5">
        <v>0</v>
      </c>
      <c r="J203" s="5">
        <v>0</v>
      </c>
      <c r="K203" s="5">
        <v>0</v>
      </c>
      <c r="L203" s="5">
        <v>0</v>
      </c>
      <c r="M203" s="5">
        <v>0</v>
      </c>
      <c r="N203" s="5">
        <v>0</v>
      </c>
      <c r="O203" s="5">
        <v>0</v>
      </c>
      <c r="P203" s="5">
        <v>0</v>
      </c>
      <c r="Q203" s="5">
        <v>0</v>
      </c>
      <c r="R203" s="5">
        <v>0</v>
      </c>
      <c r="S203" s="5">
        <v>0</v>
      </c>
      <c r="T203" s="5">
        <v>0</v>
      </c>
      <c r="U203" s="5">
        <v>0</v>
      </c>
      <c r="V203" s="5">
        <v>0</v>
      </c>
      <c r="W203" s="5">
        <v>0</v>
      </c>
      <c r="X203" s="5">
        <v>0</v>
      </c>
      <c r="Y203" s="5">
        <v>237.19399999999999</v>
      </c>
      <c r="Z203" s="5">
        <v>261.74400000000003</v>
      </c>
      <c r="AA203" s="5">
        <v>298.94099999999997</v>
      </c>
      <c r="AB203" s="5">
        <v>399.6</v>
      </c>
      <c r="AC203" s="5">
        <v>457.79300000000001</v>
      </c>
      <c r="AD203" s="5">
        <v>566.43200000000002</v>
      </c>
      <c r="AE203" s="5">
        <v>571.476</v>
      </c>
      <c r="AF203" s="5">
        <v>573.08500000000004</v>
      </c>
      <c r="AG203" s="5">
        <v>583.81700000000001</v>
      </c>
      <c r="AH203" s="5">
        <v>647.57399999999996</v>
      </c>
      <c r="AI203" s="5">
        <v>703.47299999999996</v>
      </c>
      <c r="AJ203" s="5">
        <v>797.87300000000005</v>
      </c>
      <c r="AK203" s="5">
        <v>873.23099999999999</v>
      </c>
      <c r="AL203" s="5">
        <v>883.28399999999999</v>
      </c>
      <c r="AM203" s="5">
        <v>852.89800000000002</v>
      </c>
      <c r="AN203" s="5">
        <v>815.30399999999997</v>
      </c>
      <c r="AO203" s="5">
        <v>743.66200000000003</v>
      </c>
      <c r="AP203" s="5">
        <v>758.03</v>
      </c>
      <c r="AQ203" s="5">
        <v>753.351</v>
      </c>
      <c r="AR203" s="5">
        <v>762.54100000000005</v>
      </c>
      <c r="AS203" s="5">
        <v>716.49199999999996</v>
      </c>
      <c r="AT203" s="5">
        <v>803.69500000000005</v>
      </c>
      <c r="AU203" s="5">
        <v>831.59400000000005</v>
      </c>
      <c r="AV203" s="5">
        <v>850.34400000000005</v>
      </c>
      <c r="AW203" s="815">
        <v>1027.3</v>
      </c>
      <c r="AX203" s="816">
        <v>1036.2139999999999</v>
      </c>
      <c r="AY203" s="819">
        <v>1084.8109999999999</v>
      </c>
      <c r="AZ203" s="816">
        <v>1117.876</v>
      </c>
      <c r="BA203" s="818">
        <v>1145.2670000000001</v>
      </c>
      <c r="BB203" s="802" t="str" cm="1">
        <f t="array" ref="BB203">INDEX(C$4:BA$4,MATCH(TRUE,INDEX(C203:BA203&lt;&gt;0,),0))</f>
        <v>2000-01</v>
      </c>
      <c r="BC203" s="803" t="str" cm="1">
        <f t="array" ref="BC203">LOOKUP(2,1/(C203:BA203&lt;&gt;0),$C$4:$BA$4)</f>
        <v>2028-29</v>
      </c>
      <c r="BD203" s="804">
        <f>COUNTIF(RDprograms[[#This Row],[1978-79]:[2028-29]], "&gt;0")</f>
        <v>29</v>
      </c>
      <c r="BE203" s="805">
        <f>SUM(C203:BA203)/RDprograms[[#This Row],[Years with &gt; $0 investment]]</f>
        <v>729.47917241379309</v>
      </c>
      <c r="BF203" s="806" t="s">
        <v>233</v>
      </c>
      <c r="BG203" s="807" t="s">
        <v>403</v>
      </c>
      <c r="BH203" s="847" t="s">
        <v>693</v>
      </c>
      <c r="BI203" s="809">
        <v>1</v>
      </c>
      <c r="BJ203" s="809">
        <v>1</v>
      </c>
      <c r="BK203" s="809">
        <v>1</v>
      </c>
      <c r="BL203" s="809">
        <v>1</v>
      </c>
      <c r="BM203" s="809">
        <v>1</v>
      </c>
      <c r="BN203" s="810">
        <v>1</v>
      </c>
      <c r="BO203" s="811" t="s">
        <v>236</v>
      </c>
      <c r="BP203" s="812" t="s">
        <v>694</v>
      </c>
      <c r="BQ203" s="812" t="s">
        <v>695</v>
      </c>
      <c r="BR203" s="812"/>
      <c r="BS203" s="812" t="s">
        <v>696</v>
      </c>
      <c r="BT203" s="812" t="s">
        <v>238</v>
      </c>
    </row>
    <row r="204" spans="1:72" ht="12.75" customHeight="1">
      <c r="A204" s="813" t="s">
        <v>658</v>
      </c>
      <c r="B204" s="820" t="s">
        <v>697</v>
      </c>
      <c r="C204" s="5">
        <v>0</v>
      </c>
      <c r="D204" s="5">
        <v>0</v>
      </c>
      <c r="E204" s="5">
        <v>0</v>
      </c>
      <c r="F204" s="5">
        <v>0</v>
      </c>
      <c r="G204" s="5">
        <v>0</v>
      </c>
      <c r="H204" s="5">
        <v>0</v>
      </c>
      <c r="I204" s="5">
        <v>0</v>
      </c>
      <c r="J204" s="5">
        <v>0</v>
      </c>
      <c r="K204" s="5">
        <v>0</v>
      </c>
      <c r="L204" s="5">
        <v>0</v>
      </c>
      <c r="M204" s="5">
        <v>0</v>
      </c>
      <c r="N204" s="5">
        <v>0</v>
      </c>
      <c r="O204" s="5">
        <v>0</v>
      </c>
      <c r="P204" s="5">
        <v>0</v>
      </c>
      <c r="Q204" s="5">
        <v>0</v>
      </c>
      <c r="R204" s="5">
        <v>0</v>
      </c>
      <c r="S204" s="5">
        <v>0</v>
      </c>
      <c r="T204" s="5">
        <v>0</v>
      </c>
      <c r="U204" s="5">
        <v>0</v>
      </c>
      <c r="V204" s="5">
        <v>0</v>
      </c>
      <c r="W204" s="5">
        <v>0</v>
      </c>
      <c r="X204" s="5">
        <v>0</v>
      </c>
      <c r="Y204" s="5">
        <v>0</v>
      </c>
      <c r="Z204" s="5">
        <v>0</v>
      </c>
      <c r="AA204" s="5">
        <v>0</v>
      </c>
      <c r="AB204" s="5">
        <v>0</v>
      </c>
      <c r="AC204" s="5">
        <v>0</v>
      </c>
      <c r="AD204" s="5">
        <v>0</v>
      </c>
      <c r="AE204" s="5">
        <v>0</v>
      </c>
      <c r="AF204" s="5">
        <v>0</v>
      </c>
      <c r="AG204" s="5">
        <v>0</v>
      </c>
      <c r="AH204" s="5">
        <v>0</v>
      </c>
      <c r="AI204" s="5">
        <v>0</v>
      </c>
      <c r="AJ204" s="5">
        <v>0</v>
      </c>
      <c r="AK204" s="5">
        <v>0</v>
      </c>
      <c r="AL204" s="5">
        <v>0</v>
      </c>
      <c r="AM204" s="5">
        <v>0</v>
      </c>
      <c r="AN204" s="5">
        <v>0</v>
      </c>
      <c r="AO204" s="5">
        <v>0</v>
      </c>
      <c r="AP204" s="5">
        <v>0</v>
      </c>
      <c r="AQ204" s="5">
        <v>0</v>
      </c>
      <c r="AR204" s="5">
        <v>0</v>
      </c>
      <c r="AS204" s="5">
        <v>0</v>
      </c>
      <c r="AT204" s="5">
        <v>0</v>
      </c>
      <c r="AU204" s="5">
        <v>0</v>
      </c>
      <c r="AV204" s="5">
        <v>10.272</v>
      </c>
      <c r="AW204" s="815">
        <v>189.148</v>
      </c>
      <c r="AX204" s="816">
        <v>188.87</v>
      </c>
      <c r="AY204" s="819">
        <v>189.11699999999999</v>
      </c>
      <c r="AZ204" s="816">
        <v>189.86</v>
      </c>
      <c r="BA204" s="818">
        <v>182.27</v>
      </c>
      <c r="BB204" s="802" t="str" cm="1">
        <f t="array" ref="BB204">INDEX(C$4:BA$4,MATCH(TRUE,INDEX(C204:BA204&lt;&gt;0,),0))</f>
        <v>2023-24</v>
      </c>
      <c r="BC204" s="803" t="str" cm="1">
        <f t="array" ref="BC204">LOOKUP(2,1/(C204:BA204&lt;&gt;0),$C$4:$BA$4)</f>
        <v>2028-29</v>
      </c>
      <c r="BD204" s="804">
        <f>COUNTIF(RDprograms[[#This Row],[1978-79]:[2028-29]], "&gt;0")</f>
        <v>6</v>
      </c>
      <c r="BE204" s="805">
        <f>SUM(C204:BA204)/RDprograms[[#This Row],[Years with &gt; $0 investment]]</f>
        <v>158.25616666666664</v>
      </c>
      <c r="BF204" s="806" t="s">
        <v>273</v>
      </c>
      <c r="BG204" s="807" t="s">
        <v>397</v>
      </c>
      <c r="BH204" s="847" t="s">
        <v>269</v>
      </c>
      <c r="BI204" s="809">
        <v>1</v>
      </c>
      <c r="BJ204" s="809">
        <v>1</v>
      </c>
      <c r="BK204" s="809"/>
      <c r="BL204" s="809">
        <v>1</v>
      </c>
      <c r="BM204" s="809">
        <v>1</v>
      </c>
      <c r="BN204" s="810">
        <v>1</v>
      </c>
      <c r="BO204" s="811" t="s">
        <v>251</v>
      </c>
      <c r="BP204" s="812" t="s">
        <v>698</v>
      </c>
      <c r="BQ204" s="812"/>
      <c r="BR204" s="812" t="s">
        <v>699</v>
      </c>
      <c r="BS204" s="812" t="s">
        <v>386</v>
      </c>
      <c r="BT204" s="812" t="s">
        <v>238</v>
      </c>
    </row>
    <row r="205" spans="1:72" ht="12.75" customHeight="1">
      <c r="A205" s="813" t="s">
        <v>658</v>
      </c>
      <c r="B205" s="820" t="s">
        <v>700</v>
      </c>
      <c r="C205" s="5">
        <v>0</v>
      </c>
      <c r="D205" s="5">
        <v>0</v>
      </c>
      <c r="E205" s="5">
        <v>0</v>
      </c>
      <c r="F205" s="5">
        <v>0</v>
      </c>
      <c r="G205" s="5">
        <v>0</v>
      </c>
      <c r="H205" s="5">
        <v>0</v>
      </c>
      <c r="I205" s="5">
        <v>0</v>
      </c>
      <c r="J205" s="5">
        <v>0</v>
      </c>
      <c r="K205" s="5">
        <v>0</v>
      </c>
      <c r="L205" s="5">
        <v>0</v>
      </c>
      <c r="M205" s="5">
        <v>0</v>
      </c>
      <c r="N205" s="5">
        <v>0</v>
      </c>
      <c r="O205" s="5">
        <v>0</v>
      </c>
      <c r="P205" s="5">
        <v>0</v>
      </c>
      <c r="Q205" s="5">
        <v>0</v>
      </c>
      <c r="R205" s="5">
        <v>0</v>
      </c>
      <c r="S205" s="5">
        <v>0</v>
      </c>
      <c r="T205" s="5">
        <v>0</v>
      </c>
      <c r="U205" s="5">
        <v>0</v>
      </c>
      <c r="V205" s="5">
        <v>0</v>
      </c>
      <c r="W205" s="5">
        <v>0</v>
      </c>
      <c r="X205" s="5">
        <v>0</v>
      </c>
      <c r="Y205" s="5">
        <v>0</v>
      </c>
      <c r="Z205" s="5">
        <v>0</v>
      </c>
      <c r="AA205" s="5">
        <v>0</v>
      </c>
      <c r="AB205" s="5">
        <v>0</v>
      </c>
      <c r="AC205" s="5">
        <v>0</v>
      </c>
      <c r="AD205" s="5">
        <v>0</v>
      </c>
      <c r="AE205" s="5">
        <v>0</v>
      </c>
      <c r="AF205" s="5">
        <v>0</v>
      </c>
      <c r="AG205" s="5">
        <v>2.5419999999999998</v>
      </c>
      <c r="AH205" s="5">
        <v>0</v>
      </c>
      <c r="AI205" s="5">
        <v>0</v>
      </c>
      <c r="AJ205" s="5">
        <v>0</v>
      </c>
      <c r="AK205" s="5">
        <v>0</v>
      </c>
      <c r="AL205" s="5">
        <v>0</v>
      </c>
      <c r="AM205" s="5">
        <v>0</v>
      </c>
      <c r="AN205" s="5">
        <v>0</v>
      </c>
      <c r="AO205" s="5">
        <v>0</v>
      </c>
      <c r="AP205" s="816">
        <v>0</v>
      </c>
      <c r="AQ205" s="816">
        <v>0</v>
      </c>
      <c r="AR205" s="5">
        <v>0</v>
      </c>
      <c r="AS205" s="5">
        <v>0</v>
      </c>
      <c r="AT205" s="5">
        <v>0</v>
      </c>
      <c r="AU205" s="5">
        <v>0</v>
      </c>
      <c r="AV205" s="5">
        <v>0</v>
      </c>
      <c r="AW205" s="815">
        <v>0</v>
      </c>
      <c r="AX205" s="816">
        <v>0</v>
      </c>
      <c r="AY205" s="819">
        <v>0</v>
      </c>
      <c r="AZ205" s="816"/>
      <c r="BA205" s="818"/>
      <c r="BB205" s="802" t="str" cm="1">
        <f t="array" ref="BB205">INDEX(C$4:BA$4,MATCH(TRUE,INDEX(C205:BA205&lt;&gt;0,),0))</f>
        <v>2008-09</v>
      </c>
      <c r="BC205" s="803" t="str" cm="1">
        <f t="array" ref="BC205">LOOKUP(2,1/(C205:BA205&lt;&gt;0),$C$4:$BA$4)</f>
        <v>2008-09</v>
      </c>
      <c r="BD205" s="804">
        <f>COUNTIF(RDprograms[[#This Row],[1978-79]:[2028-29]], "&gt;0")</f>
        <v>1</v>
      </c>
      <c r="BE205" s="805">
        <f>SUM(C205:BA205)/RDprograms[[#This Row],[Years with &gt; $0 investment]]</f>
        <v>2.5419999999999998</v>
      </c>
      <c r="BF205" s="806" t="s">
        <v>273</v>
      </c>
      <c r="BG205" s="807" t="s">
        <v>701</v>
      </c>
      <c r="BH205" s="847" t="s">
        <v>269</v>
      </c>
      <c r="BI205" s="809"/>
      <c r="BJ205" s="809"/>
      <c r="BK205" s="809"/>
      <c r="BL205" s="809"/>
      <c r="BM205" s="809"/>
      <c r="BN205" s="810"/>
      <c r="BO205" s="811" t="s">
        <v>236</v>
      </c>
      <c r="BP205" s="812"/>
      <c r="BQ205" s="812"/>
      <c r="BR205" s="812"/>
      <c r="BS205" s="812"/>
      <c r="BT205" s="812" t="s">
        <v>238</v>
      </c>
    </row>
    <row r="206" spans="1:72" ht="12.75" customHeight="1">
      <c r="A206" s="813" t="s">
        <v>658</v>
      </c>
      <c r="B206" s="820" t="s">
        <v>702</v>
      </c>
      <c r="C206" s="5">
        <v>0</v>
      </c>
      <c r="D206" s="5">
        <v>0</v>
      </c>
      <c r="E206" s="5">
        <v>0</v>
      </c>
      <c r="F206" s="5">
        <v>0</v>
      </c>
      <c r="G206" s="5">
        <v>0</v>
      </c>
      <c r="H206" s="5">
        <v>0</v>
      </c>
      <c r="I206" s="5">
        <v>0</v>
      </c>
      <c r="J206" s="5">
        <v>0</v>
      </c>
      <c r="K206" s="5">
        <v>0</v>
      </c>
      <c r="L206" s="5">
        <v>0</v>
      </c>
      <c r="M206" s="5">
        <v>0</v>
      </c>
      <c r="N206" s="5">
        <v>0</v>
      </c>
      <c r="O206" s="5">
        <v>0</v>
      </c>
      <c r="P206" s="5">
        <v>0</v>
      </c>
      <c r="Q206" s="5">
        <v>0</v>
      </c>
      <c r="R206" s="5">
        <v>0</v>
      </c>
      <c r="S206" s="5">
        <v>0</v>
      </c>
      <c r="T206" s="5">
        <v>0</v>
      </c>
      <c r="U206" s="5">
        <v>0</v>
      </c>
      <c r="V206" s="5">
        <v>0</v>
      </c>
      <c r="W206" s="5">
        <v>0</v>
      </c>
      <c r="X206" s="5">
        <v>0</v>
      </c>
      <c r="Y206" s="5">
        <v>0</v>
      </c>
      <c r="Z206" s="5">
        <v>0</v>
      </c>
      <c r="AA206" s="5">
        <v>0</v>
      </c>
      <c r="AB206" s="5">
        <v>0</v>
      </c>
      <c r="AC206" s="5">
        <v>0</v>
      </c>
      <c r="AD206" s="5">
        <v>4.5</v>
      </c>
      <c r="AE206" s="5">
        <v>0</v>
      </c>
      <c r="AF206" s="5">
        <v>0</v>
      </c>
      <c r="AG206" s="5">
        <v>0</v>
      </c>
      <c r="AH206" s="5">
        <v>0</v>
      </c>
      <c r="AI206" s="5">
        <v>0</v>
      </c>
      <c r="AJ206" s="5">
        <v>0</v>
      </c>
      <c r="AK206" s="5">
        <v>0</v>
      </c>
      <c r="AL206" s="5">
        <v>0</v>
      </c>
      <c r="AM206" s="5">
        <v>0</v>
      </c>
      <c r="AN206" s="5">
        <v>0</v>
      </c>
      <c r="AO206" s="5">
        <v>0</v>
      </c>
      <c r="AP206" s="5">
        <v>0</v>
      </c>
      <c r="AQ206" s="5">
        <v>0</v>
      </c>
      <c r="AR206" s="5">
        <v>0</v>
      </c>
      <c r="AS206" s="5">
        <v>0</v>
      </c>
      <c r="AT206" s="5">
        <v>0</v>
      </c>
      <c r="AU206" s="5">
        <v>0</v>
      </c>
      <c r="AV206" s="5">
        <v>0</v>
      </c>
      <c r="AW206" s="815">
        <v>0</v>
      </c>
      <c r="AX206" s="816">
        <v>0</v>
      </c>
      <c r="AY206" s="819">
        <v>0</v>
      </c>
      <c r="AZ206" s="816"/>
      <c r="BA206" s="818"/>
      <c r="BB206" s="802" t="str" cm="1">
        <f t="array" ref="BB206">INDEX(C$4:BA$4,MATCH(TRUE,INDEX(C206:BA206&lt;&gt;0,),0))</f>
        <v>2005-06</v>
      </c>
      <c r="BC206" s="803" t="str" cm="1">
        <f t="array" ref="BC206">LOOKUP(2,1/(C206:BA206&lt;&gt;0),$C$4:$BA$4)</f>
        <v>2005-06</v>
      </c>
      <c r="BD206" s="804">
        <f>COUNTIF(RDprograms[[#This Row],[1978-79]:[2028-29]], "&gt;0")</f>
        <v>1</v>
      </c>
      <c r="BE206" s="805">
        <f>SUM(C206:BA206)/RDprograms[[#This Row],[Years with &gt; $0 investment]]</f>
        <v>4.5</v>
      </c>
      <c r="BF206" s="806" t="s">
        <v>273</v>
      </c>
      <c r="BG206" s="807" t="s">
        <v>703</v>
      </c>
      <c r="BH206" s="847" t="s">
        <v>269</v>
      </c>
      <c r="BI206" s="809"/>
      <c r="BJ206" s="809"/>
      <c r="BK206" s="809"/>
      <c r="BL206" s="809"/>
      <c r="BM206" s="809"/>
      <c r="BN206" s="810"/>
      <c r="BO206" s="811" t="s">
        <v>236</v>
      </c>
      <c r="BP206" s="812"/>
      <c r="BQ206" s="812"/>
      <c r="BR206" s="812"/>
      <c r="BS206" s="812"/>
      <c r="BT206" s="812" t="s">
        <v>238</v>
      </c>
    </row>
    <row r="207" spans="1:72" ht="12.75" customHeight="1">
      <c r="A207" s="813" t="s">
        <v>658</v>
      </c>
      <c r="B207" s="820" t="s">
        <v>704</v>
      </c>
      <c r="C207" s="5">
        <v>0</v>
      </c>
      <c r="D207" s="5">
        <v>0</v>
      </c>
      <c r="E207" s="5">
        <v>0</v>
      </c>
      <c r="F207" s="5">
        <v>0</v>
      </c>
      <c r="G207" s="5">
        <v>0</v>
      </c>
      <c r="H207" s="5">
        <v>0</v>
      </c>
      <c r="I207" s="5">
        <v>0</v>
      </c>
      <c r="J207" s="5">
        <v>0</v>
      </c>
      <c r="K207" s="5">
        <v>0</v>
      </c>
      <c r="L207" s="5">
        <v>0</v>
      </c>
      <c r="M207" s="5">
        <v>0</v>
      </c>
      <c r="N207" s="5">
        <v>0</v>
      </c>
      <c r="O207" s="5">
        <v>0</v>
      </c>
      <c r="P207" s="5">
        <v>0</v>
      </c>
      <c r="Q207" s="5">
        <v>0</v>
      </c>
      <c r="R207" s="5">
        <v>0</v>
      </c>
      <c r="S207" s="5">
        <v>0</v>
      </c>
      <c r="T207" s="5">
        <v>0</v>
      </c>
      <c r="U207" s="5">
        <v>0</v>
      </c>
      <c r="V207" s="5">
        <v>0</v>
      </c>
      <c r="W207" s="5">
        <v>0</v>
      </c>
      <c r="X207" s="5">
        <v>0</v>
      </c>
      <c r="Y207" s="5">
        <v>0</v>
      </c>
      <c r="Z207" s="5">
        <v>0</v>
      </c>
      <c r="AA207" s="5">
        <v>0</v>
      </c>
      <c r="AB207" s="5">
        <v>0</v>
      </c>
      <c r="AC207" s="5">
        <v>0</v>
      </c>
      <c r="AD207" s="5">
        <v>0</v>
      </c>
      <c r="AE207" s="5">
        <v>0</v>
      </c>
      <c r="AF207" s="5">
        <v>0</v>
      </c>
      <c r="AG207" s="5">
        <v>0</v>
      </c>
      <c r="AH207" s="5">
        <v>0</v>
      </c>
      <c r="AI207" s="5">
        <v>10.1</v>
      </c>
      <c r="AJ207" s="5">
        <v>5.35</v>
      </c>
      <c r="AK207" s="5">
        <v>2.65</v>
      </c>
      <c r="AL207" s="5">
        <v>0</v>
      </c>
      <c r="AM207" s="5">
        <v>0</v>
      </c>
      <c r="AN207" s="5">
        <v>0</v>
      </c>
      <c r="AO207" s="5">
        <v>0</v>
      </c>
      <c r="AP207" s="816">
        <v>0</v>
      </c>
      <c r="AQ207" s="816">
        <v>0</v>
      </c>
      <c r="AR207" s="5">
        <v>0</v>
      </c>
      <c r="AS207" s="5">
        <v>0</v>
      </c>
      <c r="AT207" s="5">
        <v>0</v>
      </c>
      <c r="AU207" s="5">
        <v>0</v>
      </c>
      <c r="AV207" s="5">
        <v>0</v>
      </c>
      <c r="AW207" s="815">
        <v>0</v>
      </c>
      <c r="AX207" s="816">
        <v>0</v>
      </c>
      <c r="AY207" s="819">
        <v>0</v>
      </c>
      <c r="AZ207" s="816"/>
      <c r="BA207" s="818"/>
      <c r="BB207" s="802" t="str" cm="1">
        <f t="array" ref="BB207">INDEX(C$4:BA$4,MATCH(TRUE,INDEX(C207:BA207&lt;&gt;0,),0))</f>
        <v>2010-11</v>
      </c>
      <c r="BC207" s="803" t="str" cm="1">
        <f t="array" ref="BC207">LOOKUP(2,1/(C207:BA207&lt;&gt;0),$C$4:$BA$4)</f>
        <v>2012-13</v>
      </c>
      <c r="BD207" s="804">
        <f>COUNTIF(RDprograms[[#This Row],[1978-79]:[2028-29]], "&gt;0")</f>
        <v>3</v>
      </c>
      <c r="BE207" s="805">
        <f>SUM(C207:BA207)/RDprograms[[#This Row],[Years with &gt; $0 investment]]</f>
        <v>6.0333333333333323</v>
      </c>
      <c r="BF207" s="806" t="s">
        <v>273</v>
      </c>
      <c r="BG207" s="807" t="s">
        <v>362</v>
      </c>
      <c r="BH207" s="847" t="s">
        <v>269</v>
      </c>
      <c r="BI207" s="809"/>
      <c r="BJ207" s="809"/>
      <c r="BK207" s="809"/>
      <c r="BL207" s="809"/>
      <c r="BM207" s="809"/>
      <c r="BN207" s="810"/>
      <c r="BO207" s="811" t="s">
        <v>236</v>
      </c>
      <c r="BP207" s="812"/>
      <c r="BQ207" s="812"/>
      <c r="BR207" s="812"/>
      <c r="BS207" s="812"/>
      <c r="BT207" s="812" t="s">
        <v>238</v>
      </c>
    </row>
    <row r="208" spans="1:72" ht="12.75" customHeight="1">
      <c r="A208" s="813" t="s">
        <v>658</v>
      </c>
      <c r="B208" s="820" t="s">
        <v>705</v>
      </c>
      <c r="C208" s="5">
        <v>0</v>
      </c>
      <c r="D208" s="5">
        <v>0</v>
      </c>
      <c r="E208" s="5">
        <v>0</v>
      </c>
      <c r="F208" s="5">
        <v>0</v>
      </c>
      <c r="G208" s="5">
        <v>0</v>
      </c>
      <c r="H208" s="5">
        <v>0</v>
      </c>
      <c r="I208" s="5">
        <v>0</v>
      </c>
      <c r="J208" s="5">
        <v>0</v>
      </c>
      <c r="K208" s="5">
        <v>0</v>
      </c>
      <c r="L208" s="5">
        <v>0</v>
      </c>
      <c r="M208" s="5">
        <v>0</v>
      </c>
      <c r="N208" s="5">
        <v>0</v>
      </c>
      <c r="O208" s="5">
        <v>0</v>
      </c>
      <c r="P208" s="5">
        <v>0</v>
      </c>
      <c r="Q208" s="5">
        <v>0</v>
      </c>
      <c r="R208" s="5">
        <v>0</v>
      </c>
      <c r="S208" s="5">
        <v>0</v>
      </c>
      <c r="T208" s="5">
        <v>0</v>
      </c>
      <c r="U208" s="5">
        <v>0</v>
      </c>
      <c r="V208" s="5">
        <v>0</v>
      </c>
      <c r="W208" s="5">
        <v>0</v>
      </c>
      <c r="X208" s="5">
        <v>0</v>
      </c>
      <c r="Y208" s="5">
        <v>0</v>
      </c>
      <c r="Z208" s="5">
        <v>0</v>
      </c>
      <c r="AA208" s="5">
        <v>0</v>
      </c>
      <c r="AB208" s="5">
        <v>0</v>
      </c>
      <c r="AC208" s="5">
        <v>0</v>
      </c>
      <c r="AD208" s="5">
        <v>0</v>
      </c>
      <c r="AE208" s="5">
        <v>0</v>
      </c>
      <c r="AF208" s="5">
        <v>0</v>
      </c>
      <c r="AG208" s="5">
        <v>0</v>
      </c>
      <c r="AH208" s="5">
        <v>0</v>
      </c>
      <c r="AI208" s="5">
        <v>0.13100000000000001</v>
      </c>
      <c r="AJ208" s="5">
        <v>0.16600000000000001</v>
      </c>
      <c r="AK208" s="5">
        <v>0</v>
      </c>
      <c r="AL208" s="5">
        <v>0</v>
      </c>
      <c r="AM208" s="5">
        <v>0</v>
      </c>
      <c r="AN208" s="5">
        <v>0</v>
      </c>
      <c r="AO208" s="5">
        <v>0</v>
      </c>
      <c r="AP208" s="5">
        <v>0</v>
      </c>
      <c r="AQ208" s="5">
        <v>0</v>
      </c>
      <c r="AR208" s="5">
        <v>0</v>
      </c>
      <c r="AS208" s="5">
        <v>0</v>
      </c>
      <c r="AT208" s="5">
        <v>0</v>
      </c>
      <c r="AU208" s="5">
        <v>0</v>
      </c>
      <c r="AV208" s="5">
        <v>0</v>
      </c>
      <c r="AW208" s="815">
        <v>0</v>
      </c>
      <c r="AX208" s="816">
        <v>0</v>
      </c>
      <c r="AY208" s="819">
        <v>0</v>
      </c>
      <c r="AZ208" s="816"/>
      <c r="BA208" s="818"/>
      <c r="BB208" s="802" t="str" cm="1">
        <f t="array" ref="BB208">INDEX(C$4:BA$4,MATCH(TRUE,INDEX(C208:BA208&lt;&gt;0,),0))</f>
        <v>2010-11</v>
      </c>
      <c r="BC208" s="803" t="str" cm="1">
        <f t="array" ref="BC208">LOOKUP(2,1/(C208:BA208&lt;&gt;0),$C$4:$BA$4)</f>
        <v>2011-12</v>
      </c>
      <c r="BD208" s="804">
        <f>COUNTIF(RDprograms[[#This Row],[1978-79]:[2028-29]], "&gt;0")</f>
        <v>2</v>
      </c>
      <c r="BE208" s="805">
        <f>SUM(C208:BA208)/RDprograms[[#This Row],[Years with &gt; $0 investment]]</f>
        <v>0.14850000000000002</v>
      </c>
      <c r="BF208" s="806" t="s">
        <v>273</v>
      </c>
      <c r="BG208" s="807" t="s">
        <v>362</v>
      </c>
      <c r="BH208" s="847" t="s">
        <v>269</v>
      </c>
      <c r="BI208" s="809"/>
      <c r="BJ208" s="809"/>
      <c r="BK208" s="809"/>
      <c r="BL208" s="809"/>
      <c r="BM208" s="809"/>
      <c r="BN208" s="810"/>
      <c r="BO208" s="811" t="s">
        <v>236</v>
      </c>
      <c r="BP208" s="812"/>
      <c r="BQ208" s="812"/>
      <c r="BR208" s="812"/>
      <c r="BS208" s="812"/>
      <c r="BT208" s="812" t="s">
        <v>238</v>
      </c>
    </row>
    <row r="209" spans="1:72" ht="12.75" customHeight="1">
      <c r="A209" s="813" t="s">
        <v>658</v>
      </c>
      <c r="B209" s="820" t="s">
        <v>706</v>
      </c>
      <c r="C209" s="5">
        <v>0</v>
      </c>
      <c r="D209" s="5">
        <v>0</v>
      </c>
      <c r="E209" s="5">
        <v>0</v>
      </c>
      <c r="F209" s="5">
        <v>0</v>
      </c>
      <c r="G209" s="5">
        <v>0</v>
      </c>
      <c r="H209" s="5">
        <v>0</v>
      </c>
      <c r="I209" s="5">
        <v>0</v>
      </c>
      <c r="J209" s="5">
        <v>0</v>
      </c>
      <c r="K209" s="5">
        <v>0</v>
      </c>
      <c r="L209" s="5">
        <v>0</v>
      </c>
      <c r="M209" s="5">
        <v>0</v>
      </c>
      <c r="N209" s="5">
        <v>0</v>
      </c>
      <c r="O209" s="5">
        <v>0</v>
      </c>
      <c r="P209" s="5">
        <v>0</v>
      </c>
      <c r="Q209" s="5">
        <v>0</v>
      </c>
      <c r="R209" s="5">
        <v>0</v>
      </c>
      <c r="S209" s="5">
        <v>0</v>
      </c>
      <c r="T209" s="5">
        <v>0</v>
      </c>
      <c r="U209" s="5">
        <v>0</v>
      </c>
      <c r="V209" s="5">
        <v>0</v>
      </c>
      <c r="W209" s="5">
        <v>0</v>
      </c>
      <c r="X209" s="5">
        <v>0</v>
      </c>
      <c r="Y209" s="5">
        <v>0</v>
      </c>
      <c r="Z209" s="5">
        <v>0</v>
      </c>
      <c r="AA209" s="5">
        <v>0</v>
      </c>
      <c r="AB209" s="5">
        <v>0</v>
      </c>
      <c r="AC209" s="5">
        <v>0</v>
      </c>
      <c r="AD209" s="5">
        <v>0</v>
      </c>
      <c r="AE209" s="5">
        <v>0</v>
      </c>
      <c r="AF209" s="5">
        <v>0</v>
      </c>
      <c r="AG209" s="5">
        <v>0</v>
      </c>
      <c r="AH209" s="5">
        <v>10.51</v>
      </c>
      <c r="AI209" s="5">
        <v>5.99</v>
      </c>
      <c r="AJ209" s="5">
        <v>3</v>
      </c>
      <c r="AK209" s="5">
        <v>0</v>
      </c>
      <c r="AL209" s="5">
        <v>0</v>
      </c>
      <c r="AM209" s="5">
        <v>0</v>
      </c>
      <c r="AN209" s="5">
        <v>0</v>
      </c>
      <c r="AO209" s="5">
        <v>0</v>
      </c>
      <c r="AP209" s="5">
        <v>0</v>
      </c>
      <c r="AQ209" s="5">
        <v>0</v>
      </c>
      <c r="AR209" s="5">
        <v>0</v>
      </c>
      <c r="AS209" s="5">
        <v>0</v>
      </c>
      <c r="AT209" s="5">
        <v>0</v>
      </c>
      <c r="AU209" s="5">
        <v>0</v>
      </c>
      <c r="AV209" s="5">
        <v>0</v>
      </c>
      <c r="AW209" s="815">
        <v>0</v>
      </c>
      <c r="AX209" s="816">
        <v>0</v>
      </c>
      <c r="AY209" s="819">
        <v>0</v>
      </c>
      <c r="AZ209" s="816"/>
      <c r="BA209" s="818"/>
      <c r="BB209" s="802" t="str" cm="1">
        <f t="array" ref="BB209">INDEX(C$4:BA$4,MATCH(TRUE,INDEX(C209:BA209&lt;&gt;0,),0))</f>
        <v>2009-10</v>
      </c>
      <c r="BC209" s="803" t="str" cm="1">
        <f t="array" ref="BC209">LOOKUP(2,1/(C209:BA209&lt;&gt;0),$C$4:$BA$4)</f>
        <v>2011-12</v>
      </c>
      <c r="BD209" s="804">
        <f>COUNTIF(RDprograms[[#This Row],[1978-79]:[2028-29]], "&gt;0")</f>
        <v>3</v>
      </c>
      <c r="BE209" s="805">
        <f>SUM(C209:BA209)/RDprograms[[#This Row],[Years with &gt; $0 investment]]</f>
        <v>6.5</v>
      </c>
      <c r="BF209" s="806" t="s">
        <v>273</v>
      </c>
      <c r="BG209" s="807" t="s">
        <v>406</v>
      </c>
      <c r="BH209" s="847" t="s">
        <v>269</v>
      </c>
      <c r="BI209" s="809"/>
      <c r="BJ209" s="809"/>
      <c r="BK209" s="809"/>
      <c r="BL209" s="809"/>
      <c r="BM209" s="809"/>
      <c r="BN209" s="810"/>
      <c r="BO209" s="811" t="s">
        <v>251</v>
      </c>
      <c r="BP209" s="812"/>
      <c r="BQ209" s="812"/>
      <c r="BR209" s="812"/>
      <c r="BS209" s="812"/>
      <c r="BT209" s="812" t="s">
        <v>238</v>
      </c>
    </row>
    <row r="210" spans="1:72" ht="12.75" customHeight="1">
      <c r="A210" s="813" t="s">
        <v>658</v>
      </c>
      <c r="B210" s="820" t="s">
        <v>707</v>
      </c>
      <c r="C210" s="5">
        <v>0</v>
      </c>
      <c r="D210" s="5">
        <v>0</v>
      </c>
      <c r="E210" s="5">
        <v>0</v>
      </c>
      <c r="F210" s="5">
        <v>0</v>
      </c>
      <c r="G210" s="5">
        <v>0</v>
      </c>
      <c r="H210" s="5">
        <v>0</v>
      </c>
      <c r="I210" s="5">
        <v>0</v>
      </c>
      <c r="J210" s="5">
        <v>0</v>
      </c>
      <c r="K210" s="5">
        <v>0</v>
      </c>
      <c r="L210" s="5">
        <v>0</v>
      </c>
      <c r="M210" s="5">
        <v>0</v>
      </c>
      <c r="N210" s="5">
        <v>0</v>
      </c>
      <c r="O210" s="5">
        <v>0</v>
      </c>
      <c r="P210" s="5">
        <v>0</v>
      </c>
      <c r="Q210" s="5">
        <v>0</v>
      </c>
      <c r="R210" s="5">
        <v>0</v>
      </c>
      <c r="S210" s="5">
        <v>0</v>
      </c>
      <c r="T210" s="5">
        <v>0</v>
      </c>
      <c r="U210" s="5">
        <v>0</v>
      </c>
      <c r="V210" s="5">
        <v>0</v>
      </c>
      <c r="W210" s="5">
        <v>0</v>
      </c>
      <c r="X210" s="5">
        <v>0</v>
      </c>
      <c r="Y210" s="5">
        <v>0</v>
      </c>
      <c r="Z210" s="5">
        <v>0</v>
      </c>
      <c r="AA210" s="5">
        <v>0</v>
      </c>
      <c r="AB210" s="5">
        <v>0</v>
      </c>
      <c r="AC210" s="5">
        <v>0</v>
      </c>
      <c r="AD210" s="5">
        <v>0</v>
      </c>
      <c r="AE210" s="5">
        <v>0</v>
      </c>
      <c r="AF210" s="5">
        <v>0</v>
      </c>
      <c r="AG210" s="5">
        <v>0</v>
      </c>
      <c r="AH210" s="5">
        <v>0</v>
      </c>
      <c r="AI210" s="5">
        <v>0</v>
      </c>
      <c r="AJ210" s="5">
        <v>0</v>
      </c>
      <c r="AK210" s="5">
        <v>0</v>
      </c>
      <c r="AL210" s="5">
        <v>0</v>
      </c>
      <c r="AM210" s="5">
        <v>0</v>
      </c>
      <c r="AN210" s="5">
        <v>0</v>
      </c>
      <c r="AO210" s="5">
        <v>0</v>
      </c>
      <c r="AP210" s="816">
        <v>0</v>
      </c>
      <c r="AQ210" s="816">
        <v>0</v>
      </c>
      <c r="AR210" s="5">
        <v>0</v>
      </c>
      <c r="AS210" s="5">
        <v>5</v>
      </c>
      <c r="AT210" s="5">
        <v>5</v>
      </c>
      <c r="AU210" s="5">
        <v>5</v>
      </c>
      <c r="AV210" s="5">
        <v>5</v>
      </c>
      <c r="AW210" s="815">
        <v>0</v>
      </c>
      <c r="AX210" s="816">
        <v>0</v>
      </c>
      <c r="AY210" s="819">
        <v>0</v>
      </c>
      <c r="AZ210" s="816"/>
      <c r="BA210" s="818"/>
      <c r="BB210" s="802" t="str" cm="1">
        <f t="array" ref="BB210">INDEX(C$4:BA$4,MATCH(TRUE,INDEX(C210:BA210&lt;&gt;0,),0))</f>
        <v>2020-21</v>
      </c>
      <c r="BC210" s="803" t="str" cm="1">
        <f t="array" ref="BC210">LOOKUP(2,1/(C210:BA210&lt;&gt;0),$C$4:$BA$4)</f>
        <v>2023-24</v>
      </c>
      <c r="BD210" s="804">
        <f>COUNTIF(RDprograms[[#This Row],[1978-79]:[2028-29]], "&gt;0")</f>
        <v>4</v>
      </c>
      <c r="BE210" s="805">
        <f>SUM(C210:BA210)/RDprograms[[#This Row],[Years with &gt; $0 investment]]</f>
        <v>5</v>
      </c>
      <c r="BF210" s="806" t="s">
        <v>273</v>
      </c>
      <c r="BG210" s="807" t="s">
        <v>669</v>
      </c>
      <c r="BH210" s="847" t="s">
        <v>269</v>
      </c>
      <c r="BI210" s="809"/>
      <c r="BJ210" s="809"/>
      <c r="BK210" s="809"/>
      <c r="BL210" s="809"/>
      <c r="BM210" s="809"/>
      <c r="BN210" s="810"/>
      <c r="BO210" s="811" t="s">
        <v>251</v>
      </c>
      <c r="BP210" s="812" t="s">
        <v>708</v>
      </c>
      <c r="BQ210" s="812"/>
      <c r="BR210" s="812"/>
      <c r="BS210" s="812"/>
      <c r="BT210" s="812" t="s">
        <v>238</v>
      </c>
    </row>
    <row r="211" spans="1:72" ht="12.75" customHeight="1">
      <c r="A211" s="813" t="s">
        <v>658</v>
      </c>
      <c r="B211" s="820" t="s">
        <v>709</v>
      </c>
      <c r="C211" s="5">
        <v>0</v>
      </c>
      <c r="D211" s="5">
        <v>0</v>
      </c>
      <c r="E211" s="5">
        <v>0</v>
      </c>
      <c r="F211" s="5">
        <v>0</v>
      </c>
      <c r="G211" s="5">
        <v>0</v>
      </c>
      <c r="H211" s="5">
        <v>0</v>
      </c>
      <c r="I211" s="5">
        <v>0</v>
      </c>
      <c r="J211" s="5">
        <v>0</v>
      </c>
      <c r="K211" s="5">
        <v>0</v>
      </c>
      <c r="L211" s="5">
        <v>0</v>
      </c>
      <c r="M211" s="5">
        <v>0</v>
      </c>
      <c r="N211" s="5">
        <v>0</v>
      </c>
      <c r="O211" s="5">
        <v>0</v>
      </c>
      <c r="P211" s="5">
        <v>0</v>
      </c>
      <c r="Q211" s="5">
        <v>0</v>
      </c>
      <c r="R211" s="5">
        <v>0</v>
      </c>
      <c r="S211" s="5">
        <v>0</v>
      </c>
      <c r="T211" s="5">
        <v>0</v>
      </c>
      <c r="U211" s="5">
        <v>0</v>
      </c>
      <c r="V211" s="5">
        <v>0</v>
      </c>
      <c r="W211" s="5">
        <v>0</v>
      </c>
      <c r="X211" s="5">
        <v>0</v>
      </c>
      <c r="Y211" s="5">
        <v>0</v>
      </c>
      <c r="Z211" s="5">
        <v>0</v>
      </c>
      <c r="AA211" s="5">
        <v>0</v>
      </c>
      <c r="AB211" s="5">
        <v>0</v>
      </c>
      <c r="AC211" s="5">
        <v>0</v>
      </c>
      <c r="AD211" s="5">
        <v>0</v>
      </c>
      <c r="AE211" s="5">
        <v>0</v>
      </c>
      <c r="AF211" s="5">
        <v>0</v>
      </c>
      <c r="AG211" s="5">
        <v>0</v>
      </c>
      <c r="AH211" s="5">
        <v>40</v>
      </c>
      <c r="AI211" s="5">
        <v>0</v>
      </c>
      <c r="AJ211" s="5">
        <v>0</v>
      </c>
      <c r="AK211" s="5">
        <v>0</v>
      </c>
      <c r="AL211" s="5">
        <v>0</v>
      </c>
      <c r="AM211" s="5">
        <v>0</v>
      </c>
      <c r="AN211" s="5">
        <v>0</v>
      </c>
      <c r="AO211" s="5">
        <v>0</v>
      </c>
      <c r="AP211" s="5">
        <v>0</v>
      </c>
      <c r="AQ211" s="5">
        <v>0</v>
      </c>
      <c r="AR211" s="5">
        <v>0</v>
      </c>
      <c r="AS211" s="5">
        <v>0</v>
      </c>
      <c r="AT211" s="5">
        <v>0</v>
      </c>
      <c r="AU211" s="5">
        <v>0</v>
      </c>
      <c r="AV211" s="5">
        <v>0</v>
      </c>
      <c r="AW211" s="815">
        <v>0</v>
      </c>
      <c r="AX211" s="816">
        <v>0</v>
      </c>
      <c r="AY211" s="819">
        <v>0</v>
      </c>
      <c r="AZ211" s="816"/>
      <c r="BA211" s="818"/>
      <c r="BB211" s="802" t="str" cm="1">
        <f t="array" ref="BB211">INDEX(C$4:BA$4,MATCH(TRUE,INDEX(C211:BA211&lt;&gt;0,),0))</f>
        <v>2009-10</v>
      </c>
      <c r="BC211" s="803" t="str" cm="1">
        <f t="array" ref="BC211">LOOKUP(2,1/(C211:BA211&lt;&gt;0),$C$4:$BA$4)</f>
        <v>2009-10</v>
      </c>
      <c r="BD211" s="804">
        <f>COUNTIF(RDprograms[[#This Row],[1978-79]:[2028-29]], "&gt;0")</f>
        <v>1</v>
      </c>
      <c r="BE211" s="805">
        <f>SUM(C211:BA211)/RDprograms[[#This Row],[Years with &gt; $0 investment]]</f>
        <v>40</v>
      </c>
      <c r="BF211" s="806" t="s">
        <v>273</v>
      </c>
      <c r="BG211" s="807" t="s">
        <v>393</v>
      </c>
      <c r="BH211" s="847" t="s">
        <v>269</v>
      </c>
      <c r="BI211" s="809"/>
      <c r="BJ211" s="809"/>
      <c r="BK211" s="809"/>
      <c r="BL211" s="809"/>
      <c r="BM211" s="809"/>
      <c r="BN211" s="810"/>
      <c r="BO211" s="811" t="s">
        <v>251</v>
      </c>
      <c r="BP211" s="812"/>
      <c r="BQ211" s="812"/>
      <c r="BR211" s="812"/>
      <c r="BS211" s="812"/>
      <c r="BT211" s="812" t="s">
        <v>238</v>
      </c>
    </row>
    <row r="212" spans="1:72" ht="12.75" customHeight="1">
      <c r="A212" s="813" t="s">
        <v>658</v>
      </c>
      <c r="B212" s="820" t="s">
        <v>710</v>
      </c>
      <c r="C212" s="5">
        <v>0</v>
      </c>
      <c r="D212" s="5">
        <v>0</v>
      </c>
      <c r="E212" s="5">
        <v>0</v>
      </c>
      <c r="F212" s="5">
        <v>0</v>
      </c>
      <c r="G212" s="5">
        <v>0</v>
      </c>
      <c r="H212" s="5">
        <v>0</v>
      </c>
      <c r="I212" s="5">
        <v>0</v>
      </c>
      <c r="J212" s="5">
        <v>0</v>
      </c>
      <c r="K212" s="5">
        <v>0</v>
      </c>
      <c r="L212" s="5">
        <v>0</v>
      </c>
      <c r="M212" s="5">
        <v>0</v>
      </c>
      <c r="N212" s="5">
        <v>0</v>
      </c>
      <c r="O212" s="5">
        <v>0</v>
      </c>
      <c r="P212" s="5">
        <v>0</v>
      </c>
      <c r="Q212" s="5">
        <v>0</v>
      </c>
      <c r="R212" s="5">
        <v>0</v>
      </c>
      <c r="S212" s="5">
        <v>0</v>
      </c>
      <c r="T212" s="5">
        <v>0</v>
      </c>
      <c r="U212" s="5">
        <v>0</v>
      </c>
      <c r="V212" s="5">
        <v>0</v>
      </c>
      <c r="W212" s="5">
        <v>0</v>
      </c>
      <c r="X212" s="5">
        <v>0</v>
      </c>
      <c r="Y212" s="5">
        <v>0</v>
      </c>
      <c r="Z212" s="5">
        <v>0</v>
      </c>
      <c r="AA212" s="5">
        <v>0</v>
      </c>
      <c r="AB212" s="5">
        <v>0</v>
      </c>
      <c r="AC212" s="5">
        <v>0</v>
      </c>
      <c r="AD212" s="5">
        <v>0</v>
      </c>
      <c r="AE212" s="5">
        <v>0</v>
      </c>
      <c r="AF212" s="5">
        <v>0</v>
      </c>
      <c r="AG212" s="5">
        <v>0</v>
      </c>
      <c r="AH212" s="5">
        <v>3.9</v>
      </c>
      <c r="AI212" s="5">
        <v>10.215</v>
      </c>
      <c r="AJ212" s="5">
        <v>3.4</v>
      </c>
      <c r="AK212" s="5">
        <v>0</v>
      </c>
      <c r="AL212" s="5">
        <v>0</v>
      </c>
      <c r="AM212" s="5">
        <v>0</v>
      </c>
      <c r="AN212" s="5">
        <v>0</v>
      </c>
      <c r="AO212" s="5">
        <v>0</v>
      </c>
      <c r="AP212" s="816">
        <v>0</v>
      </c>
      <c r="AQ212" s="816">
        <v>0</v>
      </c>
      <c r="AR212" s="5">
        <v>0</v>
      </c>
      <c r="AS212" s="5">
        <v>0</v>
      </c>
      <c r="AT212" s="5">
        <v>0</v>
      </c>
      <c r="AU212" s="5">
        <v>0</v>
      </c>
      <c r="AV212" s="5">
        <v>0</v>
      </c>
      <c r="AW212" s="815">
        <v>0</v>
      </c>
      <c r="AX212" s="816">
        <v>0</v>
      </c>
      <c r="AY212" s="819">
        <v>0</v>
      </c>
      <c r="AZ212" s="816"/>
      <c r="BA212" s="818"/>
      <c r="BB212" s="802" t="str" cm="1">
        <f t="array" ref="BB212">INDEX(C$4:BA$4,MATCH(TRUE,INDEX(C212:BA212&lt;&gt;0,),0))</f>
        <v>2009-10</v>
      </c>
      <c r="BC212" s="803" t="str" cm="1">
        <f t="array" ref="BC212">LOOKUP(2,1/(C212:BA212&lt;&gt;0),$C$4:$BA$4)</f>
        <v>2011-12</v>
      </c>
      <c r="BD212" s="804">
        <f>COUNTIF(RDprograms[[#This Row],[1978-79]:[2028-29]], "&gt;0")</f>
        <v>3</v>
      </c>
      <c r="BE212" s="805">
        <f>SUM(C212:BA212)/RDprograms[[#This Row],[Years with &gt; $0 investment]]</f>
        <v>5.8383333333333338</v>
      </c>
      <c r="BF212" s="806" t="s">
        <v>273</v>
      </c>
      <c r="BG212" s="807" t="s">
        <v>703</v>
      </c>
      <c r="BH212" s="847" t="s">
        <v>269</v>
      </c>
      <c r="BI212" s="809"/>
      <c r="BJ212" s="809"/>
      <c r="BK212" s="809"/>
      <c r="BL212" s="809"/>
      <c r="BM212" s="809"/>
      <c r="BN212" s="810"/>
      <c r="BO212" s="811" t="s">
        <v>251</v>
      </c>
      <c r="BP212" s="812"/>
      <c r="BQ212" s="812"/>
      <c r="BR212" s="812"/>
      <c r="BS212" s="812"/>
      <c r="BT212" s="812"/>
    </row>
    <row r="213" spans="1:72" ht="12.75" customHeight="1">
      <c r="A213" s="813" t="s">
        <v>658</v>
      </c>
      <c r="B213" s="820" t="s">
        <v>711</v>
      </c>
      <c r="C213" s="5">
        <v>0</v>
      </c>
      <c r="D213" s="5">
        <v>0</v>
      </c>
      <c r="E213" s="5">
        <v>0</v>
      </c>
      <c r="F213" s="5">
        <v>0</v>
      </c>
      <c r="G213" s="5">
        <v>0</v>
      </c>
      <c r="H213" s="5">
        <v>0</v>
      </c>
      <c r="I213" s="5">
        <v>0</v>
      </c>
      <c r="J213" s="5">
        <v>0</v>
      </c>
      <c r="K213" s="5">
        <v>0</v>
      </c>
      <c r="L213" s="5">
        <v>0</v>
      </c>
      <c r="M213" s="5">
        <v>0</v>
      </c>
      <c r="N213" s="5">
        <v>0</v>
      </c>
      <c r="O213" s="5">
        <v>0</v>
      </c>
      <c r="P213" s="5">
        <v>0</v>
      </c>
      <c r="Q213" s="5">
        <v>0</v>
      </c>
      <c r="R213" s="5">
        <v>0</v>
      </c>
      <c r="S213" s="5">
        <v>0</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35</v>
      </c>
      <c r="AJ213" s="5">
        <v>0</v>
      </c>
      <c r="AK213" s="5">
        <v>0</v>
      </c>
      <c r="AL213" s="5">
        <v>0</v>
      </c>
      <c r="AM213" s="5">
        <v>0</v>
      </c>
      <c r="AN213" s="5">
        <v>0</v>
      </c>
      <c r="AO213" s="5">
        <v>0</v>
      </c>
      <c r="AP213" s="816">
        <v>0</v>
      </c>
      <c r="AQ213" s="816">
        <v>0</v>
      </c>
      <c r="AR213" s="5">
        <v>0</v>
      </c>
      <c r="AS213" s="5">
        <v>0</v>
      </c>
      <c r="AT213" s="5">
        <v>0</v>
      </c>
      <c r="AU213" s="5">
        <v>0</v>
      </c>
      <c r="AV213" s="5">
        <v>0</v>
      </c>
      <c r="AW213" s="815">
        <v>0</v>
      </c>
      <c r="AX213" s="816">
        <v>0</v>
      </c>
      <c r="AY213" s="819">
        <v>0</v>
      </c>
      <c r="AZ213" s="816"/>
      <c r="BA213" s="818"/>
      <c r="BB213" s="802" t="str" cm="1">
        <f t="array" ref="BB213">INDEX(C$4:BA$4,MATCH(TRUE,INDEX(C213:BA213&lt;&gt;0,),0))</f>
        <v>2010-11</v>
      </c>
      <c r="BC213" s="803" t="str" cm="1">
        <f t="array" ref="BC213">LOOKUP(2,1/(C213:BA213&lt;&gt;0),$C$4:$BA$4)</f>
        <v>2010-11</v>
      </c>
      <c r="BD213" s="804">
        <f>COUNTIF(RDprograms[[#This Row],[1978-79]:[2028-29]], "&gt;0")</f>
        <v>1</v>
      </c>
      <c r="BE213" s="805">
        <f>SUM(C213:BA213)/RDprograms[[#This Row],[Years with &gt; $0 investment]]</f>
        <v>35</v>
      </c>
      <c r="BF213" s="806" t="s">
        <v>273</v>
      </c>
      <c r="BG213" s="807" t="s">
        <v>362</v>
      </c>
      <c r="BH213" s="847" t="s">
        <v>269</v>
      </c>
      <c r="BI213" s="809"/>
      <c r="BJ213" s="809"/>
      <c r="BK213" s="809"/>
      <c r="BL213" s="809"/>
      <c r="BM213" s="809"/>
      <c r="BN213" s="810"/>
      <c r="BO213" s="811" t="s">
        <v>236</v>
      </c>
      <c r="BP213" s="812"/>
      <c r="BQ213" s="812"/>
      <c r="BR213" s="812"/>
      <c r="BS213" s="812"/>
      <c r="BT213" s="812" t="s">
        <v>238</v>
      </c>
    </row>
    <row r="214" spans="1:72" ht="12.75" customHeight="1">
      <c r="A214" s="813" t="s">
        <v>658</v>
      </c>
      <c r="B214" s="820" t="s">
        <v>712</v>
      </c>
      <c r="C214" s="5">
        <v>0</v>
      </c>
      <c r="D214" s="5">
        <v>0</v>
      </c>
      <c r="E214" s="5">
        <v>0</v>
      </c>
      <c r="F214" s="5">
        <v>0</v>
      </c>
      <c r="G214" s="5">
        <v>0</v>
      </c>
      <c r="H214" s="5">
        <v>0</v>
      </c>
      <c r="I214" s="5">
        <v>0</v>
      </c>
      <c r="J214" s="5">
        <v>0</v>
      </c>
      <c r="K214" s="5">
        <v>0</v>
      </c>
      <c r="L214" s="5">
        <v>0</v>
      </c>
      <c r="M214" s="5">
        <v>0</v>
      </c>
      <c r="N214" s="5">
        <v>0</v>
      </c>
      <c r="O214" s="5">
        <v>0</v>
      </c>
      <c r="P214" s="5">
        <v>0</v>
      </c>
      <c r="Q214" s="5">
        <v>0</v>
      </c>
      <c r="R214" s="5">
        <v>0</v>
      </c>
      <c r="S214" s="5">
        <v>0</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16.748999999999999</v>
      </c>
      <c r="AL214" s="5">
        <v>39.078000000000003</v>
      </c>
      <c r="AM214" s="5">
        <v>38.299999999999997</v>
      </c>
      <c r="AN214" s="5">
        <v>0</v>
      </c>
      <c r="AO214" s="5">
        <v>0</v>
      </c>
      <c r="AP214" s="5">
        <v>0</v>
      </c>
      <c r="AQ214" s="5">
        <v>0</v>
      </c>
      <c r="AR214" s="5">
        <v>0</v>
      </c>
      <c r="AS214" s="5">
        <v>0</v>
      </c>
      <c r="AT214" s="5">
        <v>0</v>
      </c>
      <c r="AU214" s="5">
        <v>0</v>
      </c>
      <c r="AV214" s="5">
        <v>0</v>
      </c>
      <c r="AW214" s="815">
        <v>0</v>
      </c>
      <c r="AX214" s="816">
        <v>0</v>
      </c>
      <c r="AY214" s="819">
        <v>0</v>
      </c>
      <c r="AZ214" s="816"/>
      <c r="BA214" s="818"/>
      <c r="BB214" s="802" t="str" cm="1">
        <f t="array" ref="BB214">INDEX(C$4:BA$4,MATCH(TRUE,INDEX(C214:BA214&lt;&gt;0,),0))</f>
        <v>2012-13</v>
      </c>
      <c r="BC214" s="803" t="str" cm="1">
        <f t="array" ref="BC214">LOOKUP(2,1/(C214:BA214&lt;&gt;0),$C$4:$BA$4)</f>
        <v>2014-15</v>
      </c>
      <c r="BD214" s="804">
        <f>COUNTIF(RDprograms[[#This Row],[1978-79]:[2028-29]], "&gt;0")</f>
        <v>3</v>
      </c>
      <c r="BE214" s="805">
        <f>SUM(C214:BA214)/RDprograms[[#This Row],[Years with &gt; $0 investment]]</f>
        <v>31.375666666666664</v>
      </c>
      <c r="BF214" s="806" t="s">
        <v>233</v>
      </c>
      <c r="BG214" s="807" t="s">
        <v>409</v>
      </c>
      <c r="BH214" s="847" t="s">
        <v>390</v>
      </c>
      <c r="BI214" s="809"/>
      <c r="BJ214" s="809"/>
      <c r="BK214" s="809"/>
      <c r="BL214" s="809"/>
      <c r="BM214" s="809"/>
      <c r="BN214" s="810"/>
      <c r="BO214" s="811" t="s">
        <v>251</v>
      </c>
      <c r="BP214" s="812"/>
      <c r="BQ214" s="812"/>
      <c r="BR214" s="812"/>
      <c r="BS214" s="812"/>
      <c r="BT214" s="812" t="s">
        <v>238</v>
      </c>
    </row>
    <row r="215" spans="1:72" ht="12.75" customHeight="1">
      <c r="A215" s="813" t="s">
        <v>658</v>
      </c>
      <c r="B215" s="820" t="s">
        <v>713</v>
      </c>
      <c r="C215" s="5">
        <v>0</v>
      </c>
      <c r="D215" s="5">
        <v>0</v>
      </c>
      <c r="E215" s="5">
        <v>0</v>
      </c>
      <c r="F215" s="5">
        <v>0</v>
      </c>
      <c r="G215" s="5">
        <v>0</v>
      </c>
      <c r="H215" s="5">
        <v>0</v>
      </c>
      <c r="I215" s="5">
        <v>0</v>
      </c>
      <c r="J215" s="5">
        <v>0</v>
      </c>
      <c r="K215" s="5">
        <v>0</v>
      </c>
      <c r="L215" s="5">
        <v>0</v>
      </c>
      <c r="M215" s="5">
        <v>0</v>
      </c>
      <c r="N215" s="5">
        <v>0</v>
      </c>
      <c r="O215" s="5">
        <v>0</v>
      </c>
      <c r="P215" s="5">
        <v>0</v>
      </c>
      <c r="Q215" s="5">
        <v>0</v>
      </c>
      <c r="R215" s="5">
        <v>0</v>
      </c>
      <c r="S215" s="5">
        <v>0</v>
      </c>
      <c r="T215" s="5">
        <v>0</v>
      </c>
      <c r="U215" s="5">
        <v>0</v>
      </c>
      <c r="V215" s="5">
        <v>0</v>
      </c>
      <c r="W215" s="5">
        <v>0</v>
      </c>
      <c r="X215" s="5">
        <v>0</v>
      </c>
      <c r="Y215" s="5">
        <v>0</v>
      </c>
      <c r="Z215" s="5">
        <v>0</v>
      </c>
      <c r="AA215" s="5">
        <v>0</v>
      </c>
      <c r="AB215" s="5">
        <v>0</v>
      </c>
      <c r="AC215" s="5">
        <v>0</v>
      </c>
      <c r="AD215" s="5">
        <v>0</v>
      </c>
      <c r="AE215" s="5">
        <v>0</v>
      </c>
      <c r="AF215" s="5">
        <v>0</v>
      </c>
      <c r="AG215" s="5">
        <v>0</v>
      </c>
      <c r="AH215" s="5">
        <v>0</v>
      </c>
      <c r="AI215" s="5">
        <v>0</v>
      </c>
      <c r="AJ215" s="5">
        <v>0</v>
      </c>
      <c r="AK215" s="5">
        <v>0</v>
      </c>
      <c r="AL215" s="5">
        <v>0</v>
      </c>
      <c r="AM215" s="5">
        <v>0</v>
      </c>
      <c r="AN215" s="5">
        <v>0</v>
      </c>
      <c r="AO215" s="5">
        <v>0</v>
      </c>
      <c r="AP215" s="5">
        <v>0</v>
      </c>
      <c r="AQ215" s="5">
        <v>0</v>
      </c>
      <c r="AR215" s="5">
        <v>0.5</v>
      </c>
      <c r="AS215" s="5">
        <v>1.5</v>
      </c>
      <c r="AT215" s="5">
        <v>0</v>
      </c>
      <c r="AU215" s="5">
        <v>0</v>
      </c>
      <c r="AV215" s="5">
        <v>0</v>
      </c>
      <c r="AW215" s="815">
        <v>0</v>
      </c>
      <c r="AX215" s="816">
        <v>0</v>
      </c>
      <c r="AY215" s="819">
        <v>0</v>
      </c>
      <c r="AZ215" s="816"/>
      <c r="BA215" s="818"/>
      <c r="BB215" s="802" t="str" cm="1">
        <f t="array" ref="BB215">INDEX(C$4:BA$4,MATCH(TRUE,INDEX(C215:BA215&lt;&gt;0,),0))</f>
        <v>2019-20</v>
      </c>
      <c r="BC215" s="803" t="str" cm="1">
        <f t="array" ref="BC215">LOOKUP(2,1/(C215:BA215&lt;&gt;0),$C$4:$BA$4)</f>
        <v>2020-21</v>
      </c>
      <c r="BD215" s="804">
        <f>COUNTIF(RDprograms[[#This Row],[1978-79]:[2028-29]], "&gt;0")</f>
        <v>2</v>
      </c>
      <c r="BE215" s="805">
        <f>SUM(C215:BA215)/RDprograms[[#This Row],[Years with &gt; $0 investment]]</f>
        <v>1</v>
      </c>
      <c r="BF215" s="806" t="s">
        <v>273</v>
      </c>
      <c r="BG215" s="807" t="s">
        <v>669</v>
      </c>
      <c r="BH215" s="847" t="s">
        <v>269</v>
      </c>
      <c r="BI215" s="809"/>
      <c r="BJ215" s="809"/>
      <c r="BK215" s="809"/>
      <c r="BL215" s="809"/>
      <c r="BM215" s="809"/>
      <c r="BN215" s="810"/>
      <c r="BO215" s="811" t="s">
        <v>251</v>
      </c>
      <c r="BP215" s="812" t="s">
        <v>714</v>
      </c>
      <c r="BQ215" s="812"/>
      <c r="BR215" s="812"/>
      <c r="BS215" s="812"/>
      <c r="BT215" s="812" t="s">
        <v>238</v>
      </c>
    </row>
    <row r="216" spans="1:72" ht="12.75" customHeight="1">
      <c r="A216" s="813" t="s">
        <v>658</v>
      </c>
      <c r="B216" s="820" t="s">
        <v>715</v>
      </c>
      <c r="C216" s="5">
        <v>0</v>
      </c>
      <c r="D216" s="5">
        <v>0</v>
      </c>
      <c r="E216" s="5">
        <v>0</v>
      </c>
      <c r="F216" s="5">
        <v>0</v>
      </c>
      <c r="G216" s="5">
        <v>0</v>
      </c>
      <c r="H216" s="5">
        <v>0</v>
      </c>
      <c r="I216" s="5">
        <v>0</v>
      </c>
      <c r="J216" s="5">
        <v>0</v>
      </c>
      <c r="K216" s="5">
        <v>0</v>
      </c>
      <c r="L216" s="5">
        <v>0</v>
      </c>
      <c r="M216" s="5">
        <v>0</v>
      </c>
      <c r="N216" s="5">
        <v>0</v>
      </c>
      <c r="O216" s="5">
        <v>0</v>
      </c>
      <c r="P216" s="5">
        <v>0</v>
      </c>
      <c r="Q216" s="5">
        <v>0</v>
      </c>
      <c r="R216" s="5">
        <v>0</v>
      </c>
      <c r="S216" s="5">
        <v>0</v>
      </c>
      <c r="T216" s="5">
        <v>0</v>
      </c>
      <c r="U216" s="5">
        <v>0</v>
      </c>
      <c r="V216" s="5">
        <v>0</v>
      </c>
      <c r="W216" s="5">
        <v>0</v>
      </c>
      <c r="X216" s="5">
        <v>0</v>
      </c>
      <c r="Y216" s="5">
        <v>0</v>
      </c>
      <c r="Z216" s="5">
        <v>0</v>
      </c>
      <c r="AA216" s="5">
        <v>0</v>
      </c>
      <c r="AB216" s="5">
        <v>0</v>
      </c>
      <c r="AC216" s="5">
        <v>0</v>
      </c>
      <c r="AD216" s="5">
        <v>0</v>
      </c>
      <c r="AE216" s="5">
        <v>0</v>
      </c>
      <c r="AF216" s="5">
        <v>0</v>
      </c>
      <c r="AG216" s="5">
        <v>0</v>
      </c>
      <c r="AH216" s="5">
        <v>0</v>
      </c>
      <c r="AI216" s="5">
        <v>0</v>
      </c>
      <c r="AJ216" s="5">
        <v>0</v>
      </c>
      <c r="AK216" s="5">
        <v>0</v>
      </c>
      <c r="AL216" s="5">
        <v>0</v>
      </c>
      <c r="AM216" s="5">
        <v>0</v>
      </c>
      <c r="AN216" s="5">
        <v>0</v>
      </c>
      <c r="AO216" s="5">
        <v>0</v>
      </c>
      <c r="AP216" s="816">
        <v>0</v>
      </c>
      <c r="AQ216" s="816">
        <v>0</v>
      </c>
      <c r="AR216" s="5">
        <v>0.5</v>
      </c>
      <c r="AS216" s="5">
        <v>1.5</v>
      </c>
      <c r="AT216" s="5">
        <v>0</v>
      </c>
      <c r="AU216" s="5">
        <v>0</v>
      </c>
      <c r="AV216" s="5">
        <v>0</v>
      </c>
      <c r="AW216" s="815">
        <v>0</v>
      </c>
      <c r="AX216" s="816">
        <v>0</v>
      </c>
      <c r="AY216" s="819">
        <v>0</v>
      </c>
      <c r="AZ216" s="816"/>
      <c r="BA216" s="818"/>
      <c r="BB216" s="802" t="str" cm="1">
        <f t="array" ref="BB216">INDEX(C$4:BA$4,MATCH(TRUE,INDEX(C216:BA216&lt;&gt;0,),0))</f>
        <v>2019-20</v>
      </c>
      <c r="BC216" s="803" t="str" cm="1">
        <f t="array" ref="BC216">LOOKUP(2,1/(C216:BA216&lt;&gt;0),$C$4:$BA$4)</f>
        <v>2020-21</v>
      </c>
      <c r="BD216" s="804">
        <f>COUNTIF(RDprograms[[#This Row],[1978-79]:[2028-29]], "&gt;0")</f>
        <v>2</v>
      </c>
      <c r="BE216" s="805">
        <f>SUM(C216:BA216)/RDprograms[[#This Row],[Years with &gt; $0 investment]]</f>
        <v>1</v>
      </c>
      <c r="BF216" s="806" t="s">
        <v>273</v>
      </c>
      <c r="BG216" s="807" t="s">
        <v>669</v>
      </c>
      <c r="BH216" s="847" t="s">
        <v>269</v>
      </c>
      <c r="BI216" s="809"/>
      <c r="BJ216" s="809"/>
      <c r="BK216" s="809"/>
      <c r="BL216" s="809"/>
      <c r="BM216" s="809"/>
      <c r="BN216" s="810"/>
      <c r="BO216" s="811" t="s">
        <v>251</v>
      </c>
      <c r="BP216" s="812" t="s">
        <v>716</v>
      </c>
      <c r="BQ216" s="812"/>
      <c r="BR216" s="812"/>
      <c r="BS216" s="812"/>
      <c r="BT216" s="812" t="s">
        <v>238</v>
      </c>
    </row>
    <row r="217" spans="1:72" ht="12.75" customHeight="1">
      <c r="A217" s="813" t="s">
        <v>658</v>
      </c>
      <c r="B217" s="820" t="s">
        <v>717</v>
      </c>
      <c r="C217" s="5">
        <v>0</v>
      </c>
      <c r="D217" s="5">
        <v>0</v>
      </c>
      <c r="E217" s="5">
        <v>0</v>
      </c>
      <c r="F217" s="5">
        <v>0</v>
      </c>
      <c r="G217" s="5">
        <v>0</v>
      </c>
      <c r="H217" s="5">
        <v>0</v>
      </c>
      <c r="I217" s="5">
        <v>0</v>
      </c>
      <c r="J217" s="5">
        <v>0</v>
      </c>
      <c r="K217" s="5">
        <v>0</v>
      </c>
      <c r="L217" s="5">
        <v>0</v>
      </c>
      <c r="M217" s="5">
        <v>0</v>
      </c>
      <c r="N217" s="5">
        <v>0</v>
      </c>
      <c r="O217" s="5">
        <v>0</v>
      </c>
      <c r="P217" s="5">
        <v>0</v>
      </c>
      <c r="Q217" s="5">
        <v>0</v>
      </c>
      <c r="R217" s="5">
        <v>0</v>
      </c>
      <c r="S217" s="5">
        <v>0</v>
      </c>
      <c r="T217" s="5">
        <v>0</v>
      </c>
      <c r="U217" s="5">
        <v>0</v>
      </c>
      <c r="V217" s="5">
        <v>0</v>
      </c>
      <c r="W217" s="5">
        <v>0</v>
      </c>
      <c r="X217" s="5">
        <v>0</v>
      </c>
      <c r="Y217" s="5">
        <v>0</v>
      </c>
      <c r="Z217" s="5">
        <v>0</v>
      </c>
      <c r="AA217" s="5">
        <v>0</v>
      </c>
      <c r="AB217" s="5">
        <v>0</v>
      </c>
      <c r="AC217" s="5">
        <v>0</v>
      </c>
      <c r="AD217" s="5">
        <v>0</v>
      </c>
      <c r="AE217" s="5">
        <v>0</v>
      </c>
      <c r="AF217" s="5">
        <v>0</v>
      </c>
      <c r="AG217" s="5">
        <v>0</v>
      </c>
      <c r="AH217" s="5">
        <v>0</v>
      </c>
      <c r="AI217" s="5">
        <v>9.6999999999999993</v>
      </c>
      <c r="AJ217" s="5">
        <v>20.7</v>
      </c>
      <c r="AK217" s="5">
        <v>20.7</v>
      </c>
      <c r="AL217" s="5">
        <v>10.4</v>
      </c>
      <c r="AM217" s="5">
        <v>10.3</v>
      </c>
      <c r="AN217" s="5">
        <v>9.3320000000000007</v>
      </c>
      <c r="AO217" s="5">
        <v>0</v>
      </c>
      <c r="AP217" s="816">
        <v>0</v>
      </c>
      <c r="AQ217" s="816">
        <v>0</v>
      </c>
      <c r="AR217" s="5">
        <v>0</v>
      </c>
      <c r="AS217" s="5">
        <v>0</v>
      </c>
      <c r="AT217" s="5">
        <v>0</v>
      </c>
      <c r="AU217" s="5">
        <v>0</v>
      </c>
      <c r="AV217" s="5">
        <v>0</v>
      </c>
      <c r="AW217" s="815">
        <v>0</v>
      </c>
      <c r="AX217" s="816">
        <v>0</v>
      </c>
      <c r="AY217" s="819">
        <v>0</v>
      </c>
      <c r="AZ217" s="816"/>
      <c r="BA217" s="818"/>
      <c r="BB217" s="802" t="str" cm="1">
        <f t="array" ref="BB217">INDEX(C$4:BA$4,MATCH(TRUE,INDEX(C217:BA217&lt;&gt;0,),0))</f>
        <v>2010-11</v>
      </c>
      <c r="BC217" s="803" t="str" cm="1">
        <f t="array" ref="BC217">LOOKUP(2,1/(C217:BA217&lt;&gt;0),$C$4:$BA$4)</f>
        <v>2015-16</v>
      </c>
      <c r="BD217" s="804">
        <f>COUNTIF(RDprograms[[#This Row],[1978-79]:[2028-29]], "&gt;0")</f>
        <v>6</v>
      </c>
      <c r="BE217" s="805">
        <f>SUM(C217:BA217)/RDprograms[[#This Row],[Years with &gt; $0 investment]]</f>
        <v>13.522</v>
      </c>
      <c r="BF217" s="806" t="s">
        <v>233</v>
      </c>
      <c r="BG217" s="807" t="s">
        <v>397</v>
      </c>
      <c r="BH217" s="847" t="s">
        <v>269</v>
      </c>
      <c r="BI217" s="809"/>
      <c r="BJ217" s="809"/>
      <c r="BK217" s="809"/>
      <c r="BL217" s="809"/>
      <c r="BM217" s="809"/>
      <c r="BN217" s="810"/>
      <c r="BO217" s="811" t="s">
        <v>236</v>
      </c>
      <c r="BP217" s="812" t="s">
        <v>718</v>
      </c>
      <c r="BQ217" s="812" t="s">
        <v>719</v>
      </c>
      <c r="BR217" s="812"/>
      <c r="BS217" s="812"/>
      <c r="BT217" s="812" t="s">
        <v>238</v>
      </c>
    </row>
    <row r="218" spans="1:72" ht="12.75" customHeight="1">
      <c r="A218" s="813" t="s">
        <v>658</v>
      </c>
      <c r="B218" s="820" t="s">
        <v>720</v>
      </c>
      <c r="C218" s="5">
        <v>0</v>
      </c>
      <c r="D218" s="5">
        <v>0</v>
      </c>
      <c r="E218" s="5">
        <v>0</v>
      </c>
      <c r="F218" s="5">
        <v>0</v>
      </c>
      <c r="G218" s="5">
        <v>0</v>
      </c>
      <c r="H218" s="5">
        <v>0</v>
      </c>
      <c r="I218" s="5">
        <v>0</v>
      </c>
      <c r="J218" s="5">
        <v>0</v>
      </c>
      <c r="K218" s="5">
        <v>0</v>
      </c>
      <c r="L218" s="5">
        <v>0</v>
      </c>
      <c r="M218" s="5">
        <v>0</v>
      </c>
      <c r="N218" s="5">
        <v>0</v>
      </c>
      <c r="O218" s="5">
        <v>0</v>
      </c>
      <c r="P218" s="5">
        <v>0</v>
      </c>
      <c r="Q218" s="5">
        <v>0</v>
      </c>
      <c r="R218" s="5">
        <v>0</v>
      </c>
      <c r="S218" s="5">
        <v>0</v>
      </c>
      <c r="T218" s="5">
        <v>0</v>
      </c>
      <c r="U218" s="5">
        <v>0</v>
      </c>
      <c r="V218" s="5">
        <v>0</v>
      </c>
      <c r="W218" s="5">
        <v>0</v>
      </c>
      <c r="X218" s="5">
        <v>0</v>
      </c>
      <c r="Y218" s="5">
        <v>0</v>
      </c>
      <c r="Z218" s="5">
        <v>0</v>
      </c>
      <c r="AA218" s="5">
        <v>0</v>
      </c>
      <c r="AB218" s="5">
        <v>0</v>
      </c>
      <c r="AC218" s="5">
        <v>0</v>
      </c>
      <c r="AD218" s="5">
        <v>0.4</v>
      </c>
      <c r="AE218" s="5">
        <v>5.5</v>
      </c>
      <c r="AF218" s="5">
        <v>5.5</v>
      </c>
      <c r="AG218" s="5">
        <v>5.5190000000000001</v>
      </c>
      <c r="AH218" s="5">
        <v>5.633</v>
      </c>
      <c r="AI218" s="5">
        <v>5.7370000000000001</v>
      </c>
      <c r="AJ218" s="5">
        <v>2.863</v>
      </c>
      <c r="AK218" s="5">
        <v>0</v>
      </c>
      <c r="AL218" s="5">
        <v>0</v>
      </c>
      <c r="AM218" s="5">
        <v>0</v>
      </c>
      <c r="AN218" s="5">
        <v>0</v>
      </c>
      <c r="AO218" s="5">
        <v>0</v>
      </c>
      <c r="AP218" s="5">
        <v>0</v>
      </c>
      <c r="AQ218" s="5">
        <v>0</v>
      </c>
      <c r="AR218" s="5">
        <v>0</v>
      </c>
      <c r="AS218" s="5">
        <v>0</v>
      </c>
      <c r="AT218" s="5">
        <v>0</v>
      </c>
      <c r="AU218" s="5">
        <v>0</v>
      </c>
      <c r="AV218" s="5">
        <v>0</v>
      </c>
      <c r="AW218" s="815">
        <v>0</v>
      </c>
      <c r="AX218" s="816">
        <v>0</v>
      </c>
      <c r="AY218" s="819">
        <v>0</v>
      </c>
      <c r="AZ218" s="816"/>
      <c r="BA218" s="818"/>
      <c r="BB218" s="802" t="str" cm="1">
        <f t="array" ref="BB218">INDEX(C$4:BA$4,MATCH(TRUE,INDEX(C218:BA218&lt;&gt;0,),0))</f>
        <v>2005-06</v>
      </c>
      <c r="BC218" s="803" t="str" cm="1">
        <f t="array" ref="BC218">LOOKUP(2,1/(C218:BA218&lt;&gt;0),$C$4:$BA$4)</f>
        <v>2011-12</v>
      </c>
      <c r="BD218" s="804">
        <f>COUNTIF(RDprograms[[#This Row],[1978-79]:[2028-29]], "&gt;0")</f>
        <v>7</v>
      </c>
      <c r="BE218" s="805">
        <f>SUM(C218:BA218)/RDprograms[[#This Row],[Years with &gt; $0 investment]]</f>
        <v>4.4502857142857142</v>
      </c>
      <c r="BF218" s="806" t="s">
        <v>246</v>
      </c>
      <c r="BG218" s="807" t="s">
        <v>669</v>
      </c>
      <c r="BH218" s="847" t="s">
        <v>688</v>
      </c>
      <c r="BI218" s="809"/>
      <c r="BJ218" s="809"/>
      <c r="BK218" s="809"/>
      <c r="BL218" s="809"/>
      <c r="BM218" s="809"/>
      <c r="BN218" s="810"/>
      <c r="BO218" s="811" t="s">
        <v>251</v>
      </c>
      <c r="BP218" s="812"/>
      <c r="BQ218" s="812"/>
      <c r="BR218" s="812"/>
      <c r="BS218" s="812"/>
      <c r="BT218" s="812" t="s">
        <v>238</v>
      </c>
    </row>
    <row r="219" spans="1:72" ht="12.75" customHeight="1">
      <c r="A219" s="813" t="s">
        <v>658</v>
      </c>
      <c r="B219" s="820" t="s">
        <v>721</v>
      </c>
      <c r="C219" s="5">
        <v>0</v>
      </c>
      <c r="D219" s="5">
        <v>0</v>
      </c>
      <c r="E219" s="5">
        <v>0</v>
      </c>
      <c r="F219" s="5">
        <v>0</v>
      </c>
      <c r="G219" s="5">
        <v>0</v>
      </c>
      <c r="H219" s="5">
        <v>0</v>
      </c>
      <c r="I219" s="5">
        <v>0</v>
      </c>
      <c r="J219" s="5">
        <v>0</v>
      </c>
      <c r="K219" s="5">
        <v>0</v>
      </c>
      <c r="L219" s="5">
        <v>0</v>
      </c>
      <c r="M219" s="5">
        <v>0</v>
      </c>
      <c r="N219" s="5">
        <v>0</v>
      </c>
      <c r="O219" s="5">
        <v>0</v>
      </c>
      <c r="P219" s="5">
        <v>0</v>
      </c>
      <c r="Q219" s="5">
        <v>0</v>
      </c>
      <c r="R219" s="5">
        <v>0</v>
      </c>
      <c r="S219" s="5">
        <v>0</v>
      </c>
      <c r="T219" s="5">
        <v>0</v>
      </c>
      <c r="U219" s="5">
        <v>0</v>
      </c>
      <c r="V219" s="5">
        <v>0</v>
      </c>
      <c r="W219" s="5">
        <v>0</v>
      </c>
      <c r="X219" s="5">
        <v>3</v>
      </c>
      <c r="Y219" s="5">
        <v>8</v>
      </c>
      <c r="Z219" s="5">
        <v>3.5</v>
      </c>
      <c r="AA219" s="5">
        <v>8</v>
      </c>
      <c r="AB219" s="5">
        <v>0</v>
      </c>
      <c r="AC219" s="5">
        <v>0</v>
      </c>
      <c r="AD219" s="5">
        <v>0</v>
      </c>
      <c r="AE219" s="5">
        <v>0</v>
      </c>
      <c r="AF219" s="5">
        <v>0</v>
      </c>
      <c r="AG219" s="5">
        <v>0</v>
      </c>
      <c r="AH219" s="5">
        <v>0</v>
      </c>
      <c r="AI219" s="5">
        <v>0</v>
      </c>
      <c r="AJ219" s="5">
        <v>0</v>
      </c>
      <c r="AK219" s="5">
        <v>0</v>
      </c>
      <c r="AL219" s="5">
        <v>0</v>
      </c>
      <c r="AM219" s="5">
        <v>0</v>
      </c>
      <c r="AN219" s="5">
        <v>0</v>
      </c>
      <c r="AO219" s="5">
        <v>0</v>
      </c>
      <c r="AP219" s="5">
        <v>0</v>
      </c>
      <c r="AQ219" s="5">
        <v>0</v>
      </c>
      <c r="AR219" s="5">
        <v>0</v>
      </c>
      <c r="AS219" s="5">
        <v>0</v>
      </c>
      <c r="AT219" s="5">
        <v>0</v>
      </c>
      <c r="AU219" s="5">
        <v>0</v>
      </c>
      <c r="AV219" s="5">
        <v>0</v>
      </c>
      <c r="AW219" s="815">
        <v>0</v>
      </c>
      <c r="AX219" s="816">
        <v>0</v>
      </c>
      <c r="AY219" s="819">
        <v>0</v>
      </c>
      <c r="AZ219" s="816"/>
      <c r="BA219" s="818"/>
      <c r="BB219" s="802" t="str" cm="1">
        <f t="array" ref="BB219">INDEX(C$4:BA$4,MATCH(TRUE,INDEX(C219:BA219&lt;&gt;0,),0))</f>
        <v>1999-00</v>
      </c>
      <c r="BC219" s="803" t="str" cm="1">
        <f t="array" ref="BC219">LOOKUP(2,1/(C219:BA219&lt;&gt;0),$C$4:$BA$4)</f>
        <v>2002-03</v>
      </c>
      <c r="BD219" s="804">
        <f>COUNTIF(RDprograms[[#This Row],[1978-79]:[2028-29]], "&gt;0")</f>
        <v>4</v>
      </c>
      <c r="BE219" s="805">
        <f>SUM(C219:BA219)/RDprograms[[#This Row],[Years with &gt; $0 investment]]</f>
        <v>5.625</v>
      </c>
      <c r="BF219" s="806" t="s">
        <v>273</v>
      </c>
      <c r="BG219" s="807" t="s">
        <v>389</v>
      </c>
      <c r="BH219" s="847" t="s">
        <v>264</v>
      </c>
      <c r="BI219" s="809"/>
      <c r="BJ219" s="809"/>
      <c r="BK219" s="809"/>
      <c r="BL219" s="809"/>
      <c r="BM219" s="809"/>
      <c r="BN219" s="810"/>
      <c r="BO219" s="811" t="s">
        <v>251</v>
      </c>
      <c r="BP219" s="812"/>
      <c r="BQ219" s="812"/>
      <c r="BR219" s="812"/>
      <c r="BS219" s="812" t="s">
        <v>722</v>
      </c>
      <c r="BT219" s="812" t="s">
        <v>238</v>
      </c>
    </row>
    <row r="220" spans="1:72" ht="12.75" customHeight="1">
      <c r="A220" s="813" t="s">
        <v>658</v>
      </c>
      <c r="B220" s="820" t="s">
        <v>723</v>
      </c>
      <c r="C220" s="5">
        <v>0</v>
      </c>
      <c r="D220" s="5">
        <v>0</v>
      </c>
      <c r="E220" s="5">
        <v>0</v>
      </c>
      <c r="F220" s="5">
        <v>0</v>
      </c>
      <c r="G220" s="5">
        <v>0</v>
      </c>
      <c r="H220" s="5">
        <v>0</v>
      </c>
      <c r="I220" s="5">
        <v>0</v>
      </c>
      <c r="J220" s="5">
        <v>0</v>
      </c>
      <c r="K220" s="5">
        <v>0</v>
      </c>
      <c r="L220" s="5">
        <v>0</v>
      </c>
      <c r="M220" s="5">
        <v>0</v>
      </c>
      <c r="N220" s="5">
        <v>0</v>
      </c>
      <c r="O220" s="5">
        <v>0</v>
      </c>
      <c r="P220" s="5">
        <v>0</v>
      </c>
      <c r="Q220" s="5">
        <v>0</v>
      </c>
      <c r="R220" s="5">
        <v>0</v>
      </c>
      <c r="S220" s="5">
        <v>0</v>
      </c>
      <c r="T220" s="5">
        <v>0</v>
      </c>
      <c r="U220" s="5">
        <v>0</v>
      </c>
      <c r="V220" s="5">
        <v>0</v>
      </c>
      <c r="W220" s="5">
        <v>0</v>
      </c>
      <c r="X220" s="5">
        <v>0</v>
      </c>
      <c r="Y220" s="5">
        <v>0</v>
      </c>
      <c r="Z220" s="5">
        <v>0</v>
      </c>
      <c r="AA220" s="5">
        <v>0</v>
      </c>
      <c r="AB220" s="5">
        <v>0</v>
      </c>
      <c r="AC220" s="5">
        <v>0</v>
      </c>
      <c r="AD220" s="5">
        <v>0</v>
      </c>
      <c r="AE220" s="5">
        <v>0</v>
      </c>
      <c r="AF220" s="5">
        <v>0</v>
      </c>
      <c r="AG220" s="5">
        <v>0</v>
      </c>
      <c r="AH220" s="5">
        <v>0</v>
      </c>
      <c r="AI220" s="5">
        <v>3.3</v>
      </c>
      <c r="AJ220" s="5">
        <v>2.7</v>
      </c>
      <c r="AK220" s="5">
        <v>1.6</v>
      </c>
      <c r="AL220" s="5">
        <v>2.7</v>
      </c>
      <c r="AM220" s="5">
        <v>0.5</v>
      </c>
      <c r="AN220" s="5">
        <v>0.45500000000000002</v>
      </c>
      <c r="AO220" s="5">
        <v>0.5</v>
      </c>
      <c r="AP220" s="816">
        <v>0.5</v>
      </c>
      <c r="AQ220" s="816">
        <v>0</v>
      </c>
      <c r="AR220" s="5">
        <v>0</v>
      </c>
      <c r="AS220" s="5">
        <v>0</v>
      </c>
      <c r="AT220" s="5">
        <v>0</v>
      </c>
      <c r="AU220" s="5">
        <v>0</v>
      </c>
      <c r="AV220" s="5">
        <v>0</v>
      </c>
      <c r="AW220" s="815">
        <v>0</v>
      </c>
      <c r="AX220" s="816">
        <v>0</v>
      </c>
      <c r="AY220" s="819">
        <v>0</v>
      </c>
      <c r="AZ220" s="816"/>
      <c r="BA220" s="818"/>
      <c r="BB220" s="802" t="str" cm="1">
        <f t="array" ref="BB220">INDEX(C$4:BA$4,MATCH(TRUE,INDEX(C220:BA220&lt;&gt;0,),0))</f>
        <v>2010-11</v>
      </c>
      <c r="BC220" s="803" t="str" cm="1">
        <f t="array" ref="BC220">LOOKUP(2,1/(C220:BA220&lt;&gt;0),$C$4:$BA$4)</f>
        <v>2017-18</v>
      </c>
      <c r="BD220" s="804">
        <f>COUNTIF(RDprograms[[#This Row],[1978-79]:[2028-29]], "&gt;0")</f>
        <v>8</v>
      </c>
      <c r="BE220" s="805">
        <f>SUM(C220:BA220)/RDprograms[[#This Row],[Years with &gt; $0 investment]]</f>
        <v>1.5318750000000001</v>
      </c>
      <c r="BF220" s="806" t="s">
        <v>273</v>
      </c>
      <c r="BG220" s="807" t="s">
        <v>362</v>
      </c>
      <c r="BH220" s="847" t="s">
        <v>269</v>
      </c>
      <c r="BI220" s="809"/>
      <c r="BJ220" s="809"/>
      <c r="BK220" s="809"/>
      <c r="BL220" s="809"/>
      <c r="BM220" s="809"/>
      <c r="BN220" s="810"/>
      <c r="BO220" s="811" t="s">
        <v>236</v>
      </c>
      <c r="BP220" s="812" t="s">
        <v>724</v>
      </c>
      <c r="BQ220" s="812" t="s">
        <v>725</v>
      </c>
      <c r="BR220" s="812" t="s">
        <v>682</v>
      </c>
      <c r="BS220" s="812"/>
      <c r="BT220" s="812" t="s">
        <v>238</v>
      </c>
    </row>
    <row r="221" spans="1:72" ht="12.75" customHeight="1">
      <c r="A221" s="813" t="s">
        <v>658</v>
      </c>
      <c r="B221" s="820" t="s">
        <v>726</v>
      </c>
      <c r="C221" s="5">
        <v>0</v>
      </c>
      <c r="D221" s="5">
        <v>0</v>
      </c>
      <c r="E221" s="5">
        <v>0</v>
      </c>
      <c r="F221" s="5">
        <v>0</v>
      </c>
      <c r="G221" s="5">
        <v>0</v>
      </c>
      <c r="H221" s="5">
        <v>0</v>
      </c>
      <c r="I221" s="5">
        <v>0</v>
      </c>
      <c r="J221" s="5">
        <v>0</v>
      </c>
      <c r="K221" s="5">
        <v>0</v>
      </c>
      <c r="L221" s="5">
        <v>0</v>
      </c>
      <c r="M221" s="5">
        <v>0</v>
      </c>
      <c r="N221" s="5">
        <v>0</v>
      </c>
      <c r="O221" s="5">
        <v>0</v>
      </c>
      <c r="P221" s="5">
        <v>0</v>
      </c>
      <c r="Q221" s="5">
        <v>0</v>
      </c>
      <c r="R221" s="5">
        <v>0</v>
      </c>
      <c r="S221" s="5">
        <v>0</v>
      </c>
      <c r="T221" s="5">
        <v>0</v>
      </c>
      <c r="U221" s="5">
        <v>0</v>
      </c>
      <c r="V221" s="5">
        <v>0</v>
      </c>
      <c r="W221" s="5">
        <v>0</v>
      </c>
      <c r="X221" s="5">
        <v>0</v>
      </c>
      <c r="Y221" s="5">
        <v>0</v>
      </c>
      <c r="Z221" s="5">
        <v>0</v>
      </c>
      <c r="AA221" s="5">
        <v>0</v>
      </c>
      <c r="AB221" s="5">
        <v>0</v>
      </c>
      <c r="AC221" s="5">
        <v>0</v>
      </c>
      <c r="AD221" s="5">
        <v>0</v>
      </c>
      <c r="AE221" s="5">
        <v>0</v>
      </c>
      <c r="AF221" s="5">
        <v>0</v>
      </c>
      <c r="AG221" s="5">
        <v>0</v>
      </c>
      <c r="AH221" s="5">
        <v>0</v>
      </c>
      <c r="AI221" s="5">
        <v>0</v>
      </c>
      <c r="AJ221" s="5">
        <v>0</v>
      </c>
      <c r="AK221" s="5">
        <v>0</v>
      </c>
      <c r="AL221" s="5">
        <v>0</v>
      </c>
      <c r="AM221" s="5">
        <v>0</v>
      </c>
      <c r="AN221" s="5">
        <v>6.9000000000000006E-2</v>
      </c>
      <c r="AO221" s="5">
        <v>7.0000000000000007E-2</v>
      </c>
      <c r="AP221" s="5">
        <v>6.7000000000000004E-2</v>
      </c>
      <c r="AQ221" s="5">
        <v>6.7000000000000004E-2</v>
      </c>
      <c r="AR221" s="5">
        <v>0</v>
      </c>
      <c r="AS221" s="5">
        <v>0</v>
      </c>
      <c r="AT221" s="5">
        <v>0</v>
      </c>
      <c r="AU221" s="5">
        <v>0</v>
      </c>
      <c r="AV221" s="5">
        <v>0</v>
      </c>
      <c r="AW221" s="815">
        <v>0</v>
      </c>
      <c r="AX221" s="816">
        <v>0</v>
      </c>
      <c r="AY221" s="819">
        <v>0</v>
      </c>
      <c r="AZ221" s="816"/>
      <c r="BA221" s="818"/>
      <c r="BB221" s="802" t="str" cm="1">
        <f t="array" ref="BB221">INDEX(C$4:BA$4,MATCH(TRUE,INDEX(C221:BA221&lt;&gt;0,),0))</f>
        <v>2015-16</v>
      </c>
      <c r="BC221" s="803" t="str" cm="1">
        <f t="array" ref="BC221">LOOKUP(2,1/(C221:BA221&lt;&gt;0),$C$4:$BA$4)</f>
        <v>2018-19</v>
      </c>
      <c r="BD221" s="804">
        <f>COUNTIF(RDprograms[[#This Row],[1978-79]:[2028-29]], "&gt;0")</f>
        <v>4</v>
      </c>
      <c r="BE221" s="805">
        <f>SUM(C221:BA221)/RDprograms[[#This Row],[Years with &gt; $0 investment]]</f>
        <v>6.8250000000000005E-2</v>
      </c>
      <c r="BF221" s="806" t="s">
        <v>273</v>
      </c>
      <c r="BG221" s="807" t="s">
        <v>362</v>
      </c>
      <c r="BH221" s="847" t="s">
        <v>264</v>
      </c>
      <c r="BI221" s="809"/>
      <c r="BJ221" s="809"/>
      <c r="BK221" s="809"/>
      <c r="BL221" s="809"/>
      <c r="BM221" s="809"/>
      <c r="BN221" s="810"/>
      <c r="BO221" s="811" t="s">
        <v>236</v>
      </c>
      <c r="BP221" s="812" t="s">
        <v>727</v>
      </c>
      <c r="BQ221" s="812"/>
      <c r="BR221" s="812"/>
      <c r="BS221" s="812"/>
      <c r="BT221" s="812" t="s">
        <v>238</v>
      </c>
    </row>
    <row r="222" spans="1:72" ht="12.75" customHeight="1">
      <c r="A222" s="813" t="s">
        <v>658</v>
      </c>
      <c r="B222" s="820" t="s">
        <v>728</v>
      </c>
      <c r="C222" s="5">
        <v>1</v>
      </c>
      <c r="D222" s="5">
        <v>1</v>
      </c>
      <c r="E222" s="5">
        <v>1.2</v>
      </c>
      <c r="F222" s="5">
        <v>0.8</v>
      </c>
      <c r="G222" s="5">
        <v>0.2</v>
      </c>
      <c r="H222" s="5">
        <v>0</v>
      </c>
      <c r="I222" s="5">
        <v>0</v>
      </c>
      <c r="J222" s="5">
        <v>0</v>
      </c>
      <c r="K222" s="5">
        <v>0</v>
      </c>
      <c r="L222" s="5">
        <v>0</v>
      </c>
      <c r="M222" s="5">
        <v>0</v>
      </c>
      <c r="N222" s="5">
        <v>0</v>
      </c>
      <c r="O222" s="5">
        <v>0</v>
      </c>
      <c r="P222" s="5">
        <v>0</v>
      </c>
      <c r="Q222" s="5">
        <v>0</v>
      </c>
      <c r="R222" s="5">
        <v>0</v>
      </c>
      <c r="S222" s="5">
        <v>0</v>
      </c>
      <c r="T222" s="5">
        <v>0</v>
      </c>
      <c r="U222" s="5">
        <v>0</v>
      </c>
      <c r="V222" s="5">
        <v>0</v>
      </c>
      <c r="W222" s="5">
        <v>0</v>
      </c>
      <c r="X222" s="5">
        <v>0</v>
      </c>
      <c r="Y222" s="5">
        <v>0</v>
      </c>
      <c r="Z222" s="5">
        <v>0</v>
      </c>
      <c r="AA222" s="5">
        <v>0</v>
      </c>
      <c r="AB222" s="5">
        <v>0</v>
      </c>
      <c r="AC222" s="5">
        <v>0</v>
      </c>
      <c r="AD222" s="5">
        <v>0</v>
      </c>
      <c r="AE222" s="5">
        <v>0</v>
      </c>
      <c r="AF222" s="5">
        <v>0</v>
      </c>
      <c r="AG222" s="5">
        <v>0</v>
      </c>
      <c r="AH222" s="5">
        <v>0</v>
      </c>
      <c r="AI222" s="5">
        <v>0</v>
      </c>
      <c r="AJ222" s="5">
        <v>0</v>
      </c>
      <c r="AK222" s="5">
        <v>0</v>
      </c>
      <c r="AL222" s="5">
        <v>0</v>
      </c>
      <c r="AM222" s="5">
        <v>0</v>
      </c>
      <c r="AN222" s="5">
        <v>0</v>
      </c>
      <c r="AO222" s="5">
        <v>0</v>
      </c>
      <c r="AP222" s="816">
        <v>0</v>
      </c>
      <c r="AQ222" s="816">
        <v>0</v>
      </c>
      <c r="AR222" s="5">
        <v>0</v>
      </c>
      <c r="AS222" s="5">
        <v>0</v>
      </c>
      <c r="AT222" s="5">
        <v>0</v>
      </c>
      <c r="AU222" s="5">
        <v>0</v>
      </c>
      <c r="AV222" s="5">
        <v>0</v>
      </c>
      <c r="AW222" s="815">
        <v>0</v>
      </c>
      <c r="AX222" s="816">
        <v>0</v>
      </c>
      <c r="AY222" s="819">
        <v>0</v>
      </c>
      <c r="AZ222" s="816"/>
      <c r="BA222" s="818"/>
      <c r="BB222" s="802" t="str" cm="1">
        <f t="array" ref="BB222">INDEX(C$4:BA$4,MATCH(TRUE,INDEX(C222:BA222&lt;&gt;0,),0))</f>
        <v>1978-79</v>
      </c>
      <c r="BC222" s="803" t="str" cm="1">
        <f t="array" ref="BC222">LOOKUP(2,1/(C222:BA222&lt;&gt;0),$C$4:$BA$4)</f>
        <v>1982-83</v>
      </c>
      <c r="BD222" s="804">
        <f>COUNTIF(RDprograms[[#This Row],[1978-79]:[2028-29]], "&gt;0")</f>
        <v>5</v>
      </c>
      <c r="BE222" s="805">
        <f>SUM(C222:BA222)/RDprograms[[#This Row],[Years with &gt; $0 investment]]</f>
        <v>0.84000000000000008</v>
      </c>
      <c r="BF222" s="806" t="s">
        <v>233</v>
      </c>
      <c r="BG222" s="807" t="s">
        <v>701</v>
      </c>
      <c r="BH222" s="847" t="s">
        <v>670</v>
      </c>
      <c r="BI222" s="809"/>
      <c r="BJ222" s="809"/>
      <c r="BK222" s="809"/>
      <c r="BL222" s="809"/>
      <c r="BM222" s="809"/>
      <c r="BN222" s="810"/>
      <c r="BO222" s="811" t="s">
        <v>236</v>
      </c>
      <c r="BP222" s="812"/>
      <c r="BQ222" s="812"/>
      <c r="BR222" s="812"/>
      <c r="BS222" s="812"/>
      <c r="BT222" s="812" t="s">
        <v>238</v>
      </c>
    </row>
    <row r="223" spans="1:72" ht="12.75" customHeight="1">
      <c r="A223" s="813" t="s">
        <v>658</v>
      </c>
      <c r="B223" s="820" t="s">
        <v>729</v>
      </c>
      <c r="C223" s="5">
        <v>0</v>
      </c>
      <c r="D223" s="5">
        <v>0</v>
      </c>
      <c r="E223" s="5">
        <v>0</v>
      </c>
      <c r="F223" s="5">
        <v>0</v>
      </c>
      <c r="G223" s="5">
        <v>0</v>
      </c>
      <c r="H223" s="5">
        <v>0</v>
      </c>
      <c r="I223" s="5">
        <v>0</v>
      </c>
      <c r="J223" s="5">
        <v>0</v>
      </c>
      <c r="K223" s="5">
        <v>0</v>
      </c>
      <c r="L223" s="5">
        <v>0</v>
      </c>
      <c r="M223" s="5">
        <v>0</v>
      </c>
      <c r="N223" s="5">
        <v>0</v>
      </c>
      <c r="O223" s="5">
        <v>0</v>
      </c>
      <c r="P223" s="5">
        <v>0</v>
      </c>
      <c r="Q223" s="5">
        <v>0</v>
      </c>
      <c r="R223" s="5">
        <v>0</v>
      </c>
      <c r="S223" s="5">
        <v>0</v>
      </c>
      <c r="T223" s="5">
        <v>0</v>
      </c>
      <c r="U223" s="5">
        <v>0</v>
      </c>
      <c r="V223" s="5">
        <v>0</v>
      </c>
      <c r="W223" s="5">
        <v>0</v>
      </c>
      <c r="X223" s="5">
        <v>0</v>
      </c>
      <c r="Y223" s="5">
        <v>0</v>
      </c>
      <c r="Z223" s="5">
        <v>0</v>
      </c>
      <c r="AA223" s="5">
        <v>0</v>
      </c>
      <c r="AB223" s="5">
        <v>0</v>
      </c>
      <c r="AC223" s="5">
        <v>0</v>
      </c>
      <c r="AD223" s="5">
        <v>0</v>
      </c>
      <c r="AE223" s="5">
        <v>0</v>
      </c>
      <c r="AF223" s="5">
        <v>0</v>
      </c>
      <c r="AG223" s="5">
        <v>0</v>
      </c>
      <c r="AH223" s="5">
        <v>0</v>
      </c>
      <c r="AI223" s="5">
        <v>0</v>
      </c>
      <c r="AJ223" s="5">
        <v>0</v>
      </c>
      <c r="AK223" s="5">
        <v>1.4830000000000001</v>
      </c>
      <c r="AL223" s="5">
        <v>2.9670000000000001</v>
      </c>
      <c r="AM223" s="5">
        <v>0</v>
      </c>
      <c r="AN223" s="5">
        <v>0</v>
      </c>
      <c r="AO223" s="5">
        <v>0</v>
      </c>
      <c r="AP223" s="816">
        <v>0</v>
      </c>
      <c r="AQ223" s="816">
        <v>0</v>
      </c>
      <c r="AR223" s="5">
        <v>0</v>
      </c>
      <c r="AS223" s="5">
        <v>0</v>
      </c>
      <c r="AT223" s="5">
        <v>0</v>
      </c>
      <c r="AU223" s="5">
        <v>0</v>
      </c>
      <c r="AV223" s="5">
        <v>0</v>
      </c>
      <c r="AW223" s="815">
        <v>0</v>
      </c>
      <c r="AX223" s="816">
        <v>0</v>
      </c>
      <c r="AY223" s="819">
        <v>0</v>
      </c>
      <c r="AZ223" s="816"/>
      <c r="BA223" s="818"/>
      <c r="BB223" s="802" t="str" cm="1">
        <f t="array" ref="BB223">INDEX(C$4:BA$4,MATCH(TRUE,INDEX(C223:BA223&lt;&gt;0,),0))</f>
        <v>2012-13</v>
      </c>
      <c r="BC223" s="803" t="str" cm="1">
        <f t="array" ref="BC223">LOOKUP(2,1/(C223:BA223&lt;&gt;0),$C$4:$BA$4)</f>
        <v>2013-14</v>
      </c>
      <c r="BD223" s="804">
        <f>COUNTIF(RDprograms[[#This Row],[1978-79]:[2028-29]], "&gt;0")</f>
        <v>2</v>
      </c>
      <c r="BE223" s="805">
        <f>SUM(C223:BA223)/RDprograms[[#This Row],[Years with &gt; $0 investment]]</f>
        <v>2.2250000000000001</v>
      </c>
      <c r="BF223" s="806" t="s">
        <v>273</v>
      </c>
      <c r="BG223" s="807" t="s">
        <v>397</v>
      </c>
      <c r="BH223" s="847" t="s">
        <v>269</v>
      </c>
      <c r="BI223" s="809"/>
      <c r="BJ223" s="809"/>
      <c r="BK223" s="809"/>
      <c r="BL223" s="809"/>
      <c r="BM223" s="809"/>
      <c r="BN223" s="810"/>
      <c r="BO223" s="811" t="s">
        <v>251</v>
      </c>
      <c r="BP223" s="843"/>
      <c r="BQ223" s="812"/>
      <c r="BR223" s="812"/>
      <c r="BS223" s="812" t="s">
        <v>672</v>
      </c>
      <c r="BT223" s="812" t="s">
        <v>238</v>
      </c>
    </row>
    <row r="224" spans="1:72" ht="12.75" customHeight="1">
      <c r="A224" s="813" t="s">
        <v>658</v>
      </c>
      <c r="B224" s="820" t="s">
        <v>730</v>
      </c>
      <c r="C224" s="5">
        <v>0</v>
      </c>
      <c r="D224" s="5">
        <v>0</v>
      </c>
      <c r="E224" s="5">
        <v>0</v>
      </c>
      <c r="F224" s="5">
        <v>0</v>
      </c>
      <c r="G224" s="5">
        <v>0</v>
      </c>
      <c r="H224" s="5">
        <v>0</v>
      </c>
      <c r="I224" s="5">
        <v>0</v>
      </c>
      <c r="J224" s="5">
        <v>0</v>
      </c>
      <c r="K224" s="5">
        <v>0</v>
      </c>
      <c r="L224" s="5">
        <v>0</v>
      </c>
      <c r="M224" s="5">
        <v>0</v>
      </c>
      <c r="N224" s="5">
        <v>0</v>
      </c>
      <c r="O224" s="5">
        <v>0</v>
      </c>
      <c r="P224" s="5">
        <v>0</v>
      </c>
      <c r="Q224" s="5">
        <v>0</v>
      </c>
      <c r="R224" s="5">
        <v>0</v>
      </c>
      <c r="S224" s="5">
        <v>0</v>
      </c>
      <c r="T224" s="5">
        <v>0</v>
      </c>
      <c r="U224" s="5">
        <v>0</v>
      </c>
      <c r="V224" s="5">
        <v>0</v>
      </c>
      <c r="W224" s="5">
        <v>0</v>
      </c>
      <c r="X224" s="5">
        <v>0</v>
      </c>
      <c r="Y224" s="5">
        <v>0</v>
      </c>
      <c r="Z224" s="5">
        <v>0</v>
      </c>
      <c r="AA224" s="5">
        <v>0</v>
      </c>
      <c r="AB224" s="5">
        <v>0</v>
      </c>
      <c r="AC224" s="5">
        <v>0</v>
      </c>
      <c r="AD224" s="5">
        <v>0</v>
      </c>
      <c r="AE224" s="5">
        <v>0</v>
      </c>
      <c r="AF224" s="5">
        <v>0</v>
      </c>
      <c r="AG224" s="5">
        <v>0</v>
      </c>
      <c r="AH224" s="5">
        <v>0</v>
      </c>
      <c r="AI224" s="5">
        <v>0</v>
      </c>
      <c r="AJ224" s="5">
        <v>0</v>
      </c>
      <c r="AK224" s="5">
        <v>0</v>
      </c>
      <c r="AL224" s="5">
        <v>0</v>
      </c>
      <c r="AM224" s="5">
        <v>0</v>
      </c>
      <c r="AN224" s="5">
        <v>0</v>
      </c>
      <c r="AO224" s="5">
        <v>0</v>
      </c>
      <c r="AP224" s="5">
        <v>0</v>
      </c>
      <c r="AQ224" s="5">
        <v>0</v>
      </c>
      <c r="AR224" s="5">
        <v>0</v>
      </c>
      <c r="AS224" s="5">
        <v>0</v>
      </c>
      <c r="AT224" s="5">
        <v>0</v>
      </c>
      <c r="AU224" s="5">
        <v>20.309000000000001</v>
      </c>
      <c r="AV224" s="5">
        <v>19.780999999999999</v>
      </c>
      <c r="AW224" s="815">
        <v>0</v>
      </c>
      <c r="AX224" s="816">
        <v>0</v>
      </c>
      <c r="AY224" s="819">
        <v>0</v>
      </c>
      <c r="AZ224" s="816">
        <v>0</v>
      </c>
      <c r="BA224" s="818"/>
      <c r="BB224" s="802" t="str" cm="1">
        <f t="array" ref="BB224">INDEX(C$4:BA$4,MATCH(TRUE,INDEX(C224:BA224&lt;&gt;0,),0))</f>
        <v>2022-23</v>
      </c>
      <c r="BC224" s="803" t="str" cm="1">
        <f t="array" ref="BC224">LOOKUP(2,1/(C224:BA224&lt;&gt;0),$C$4:$BA$4)</f>
        <v>2023-24</v>
      </c>
      <c r="BD224" s="804">
        <f>COUNTIF(RDprograms[[#This Row],[1978-79]:[2028-29]], "&gt;0")</f>
        <v>2</v>
      </c>
      <c r="BE224" s="805">
        <f>SUM(C224:BA224)/RDprograms[[#This Row],[Years with &gt; $0 investment]]</f>
        <v>20.045000000000002</v>
      </c>
      <c r="BF224" s="806" t="s">
        <v>240</v>
      </c>
      <c r="BG224" s="807" t="s">
        <v>397</v>
      </c>
      <c r="BH224" s="847" t="s">
        <v>269</v>
      </c>
      <c r="BI224" s="809"/>
      <c r="BJ224" s="809"/>
      <c r="BK224" s="809"/>
      <c r="BL224" s="809"/>
      <c r="BM224" s="809"/>
      <c r="BN224" s="810"/>
      <c r="BO224" s="811" t="s">
        <v>251</v>
      </c>
      <c r="BP224" s="812" t="s">
        <v>731</v>
      </c>
      <c r="BQ224" s="812"/>
      <c r="BR224" s="812"/>
      <c r="BS224" s="812"/>
      <c r="BT224" s="812"/>
    </row>
    <row r="225" spans="1:72" ht="12.75" customHeight="1">
      <c r="A225" s="813" t="s">
        <v>658</v>
      </c>
      <c r="B225" s="820" t="s">
        <v>732</v>
      </c>
      <c r="C225" s="5">
        <v>213</v>
      </c>
      <c r="D225" s="5">
        <v>220</v>
      </c>
      <c r="E225" s="5">
        <v>250</v>
      </c>
      <c r="F225" s="5">
        <v>284</v>
      </c>
      <c r="G225" s="5">
        <v>310</v>
      </c>
      <c r="H225" s="5">
        <v>330</v>
      </c>
      <c r="I225" s="5">
        <v>418</v>
      </c>
      <c r="J225" s="5">
        <v>475</v>
      </c>
      <c r="K225" s="5">
        <v>534</v>
      </c>
      <c r="L225" s="5">
        <v>584</v>
      </c>
      <c r="M225" s="5">
        <v>656</v>
      </c>
      <c r="N225" s="5">
        <v>629</v>
      </c>
      <c r="O225" s="5">
        <v>622</v>
      </c>
      <c r="P225" s="5">
        <v>673</v>
      </c>
      <c r="Q225" s="5">
        <v>794</v>
      </c>
      <c r="R225" s="5">
        <v>858</v>
      </c>
      <c r="S225" s="5">
        <v>924</v>
      </c>
      <c r="T225" s="5">
        <v>323</v>
      </c>
      <c r="U225" s="5">
        <v>310</v>
      </c>
      <c r="V225" s="5">
        <v>403</v>
      </c>
      <c r="W225" s="5">
        <v>447.6</v>
      </c>
      <c r="X225" s="5">
        <v>475</v>
      </c>
      <c r="Y225" s="5">
        <v>429.80250000000001</v>
      </c>
      <c r="Z225" s="5">
        <v>431.06799999999998</v>
      </c>
      <c r="AA225" s="5">
        <v>434.25799999999998</v>
      </c>
      <c r="AB225" s="5">
        <v>434.72199999999998</v>
      </c>
      <c r="AC225" s="5">
        <v>0</v>
      </c>
      <c r="AD225" s="5">
        <v>0</v>
      </c>
      <c r="AE225" s="5">
        <v>0</v>
      </c>
      <c r="AF225" s="5">
        <v>0</v>
      </c>
      <c r="AG225" s="5">
        <v>0</v>
      </c>
      <c r="AH225" s="5">
        <v>0</v>
      </c>
      <c r="AI225" s="5">
        <v>0</v>
      </c>
      <c r="AJ225" s="5">
        <v>0</v>
      </c>
      <c r="AK225" s="5">
        <v>0</v>
      </c>
      <c r="AL225" s="5">
        <v>0</v>
      </c>
      <c r="AM225" s="5">
        <v>0</v>
      </c>
      <c r="AN225" s="5">
        <v>0</v>
      </c>
      <c r="AO225" s="5">
        <v>0</v>
      </c>
      <c r="AP225" s="816">
        <v>0</v>
      </c>
      <c r="AQ225" s="816">
        <v>0</v>
      </c>
      <c r="AR225" s="5">
        <v>0</v>
      </c>
      <c r="AS225" s="5">
        <v>0</v>
      </c>
      <c r="AT225" s="5">
        <v>0</v>
      </c>
      <c r="AU225" s="5">
        <v>0</v>
      </c>
      <c r="AV225" s="5">
        <v>0</v>
      </c>
      <c r="AW225" s="815">
        <v>0</v>
      </c>
      <c r="AX225" s="816">
        <v>0</v>
      </c>
      <c r="AY225" s="819">
        <v>0</v>
      </c>
      <c r="AZ225" s="816"/>
      <c r="BA225" s="818"/>
      <c r="BB225" s="802" t="str" cm="1">
        <f t="array" ref="BB225">INDEX(C$4:BA$4,MATCH(TRUE,INDEX(C225:BA225&lt;&gt;0,),0))</f>
        <v>1978-79</v>
      </c>
      <c r="BC225" s="803" t="str" cm="1">
        <f t="array" ref="BC225">LOOKUP(2,1/(C225:BA225&lt;&gt;0),$C$4:$BA$4)</f>
        <v>2003-04</v>
      </c>
      <c r="BD225" s="804">
        <f>COUNTIF(RDprograms[[#This Row],[1978-79]:[2028-29]], "&gt;0")</f>
        <v>26</v>
      </c>
      <c r="BE225" s="805">
        <f>SUM(C225:BA225)/RDprograms[[#This Row],[Years with &gt; $0 investment]]</f>
        <v>479.32501923076921</v>
      </c>
      <c r="BF225" s="806" t="s">
        <v>246</v>
      </c>
      <c r="BG225" s="807" t="s">
        <v>669</v>
      </c>
      <c r="BH225" s="847" t="s">
        <v>670</v>
      </c>
      <c r="BI225" s="809"/>
      <c r="BJ225" s="809"/>
      <c r="BK225" s="809"/>
      <c r="BL225" s="809"/>
      <c r="BM225" s="809"/>
      <c r="BN225" s="810"/>
      <c r="BO225" s="811" t="s">
        <v>251</v>
      </c>
      <c r="BP225" s="812"/>
      <c r="BQ225" s="812"/>
      <c r="BR225" s="812"/>
      <c r="BS225" s="812"/>
      <c r="BT225" s="812" t="s">
        <v>238</v>
      </c>
    </row>
    <row r="226" spans="1:72" ht="12.75" customHeight="1">
      <c r="A226" s="813" t="s">
        <v>658</v>
      </c>
      <c r="B226" s="820" t="s">
        <v>733</v>
      </c>
      <c r="C226" s="5">
        <v>0</v>
      </c>
      <c r="D226" s="5">
        <v>0</v>
      </c>
      <c r="E226" s="5">
        <v>0</v>
      </c>
      <c r="F226" s="5">
        <v>0</v>
      </c>
      <c r="G226" s="5">
        <v>0</v>
      </c>
      <c r="H226" s="5">
        <v>0</v>
      </c>
      <c r="I226" s="5">
        <v>0</v>
      </c>
      <c r="J226" s="5">
        <v>0</v>
      </c>
      <c r="K226" s="5">
        <v>0</v>
      </c>
      <c r="L226" s="5">
        <v>0</v>
      </c>
      <c r="M226" s="5">
        <v>0</v>
      </c>
      <c r="N226" s="5">
        <v>0</v>
      </c>
      <c r="O226" s="5">
        <v>0</v>
      </c>
      <c r="P226" s="5">
        <v>0</v>
      </c>
      <c r="Q226" s="5">
        <v>0</v>
      </c>
      <c r="R226" s="5">
        <v>0</v>
      </c>
      <c r="S226" s="5">
        <v>0</v>
      </c>
      <c r="T226" s="5">
        <v>0</v>
      </c>
      <c r="U226" s="5">
        <v>0</v>
      </c>
      <c r="V226" s="5">
        <v>0</v>
      </c>
      <c r="W226" s="5">
        <v>0</v>
      </c>
      <c r="X226" s="5">
        <v>0</v>
      </c>
      <c r="Y226" s="5">
        <v>0</v>
      </c>
      <c r="Z226" s="5">
        <v>0</v>
      </c>
      <c r="AA226" s="5">
        <v>0</v>
      </c>
      <c r="AB226" s="5">
        <v>0</v>
      </c>
      <c r="AC226" s="5">
        <v>0</v>
      </c>
      <c r="AD226" s="5">
        <v>0</v>
      </c>
      <c r="AE226" s="5">
        <v>0</v>
      </c>
      <c r="AF226" s="5">
        <v>0</v>
      </c>
      <c r="AG226" s="5">
        <v>0</v>
      </c>
      <c r="AH226" s="5">
        <v>24.6</v>
      </c>
      <c r="AI226" s="5">
        <v>19.399999999999999</v>
      </c>
      <c r="AJ226" s="5">
        <v>15.1</v>
      </c>
      <c r="AK226" s="5">
        <v>14.9</v>
      </c>
      <c r="AL226" s="5">
        <v>7.45</v>
      </c>
      <c r="AM226" s="5">
        <v>21.85</v>
      </c>
      <c r="AN226" s="5">
        <v>0</v>
      </c>
      <c r="AO226" s="5">
        <v>0</v>
      </c>
      <c r="AP226" s="5">
        <v>0</v>
      </c>
      <c r="AQ226" s="5">
        <v>0</v>
      </c>
      <c r="AR226" s="5">
        <v>0</v>
      </c>
      <c r="AS226" s="5">
        <v>0</v>
      </c>
      <c r="AT226" s="5">
        <v>0</v>
      </c>
      <c r="AU226" s="5">
        <v>0</v>
      </c>
      <c r="AV226" s="5">
        <v>0</v>
      </c>
      <c r="AW226" s="815">
        <v>0</v>
      </c>
      <c r="AX226" s="816">
        <v>0</v>
      </c>
      <c r="AY226" s="819">
        <v>0</v>
      </c>
      <c r="AZ226" s="816"/>
      <c r="BA226" s="818"/>
      <c r="BB226" s="802" t="str" cm="1">
        <f t="array" ref="BB226">INDEX(C$4:BA$4,MATCH(TRUE,INDEX(C226:BA226&lt;&gt;0,),0))</f>
        <v>2009-10</v>
      </c>
      <c r="BC226" s="803" t="str" cm="1">
        <f t="array" ref="BC226">LOOKUP(2,1/(C226:BA226&lt;&gt;0),$C$4:$BA$4)</f>
        <v>2014-15</v>
      </c>
      <c r="BD226" s="804">
        <f>COUNTIF(RDprograms[[#This Row],[1978-79]:[2028-29]], "&gt;0")</f>
        <v>6</v>
      </c>
      <c r="BE226" s="805">
        <f>SUM(C226:BA226)/RDprograms[[#This Row],[Years with &gt; $0 investment]]</f>
        <v>17.216666666666669</v>
      </c>
      <c r="BF226" s="806" t="s">
        <v>273</v>
      </c>
      <c r="BG226" s="807" t="s">
        <v>734</v>
      </c>
      <c r="BH226" s="847" t="s">
        <v>241</v>
      </c>
      <c r="BI226" s="809"/>
      <c r="BJ226" s="809"/>
      <c r="BK226" s="809"/>
      <c r="BL226" s="809"/>
      <c r="BM226" s="809"/>
      <c r="BN226" s="810"/>
      <c r="BO226" s="811" t="s">
        <v>251</v>
      </c>
      <c r="BP226" s="812"/>
      <c r="BQ226" s="812"/>
      <c r="BR226" s="812"/>
      <c r="BS226" s="812"/>
      <c r="BT226" s="812" t="s">
        <v>238</v>
      </c>
    </row>
    <row r="227" spans="1:72" ht="12.75" customHeight="1">
      <c r="A227" s="813" t="s">
        <v>658</v>
      </c>
      <c r="B227" s="820" t="s">
        <v>735</v>
      </c>
      <c r="C227" s="5">
        <v>0</v>
      </c>
      <c r="D227" s="5">
        <v>0</v>
      </c>
      <c r="E227" s="5">
        <v>0</v>
      </c>
      <c r="F227" s="5">
        <v>0</v>
      </c>
      <c r="G227" s="5">
        <v>0</v>
      </c>
      <c r="H227" s="5">
        <v>0</v>
      </c>
      <c r="I227" s="5">
        <v>0</v>
      </c>
      <c r="J227" s="5">
        <v>0</v>
      </c>
      <c r="K227" s="5">
        <v>0</v>
      </c>
      <c r="L227" s="5">
        <v>0</v>
      </c>
      <c r="M227" s="5">
        <v>0</v>
      </c>
      <c r="N227" s="5">
        <v>0</v>
      </c>
      <c r="O227" s="5">
        <v>0</v>
      </c>
      <c r="P227" s="5">
        <v>0</v>
      </c>
      <c r="Q227" s="5">
        <v>0</v>
      </c>
      <c r="R227" s="5">
        <v>0</v>
      </c>
      <c r="S227" s="5">
        <v>0</v>
      </c>
      <c r="T227" s="5">
        <v>0</v>
      </c>
      <c r="U227" s="5">
        <v>0</v>
      </c>
      <c r="V227" s="5">
        <v>0</v>
      </c>
      <c r="W227" s="5">
        <v>0</v>
      </c>
      <c r="X227" s="5">
        <v>0</v>
      </c>
      <c r="Y227" s="5">
        <v>0</v>
      </c>
      <c r="Z227" s="5">
        <v>0</v>
      </c>
      <c r="AA227" s="5">
        <v>0</v>
      </c>
      <c r="AB227" s="5">
        <v>0</v>
      </c>
      <c r="AC227" s="5">
        <v>0</v>
      </c>
      <c r="AD227" s="5">
        <v>0</v>
      </c>
      <c r="AE227" s="5">
        <v>0</v>
      </c>
      <c r="AF227" s="5">
        <v>0</v>
      </c>
      <c r="AG227" s="5">
        <v>0</v>
      </c>
      <c r="AH227" s="5">
        <v>0</v>
      </c>
      <c r="AI227" s="5">
        <v>0.85599999999999998</v>
      </c>
      <c r="AJ227" s="5">
        <v>4.335</v>
      </c>
      <c r="AK227" s="5">
        <v>15.61</v>
      </c>
      <c r="AL227" s="5">
        <v>8.3190000000000008</v>
      </c>
      <c r="AM227" s="5">
        <v>0</v>
      </c>
      <c r="AN227" s="5">
        <v>0</v>
      </c>
      <c r="AO227" s="5">
        <v>0</v>
      </c>
      <c r="AP227" s="1">
        <v>0</v>
      </c>
      <c r="AQ227" s="1">
        <v>0</v>
      </c>
      <c r="AR227" s="5">
        <v>0</v>
      </c>
      <c r="AS227" s="5">
        <v>0</v>
      </c>
      <c r="AT227" s="5">
        <v>0</v>
      </c>
      <c r="AU227" s="5">
        <v>0</v>
      </c>
      <c r="AV227" s="5">
        <v>0</v>
      </c>
      <c r="AW227" s="815">
        <v>0</v>
      </c>
      <c r="AX227" s="816">
        <v>0</v>
      </c>
      <c r="AY227" s="819">
        <v>0</v>
      </c>
      <c r="AZ227" s="816"/>
      <c r="BA227" s="818"/>
      <c r="BB227" s="802" t="str" cm="1">
        <f t="array" ref="BB227">INDEX(C$4:BA$4,MATCH(TRUE,INDEX(C227:BA227&lt;&gt;0,),0))</f>
        <v>2010-11</v>
      </c>
      <c r="BC227" s="803" t="str" cm="1">
        <f t="array" ref="BC227">LOOKUP(2,1/(C227:BA227&lt;&gt;0),$C$4:$BA$4)</f>
        <v>2013-14</v>
      </c>
      <c r="BD227" s="804">
        <f>COUNTIF(RDprograms[[#This Row],[1978-79]:[2028-29]], "&gt;0")</f>
        <v>4</v>
      </c>
      <c r="BE227" s="805">
        <f>SUM(C227:BA227)/RDprograms[[#This Row],[Years with &gt; $0 investment]]</f>
        <v>7.2799999999999994</v>
      </c>
      <c r="BF227" s="806" t="s">
        <v>273</v>
      </c>
      <c r="BG227" s="807" t="s">
        <v>389</v>
      </c>
      <c r="BH227" s="847" t="s">
        <v>241</v>
      </c>
      <c r="BI227" s="809"/>
      <c r="BJ227" s="809"/>
      <c r="BK227" s="809"/>
      <c r="BL227" s="809"/>
      <c r="BM227" s="809"/>
      <c r="BN227" s="810"/>
      <c r="BO227" s="811" t="s">
        <v>251</v>
      </c>
      <c r="BP227" s="843"/>
      <c r="BQ227" s="812"/>
      <c r="BR227" s="812"/>
      <c r="BS227" s="812"/>
      <c r="BT227" s="812" t="s">
        <v>238</v>
      </c>
    </row>
    <row r="228" spans="1:72" ht="12.75" customHeight="1">
      <c r="A228" s="813" t="s">
        <v>658</v>
      </c>
      <c r="B228" s="820" t="s">
        <v>736</v>
      </c>
      <c r="C228" s="5">
        <v>0</v>
      </c>
      <c r="D228" s="5">
        <v>0</v>
      </c>
      <c r="E228" s="5">
        <v>0</v>
      </c>
      <c r="F228" s="5">
        <v>0</v>
      </c>
      <c r="G228" s="5">
        <v>0</v>
      </c>
      <c r="H228" s="5">
        <v>0</v>
      </c>
      <c r="I228" s="5">
        <v>0</v>
      </c>
      <c r="J228" s="5">
        <v>0</v>
      </c>
      <c r="K228" s="5">
        <v>0</v>
      </c>
      <c r="L228" s="5">
        <v>0</v>
      </c>
      <c r="M228" s="5">
        <v>0</v>
      </c>
      <c r="N228" s="5">
        <v>0</v>
      </c>
      <c r="O228" s="5">
        <v>0</v>
      </c>
      <c r="P228" s="5">
        <v>0</v>
      </c>
      <c r="Q228" s="5">
        <v>0</v>
      </c>
      <c r="R228" s="5">
        <v>0</v>
      </c>
      <c r="S228" s="5">
        <v>0</v>
      </c>
      <c r="T228" s="5">
        <v>0</v>
      </c>
      <c r="U228" s="5">
        <v>0</v>
      </c>
      <c r="V228" s="5">
        <v>0</v>
      </c>
      <c r="W228" s="5">
        <v>0</v>
      </c>
      <c r="X228" s="5">
        <v>0</v>
      </c>
      <c r="Y228" s="5">
        <v>0</v>
      </c>
      <c r="Z228" s="5">
        <v>0</v>
      </c>
      <c r="AA228" s="5">
        <v>0</v>
      </c>
      <c r="AB228" s="5">
        <v>0</v>
      </c>
      <c r="AC228" s="5">
        <v>0</v>
      </c>
      <c r="AD228" s="5">
        <v>0</v>
      </c>
      <c r="AE228" s="5">
        <v>0</v>
      </c>
      <c r="AF228" s="5">
        <v>0</v>
      </c>
      <c r="AG228" s="5">
        <v>0</v>
      </c>
      <c r="AH228" s="5">
        <v>0</v>
      </c>
      <c r="AI228" s="5">
        <v>0</v>
      </c>
      <c r="AJ228" s="5">
        <v>0</v>
      </c>
      <c r="AK228" s="5">
        <v>0.16300000000000001</v>
      </c>
      <c r="AL228" s="5">
        <v>0.32600000000000001</v>
      </c>
      <c r="AM228" s="5">
        <v>0</v>
      </c>
      <c r="AN228" s="5">
        <v>0</v>
      </c>
      <c r="AO228" s="5">
        <v>0</v>
      </c>
      <c r="AP228" s="816">
        <v>0</v>
      </c>
      <c r="AQ228" s="816">
        <v>0</v>
      </c>
      <c r="AR228" s="5">
        <v>0</v>
      </c>
      <c r="AS228" s="5">
        <v>0</v>
      </c>
      <c r="AT228" s="5">
        <v>0</v>
      </c>
      <c r="AU228" s="5">
        <v>0</v>
      </c>
      <c r="AV228" s="5">
        <v>0</v>
      </c>
      <c r="AW228" s="815">
        <v>0</v>
      </c>
      <c r="AX228" s="816">
        <v>0</v>
      </c>
      <c r="AY228" s="819">
        <v>0</v>
      </c>
      <c r="AZ228" s="816"/>
      <c r="BA228" s="818"/>
      <c r="BB228" s="802" t="str" cm="1">
        <f t="array" ref="BB228">INDEX(C$4:BA$4,MATCH(TRUE,INDEX(C228:BA228&lt;&gt;0,),0))</f>
        <v>2012-13</v>
      </c>
      <c r="BC228" s="803" t="str" cm="1">
        <f t="array" ref="BC228">LOOKUP(2,1/(C228:BA228&lt;&gt;0),$C$4:$BA$4)</f>
        <v>2013-14</v>
      </c>
      <c r="BD228" s="804">
        <f>COUNTIF(RDprograms[[#This Row],[1978-79]:[2028-29]], "&gt;0")</f>
        <v>2</v>
      </c>
      <c r="BE228" s="805">
        <f>SUM(C228:BA228)/RDprograms[[#This Row],[Years with &gt; $0 investment]]</f>
        <v>0.2445</v>
      </c>
      <c r="BF228" s="806" t="s">
        <v>273</v>
      </c>
      <c r="BG228" s="807" t="s">
        <v>393</v>
      </c>
      <c r="BH228" s="847" t="s">
        <v>269</v>
      </c>
      <c r="BI228" s="809"/>
      <c r="BJ228" s="809"/>
      <c r="BK228" s="809"/>
      <c r="BL228" s="809"/>
      <c r="BM228" s="809"/>
      <c r="BN228" s="810"/>
      <c r="BO228" s="811" t="s">
        <v>251</v>
      </c>
      <c r="BP228" s="812"/>
      <c r="BQ228" s="812"/>
      <c r="BR228" s="812"/>
      <c r="BS228" s="812" t="s">
        <v>672</v>
      </c>
      <c r="BT228" s="812" t="s">
        <v>238</v>
      </c>
    </row>
    <row r="229" spans="1:72" ht="12.75" customHeight="1">
      <c r="A229" s="813" t="s">
        <v>658</v>
      </c>
      <c r="B229" s="820" t="s">
        <v>737</v>
      </c>
      <c r="C229" s="5">
        <v>0</v>
      </c>
      <c r="D229" s="5">
        <v>0</v>
      </c>
      <c r="E229" s="5">
        <v>0</v>
      </c>
      <c r="F229" s="5">
        <v>0</v>
      </c>
      <c r="G229" s="5">
        <v>0</v>
      </c>
      <c r="H229" s="5">
        <v>0</v>
      </c>
      <c r="I229" s="5">
        <v>0</v>
      </c>
      <c r="J229" s="5">
        <v>0</v>
      </c>
      <c r="K229" s="5">
        <v>0</v>
      </c>
      <c r="L229" s="5">
        <v>0</v>
      </c>
      <c r="M229" s="5">
        <v>0</v>
      </c>
      <c r="N229" s="5">
        <v>0</v>
      </c>
      <c r="O229" s="5">
        <v>0</v>
      </c>
      <c r="P229" s="5">
        <v>0</v>
      </c>
      <c r="Q229" s="5">
        <v>0</v>
      </c>
      <c r="R229" s="5">
        <v>0</v>
      </c>
      <c r="S229" s="5">
        <v>0</v>
      </c>
      <c r="T229" s="5">
        <v>0</v>
      </c>
      <c r="U229" s="5">
        <v>0</v>
      </c>
      <c r="V229" s="5">
        <v>0</v>
      </c>
      <c r="W229" s="5">
        <v>0</v>
      </c>
      <c r="X229" s="5">
        <v>0</v>
      </c>
      <c r="Y229" s="5">
        <v>0</v>
      </c>
      <c r="Z229" s="5">
        <v>0</v>
      </c>
      <c r="AA229" s="5">
        <v>0</v>
      </c>
      <c r="AB229" s="5">
        <v>0</v>
      </c>
      <c r="AC229" s="5">
        <v>0</v>
      </c>
      <c r="AD229" s="5">
        <v>0</v>
      </c>
      <c r="AE229" s="5">
        <v>0</v>
      </c>
      <c r="AF229" s="5">
        <v>0</v>
      </c>
      <c r="AG229" s="5">
        <v>0</v>
      </c>
      <c r="AH229" s="5">
        <v>0</v>
      </c>
      <c r="AI229" s="5">
        <v>0</v>
      </c>
      <c r="AJ229" s="5">
        <v>0</v>
      </c>
      <c r="AK229" s="5">
        <v>0.76</v>
      </c>
      <c r="AL229" s="5">
        <v>1.52</v>
      </c>
      <c r="AM229" s="5">
        <v>0</v>
      </c>
      <c r="AN229" s="5">
        <v>0</v>
      </c>
      <c r="AO229" s="5">
        <v>0</v>
      </c>
      <c r="AP229" s="5">
        <v>0</v>
      </c>
      <c r="AQ229" s="5">
        <v>0</v>
      </c>
      <c r="AR229" s="5">
        <v>0</v>
      </c>
      <c r="AS229" s="5">
        <v>0</v>
      </c>
      <c r="AT229" s="5">
        <v>0</v>
      </c>
      <c r="AU229" s="5">
        <v>0</v>
      </c>
      <c r="AV229" s="5">
        <v>0</v>
      </c>
      <c r="AW229" s="815">
        <v>0</v>
      </c>
      <c r="AX229" s="816">
        <v>0</v>
      </c>
      <c r="AY229" s="819">
        <v>0</v>
      </c>
      <c r="AZ229" s="816"/>
      <c r="BA229" s="818"/>
      <c r="BB229" s="802" t="str" cm="1">
        <f t="array" ref="BB229">INDEX(C$4:BA$4,MATCH(TRUE,INDEX(C229:BA229&lt;&gt;0,),0))</f>
        <v>2012-13</v>
      </c>
      <c r="BC229" s="803" t="str" cm="1">
        <f t="array" ref="BC229">LOOKUP(2,1/(C229:BA229&lt;&gt;0),$C$4:$BA$4)</f>
        <v>2013-14</v>
      </c>
      <c r="BD229" s="804">
        <f>COUNTIF(RDprograms[[#This Row],[1978-79]:[2028-29]], "&gt;0")</f>
        <v>2</v>
      </c>
      <c r="BE229" s="805">
        <f>SUM(C229:BA229)/RDprograms[[#This Row],[Years with &gt; $0 investment]]</f>
        <v>1.1400000000000001</v>
      </c>
      <c r="BF229" s="806" t="s">
        <v>273</v>
      </c>
      <c r="BG229" s="807" t="s">
        <v>397</v>
      </c>
      <c r="BH229" s="847" t="s">
        <v>269</v>
      </c>
      <c r="BI229" s="809"/>
      <c r="BJ229" s="809"/>
      <c r="BK229" s="809"/>
      <c r="BL229" s="809"/>
      <c r="BM229" s="809"/>
      <c r="BN229" s="810"/>
      <c r="BO229" s="811" t="s">
        <v>251</v>
      </c>
      <c r="BP229" s="812"/>
      <c r="BQ229" s="812"/>
      <c r="BR229" s="812"/>
      <c r="BS229" s="812" t="s">
        <v>672</v>
      </c>
      <c r="BT229" s="812" t="s">
        <v>238</v>
      </c>
    </row>
    <row r="230" spans="1:72" ht="12.75" customHeight="1">
      <c r="A230" s="813" t="s">
        <v>658</v>
      </c>
      <c r="B230" s="820" t="s">
        <v>738</v>
      </c>
      <c r="C230" s="5">
        <v>0</v>
      </c>
      <c r="D230" s="5">
        <v>0</v>
      </c>
      <c r="E230" s="5">
        <v>0</v>
      </c>
      <c r="F230" s="5">
        <v>0</v>
      </c>
      <c r="G230" s="5">
        <v>0</v>
      </c>
      <c r="H230" s="5">
        <v>0</v>
      </c>
      <c r="I230" s="5">
        <v>0</v>
      </c>
      <c r="J230" s="5">
        <v>0</v>
      </c>
      <c r="K230" s="5">
        <v>0</v>
      </c>
      <c r="L230" s="5">
        <v>0</v>
      </c>
      <c r="M230" s="5">
        <v>0</v>
      </c>
      <c r="N230" s="5">
        <v>0</v>
      </c>
      <c r="O230" s="5">
        <v>0</v>
      </c>
      <c r="P230" s="5">
        <v>0</v>
      </c>
      <c r="Q230" s="5">
        <v>0</v>
      </c>
      <c r="R230" s="5">
        <v>0</v>
      </c>
      <c r="S230" s="5">
        <v>0</v>
      </c>
      <c r="T230" s="5">
        <v>0</v>
      </c>
      <c r="U230" s="5">
        <v>0</v>
      </c>
      <c r="V230" s="5">
        <v>0</v>
      </c>
      <c r="W230" s="5">
        <v>0</v>
      </c>
      <c r="X230" s="5">
        <v>0</v>
      </c>
      <c r="Y230" s="5">
        <v>0</v>
      </c>
      <c r="Z230" s="5">
        <v>0</v>
      </c>
      <c r="AA230" s="5">
        <v>0</v>
      </c>
      <c r="AB230" s="5">
        <v>0</v>
      </c>
      <c r="AC230" s="5">
        <v>0</v>
      </c>
      <c r="AD230" s="5">
        <v>0</v>
      </c>
      <c r="AE230" s="5">
        <v>0</v>
      </c>
      <c r="AF230" s="5">
        <v>0</v>
      </c>
      <c r="AG230" s="5">
        <v>0</v>
      </c>
      <c r="AH230" s="5">
        <v>0</v>
      </c>
      <c r="AI230" s="5">
        <v>0</v>
      </c>
      <c r="AJ230" s="5">
        <v>0</v>
      </c>
      <c r="AK230" s="5">
        <v>0</v>
      </c>
      <c r="AL230" s="5">
        <v>0</v>
      </c>
      <c r="AM230" s="5">
        <v>0</v>
      </c>
      <c r="AN230" s="5">
        <v>0</v>
      </c>
      <c r="AO230" s="5">
        <v>0</v>
      </c>
      <c r="AP230" s="816">
        <v>0</v>
      </c>
      <c r="AQ230" s="816">
        <v>0</v>
      </c>
      <c r="AR230" s="5">
        <v>0</v>
      </c>
      <c r="AS230" s="5">
        <v>0</v>
      </c>
      <c r="AT230" s="5">
        <v>0</v>
      </c>
      <c r="AU230" s="5">
        <v>5.8710000000000004</v>
      </c>
      <c r="AV230" s="5">
        <v>6.3550000000000004</v>
      </c>
      <c r="AW230" s="815">
        <v>6.6150000000000002</v>
      </c>
      <c r="AX230" s="816">
        <v>6.774</v>
      </c>
      <c r="AY230" s="819">
        <v>7.0179999999999998</v>
      </c>
      <c r="AZ230" s="816">
        <v>7.1929999999999996</v>
      </c>
      <c r="BA230" s="818">
        <v>7.3650000000000002</v>
      </c>
      <c r="BB230" s="802" t="str" cm="1">
        <f t="array" ref="BB230">INDEX(C$4:BA$4,MATCH(TRUE,INDEX(C230:BA230&lt;&gt;0,),0))</f>
        <v>2022-23</v>
      </c>
      <c r="BC230" s="803" t="str" cm="1">
        <f t="array" ref="BC230">LOOKUP(2,1/(C230:BA230&lt;&gt;0),$C$4:$BA$4)</f>
        <v>2028-29</v>
      </c>
      <c r="BD230" s="804">
        <f>COUNTIF(RDprograms[[#This Row],[1978-79]:[2028-29]], "&gt;0")</f>
        <v>7</v>
      </c>
      <c r="BE230" s="805">
        <f>SUM(C230:BA230)/RDprograms[[#This Row],[Years with &gt; $0 investment]]</f>
        <v>6.7415714285714285</v>
      </c>
      <c r="BF230" s="806" t="s">
        <v>273</v>
      </c>
      <c r="BG230" s="807" t="s">
        <v>397</v>
      </c>
      <c r="BH230" s="847" t="s">
        <v>269</v>
      </c>
      <c r="BI230" s="809">
        <v>1</v>
      </c>
      <c r="BJ230" s="809">
        <v>1</v>
      </c>
      <c r="BK230" s="809">
        <v>1</v>
      </c>
      <c r="BL230" s="809">
        <v>1</v>
      </c>
      <c r="BM230" s="809">
        <v>1</v>
      </c>
      <c r="BN230" s="810"/>
      <c r="BO230" s="811" t="s">
        <v>251</v>
      </c>
      <c r="BP230" s="812" t="s">
        <v>739</v>
      </c>
      <c r="BQ230" s="812" t="s">
        <v>740</v>
      </c>
      <c r="BR230" s="812"/>
      <c r="BS230" s="812"/>
      <c r="BT230" s="812"/>
    </row>
    <row r="231" spans="1:72" ht="12.75" customHeight="1">
      <c r="A231" s="813" t="s">
        <v>658</v>
      </c>
      <c r="B231" s="820" t="s">
        <v>741</v>
      </c>
      <c r="C231" s="5">
        <v>64.3</v>
      </c>
      <c r="D231" s="5">
        <v>69</v>
      </c>
      <c r="E231" s="5">
        <v>77</v>
      </c>
      <c r="F231" s="5">
        <v>14</v>
      </c>
      <c r="G231" s="5">
        <v>18</v>
      </c>
      <c r="H231" s="5">
        <v>23</v>
      </c>
      <c r="I231" s="5">
        <v>25</v>
      </c>
      <c r="J231" s="5">
        <v>25</v>
      </c>
      <c r="K231" s="5">
        <v>0</v>
      </c>
      <c r="L231" s="5">
        <v>0</v>
      </c>
      <c r="M231" s="5">
        <v>0</v>
      </c>
      <c r="N231" s="5">
        <v>0</v>
      </c>
      <c r="O231" s="5">
        <v>0</v>
      </c>
      <c r="P231" s="5">
        <v>0</v>
      </c>
      <c r="Q231" s="5">
        <v>0</v>
      </c>
      <c r="R231" s="5">
        <v>0</v>
      </c>
      <c r="S231" s="5">
        <v>0</v>
      </c>
      <c r="T231" s="5">
        <v>0</v>
      </c>
      <c r="U231" s="5">
        <v>0</v>
      </c>
      <c r="V231" s="5">
        <v>0</v>
      </c>
      <c r="W231" s="5">
        <v>0</v>
      </c>
      <c r="X231" s="5">
        <v>0</v>
      </c>
      <c r="Y231" s="5">
        <v>0</v>
      </c>
      <c r="Z231" s="5">
        <v>0</v>
      </c>
      <c r="AA231" s="5">
        <v>0</v>
      </c>
      <c r="AB231" s="5">
        <v>0</v>
      </c>
      <c r="AC231" s="5">
        <v>0</v>
      </c>
      <c r="AD231" s="5">
        <v>0</v>
      </c>
      <c r="AE231" s="5">
        <v>0</v>
      </c>
      <c r="AF231" s="5">
        <v>0</v>
      </c>
      <c r="AG231" s="5">
        <v>0</v>
      </c>
      <c r="AH231" s="5">
        <v>0</v>
      </c>
      <c r="AI231" s="5">
        <v>0</v>
      </c>
      <c r="AJ231" s="5">
        <v>0</v>
      </c>
      <c r="AK231" s="5">
        <v>0</v>
      </c>
      <c r="AL231" s="5">
        <v>0</v>
      </c>
      <c r="AM231" s="5">
        <v>0</v>
      </c>
      <c r="AN231" s="5">
        <v>0</v>
      </c>
      <c r="AO231" s="5">
        <v>0</v>
      </c>
      <c r="AP231" s="816">
        <v>0</v>
      </c>
      <c r="AQ231" s="816">
        <v>0</v>
      </c>
      <c r="AR231" s="5">
        <v>0</v>
      </c>
      <c r="AS231" s="5">
        <v>0</v>
      </c>
      <c r="AT231" s="5">
        <v>0</v>
      </c>
      <c r="AU231" s="5">
        <v>0</v>
      </c>
      <c r="AV231" s="5">
        <v>0</v>
      </c>
      <c r="AW231" s="815">
        <v>0</v>
      </c>
      <c r="AX231" s="816">
        <v>0</v>
      </c>
      <c r="AY231" s="819">
        <v>0</v>
      </c>
      <c r="AZ231" s="816"/>
      <c r="BA231" s="818"/>
      <c r="BB231" s="802" t="str" cm="1">
        <f t="array" ref="BB231">INDEX(C$4:BA$4,MATCH(TRUE,INDEX(C231:BA231&lt;&gt;0,),0))</f>
        <v>1978-79</v>
      </c>
      <c r="BC231" s="803" t="str" cm="1">
        <f t="array" ref="BC231">LOOKUP(2,1/(C231:BA231&lt;&gt;0),$C$4:$BA$4)</f>
        <v>1985-86</v>
      </c>
      <c r="BD231" s="804">
        <f>COUNTIF(RDprograms[[#This Row],[1978-79]:[2028-29]], "&gt;0")</f>
        <v>8</v>
      </c>
      <c r="BE231" s="805">
        <f>SUM(C231:BA231)/RDprograms[[#This Row],[Years with &gt; $0 investment]]</f>
        <v>39.412500000000001</v>
      </c>
      <c r="BF231" s="806" t="s">
        <v>246</v>
      </c>
      <c r="BG231" s="807" t="s">
        <v>669</v>
      </c>
      <c r="BH231" s="847" t="s">
        <v>670</v>
      </c>
      <c r="BI231" s="809"/>
      <c r="BJ231" s="809"/>
      <c r="BK231" s="809"/>
      <c r="BL231" s="809"/>
      <c r="BM231" s="809"/>
      <c r="BN231" s="810"/>
      <c r="BO231" s="811" t="s">
        <v>251</v>
      </c>
      <c r="BP231" s="843"/>
      <c r="BQ231" s="812" t="s">
        <v>742</v>
      </c>
      <c r="BR231" s="812"/>
      <c r="BS231" s="812"/>
      <c r="BT231" s="812" t="s">
        <v>238</v>
      </c>
    </row>
    <row r="232" spans="1:72" ht="12.75" customHeight="1">
      <c r="A232" s="813" t="s">
        <v>658</v>
      </c>
      <c r="B232" s="820" t="s">
        <v>743</v>
      </c>
      <c r="C232" s="5">
        <v>0</v>
      </c>
      <c r="D232" s="5">
        <v>0</v>
      </c>
      <c r="E232" s="5">
        <v>0</v>
      </c>
      <c r="F232" s="5">
        <v>0</v>
      </c>
      <c r="G232" s="5">
        <v>0</v>
      </c>
      <c r="H232" s="5">
        <v>0</v>
      </c>
      <c r="I232" s="5">
        <v>0</v>
      </c>
      <c r="J232" s="5">
        <v>0</v>
      </c>
      <c r="K232" s="5">
        <v>0</v>
      </c>
      <c r="L232" s="5">
        <v>0</v>
      </c>
      <c r="M232" s="5">
        <v>0</v>
      </c>
      <c r="N232" s="5">
        <v>0</v>
      </c>
      <c r="O232" s="5">
        <v>0</v>
      </c>
      <c r="P232" s="5">
        <v>0</v>
      </c>
      <c r="Q232" s="5">
        <v>0</v>
      </c>
      <c r="R232" s="5">
        <v>0</v>
      </c>
      <c r="S232" s="5">
        <v>0</v>
      </c>
      <c r="T232" s="5">
        <v>0</v>
      </c>
      <c r="U232" s="5">
        <v>0</v>
      </c>
      <c r="V232" s="5">
        <v>0</v>
      </c>
      <c r="W232" s="5">
        <v>0</v>
      </c>
      <c r="X232" s="5">
        <v>0</v>
      </c>
      <c r="Y232" s="5">
        <v>0</v>
      </c>
      <c r="Z232" s="5">
        <v>0</v>
      </c>
      <c r="AA232" s="5">
        <v>0</v>
      </c>
      <c r="AB232" s="5">
        <v>0</v>
      </c>
      <c r="AC232" s="5">
        <v>0</v>
      </c>
      <c r="AD232" s="5">
        <v>0</v>
      </c>
      <c r="AE232" s="5">
        <v>0</v>
      </c>
      <c r="AF232" s="5">
        <v>0</v>
      </c>
      <c r="AG232" s="5">
        <v>0</v>
      </c>
      <c r="AH232" s="5">
        <v>0</v>
      </c>
      <c r="AI232" s="5">
        <v>0</v>
      </c>
      <c r="AJ232" s="5">
        <v>0</v>
      </c>
      <c r="AK232" s="5">
        <v>0</v>
      </c>
      <c r="AL232" s="5">
        <v>0</v>
      </c>
      <c r="AM232" s="5">
        <v>0</v>
      </c>
      <c r="AN232" s="5">
        <v>0</v>
      </c>
      <c r="AO232" s="5">
        <v>0.2</v>
      </c>
      <c r="AP232" s="816">
        <v>0</v>
      </c>
      <c r="AQ232" s="816">
        <v>0</v>
      </c>
      <c r="AR232" s="5">
        <v>0</v>
      </c>
      <c r="AS232" s="5">
        <v>0</v>
      </c>
      <c r="AT232" s="5">
        <v>0</v>
      </c>
      <c r="AU232" s="5">
        <v>0</v>
      </c>
      <c r="AV232" s="5">
        <v>0</v>
      </c>
      <c r="AW232" s="815">
        <v>0</v>
      </c>
      <c r="AX232" s="816">
        <v>0</v>
      </c>
      <c r="AY232" s="819">
        <v>0</v>
      </c>
      <c r="AZ232" s="816"/>
      <c r="BA232" s="818"/>
      <c r="BB232" s="802" t="str" cm="1">
        <f t="array" ref="BB232">INDEX(C$4:BA$4,MATCH(TRUE,INDEX(C232:BA232&lt;&gt;0,),0))</f>
        <v>2016-17</v>
      </c>
      <c r="BC232" s="803" t="str" cm="1">
        <f t="array" ref="BC232">LOOKUP(2,1/(C232:BA232&lt;&gt;0),$C$4:$BA$4)</f>
        <v>2016-17</v>
      </c>
      <c r="BD232" s="804">
        <f>COUNTIF(RDprograms[[#This Row],[1978-79]:[2028-29]], "&gt;0")</f>
        <v>1</v>
      </c>
      <c r="BE232" s="805">
        <f>SUM(C232:BA232)/RDprograms[[#This Row],[Years with &gt; $0 investment]]</f>
        <v>0.2</v>
      </c>
      <c r="BF232" s="806" t="s">
        <v>273</v>
      </c>
      <c r="BG232" s="807" t="s">
        <v>362</v>
      </c>
      <c r="BH232" s="847" t="s">
        <v>474</v>
      </c>
      <c r="BI232" s="809"/>
      <c r="BJ232" s="809"/>
      <c r="BK232" s="809"/>
      <c r="BL232" s="809"/>
      <c r="BM232" s="809"/>
      <c r="BN232" s="810"/>
      <c r="BO232" s="811" t="s">
        <v>236</v>
      </c>
      <c r="BP232" s="812" t="s">
        <v>744</v>
      </c>
      <c r="BQ232" s="812" t="s">
        <v>745</v>
      </c>
      <c r="BR232" s="812"/>
      <c r="BS232" s="812"/>
      <c r="BT232" s="812" t="s">
        <v>238</v>
      </c>
    </row>
    <row r="233" spans="1:72" ht="12.75" customHeight="1">
      <c r="A233" s="813" t="s">
        <v>658</v>
      </c>
      <c r="B233" s="820" t="s">
        <v>746</v>
      </c>
      <c r="C233" s="5">
        <v>0</v>
      </c>
      <c r="D233" s="5">
        <v>0</v>
      </c>
      <c r="E233" s="5">
        <v>0</v>
      </c>
      <c r="F233" s="5">
        <v>0</v>
      </c>
      <c r="G233" s="5">
        <v>0</v>
      </c>
      <c r="H233" s="5">
        <v>0</v>
      </c>
      <c r="I233" s="5">
        <v>0</v>
      </c>
      <c r="J233" s="5">
        <v>0</v>
      </c>
      <c r="K233" s="5">
        <v>0</v>
      </c>
      <c r="L233" s="5">
        <v>0</v>
      </c>
      <c r="M233" s="5">
        <v>0</v>
      </c>
      <c r="N233" s="5">
        <v>0</v>
      </c>
      <c r="O233" s="5">
        <v>0</v>
      </c>
      <c r="P233" s="5">
        <v>0</v>
      </c>
      <c r="Q233" s="5">
        <v>0</v>
      </c>
      <c r="R233" s="5">
        <v>0</v>
      </c>
      <c r="S233" s="5">
        <v>0</v>
      </c>
      <c r="T233" s="5">
        <v>0</v>
      </c>
      <c r="U233" s="5">
        <v>0</v>
      </c>
      <c r="V233" s="5">
        <v>0</v>
      </c>
      <c r="W233" s="5">
        <v>0</v>
      </c>
      <c r="X233" s="5">
        <v>0</v>
      </c>
      <c r="Y233" s="5">
        <v>0</v>
      </c>
      <c r="Z233" s="5">
        <v>0</v>
      </c>
      <c r="AA233" s="5">
        <v>0</v>
      </c>
      <c r="AB233" s="5">
        <v>0</v>
      </c>
      <c r="AC233" s="5">
        <v>0</v>
      </c>
      <c r="AD233" s="5">
        <v>0</v>
      </c>
      <c r="AE233" s="5">
        <v>0</v>
      </c>
      <c r="AF233" s="5">
        <v>0</v>
      </c>
      <c r="AG233" s="5">
        <v>0</v>
      </c>
      <c r="AH233" s="5">
        <v>0</v>
      </c>
      <c r="AI233" s="5">
        <v>1.5</v>
      </c>
      <c r="AJ233" s="5">
        <v>8.5</v>
      </c>
      <c r="AK233" s="5">
        <v>11</v>
      </c>
      <c r="AL233" s="5">
        <v>13</v>
      </c>
      <c r="AM233" s="5">
        <v>0</v>
      </c>
      <c r="AN233" s="5">
        <v>0</v>
      </c>
      <c r="AO233" s="5">
        <v>0</v>
      </c>
      <c r="AP233" s="5">
        <v>0</v>
      </c>
      <c r="AQ233" s="5">
        <v>0</v>
      </c>
      <c r="AR233" s="5">
        <v>0</v>
      </c>
      <c r="AS233" s="5">
        <v>0</v>
      </c>
      <c r="AT233" s="5">
        <v>0</v>
      </c>
      <c r="AU233" s="5">
        <v>0</v>
      </c>
      <c r="AV233" s="5">
        <v>0</v>
      </c>
      <c r="AW233" s="815">
        <v>0</v>
      </c>
      <c r="AX233" s="816">
        <v>0</v>
      </c>
      <c r="AY233" s="817">
        <v>0</v>
      </c>
      <c r="AZ233" s="816"/>
      <c r="BA233" s="818"/>
      <c r="BB233" s="802" t="str" cm="1">
        <f t="array" ref="BB233">INDEX(C$4:BA$4,MATCH(TRUE,INDEX(C233:BA233&lt;&gt;0,),0))</f>
        <v>2010-11</v>
      </c>
      <c r="BC233" s="803" t="str" cm="1">
        <f t="array" ref="BC233">LOOKUP(2,1/(C233:BA233&lt;&gt;0),$C$4:$BA$4)</f>
        <v>2013-14</v>
      </c>
      <c r="BD233" s="804">
        <f>COUNTIF(RDprograms[[#This Row],[1978-79]:[2028-29]], "&gt;0")</f>
        <v>4</v>
      </c>
      <c r="BE233" s="805">
        <f>SUM(C233:BA233)/RDprograms[[#This Row],[Years with &gt; $0 investment]]</f>
        <v>8.5</v>
      </c>
      <c r="BF233" s="806" t="s">
        <v>273</v>
      </c>
      <c r="BG233" s="807" t="s">
        <v>393</v>
      </c>
      <c r="BH233" s="847" t="s">
        <v>241</v>
      </c>
      <c r="BI233" s="809"/>
      <c r="BJ233" s="809"/>
      <c r="BK233" s="809"/>
      <c r="BL233" s="809"/>
      <c r="BM233" s="809"/>
      <c r="BN233" s="810"/>
      <c r="BO233" s="811" t="s">
        <v>251</v>
      </c>
      <c r="BP233" s="812"/>
      <c r="BQ233" s="812"/>
      <c r="BR233" s="812"/>
      <c r="BS233" s="812"/>
      <c r="BT233" s="812" t="s">
        <v>238</v>
      </c>
    </row>
    <row r="234" spans="1:72" ht="12.75" customHeight="1">
      <c r="A234" s="813" t="s">
        <v>658</v>
      </c>
      <c r="B234" s="820" t="s">
        <v>747</v>
      </c>
      <c r="C234" s="5">
        <v>0</v>
      </c>
      <c r="D234" s="5">
        <v>0</v>
      </c>
      <c r="E234" s="5">
        <v>0</v>
      </c>
      <c r="F234" s="5">
        <v>0</v>
      </c>
      <c r="G234" s="5">
        <v>0</v>
      </c>
      <c r="H234" s="5">
        <v>0</v>
      </c>
      <c r="I234" s="5">
        <v>0</v>
      </c>
      <c r="J234" s="5">
        <v>0</v>
      </c>
      <c r="K234" s="5">
        <v>0</v>
      </c>
      <c r="L234" s="5">
        <v>0</v>
      </c>
      <c r="M234" s="5">
        <v>0</v>
      </c>
      <c r="N234" s="5">
        <v>0</v>
      </c>
      <c r="O234" s="5">
        <v>0</v>
      </c>
      <c r="P234" s="5">
        <v>0</v>
      </c>
      <c r="Q234" s="5">
        <v>0</v>
      </c>
      <c r="R234" s="5">
        <v>0</v>
      </c>
      <c r="S234" s="5">
        <v>0</v>
      </c>
      <c r="T234" s="5">
        <v>0</v>
      </c>
      <c r="U234" s="5">
        <v>0</v>
      </c>
      <c r="V234" s="5">
        <v>0</v>
      </c>
      <c r="W234" s="5">
        <v>0</v>
      </c>
      <c r="X234" s="5">
        <v>0</v>
      </c>
      <c r="Y234" s="5">
        <v>0</v>
      </c>
      <c r="Z234" s="5">
        <v>0</v>
      </c>
      <c r="AA234" s="5">
        <v>0</v>
      </c>
      <c r="AB234" s="5">
        <v>0</v>
      </c>
      <c r="AC234" s="5">
        <v>0</v>
      </c>
      <c r="AD234" s="5">
        <v>0</v>
      </c>
      <c r="AE234" s="5">
        <v>0</v>
      </c>
      <c r="AF234" s="5">
        <v>0</v>
      </c>
      <c r="AG234" s="5">
        <v>0</v>
      </c>
      <c r="AH234" s="5">
        <v>45</v>
      </c>
      <c r="AI234" s="5">
        <v>0</v>
      </c>
      <c r="AJ234" s="5">
        <v>0</v>
      </c>
      <c r="AK234" s="5">
        <v>0</v>
      </c>
      <c r="AL234" s="5">
        <v>0</v>
      </c>
      <c r="AM234" s="5">
        <v>0</v>
      </c>
      <c r="AN234" s="5">
        <v>0</v>
      </c>
      <c r="AO234" s="5">
        <v>0</v>
      </c>
      <c r="AP234" s="5">
        <v>0</v>
      </c>
      <c r="AQ234" s="5">
        <v>0</v>
      </c>
      <c r="AR234" s="5">
        <v>0</v>
      </c>
      <c r="AS234" s="5">
        <v>0</v>
      </c>
      <c r="AT234" s="5">
        <v>0</v>
      </c>
      <c r="AU234" s="5">
        <v>0</v>
      </c>
      <c r="AV234" s="5">
        <v>0</v>
      </c>
      <c r="AW234" s="815">
        <v>0</v>
      </c>
      <c r="AX234" s="816">
        <v>0</v>
      </c>
      <c r="AY234" s="817">
        <v>0</v>
      </c>
      <c r="AZ234" s="816"/>
      <c r="BA234" s="818"/>
      <c r="BB234" s="802" t="str" cm="1">
        <f t="array" ref="BB234">INDEX(C$4:BA$4,MATCH(TRUE,INDEX(C234:BA234&lt;&gt;0,),0))</f>
        <v>2009-10</v>
      </c>
      <c r="BC234" s="803" t="str" cm="1">
        <f t="array" ref="BC234">LOOKUP(2,1/(C234:BA234&lt;&gt;0),$C$4:$BA$4)</f>
        <v>2009-10</v>
      </c>
      <c r="BD234" s="804">
        <f>COUNTIF(RDprograms[[#This Row],[1978-79]:[2028-29]], "&gt;0")</f>
        <v>1</v>
      </c>
      <c r="BE234" s="805">
        <f>SUM(C234:BA234)/RDprograms[[#This Row],[Years with &gt; $0 investment]]</f>
        <v>45</v>
      </c>
      <c r="BF234" s="806" t="s">
        <v>273</v>
      </c>
      <c r="BG234" s="807" t="s">
        <v>393</v>
      </c>
      <c r="BH234" s="847" t="s">
        <v>269</v>
      </c>
      <c r="BI234" s="809"/>
      <c r="BJ234" s="809"/>
      <c r="BK234" s="809"/>
      <c r="BL234" s="809"/>
      <c r="BM234" s="809"/>
      <c r="BN234" s="810"/>
      <c r="BO234" s="811" t="s">
        <v>251</v>
      </c>
      <c r="BP234" s="812"/>
      <c r="BQ234" s="812"/>
      <c r="BR234" s="812"/>
      <c r="BS234" s="812"/>
      <c r="BT234" s="812" t="s">
        <v>238</v>
      </c>
    </row>
    <row r="235" spans="1:72" ht="12.75" customHeight="1">
      <c r="A235" s="813" t="s">
        <v>658</v>
      </c>
      <c r="B235" s="820" t="s">
        <v>748</v>
      </c>
      <c r="C235" s="5">
        <v>0</v>
      </c>
      <c r="D235" s="5">
        <v>0</v>
      </c>
      <c r="E235" s="5">
        <v>0</v>
      </c>
      <c r="F235" s="5">
        <v>0</v>
      </c>
      <c r="G235" s="5">
        <v>0</v>
      </c>
      <c r="H235" s="5">
        <v>0</v>
      </c>
      <c r="I235" s="5">
        <v>0</v>
      </c>
      <c r="J235" s="5">
        <v>0</v>
      </c>
      <c r="K235" s="5">
        <v>0</v>
      </c>
      <c r="L235" s="5">
        <v>0</v>
      </c>
      <c r="M235" s="5">
        <v>0</v>
      </c>
      <c r="N235" s="5">
        <v>0</v>
      </c>
      <c r="O235" s="5">
        <v>0</v>
      </c>
      <c r="P235" s="5">
        <v>0</v>
      </c>
      <c r="Q235" s="5">
        <v>0</v>
      </c>
      <c r="R235" s="5">
        <v>0</v>
      </c>
      <c r="S235" s="5">
        <v>0</v>
      </c>
      <c r="T235" s="5">
        <v>0</v>
      </c>
      <c r="U235" s="5">
        <v>0</v>
      </c>
      <c r="V235" s="5">
        <v>0</v>
      </c>
      <c r="W235" s="5">
        <v>0</v>
      </c>
      <c r="X235" s="5">
        <v>3.5</v>
      </c>
      <c r="Y235" s="5">
        <v>8</v>
      </c>
      <c r="Z235" s="5">
        <v>3</v>
      </c>
      <c r="AA235" s="5">
        <v>0.5</v>
      </c>
      <c r="AB235" s="5">
        <v>0</v>
      </c>
      <c r="AC235" s="5">
        <v>0</v>
      </c>
      <c r="AD235" s="5">
        <v>0</v>
      </c>
      <c r="AE235" s="5">
        <v>0</v>
      </c>
      <c r="AF235" s="5">
        <v>0</v>
      </c>
      <c r="AG235" s="5">
        <v>0</v>
      </c>
      <c r="AH235" s="5">
        <v>0</v>
      </c>
      <c r="AI235" s="5">
        <v>0</v>
      </c>
      <c r="AJ235" s="5">
        <v>0</v>
      </c>
      <c r="AK235" s="5">
        <v>0</v>
      </c>
      <c r="AL235" s="5">
        <v>0</v>
      </c>
      <c r="AM235" s="5">
        <v>0</v>
      </c>
      <c r="AN235" s="5">
        <v>0</v>
      </c>
      <c r="AO235" s="5">
        <v>0</v>
      </c>
      <c r="AP235" s="816">
        <v>0</v>
      </c>
      <c r="AQ235" s="816">
        <v>0</v>
      </c>
      <c r="AR235" s="5">
        <v>0</v>
      </c>
      <c r="AS235" s="5">
        <v>0</v>
      </c>
      <c r="AT235" s="5">
        <v>0</v>
      </c>
      <c r="AU235" s="5">
        <v>0</v>
      </c>
      <c r="AV235" s="5">
        <v>0</v>
      </c>
      <c r="AW235" s="815">
        <v>0</v>
      </c>
      <c r="AX235" s="816">
        <v>0</v>
      </c>
      <c r="AY235" s="819">
        <v>0</v>
      </c>
      <c r="AZ235" s="816"/>
      <c r="BA235" s="818"/>
      <c r="BB235" s="802" t="str" cm="1">
        <f t="array" ref="BB235">INDEX(C$4:BA$4,MATCH(TRUE,INDEX(C235:BA235&lt;&gt;0,),0))</f>
        <v>1999-00</v>
      </c>
      <c r="BC235" s="803" t="str" cm="1">
        <f t="array" ref="BC235">LOOKUP(2,1/(C235:BA235&lt;&gt;0),$C$4:$BA$4)</f>
        <v>2002-03</v>
      </c>
      <c r="BD235" s="804">
        <f>COUNTIF(RDprograms[[#This Row],[1978-79]:[2028-29]], "&gt;0")</f>
        <v>4</v>
      </c>
      <c r="BE235" s="805">
        <f>SUM(C235:BA235)/RDprograms[[#This Row],[Years with &gt; $0 investment]]</f>
        <v>3.75</v>
      </c>
      <c r="BF235" s="806" t="s">
        <v>273</v>
      </c>
      <c r="BG235" s="807" t="s">
        <v>397</v>
      </c>
      <c r="BH235" s="847" t="s">
        <v>269</v>
      </c>
      <c r="BI235" s="809"/>
      <c r="BJ235" s="809"/>
      <c r="BK235" s="809"/>
      <c r="BL235" s="809"/>
      <c r="BM235" s="809"/>
      <c r="BN235" s="810"/>
      <c r="BO235" s="811" t="s">
        <v>251</v>
      </c>
      <c r="BP235" s="812"/>
      <c r="BQ235" s="812"/>
      <c r="BR235" s="812"/>
      <c r="BS235" s="812" t="s">
        <v>722</v>
      </c>
      <c r="BT235" s="812" t="s">
        <v>238</v>
      </c>
    </row>
    <row r="236" spans="1:72" ht="12.75" customHeight="1">
      <c r="A236" s="813" t="s">
        <v>658</v>
      </c>
      <c r="B236" s="820" t="s">
        <v>749</v>
      </c>
      <c r="C236" s="5">
        <v>0</v>
      </c>
      <c r="D236" s="5">
        <v>0</v>
      </c>
      <c r="E236" s="5">
        <v>0</v>
      </c>
      <c r="F236" s="5">
        <v>0</v>
      </c>
      <c r="G236" s="5">
        <v>0</v>
      </c>
      <c r="H236" s="5">
        <v>0</v>
      </c>
      <c r="I236" s="5">
        <v>0</v>
      </c>
      <c r="J236" s="5">
        <v>0</v>
      </c>
      <c r="K236" s="5">
        <v>0</v>
      </c>
      <c r="L236" s="5">
        <v>0</v>
      </c>
      <c r="M236" s="5">
        <v>0</v>
      </c>
      <c r="N236" s="5">
        <v>0</v>
      </c>
      <c r="O236" s="5">
        <v>0</v>
      </c>
      <c r="P236" s="5">
        <v>0</v>
      </c>
      <c r="Q236" s="5">
        <v>0</v>
      </c>
      <c r="R236" s="5">
        <v>0</v>
      </c>
      <c r="S236" s="5">
        <v>0</v>
      </c>
      <c r="T236" s="5">
        <v>0</v>
      </c>
      <c r="U236" s="5">
        <v>0</v>
      </c>
      <c r="V236" s="5">
        <v>0</v>
      </c>
      <c r="W236" s="5">
        <v>0</v>
      </c>
      <c r="X236" s="5">
        <v>0</v>
      </c>
      <c r="Y236" s="5">
        <v>0</v>
      </c>
      <c r="Z236" s="5">
        <v>0</v>
      </c>
      <c r="AA236" s="5">
        <v>0</v>
      </c>
      <c r="AB236" s="5">
        <v>0</v>
      </c>
      <c r="AC236" s="5">
        <v>0</v>
      </c>
      <c r="AD236" s="5">
        <v>0</v>
      </c>
      <c r="AE236" s="5">
        <v>0</v>
      </c>
      <c r="AF236" s="5">
        <v>0</v>
      </c>
      <c r="AG236" s="5">
        <v>0.16400000000000001</v>
      </c>
      <c r="AH236" s="5">
        <v>18.635000000000002</v>
      </c>
      <c r="AI236" s="5">
        <v>9.7590000000000003</v>
      </c>
      <c r="AJ236" s="5">
        <v>0.1</v>
      </c>
      <c r="AK236" s="5">
        <v>0.1</v>
      </c>
      <c r="AL236" s="5">
        <v>0</v>
      </c>
      <c r="AM236" s="5">
        <v>0</v>
      </c>
      <c r="AN236" s="5">
        <v>0</v>
      </c>
      <c r="AO236" s="5">
        <v>0</v>
      </c>
      <c r="AP236" s="5">
        <v>0</v>
      </c>
      <c r="AQ236" s="5">
        <v>0</v>
      </c>
      <c r="AR236" s="5">
        <v>0</v>
      </c>
      <c r="AS236" s="5">
        <v>0</v>
      </c>
      <c r="AT236" s="5">
        <v>0</v>
      </c>
      <c r="AU236" s="5">
        <v>0</v>
      </c>
      <c r="AV236" s="5">
        <v>0</v>
      </c>
      <c r="AW236" s="815">
        <v>0</v>
      </c>
      <c r="AX236" s="816">
        <v>0</v>
      </c>
      <c r="AY236" s="819">
        <v>0</v>
      </c>
      <c r="AZ236" s="816"/>
      <c r="BA236" s="818"/>
      <c r="BB236" s="802" t="str" cm="1">
        <f t="array" ref="BB236">INDEX(C$4:BA$4,MATCH(TRUE,INDEX(C236:BA236&lt;&gt;0,),0))</f>
        <v>2008-09</v>
      </c>
      <c r="BC236" s="803" t="str" cm="1">
        <f t="array" ref="BC236">LOOKUP(2,1/(C236:BA236&lt;&gt;0),$C$4:$BA$4)</f>
        <v>2012-13</v>
      </c>
      <c r="BD236" s="804">
        <f>COUNTIF(RDprograms[[#This Row],[1978-79]:[2028-29]], "&gt;0")</f>
        <v>5</v>
      </c>
      <c r="BE236" s="805">
        <f>SUM(C236:BA236)/RDprograms[[#This Row],[Years with &gt; $0 investment]]</f>
        <v>5.7516000000000016</v>
      </c>
      <c r="BF236" s="806" t="s">
        <v>273</v>
      </c>
      <c r="BG236" s="807" t="s">
        <v>397</v>
      </c>
      <c r="BH236" s="847" t="s">
        <v>269</v>
      </c>
      <c r="BI236" s="809"/>
      <c r="BJ236" s="809"/>
      <c r="BK236" s="809"/>
      <c r="BL236" s="809"/>
      <c r="BM236" s="809"/>
      <c r="BN236" s="810"/>
      <c r="BO236" s="811" t="s">
        <v>251</v>
      </c>
      <c r="BP236" s="812"/>
      <c r="BQ236" s="812"/>
      <c r="BR236" s="812"/>
      <c r="BS236" s="812"/>
      <c r="BT236" s="812" t="s">
        <v>238</v>
      </c>
    </row>
    <row r="237" spans="1:72" ht="12.75" customHeight="1">
      <c r="A237" s="813" t="s">
        <v>658</v>
      </c>
      <c r="B237" s="820" t="s">
        <v>750</v>
      </c>
      <c r="C237" s="5">
        <v>0</v>
      </c>
      <c r="D237" s="5">
        <v>0</v>
      </c>
      <c r="E237" s="5">
        <v>0</v>
      </c>
      <c r="F237" s="5">
        <v>0</v>
      </c>
      <c r="G237" s="5">
        <v>0</v>
      </c>
      <c r="H237" s="5">
        <v>0</v>
      </c>
      <c r="I237" s="5">
        <v>0</v>
      </c>
      <c r="J237" s="5">
        <v>0</v>
      </c>
      <c r="K237" s="5">
        <v>0</v>
      </c>
      <c r="L237" s="5">
        <v>0</v>
      </c>
      <c r="M237" s="5">
        <v>0</v>
      </c>
      <c r="N237" s="5">
        <v>0</v>
      </c>
      <c r="O237" s="5">
        <v>0</v>
      </c>
      <c r="P237" s="5">
        <v>0</v>
      </c>
      <c r="Q237" s="5">
        <v>0</v>
      </c>
      <c r="R237" s="5">
        <v>0</v>
      </c>
      <c r="S237" s="5">
        <v>0</v>
      </c>
      <c r="T237" s="5">
        <v>0</v>
      </c>
      <c r="U237" s="5">
        <v>0</v>
      </c>
      <c r="V237" s="5">
        <v>0</v>
      </c>
      <c r="W237" s="5">
        <v>0</v>
      </c>
      <c r="X237" s="5">
        <v>0</v>
      </c>
      <c r="Y237" s="5">
        <v>257.2</v>
      </c>
      <c r="Z237" s="5">
        <v>262.89999999999998</v>
      </c>
      <c r="AA237" s="5">
        <v>286.39999999999998</v>
      </c>
      <c r="AB237" s="5">
        <v>285.2</v>
      </c>
      <c r="AC237" s="5">
        <v>290.60000000000002</v>
      </c>
      <c r="AD237" s="5">
        <v>296.113</v>
      </c>
      <c r="AE237" s="5">
        <v>302.03500000000003</v>
      </c>
      <c r="AF237" s="5">
        <v>308.07600000000002</v>
      </c>
      <c r="AG237" s="5">
        <v>311.3</v>
      </c>
      <c r="AH237" s="5">
        <v>157.27199999999999</v>
      </c>
      <c r="AI237" s="5">
        <v>0</v>
      </c>
      <c r="AJ237" s="5">
        <v>0</v>
      </c>
      <c r="AK237" s="5">
        <v>0</v>
      </c>
      <c r="AL237" s="5">
        <v>0</v>
      </c>
      <c r="AM237" s="5">
        <v>0</v>
      </c>
      <c r="AN237" s="5">
        <v>0</v>
      </c>
      <c r="AO237" s="5">
        <v>0</v>
      </c>
      <c r="AP237" s="816">
        <v>0</v>
      </c>
      <c r="AQ237" s="816">
        <v>0</v>
      </c>
      <c r="AR237" s="5">
        <v>0</v>
      </c>
      <c r="AS237" s="5">
        <v>0</v>
      </c>
      <c r="AT237" s="5">
        <v>0</v>
      </c>
      <c r="AU237" s="5">
        <v>0</v>
      </c>
      <c r="AV237" s="5">
        <v>0</v>
      </c>
      <c r="AW237" s="815">
        <v>0</v>
      </c>
      <c r="AX237" s="816">
        <v>0</v>
      </c>
      <c r="AY237" s="819">
        <v>0</v>
      </c>
      <c r="AZ237" s="816"/>
      <c r="BA237" s="818"/>
      <c r="BB237" s="802" t="str" cm="1">
        <f t="array" ref="BB237">INDEX(C$4:BA$4,MATCH(TRUE,INDEX(C237:BA237&lt;&gt;0,),0))</f>
        <v>2000-01</v>
      </c>
      <c r="BC237" s="803" t="str" cm="1">
        <f t="array" ref="BC237">LOOKUP(2,1/(C237:BA237&lt;&gt;0),$C$4:$BA$4)</f>
        <v>2009-10</v>
      </c>
      <c r="BD237" s="804">
        <f>COUNTIF(RDprograms[[#This Row],[1978-79]:[2028-29]], "&gt;0")</f>
        <v>10</v>
      </c>
      <c r="BE237" s="805">
        <f>SUM(C237:BA237)/RDprograms[[#This Row],[Years with &gt; $0 investment]]</f>
        <v>275.70960000000002</v>
      </c>
      <c r="BF237" s="806" t="s">
        <v>246</v>
      </c>
      <c r="BG237" s="807" t="s">
        <v>669</v>
      </c>
      <c r="BH237" s="847" t="s">
        <v>688</v>
      </c>
      <c r="BI237" s="809"/>
      <c r="BJ237" s="809"/>
      <c r="BK237" s="809"/>
      <c r="BL237" s="809"/>
      <c r="BM237" s="809"/>
      <c r="BN237" s="810"/>
      <c r="BO237" s="811" t="s">
        <v>251</v>
      </c>
      <c r="BP237" s="812"/>
      <c r="BQ237" s="812"/>
      <c r="BR237" s="812"/>
      <c r="BS237" s="812"/>
      <c r="BT237" s="812" t="s">
        <v>238</v>
      </c>
    </row>
    <row r="238" spans="1:72" ht="12.75" customHeight="1">
      <c r="A238" s="813" t="s">
        <v>658</v>
      </c>
      <c r="B238" s="820" t="s">
        <v>751</v>
      </c>
      <c r="C238" s="5">
        <v>0</v>
      </c>
      <c r="D238" s="5">
        <v>0</v>
      </c>
      <c r="E238" s="5">
        <v>0</v>
      </c>
      <c r="F238" s="5">
        <v>0</v>
      </c>
      <c r="G238" s="5">
        <v>0</v>
      </c>
      <c r="H238" s="5">
        <v>0</v>
      </c>
      <c r="I238" s="5">
        <v>0</v>
      </c>
      <c r="J238" s="5">
        <v>0</v>
      </c>
      <c r="K238" s="5">
        <v>0</v>
      </c>
      <c r="L238" s="5">
        <v>0</v>
      </c>
      <c r="M238" s="5">
        <v>0</v>
      </c>
      <c r="N238" s="5">
        <v>0</v>
      </c>
      <c r="O238" s="5">
        <v>0</v>
      </c>
      <c r="P238" s="5">
        <v>0</v>
      </c>
      <c r="Q238" s="5">
        <v>0</v>
      </c>
      <c r="R238" s="5">
        <v>0</v>
      </c>
      <c r="S238" s="5">
        <v>0</v>
      </c>
      <c r="T238" s="5">
        <v>0</v>
      </c>
      <c r="U238" s="5">
        <v>0</v>
      </c>
      <c r="V238" s="5">
        <v>0</v>
      </c>
      <c r="W238" s="5">
        <v>0</v>
      </c>
      <c r="X238" s="5">
        <v>0</v>
      </c>
      <c r="Y238" s="5">
        <v>0</v>
      </c>
      <c r="Z238" s="5">
        <v>0</v>
      </c>
      <c r="AA238" s="5">
        <v>0</v>
      </c>
      <c r="AB238" s="5">
        <v>0</v>
      </c>
      <c r="AC238" s="5">
        <v>0</v>
      </c>
      <c r="AD238" s="5">
        <v>0</v>
      </c>
      <c r="AE238" s="5">
        <v>0</v>
      </c>
      <c r="AF238" s="5">
        <v>0</v>
      </c>
      <c r="AG238" s="5">
        <v>0</v>
      </c>
      <c r="AH238" s="5">
        <v>0</v>
      </c>
      <c r="AI238" s="5">
        <v>0</v>
      </c>
      <c r="AJ238" s="5">
        <v>0</v>
      </c>
      <c r="AK238" s="5">
        <v>2.4020000000000001</v>
      </c>
      <c r="AL238" s="5">
        <v>4.8029999999999999</v>
      </c>
      <c r="AM238" s="5">
        <v>0</v>
      </c>
      <c r="AN238" s="5">
        <v>0</v>
      </c>
      <c r="AO238" s="5">
        <v>0</v>
      </c>
      <c r="AP238" s="5">
        <v>0</v>
      </c>
      <c r="AQ238" s="5">
        <v>0</v>
      </c>
      <c r="AR238" s="5">
        <v>0</v>
      </c>
      <c r="AS238" s="5">
        <v>0</v>
      </c>
      <c r="AT238" s="5">
        <v>0</v>
      </c>
      <c r="AU238" s="5">
        <v>0</v>
      </c>
      <c r="AV238" s="5">
        <v>0</v>
      </c>
      <c r="AW238" s="815">
        <v>0</v>
      </c>
      <c r="AX238" s="816">
        <v>0</v>
      </c>
      <c r="AY238" s="819">
        <v>0</v>
      </c>
      <c r="AZ238" s="816"/>
      <c r="BA238" s="818"/>
      <c r="BB238" s="802" t="str" cm="1">
        <f t="array" ref="BB238">INDEX(C$4:BA$4,MATCH(TRUE,INDEX(C238:BA238&lt;&gt;0,),0))</f>
        <v>2012-13</v>
      </c>
      <c r="BC238" s="803" t="str" cm="1">
        <f t="array" ref="BC238">LOOKUP(2,1/(C238:BA238&lt;&gt;0),$C$4:$BA$4)</f>
        <v>2013-14</v>
      </c>
      <c r="BD238" s="804">
        <f>COUNTIF(RDprograms[[#This Row],[1978-79]:[2028-29]], "&gt;0")</f>
        <v>2</v>
      </c>
      <c r="BE238" s="805">
        <f>SUM(C238:BA238)/RDprograms[[#This Row],[Years with &gt; $0 investment]]</f>
        <v>3.6025</v>
      </c>
      <c r="BF238" s="806" t="s">
        <v>273</v>
      </c>
      <c r="BG238" s="807" t="s">
        <v>393</v>
      </c>
      <c r="BH238" s="847" t="s">
        <v>269</v>
      </c>
      <c r="BI238" s="809"/>
      <c r="BJ238" s="809"/>
      <c r="BK238" s="809"/>
      <c r="BL238" s="809"/>
      <c r="BM238" s="809"/>
      <c r="BN238" s="810"/>
      <c r="BO238" s="811" t="s">
        <v>251</v>
      </c>
      <c r="BP238" s="812"/>
      <c r="BQ238" s="812"/>
      <c r="BR238" s="812"/>
      <c r="BS238" s="812" t="s">
        <v>672</v>
      </c>
      <c r="BT238" s="812"/>
    </row>
    <row r="239" spans="1:72" ht="12.75" customHeight="1">
      <c r="A239" s="813" t="s">
        <v>658</v>
      </c>
      <c r="B239" s="820" t="s">
        <v>752</v>
      </c>
      <c r="C239" s="5">
        <v>0</v>
      </c>
      <c r="D239" s="5">
        <v>0</v>
      </c>
      <c r="E239" s="5">
        <v>0</v>
      </c>
      <c r="F239" s="5">
        <v>0</v>
      </c>
      <c r="G239" s="5">
        <v>0</v>
      </c>
      <c r="H239" s="5">
        <v>0</v>
      </c>
      <c r="I239" s="5">
        <v>0</v>
      </c>
      <c r="J239" s="5">
        <v>0</v>
      </c>
      <c r="K239" s="5">
        <v>0</v>
      </c>
      <c r="L239" s="5">
        <v>0</v>
      </c>
      <c r="M239" s="5">
        <v>0</v>
      </c>
      <c r="N239" s="5">
        <v>0</v>
      </c>
      <c r="O239" s="5">
        <v>0</v>
      </c>
      <c r="P239" s="5">
        <v>0</v>
      </c>
      <c r="Q239" s="5">
        <v>0</v>
      </c>
      <c r="R239" s="5">
        <v>0</v>
      </c>
      <c r="S239" s="5">
        <v>0</v>
      </c>
      <c r="T239" s="5">
        <v>0</v>
      </c>
      <c r="U239" s="5">
        <v>0</v>
      </c>
      <c r="V239" s="5">
        <v>0</v>
      </c>
      <c r="W239" s="5">
        <v>0</v>
      </c>
      <c r="X239" s="5">
        <v>0</v>
      </c>
      <c r="Y239" s="5">
        <v>16.2</v>
      </c>
      <c r="Z239" s="5">
        <v>14</v>
      </c>
      <c r="AA239" s="5">
        <v>16.7</v>
      </c>
      <c r="AB239" s="5">
        <v>17.8</v>
      </c>
      <c r="AC239" s="5">
        <v>18.100000000000001</v>
      </c>
      <c r="AD239" s="5">
        <v>18.5</v>
      </c>
      <c r="AE239" s="5">
        <v>18.399999999999999</v>
      </c>
      <c r="AF239" s="5">
        <v>19.2</v>
      </c>
      <c r="AG239" s="5">
        <v>19.399999999999999</v>
      </c>
      <c r="AH239" s="5">
        <v>19.812999999999999</v>
      </c>
      <c r="AI239" s="5">
        <v>20.18</v>
      </c>
      <c r="AJ239" s="5">
        <v>20.727</v>
      </c>
      <c r="AK239" s="5">
        <v>21.524999999999999</v>
      </c>
      <c r="AL239" s="5">
        <v>22.039000000000001</v>
      </c>
      <c r="AM239" s="5">
        <v>22.201000000000001</v>
      </c>
      <c r="AN239" s="5">
        <v>22.449000000000002</v>
      </c>
      <c r="AO239" s="5">
        <v>11.319000000000001</v>
      </c>
      <c r="AP239" s="5">
        <v>0</v>
      </c>
      <c r="AQ239" s="5">
        <v>0</v>
      </c>
      <c r="AR239" s="5">
        <v>0</v>
      </c>
      <c r="AS239" s="5">
        <v>0</v>
      </c>
      <c r="AT239" s="5">
        <v>0</v>
      </c>
      <c r="AU239" s="5">
        <v>0</v>
      </c>
      <c r="AV239" s="5">
        <v>0</v>
      </c>
      <c r="AW239" s="815">
        <v>0</v>
      </c>
      <c r="AX239" s="816">
        <v>0</v>
      </c>
      <c r="AY239" s="819">
        <v>0</v>
      </c>
      <c r="AZ239" s="816"/>
      <c r="BA239" s="818"/>
      <c r="BB239" s="802" t="str" cm="1">
        <f t="array" ref="BB239">INDEX(C$4:BA$4,MATCH(TRUE,INDEX(C239:BA239&lt;&gt;0,),0))</f>
        <v>2000-01</v>
      </c>
      <c r="BC239" s="803" t="str" cm="1">
        <f t="array" ref="BC239">LOOKUP(2,1/(C239:BA239&lt;&gt;0),$C$4:$BA$4)</f>
        <v>2016-17</v>
      </c>
      <c r="BD239" s="804">
        <f>COUNTIF(RDprograms[[#This Row],[1978-79]:[2028-29]], "&gt;0")</f>
        <v>17</v>
      </c>
      <c r="BE239" s="805">
        <f>SUM(C239:BA239)/RDprograms[[#This Row],[Years with &gt; $0 investment]]</f>
        <v>18.738411764705887</v>
      </c>
      <c r="BF239" s="806" t="s">
        <v>246</v>
      </c>
      <c r="BG239" s="807" t="s">
        <v>669</v>
      </c>
      <c r="BH239" s="847" t="s">
        <v>688</v>
      </c>
      <c r="BI239" s="809"/>
      <c r="BJ239" s="809"/>
      <c r="BK239" s="809"/>
      <c r="BL239" s="809"/>
      <c r="BM239" s="809"/>
      <c r="BN239" s="810"/>
      <c r="BO239" s="811" t="s">
        <v>251</v>
      </c>
      <c r="BP239" s="812" t="s">
        <v>753</v>
      </c>
      <c r="BQ239" s="812" t="s">
        <v>690</v>
      </c>
      <c r="BR239" s="812" t="s">
        <v>754</v>
      </c>
      <c r="BS239" s="812"/>
      <c r="BT239" s="812" t="s">
        <v>238</v>
      </c>
    </row>
    <row r="240" spans="1:72" ht="12.75" customHeight="1">
      <c r="A240" s="813" t="s">
        <v>658</v>
      </c>
      <c r="B240" s="820" t="s">
        <v>755</v>
      </c>
      <c r="C240" s="5">
        <v>0</v>
      </c>
      <c r="D240" s="5">
        <v>0</v>
      </c>
      <c r="E240" s="5">
        <v>0</v>
      </c>
      <c r="F240" s="5">
        <v>0</v>
      </c>
      <c r="G240" s="5">
        <v>0</v>
      </c>
      <c r="H240" s="5">
        <v>0</v>
      </c>
      <c r="I240" s="5">
        <v>0</v>
      </c>
      <c r="J240" s="5">
        <v>0</v>
      </c>
      <c r="K240" s="5">
        <v>0</v>
      </c>
      <c r="L240" s="5">
        <v>0</v>
      </c>
      <c r="M240" s="5">
        <v>0</v>
      </c>
      <c r="N240" s="5">
        <v>0</v>
      </c>
      <c r="O240" s="5">
        <v>0</v>
      </c>
      <c r="P240" s="5">
        <v>0</v>
      </c>
      <c r="Q240" s="5">
        <v>0</v>
      </c>
      <c r="R240" s="5">
        <v>0</v>
      </c>
      <c r="S240" s="5">
        <v>0</v>
      </c>
      <c r="T240" s="5">
        <v>0</v>
      </c>
      <c r="U240" s="5">
        <v>0</v>
      </c>
      <c r="V240" s="5">
        <v>0</v>
      </c>
      <c r="W240" s="5">
        <v>0</v>
      </c>
      <c r="X240" s="5">
        <v>0</v>
      </c>
      <c r="Y240" s="5">
        <v>0</v>
      </c>
      <c r="Z240" s="5">
        <v>0</v>
      </c>
      <c r="AA240" s="5">
        <v>0</v>
      </c>
      <c r="AB240" s="5">
        <v>0</v>
      </c>
      <c r="AC240" s="5">
        <v>0</v>
      </c>
      <c r="AD240" s="5">
        <v>0</v>
      </c>
      <c r="AE240" s="5">
        <v>0</v>
      </c>
      <c r="AF240" s="5">
        <v>0</v>
      </c>
      <c r="AG240" s="5">
        <v>0</v>
      </c>
      <c r="AH240" s="5">
        <v>160.57499999999999</v>
      </c>
      <c r="AI240" s="5">
        <v>323.72000000000003</v>
      </c>
      <c r="AJ240" s="5">
        <v>332.48899999999998</v>
      </c>
      <c r="AK240" s="5">
        <v>333.29300000000001</v>
      </c>
      <c r="AL240" s="5">
        <v>332.46</v>
      </c>
      <c r="AM240" s="5">
        <v>356.08300000000003</v>
      </c>
      <c r="AN240" s="5">
        <v>360.23</v>
      </c>
      <c r="AO240" s="5">
        <v>181.63300000000001</v>
      </c>
      <c r="AP240" s="816">
        <v>0</v>
      </c>
      <c r="AQ240" s="816">
        <v>0</v>
      </c>
      <c r="AR240" s="5">
        <v>0</v>
      </c>
      <c r="AS240" s="5">
        <v>0</v>
      </c>
      <c r="AT240" s="5">
        <v>0</v>
      </c>
      <c r="AU240" s="5">
        <v>0</v>
      </c>
      <c r="AV240" s="5">
        <v>0</v>
      </c>
      <c r="AW240" s="815">
        <v>0</v>
      </c>
      <c r="AX240" s="816">
        <v>0</v>
      </c>
      <c r="AY240" s="819">
        <v>0</v>
      </c>
      <c r="AZ240" s="816"/>
      <c r="BA240" s="818"/>
      <c r="BB240" s="802" t="str" cm="1">
        <f t="array" ref="BB240">INDEX(C$4:BA$4,MATCH(TRUE,INDEX(C240:BA240&lt;&gt;0,),0))</f>
        <v>2009-10</v>
      </c>
      <c r="BC240" s="803" t="str" cm="1">
        <f t="array" ref="BC240">LOOKUP(2,1/(C240:BA240&lt;&gt;0),$C$4:$BA$4)</f>
        <v>2016-17</v>
      </c>
      <c r="BD240" s="804">
        <f>COUNTIF(RDprograms[[#This Row],[1978-79]:[2028-29]], "&gt;0")</f>
        <v>8</v>
      </c>
      <c r="BE240" s="805">
        <f>SUM(C240:BA240)/RDprograms[[#This Row],[Years with &gt; $0 investment]]</f>
        <v>297.56037500000002</v>
      </c>
      <c r="BF240" s="806" t="s">
        <v>246</v>
      </c>
      <c r="BG240" s="807" t="s">
        <v>669</v>
      </c>
      <c r="BH240" s="847" t="s">
        <v>688</v>
      </c>
      <c r="BI240" s="809"/>
      <c r="BJ240" s="809"/>
      <c r="BK240" s="809"/>
      <c r="BL240" s="809"/>
      <c r="BM240" s="809"/>
      <c r="BN240" s="810"/>
      <c r="BO240" s="811" t="s">
        <v>251</v>
      </c>
      <c r="BP240" s="812" t="s">
        <v>756</v>
      </c>
      <c r="BQ240" s="812" t="s">
        <v>757</v>
      </c>
      <c r="BR240" s="812" t="s">
        <v>754</v>
      </c>
      <c r="BS240" s="812"/>
      <c r="BT240" s="812" t="s">
        <v>244</v>
      </c>
    </row>
    <row r="241" spans="1:72" ht="12.75" customHeight="1">
      <c r="A241" s="813" t="s">
        <v>658</v>
      </c>
      <c r="B241" s="820" t="s">
        <v>758</v>
      </c>
      <c r="C241" s="5">
        <v>0</v>
      </c>
      <c r="D241" s="5">
        <v>0</v>
      </c>
      <c r="E241" s="5">
        <v>0</v>
      </c>
      <c r="F241" s="5">
        <v>0</v>
      </c>
      <c r="G241" s="5">
        <v>0</v>
      </c>
      <c r="H241" s="5">
        <v>0</v>
      </c>
      <c r="I241" s="5">
        <v>0</v>
      </c>
      <c r="J241" s="5">
        <v>0</v>
      </c>
      <c r="K241" s="5">
        <v>0</v>
      </c>
      <c r="L241" s="5">
        <v>0</v>
      </c>
      <c r="M241" s="5">
        <v>0</v>
      </c>
      <c r="N241" s="5">
        <v>0</v>
      </c>
      <c r="O241" s="5">
        <v>0</v>
      </c>
      <c r="P241" s="5">
        <v>0</v>
      </c>
      <c r="Q241" s="5">
        <v>0</v>
      </c>
      <c r="R241" s="5">
        <v>0</v>
      </c>
      <c r="S241" s="5">
        <v>0</v>
      </c>
      <c r="T241" s="5">
        <v>0</v>
      </c>
      <c r="U241" s="5">
        <v>0</v>
      </c>
      <c r="V241" s="5">
        <v>0</v>
      </c>
      <c r="W241" s="5">
        <v>0</v>
      </c>
      <c r="X241" s="5">
        <v>0</v>
      </c>
      <c r="Y241" s="5">
        <v>0</v>
      </c>
      <c r="Z241" s="5">
        <v>0</v>
      </c>
      <c r="AA241" s="5">
        <v>0</v>
      </c>
      <c r="AB241" s="5">
        <v>0</v>
      </c>
      <c r="AC241" s="5">
        <v>0</v>
      </c>
      <c r="AD241" s="5">
        <v>0</v>
      </c>
      <c r="AE241" s="5">
        <v>0</v>
      </c>
      <c r="AF241" s="5">
        <v>0</v>
      </c>
      <c r="AG241" s="5">
        <v>0</v>
      </c>
      <c r="AH241" s="5">
        <v>14.4</v>
      </c>
      <c r="AI241" s="5">
        <v>34.200000000000003</v>
      </c>
      <c r="AJ241" s="5">
        <v>15.5</v>
      </c>
      <c r="AK241" s="5">
        <v>0</v>
      </c>
      <c r="AL241" s="5">
        <v>0</v>
      </c>
      <c r="AM241" s="5">
        <v>0</v>
      </c>
      <c r="AN241" s="5">
        <v>0</v>
      </c>
      <c r="AO241" s="5">
        <v>0</v>
      </c>
      <c r="AP241" s="5">
        <v>0</v>
      </c>
      <c r="AQ241" s="5">
        <v>0</v>
      </c>
      <c r="AR241" s="5">
        <v>0</v>
      </c>
      <c r="AS241" s="5">
        <v>0</v>
      </c>
      <c r="AT241" s="5">
        <v>0</v>
      </c>
      <c r="AU241" s="5">
        <v>0</v>
      </c>
      <c r="AV241" s="5">
        <v>0</v>
      </c>
      <c r="AW241" s="815">
        <v>0</v>
      </c>
      <c r="AX241" s="816">
        <v>0</v>
      </c>
      <c r="AY241" s="819">
        <v>0</v>
      </c>
      <c r="AZ241" s="816"/>
      <c r="BA241" s="818"/>
      <c r="BB241" s="802" t="str" cm="1">
        <f t="array" ref="BB241">INDEX(C$4:BA$4,MATCH(TRUE,INDEX(C241:BA241&lt;&gt;0,),0))</f>
        <v>2009-10</v>
      </c>
      <c r="BC241" s="803" t="str" cm="1">
        <f t="array" ref="BC241">LOOKUP(2,1/(C241:BA241&lt;&gt;0),$C$4:$BA$4)</f>
        <v>2011-12</v>
      </c>
      <c r="BD241" s="804">
        <f>COUNTIF(RDprograms[[#This Row],[1978-79]:[2028-29]], "&gt;0")</f>
        <v>3</v>
      </c>
      <c r="BE241" s="805">
        <f>SUM(C241:BA241)/RDprograms[[#This Row],[Years with &gt; $0 investment]]</f>
        <v>21.366666666666664</v>
      </c>
      <c r="BF241" s="806" t="s">
        <v>273</v>
      </c>
      <c r="BG241" s="807" t="s">
        <v>397</v>
      </c>
      <c r="BH241" s="847" t="s">
        <v>269</v>
      </c>
      <c r="BI241" s="809"/>
      <c r="BJ241" s="809"/>
      <c r="BK241" s="809"/>
      <c r="BL241" s="809"/>
      <c r="BM241" s="809"/>
      <c r="BN241" s="810"/>
      <c r="BO241" s="811" t="s">
        <v>251</v>
      </c>
      <c r="BP241" s="812"/>
      <c r="BQ241" s="812"/>
      <c r="BR241" s="812"/>
      <c r="BS241" s="812"/>
      <c r="BT241" s="812" t="s">
        <v>238</v>
      </c>
    </row>
    <row r="242" spans="1:72" ht="12.75" customHeight="1">
      <c r="A242" s="813" t="s">
        <v>658</v>
      </c>
      <c r="B242" s="820" t="s">
        <v>759</v>
      </c>
      <c r="C242" s="5">
        <v>0</v>
      </c>
      <c r="D242" s="5">
        <v>0</v>
      </c>
      <c r="E242" s="5">
        <v>0</v>
      </c>
      <c r="F242" s="5">
        <v>0</v>
      </c>
      <c r="G242" s="5">
        <v>0</v>
      </c>
      <c r="H242" s="5">
        <v>0</v>
      </c>
      <c r="I242" s="5">
        <v>0</v>
      </c>
      <c r="J242" s="5">
        <v>0</v>
      </c>
      <c r="K242" s="5">
        <v>0</v>
      </c>
      <c r="L242" s="5">
        <v>0</v>
      </c>
      <c r="M242" s="5">
        <v>0</v>
      </c>
      <c r="N242" s="5">
        <v>0</v>
      </c>
      <c r="O242" s="5">
        <v>0</v>
      </c>
      <c r="P242" s="5">
        <v>0</v>
      </c>
      <c r="Q242" s="5">
        <v>0</v>
      </c>
      <c r="R242" s="5">
        <v>0</v>
      </c>
      <c r="S242" s="5">
        <v>0</v>
      </c>
      <c r="T242" s="5">
        <v>0</v>
      </c>
      <c r="U242" s="5">
        <v>0</v>
      </c>
      <c r="V242" s="5">
        <v>0</v>
      </c>
      <c r="W242" s="5">
        <v>0</v>
      </c>
      <c r="X242" s="5">
        <v>0</v>
      </c>
      <c r="Y242" s="5">
        <v>0</v>
      </c>
      <c r="Z242" s="5">
        <v>0</v>
      </c>
      <c r="AA242" s="5">
        <v>0</v>
      </c>
      <c r="AB242" s="5">
        <v>0</v>
      </c>
      <c r="AC242" s="5">
        <v>0</v>
      </c>
      <c r="AD242" s="5">
        <v>0</v>
      </c>
      <c r="AE242" s="5">
        <v>0</v>
      </c>
      <c r="AF242" s="5">
        <v>0</v>
      </c>
      <c r="AG242" s="5">
        <v>1</v>
      </c>
      <c r="AH242" s="5">
        <v>1</v>
      </c>
      <c r="AI242" s="5">
        <v>1</v>
      </c>
      <c r="AJ242" s="5">
        <v>1</v>
      </c>
      <c r="AK242" s="5">
        <v>1</v>
      </c>
      <c r="AL242" s="5">
        <v>0</v>
      </c>
      <c r="AM242" s="5">
        <v>0</v>
      </c>
      <c r="AN242" s="5">
        <v>0</v>
      </c>
      <c r="AO242" s="5">
        <v>0</v>
      </c>
      <c r="AP242" s="5">
        <v>0</v>
      </c>
      <c r="AQ242" s="5">
        <v>0</v>
      </c>
      <c r="AR242" s="5">
        <v>0</v>
      </c>
      <c r="AS242" s="5">
        <v>0</v>
      </c>
      <c r="AT242" s="5">
        <v>0</v>
      </c>
      <c r="AU242" s="5">
        <v>0</v>
      </c>
      <c r="AV242" s="5">
        <v>0</v>
      </c>
      <c r="AW242" s="815">
        <v>0</v>
      </c>
      <c r="AX242" s="816">
        <v>0</v>
      </c>
      <c r="AY242" s="819">
        <v>0</v>
      </c>
      <c r="AZ242" s="816"/>
      <c r="BA242" s="818"/>
      <c r="BB242" s="802" t="str" cm="1">
        <f t="array" ref="BB242">INDEX(C$4:BA$4,MATCH(TRUE,INDEX(C242:BA242&lt;&gt;0,),0))</f>
        <v>2008-09</v>
      </c>
      <c r="BC242" s="803" t="str" cm="1">
        <f t="array" ref="BC242">LOOKUP(2,1/(C242:BA242&lt;&gt;0),$C$4:$BA$4)</f>
        <v>2012-13</v>
      </c>
      <c r="BD242" s="804">
        <f>COUNTIF(RDprograms[[#This Row],[1978-79]:[2028-29]], "&gt;0")</f>
        <v>5</v>
      </c>
      <c r="BE242" s="805">
        <f>SUM(C242:BA242)/RDprograms[[#This Row],[Years with &gt; $0 investment]]</f>
        <v>1</v>
      </c>
      <c r="BF242" s="806" t="s">
        <v>273</v>
      </c>
      <c r="BG242" s="807" t="s">
        <v>397</v>
      </c>
      <c r="BH242" s="847" t="s">
        <v>269</v>
      </c>
      <c r="BI242" s="809"/>
      <c r="BJ242" s="809"/>
      <c r="BK242" s="809"/>
      <c r="BL242" s="809"/>
      <c r="BM242" s="809"/>
      <c r="BN242" s="810"/>
      <c r="BO242" s="811" t="s">
        <v>251</v>
      </c>
      <c r="BP242" s="812"/>
      <c r="BQ242" s="812"/>
      <c r="BR242" s="812"/>
      <c r="BS242" s="812"/>
      <c r="BT242" s="812" t="s">
        <v>238</v>
      </c>
    </row>
    <row r="243" spans="1:72" ht="12.75" customHeight="1">
      <c r="A243" s="813" t="s">
        <v>658</v>
      </c>
      <c r="B243" s="820" t="s">
        <v>760</v>
      </c>
      <c r="C243" s="5">
        <v>0</v>
      </c>
      <c r="D243" s="5">
        <v>0</v>
      </c>
      <c r="E243" s="5">
        <v>0</v>
      </c>
      <c r="F243" s="5">
        <v>0</v>
      </c>
      <c r="G243" s="5">
        <v>0</v>
      </c>
      <c r="H243" s="5">
        <v>0</v>
      </c>
      <c r="I243" s="5">
        <v>0</v>
      </c>
      <c r="J243" s="5">
        <v>0</v>
      </c>
      <c r="K243" s="5">
        <v>0</v>
      </c>
      <c r="L243" s="5">
        <v>0</v>
      </c>
      <c r="M243" s="5">
        <v>0</v>
      </c>
      <c r="N243" s="5">
        <v>0</v>
      </c>
      <c r="O243" s="5">
        <v>0</v>
      </c>
      <c r="P243" s="5">
        <v>0</v>
      </c>
      <c r="Q243" s="5">
        <v>0</v>
      </c>
      <c r="R243" s="5">
        <v>0</v>
      </c>
      <c r="S243" s="5">
        <v>0</v>
      </c>
      <c r="T243" s="5">
        <v>6.4</v>
      </c>
      <c r="U243" s="5">
        <v>17</v>
      </c>
      <c r="V243" s="5">
        <v>20.9</v>
      </c>
      <c r="W243" s="5">
        <v>10.7</v>
      </c>
      <c r="X243" s="5">
        <v>4.8</v>
      </c>
      <c r="Y243" s="5">
        <v>4.9000000000000004</v>
      </c>
      <c r="Z243" s="5">
        <v>4.5</v>
      </c>
      <c r="AA243" s="5">
        <v>25.03</v>
      </c>
      <c r="AB243" s="5">
        <v>38.520000000000003</v>
      </c>
      <c r="AC243" s="5">
        <v>42.259</v>
      </c>
      <c r="AD243" s="5">
        <v>42.21</v>
      </c>
      <c r="AE243" s="5">
        <v>0</v>
      </c>
      <c r="AF243" s="5">
        <v>0</v>
      </c>
      <c r="AG243" s="5">
        <v>0</v>
      </c>
      <c r="AH243" s="5">
        <v>0</v>
      </c>
      <c r="AI243" s="5">
        <v>0</v>
      </c>
      <c r="AJ243" s="5">
        <v>0</v>
      </c>
      <c r="AK243" s="5">
        <v>0</v>
      </c>
      <c r="AL243" s="5">
        <v>0</v>
      </c>
      <c r="AM243" s="5">
        <v>0</v>
      </c>
      <c r="AN243" s="5">
        <v>0</v>
      </c>
      <c r="AO243" s="5">
        <v>0</v>
      </c>
      <c r="AP243" s="5">
        <v>0</v>
      </c>
      <c r="AQ243" s="5">
        <v>0</v>
      </c>
      <c r="AR243" s="5">
        <v>0</v>
      </c>
      <c r="AS243" s="5">
        <v>0</v>
      </c>
      <c r="AT243" s="5">
        <v>0</v>
      </c>
      <c r="AU243" s="5">
        <v>0</v>
      </c>
      <c r="AV243" s="5">
        <v>0</v>
      </c>
      <c r="AW243" s="815">
        <v>0</v>
      </c>
      <c r="AX243" s="816">
        <v>0</v>
      </c>
      <c r="AY243" s="819">
        <v>0</v>
      </c>
      <c r="AZ243" s="816"/>
      <c r="BA243" s="818"/>
      <c r="BB243" s="802" t="str" cm="1">
        <f t="array" ref="BB243">INDEX(C$4:BA$4,MATCH(TRUE,INDEX(C243:BA243&lt;&gt;0,),0))</f>
        <v>1995-96</v>
      </c>
      <c r="BC243" s="803" t="str" cm="1">
        <f t="array" ref="BC243">LOOKUP(2,1/(C243:BA243&lt;&gt;0),$C$4:$BA$4)</f>
        <v>2005-06</v>
      </c>
      <c r="BD243" s="804">
        <f>COUNTIF(RDprograms[[#This Row],[1978-79]:[2028-29]], "&gt;0")</f>
        <v>11</v>
      </c>
      <c r="BE243" s="805">
        <f>SUM(C243:BA243)/RDprograms[[#This Row],[Years with &gt; $0 investment]]</f>
        <v>19.747181818181819</v>
      </c>
      <c r="BF243" s="806" t="s">
        <v>273</v>
      </c>
      <c r="BG243" s="807" t="s">
        <v>397</v>
      </c>
      <c r="BH243" s="847" t="s">
        <v>241</v>
      </c>
      <c r="BI243" s="809"/>
      <c r="BJ243" s="809"/>
      <c r="BK243" s="809"/>
      <c r="BL243" s="809"/>
      <c r="BM243" s="809"/>
      <c r="BN243" s="810"/>
      <c r="BO243" s="811" t="s">
        <v>236</v>
      </c>
      <c r="BP243" s="812"/>
      <c r="BQ243" s="812"/>
      <c r="BR243" s="812"/>
      <c r="BS243" s="812"/>
      <c r="BT243" s="812" t="s">
        <v>238</v>
      </c>
    </row>
    <row r="244" spans="1:72" ht="12.75" customHeight="1">
      <c r="A244" s="813" t="s">
        <v>658</v>
      </c>
      <c r="B244" s="820" t="s">
        <v>761</v>
      </c>
      <c r="C244" s="5">
        <v>0</v>
      </c>
      <c r="D244" s="5">
        <v>0</v>
      </c>
      <c r="E244" s="5">
        <v>0</v>
      </c>
      <c r="F244" s="5">
        <v>0</v>
      </c>
      <c r="G244" s="5">
        <v>0</v>
      </c>
      <c r="H244" s="5">
        <v>0</v>
      </c>
      <c r="I244" s="5">
        <v>0</v>
      </c>
      <c r="J244" s="5">
        <v>0</v>
      </c>
      <c r="K244" s="5">
        <v>0</v>
      </c>
      <c r="L244" s="5">
        <v>0</v>
      </c>
      <c r="M244" s="5">
        <v>0</v>
      </c>
      <c r="N244" s="5">
        <v>0</v>
      </c>
      <c r="O244" s="5">
        <v>0</v>
      </c>
      <c r="P244" s="5">
        <v>0</v>
      </c>
      <c r="Q244" s="5">
        <v>0</v>
      </c>
      <c r="R244" s="5">
        <v>0</v>
      </c>
      <c r="S244" s="5">
        <v>0</v>
      </c>
      <c r="T244" s="5">
        <v>0</v>
      </c>
      <c r="U244" s="5">
        <v>0</v>
      </c>
      <c r="V244" s="5">
        <v>0</v>
      </c>
      <c r="W244" s="5">
        <v>0</v>
      </c>
      <c r="X244" s="5">
        <v>0</v>
      </c>
      <c r="Y244" s="5">
        <v>0</v>
      </c>
      <c r="Z244" s="5">
        <v>0</v>
      </c>
      <c r="AA244" s="5">
        <v>0</v>
      </c>
      <c r="AB244" s="5">
        <v>7.3</v>
      </c>
      <c r="AC244" s="5">
        <v>0</v>
      </c>
      <c r="AD244" s="5">
        <v>0</v>
      </c>
      <c r="AE244" s="5">
        <v>0</v>
      </c>
      <c r="AF244" s="5">
        <v>0</v>
      </c>
      <c r="AG244" s="5">
        <v>0</v>
      </c>
      <c r="AH244" s="5">
        <v>0</v>
      </c>
      <c r="AI244" s="5">
        <v>0</v>
      </c>
      <c r="AJ244" s="5">
        <v>0</v>
      </c>
      <c r="AK244" s="5">
        <v>0</v>
      </c>
      <c r="AL244" s="5">
        <v>0</v>
      </c>
      <c r="AM244" s="5">
        <v>0</v>
      </c>
      <c r="AN244" s="5">
        <v>0</v>
      </c>
      <c r="AO244" s="5">
        <v>0</v>
      </c>
      <c r="AP244" s="816">
        <v>0</v>
      </c>
      <c r="AQ244" s="816">
        <v>0</v>
      </c>
      <c r="AR244" s="5">
        <v>0</v>
      </c>
      <c r="AS244" s="5">
        <v>0</v>
      </c>
      <c r="AT244" s="5">
        <v>0</v>
      </c>
      <c r="AU244" s="5">
        <v>0</v>
      </c>
      <c r="AV244" s="5">
        <v>0</v>
      </c>
      <c r="AW244" s="815">
        <v>0</v>
      </c>
      <c r="AX244" s="816">
        <v>0</v>
      </c>
      <c r="AY244" s="819">
        <v>0</v>
      </c>
      <c r="AZ244" s="816"/>
      <c r="BA244" s="818"/>
      <c r="BB244" s="802" t="str" cm="1">
        <f t="array" ref="BB244">INDEX(C$4:BA$4,MATCH(TRUE,INDEX(C244:BA244&lt;&gt;0,),0))</f>
        <v>2003-04</v>
      </c>
      <c r="BC244" s="803" t="str" cm="1">
        <f t="array" ref="BC244">LOOKUP(2,1/(C244:BA244&lt;&gt;0),$C$4:$BA$4)</f>
        <v>2003-04</v>
      </c>
      <c r="BD244" s="804">
        <f>COUNTIF(RDprograms[[#This Row],[1978-79]:[2028-29]], "&gt;0")</f>
        <v>1</v>
      </c>
      <c r="BE244" s="805">
        <f>SUM(C244:BA244)/RDprograms[[#This Row],[Years with &gt; $0 investment]]</f>
        <v>7.3</v>
      </c>
      <c r="BF244" s="806" t="s">
        <v>273</v>
      </c>
      <c r="BG244" s="807" t="s">
        <v>734</v>
      </c>
      <c r="BH244" s="847" t="s">
        <v>269</v>
      </c>
      <c r="BI244" s="809"/>
      <c r="BJ244" s="809"/>
      <c r="BK244" s="809"/>
      <c r="BL244" s="809"/>
      <c r="BM244" s="809"/>
      <c r="BN244" s="810"/>
      <c r="BO244" s="811" t="s">
        <v>251</v>
      </c>
      <c r="BP244" s="812"/>
      <c r="BQ244" s="812"/>
      <c r="BR244" s="812"/>
      <c r="BS244" s="812"/>
      <c r="BT244" s="812" t="s">
        <v>238</v>
      </c>
    </row>
    <row r="245" spans="1:72" ht="12.75" customHeight="1">
      <c r="A245" s="813" t="s">
        <v>658</v>
      </c>
      <c r="B245" s="820" t="s">
        <v>762</v>
      </c>
      <c r="C245" s="5">
        <v>0</v>
      </c>
      <c r="D245" s="5">
        <v>0</v>
      </c>
      <c r="E245" s="5">
        <v>0</v>
      </c>
      <c r="F245" s="5">
        <v>0</v>
      </c>
      <c r="G245" s="5">
        <v>0</v>
      </c>
      <c r="H245" s="5">
        <v>0</v>
      </c>
      <c r="I245" s="5">
        <v>0</v>
      </c>
      <c r="J245" s="5">
        <v>0</v>
      </c>
      <c r="K245" s="5">
        <v>0</v>
      </c>
      <c r="L245" s="5">
        <v>0</v>
      </c>
      <c r="M245" s="5">
        <v>0</v>
      </c>
      <c r="N245" s="5">
        <v>0</v>
      </c>
      <c r="O245" s="5">
        <v>0</v>
      </c>
      <c r="P245" s="5">
        <v>0</v>
      </c>
      <c r="Q245" s="5">
        <v>0</v>
      </c>
      <c r="R245" s="5">
        <v>0</v>
      </c>
      <c r="S245" s="5">
        <v>0</v>
      </c>
      <c r="T245" s="5">
        <v>0</v>
      </c>
      <c r="U245" s="5">
        <v>0</v>
      </c>
      <c r="V245" s="5">
        <v>0</v>
      </c>
      <c r="W245" s="5">
        <v>0</v>
      </c>
      <c r="X245" s="5">
        <v>0</v>
      </c>
      <c r="Y245" s="5">
        <v>0</v>
      </c>
      <c r="Z245" s="5">
        <v>0</v>
      </c>
      <c r="AA245" s="5">
        <v>0</v>
      </c>
      <c r="AB245" s="5">
        <v>0</v>
      </c>
      <c r="AC245" s="5">
        <v>0</v>
      </c>
      <c r="AD245" s="5">
        <v>0</v>
      </c>
      <c r="AE245" s="5">
        <v>0</v>
      </c>
      <c r="AF245" s="5">
        <v>0</v>
      </c>
      <c r="AG245" s="5">
        <v>0</v>
      </c>
      <c r="AH245" s="5">
        <v>18.018000000000001</v>
      </c>
      <c r="AI245" s="5">
        <v>15.762</v>
      </c>
      <c r="AJ245" s="5">
        <v>3</v>
      </c>
      <c r="AK245" s="5">
        <v>0</v>
      </c>
      <c r="AL245" s="5">
        <v>0</v>
      </c>
      <c r="AM245" s="5">
        <v>0</v>
      </c>
      <c r="AN245" s="5">
        <v>0</v>
      </c>
      <c r="AO245" s="5">
        <v>0</v>
      </c>
      <c r="AP245" s="5">
        <v>0</v>
      </c>
      <c r="AQ245" s="5">
        <v>0</v>
      </c>
      <c r="AR245" s="5">
        <v>0</v>
      </c>
      <c r="AS245" s="5">
        <v>0</v>
      </c>
      <c r="AT245" s="5">
        <v>0</v>
      </c>
      <c r="AU245" s="5">
        <v>0</v>
      </c>
      <c r="AV245" s="5">
        <v>0</v>
      </c>
      <c r="AW245" s="815">
        <v>0</v>
      </c>
      <c r="AX245" s="816">
        <v>0</v>
      </c>
      <c r="AY245" s="819">
        <v>0</v>
      </c>
      <c r="AZ245" s="816"/>
      <c r="BA245" s="818"/>
      <c r="BB245" s="802" t="str" cm="1">
        <f t="array" ref="BB245">INDEX(C$4:BA$4,MATCH(TRUE,INDEX(C245:BA245&lt;&gt;0,),0))</f>
        <v>2009-10</v>
      </c>
      <c r="BC245" s="803" t="str" cm="1">
        <f t="array" ref="BC245">LOOKUP(2,1/(C245:BA245&lt;&gt;0),$C$4:$BA$4)</f>
        <v>2011-12</v>
      </c>
      <c r="BD245" s="804">
        <f>COUNTIF(RDprograms[[#This Row],[1978-79]:[2028-29]], "&gt;0")</f>
        <v>3</v>
      </c>
      <c r="BE245" s="805">
        <f>SUM(C245:BA245)/RDprograms[[#This Row],[Years with &gt; $0 investment]]</f>
        <v>12.26</v>
      </c>
      <c r="BF245" s="806" t="s">
        <v>273</v>
      </c>
      <c r="BG245" s="807" t="s">
        <v>397</v>
      </c>
      <c r="BH245" s="847" t="s">
        <v>269</v>
      </c>
      <c r="BI245" s="809"/>
      <c r="BJ245" s="809"/>
      <c r="BK245" s="809"/>
      <c r="BL245" s="809"/>
      <c r="BM245" s="809"/>
      <c r="BN245" s="810"/>
      <c r="BO245" s="811" t="s">
        <v>251</v>
      </c>
      <c r="BP245" s="812"/>
      <c r="BQ245" s="812"/>
      <c r="BR245" s="812"/>
      <c r="BS245" s="812"/>
      <c r="BT245" s="812" t="s">
        <v>238</v>
      </c>
    </row>
    <row r="246" spans="1:72" ht="12.75" customHeight="1">
      <c r="A246" s="813" t="s">
        <v>658</v>
      </c>
      <c r="B246" s="820" t="s">
        <v>763</v>
      </c>
      <c r="C246" s="5">
        <v>0</v>
      </c>
      <c r="D246" s="5">
        <v>0</v>
      </c>
      <c r="E246" s="5">
        <v>0</v>
      </c>
      <c r="F246" s="5">
        <v>0</v>
      </c>
      <c r="G246" s="5">
        <v>0</v>
      </c>
      <c r="H246" s="5">
        <v>0</v>
      </c>
      <c r="I246" s="5">
        <v>0</v>
      </c>
      <c r="J246" s="5">
        <v>0</v>
      </c>
      <c r="K246" s="5">
        <v>0</v>
      </c>
      <c r="L246" s="5">
        <v>0</v>
      </c>
      <c r="M246" s="5">
        <v>0</v>
      </c>
      <c r="N246" s="5">
        <v>0</v>
      </c>
      <c r="O246" s="5">
        <v>0</v>
      </c>
      <c r="P246" s="5">
        <v>0</v>
      </c>
      <c r="Q246" s="5">
        <v>0</v>
      </c>
      <c r="R246" s="5">
        <v>0</v>
      </c>
      <c r="S246" s="5">
        <v>0</v>
      </c>
      <c r="T246" s="5">
        <v>0</v>
      </c>
      <c r="U246" s="5">
        <v>0</v>
      </c>
      <c r="V246" s="5">
        <v>0</v>
      </c>
      <c r="W246" s="5">
        <v>0</v>
      </c>
      <c r="X246" s="5">
        <v>0</v>
      </c>
      <c r="Y246" s="5">
        <v>0</v>
      </c>
      <c r="Z246" s="5">
        <v>0</v>
      </c>
      <c r="AA246" s="5">
        <v>0</v>
      </c>
      <c r="AB246" s="5">
        <v>0</v>
      </c>
      <c r="AC246" s="5">
        <v>0</v>
      </c>
      <c r="AD246" s="5">
        <v>13.146000000000001</v>
      </c>
      <c r="AE246" s="5">
        <v>78.195999999999998</v>
      </c>
      <c r="AF246" s="5">
        <v>120.59699999999999</v>
      </c>
      <c r="AG246" s="5">
        <v>102.8</v>
      </c>
      <c r="AH246" s="5">
        <v>104.11</v>
      </c>
      <c r="AI246" s="5">
        <v>107.09</v>
      </c>
      <c r="AJ246" s="5">
        <v>0</v>
      </c>
      <c r="AK246" s="5">
        <v>0</v>
      </c>
      <c r="AL246" s="5">
        <v>80.099999999999994</v>
      </c>
      <c r="AM246" s="5">
        <v>100.1</v>
      </c>
      <c r="AN246" s="5">
        <v>150</v>
      </c>
      <c r="AO246" s="5">
        <v>150</v>
      </c>
      <c r="AP246" s="5">
        <v>421.267</v>
      </c>
      <c r="AQ246" s="5">
        <v>160.822</v>
      </c>
      <c r="AR246" s="5">
        <v>179.905</v>
      </c>
      <c r="AS246" s="5">
        <v>256.35000000000002</v>
      </c>
      <c r="AT246" s="5">
        <v>273.56700000000001</v>
      </c>
      <c r="AU246" s="5">
        <v>286.04300000000001</v>
      </c>
      <c r="AV246" s="5">
        <v>402.29</v>
      </c>
      <c r="AW246" s="815">
        <v>502.64800000000002</v>
      </c>
      <c r="AX246" s="816">
        <v>464.75299999999999</v>
      </c>
      <c r="AY246" s="819">
        <v>374.01900000000001</v>
      </c>
      <c r="AZ246" s="816">
        <v>357.06900000000002</v>
      </c>
      <c r="BA246" s="818">
        <v>397.73899999999998</v>
      </c>
      <c r="BB246" s="802" t="str" cm="1">
        <f t="array" ref="BB246">INDEX(C$4:BA$4,MATCH(TRUE,INDEX(C246:BA246&lt;&gt;0,),0))</f>
        <v>2005-06</v>
      </c>
      <c r="BC246" s="803" t="str" cm="1">
        <f t="array" ref="BC246">LOOKUP(2,1/(C246:BA246&lt;&gt;0),$C$4:$BA$4)</f>
        <v>2028-29</v>
      </c>
      <c r="BD246" s="804">
        <f>COUNTIF(RDprograms[[#This Row],[1978-79]:[2028-29]], "&gt;0")</f>
        <v>22</v>
      </c>
      <c r="BE246" s="805">
        <f>SUM(C246:BA246)/RDprograms[[#This Row],[Years with &gt; $0 investment]]</f>
        <v>231.02777272727278</v>
      </c>
      <c r="BF246" s="806" t="s">
        <v>273</v>
      </c>
      <c r="BG246" s="807" t="s">
        <v>403</v>
      </c>
      <c r="BH246" s="847" t="s">
        <v>241</v>
      </c>
      <c r="BI246" s="809">
        <v>1</v>
      </c>
      <c r="BJ246" s="809">
        <v>1</v>
      </c>
      <c r="BK246" s="809">
        <v>1</v>
      </c>
      <c r="BL246" s="809">
        <v>1</v>
      </c>
      <c r="BM246" s="809">
        <v>1</v>
      </c>
      <c r="BN246" s="810"/>
      <c r="BO246" s="811" t="s">
        <v>236</v>
      </c>
      <c r="BP246" s="812" t="s">
        <v>764</v>
      </c>
      <c r="BQ246" s="812" t="s">
        <v>765</v>
      </c>
      <c r="BR246" s="812"/>
      <c r="BS246" s="812" t="s">
        <v>244</v>
      </c>
      <c r="BT246" s="812" t="s">
        <v>238</v>
      </c>
    </row>
    <row r="247" spans="1:72" ht="12.75" customHeight="1">
      <c r="A247" s="813" t="s">
        <v>658</v>
      </c>
      <c r="B247" s="820" t="s">
        <v>766</v>
      </c>
      <c r="C247" s="5">
        <v>0</v>
      </c>
      <c r="D247" s="5">
        <v>0</v>
      </c>
      <c r="E247" s="5">
        <v>0</v>
      </c>
      <c r="F247" s="5">
        <v>0</v>
      </c>
      <c r="G247" s="5">
        <v>0</v>
      </c>
      <c r="H247" s="5">
        <v>0</v>
      </c>
      <c r="I247" s="5">
        <v>0</v>
      </c>
      <c r="J247" s="5">
        <v>0</v>
      </c>
      <c r="K247" s="5">
        <v>0</v>
      </c>
      <c r="L247" s="5">
        <v>0</v>
      </c>
      <c r="M247" s="5">
        <v>0</v>
      </c>
      <c r="N247" s="5">
        <v>0</v>
      </c>
      <c r="O247" s="5">
        <v>0</v>
      </c>
      <c r="P247" s="5">
        <v>0</v>
      </c>
      <c r="Q247" s="5">
        <v>0</v>
      </c>
      <c r="R247" s="5">
        <v>0</v>
      </c>
      <c r="S247" s="5">
        <v>0</v>
      </c>
      <c r="T247" s="5">
        <v>0</v>
      </c>
      <c r="U247" s="5">
        <v>0</v>
      </c>
      <c r="V247" s="5">
        <v>0</v>
      </c>
      <c r="W247" s="5">
        <v>0</v>
      </c>
      <c r="X247" s="5">
        <v>0</v>
      </c>
      <c r="Y247" s="5">
        <v>0</v>
      </c>
      <c r="Z247" s="5">
        <v>0</v>
      </c>
      <c r="AA247" s="5">
        <v>0</v>
      </c>
      <c r="AB247" s="5">
        <v>0</v>
      </c>
      <c r="AC247" s="5">
        <v>0</v>
      </c>
      <c r="AD247" s="5">
        <v>0</v>
      </c>
      <c r="AE247" s="5">
        <v>0</v>
      </c>
      <c r="AF247" s="5">
        <v>0</v>
      </c>
      <c r="AG247" s="5">
        <v>0</v>
      </c>
      <c r="AH247" s="5">
        <v>0</v>
      </c>
      <c r="AI247" s="5">
        <v>0</v>
      </c>
      <c r="AJ247" s="5">
        <v>0</v>
      </c>
      <c r="AK247" s="5">
        <v>1.429</v>
      </c>
      <c r="AL247" s="5">
        <v>2.8580000000000001</v>
      </c>
      <c r="AM247" s="5">
        <v>0</v>
      </c>
      <c r="AN247" s="5">
        <v>0</v>
      </c>
      <c r="AO247" s="5">
        <v>0</v>
      </c>
      <c r="AP247" s="5">
        <v>0</v>
      </c>
      <c r="AQ247" s="5">
        <v>0</v>
      </c>
      <c r="AR247" s="5">
        <v>0</v>
      </c>
      <c r="AS247" s="5">
        <v>0</v>
      </c>
      <c r="AT247" s="5">
        <v>0</v>
      </c>
      <c r="AU247" s="5">
        <v>0</v>
      </c>
      <c r="AV247" s="5">
        <v>0</v>
      </c>
      <c r="AW247" s="815">
        <v>0</v>
      </c>
      <c r="AX247" s="816">
        <v>0</v>
      </c>
      <c r="AY247" s="819">
        <v>0</v>
      </c>
      <c r="AZ247" s="816"/>
      <c r="BA247" s="818"/>
      <c r="BB247" s="802" t="str" cm="1">
        <f t="array" ref="BB247">INDEX(C$4:BA$4,MATCH(TRUE,INDEX(C247:BA247&lt;&gt;0,),0))</f>
        <v>2012-13</v>
      </c>
      <c r="BC247" s="803" t="str" cm="1">
        <f t="array" ref="BC247">LOOKUP(2,1/(C247:BA247&lt;&gt;0),$C$4:$BA$4)</f>
        <v>2013-14</v>
      </c>
      <c r="BD247" s="804">
        <f>COUNTIF(RDprograms[[#This Row],[1978-79]:[2028-29]], "&gt;0")</f>
        <v>2</v>
      </c>
      <c r="BE247" s="805">
        <f>SUM(C247:BA247)/RDprograms[[#This Row],[Years with &gt; $0 investment]]</f>
        <v>2.1435</v>
      </c>
      <c r="BF247" s="806" t="s">
        <v>273</v>
      </c>
      <c r="BG247" s="807" t="s">
        <v>397</v>
      </c>
      <c r="BH247" s="847" t="s">
        <v>269</v>
      </c>
      <c r="BI247" s="809"/>
      <c r="BJ247" s="809"/>
      <c r="BK247" s="809"/>
      <c r="BL247" s="809"/>
      <c r="BM247" s="809"/>
      <c r="BN247" s="810"/>
      <c r="BO247" s="811" t="s">
        <v>251</v>
      </c>
      <c r="BP247" s="812"/>
      <c r="BQ247" s="812"/>
      <c r="BR247" s="812"/>
      <c r="BS247" s="812" t="s">
        <v>672</v>
      </c>
      <c r="BT247" s="812" t="s">
        <v>238</v>
      </c>
    </row>
    <row r="248" spans="1:72" ht="12.75" customHeight="1">
      <c r="A248" s="813" t="s">
        <v>658</v>
      </c>
      <c r="B248" s="820" t="s">
        <v>767</v>
      </c>
      <c r="C248" s="5">
        <v>0</v>
      </c>
      <c r="D248" s="5">
        <v>0</v>
      </c>
      <c r="E248" s="5">
        <v>0</v>
      </c>
      <c r="F248" s="5">
        <v>0</v>
      </c>
      <c r="G248" s="5">
        <v>0</v>
      </c>
      <c r="H248" s="5">
        <v>0</v>
      </c>
      <c r="I248" s="5">
        <v>0</v>
      </c>
      <c r="J248" s="5">
        <v>0</v>
      </c>
      <c r="K248" s="5">
        <v>0</v>
      </c>
      <c r="L248" s="5">
        <v>0</v>
      </c>
      <c r="M248" s="5">
        <v>0</v>
      </c>
      <c r="N248" s="5">
        <v>0</v>
      </c>
      <c r="O248" s="5">
        <v>0</v>
      </c>
      <c r="P248" s="5">
        <v>0</v>
      </c>
      <c r="Q248" s="5">
        <v>0</v>
      </c>
      <c r="R248" s="5">
        <v>0</v>
      </c>
      <c r="S248" s="5">
        <v>0</v>
      </c>
      <c r="T248" s="5">
        <v>0</v>
      </c>
      <c r="U248" s="5">
        <v>0</v>
      </c>
      <c r="V248" s="5">
        <v>0</v>
      </c>
      <c r="W248" s="5">
        <v>0</v>
      </c>
      <c r="X248" s="5">
        <v>0</v>
      </c>
      <c r="Y248" s="5">
        <v>0</v>
      </c>
      <c r="Z248" s="5">
        <v>0</v>
      </c>
      <c r="AA248" s="5">
        <v>0</v>
      </c>
      <c r="AB248" s="5">
        <v>0</v>
      </c>
      <c r="AC248" s="5">
        <v>0</v>
      </c>
      <c r="AD248" s="5">
        <v>0</v>
      </c>
      <c r="AE248" s="5">
        <v>0</v>
      </c>
      <c r="AF248" s="5">
        <v>0</v>
      </c>
      <c r="AG248" s="5">
        <v>0</v>
      </c>
      <c r="AH248" s="5">
        <v>0</v>
      </c>
      <c r="AI248" s="5">
        <v>34.6</v>
      </c>
      <c r="AJ248" s="5">
        <v>5.6310000000000002</v>
      </c>
      <c r="AK248" s="5">
        <v>0</v>
      </c>
      <c r="AL248" s="5">
        <v>0</v>
      </c>
      <c r="AM248" s="5">
        <v>0</v>
      </c>
      <c r="AN248" s="5">
        <v>0</v>
      </c>
      <c r="AO248" s="5">
        <v>0</v>
      </c>
      <c r="AP248" s="816">
        <v>0</v>
      </c>
      <c r="AQ248" s="816">
        <v>0</v>
      </c>
      <c r="AR248" s="5">
        <v>0</v>
      </c>
      <c r="AS248" s="5">
        <v>0</v>
      </c>
      <c r="AT248" s="5">
        <v>0</v>
      </c>
      <c r="AU248" s="5">
        <v>0</v>
      </c>
      <c r="AV248" s="5">
        <v>0</v>
      </c>
      <c r="AW248" s="815">
        <v>0</v>
      </c>
      <c r="AX248" s="816">
        <v>0</v>
      </c>
      <c r="AY248" s="819">
        <v>0</v>
      </c>
      <c r="AZ248" s="816"/>
      <c r="BA248" s="818"/>
      <c r="BB248" s="802" t="str" cm="1">
        <f t="array" ref="BB248">INDEX(C$4:BA$4,MATCH(TRUE,INDEX(C248:BA248&lt;&gt;0,),0))</f>
        <v>2010-11</v>
      </c>
      <c r="BC248" s="803" t="str" cm="1">
        <f t="array" ref="BC248">LOOKUP(2,1/(C248:BA248&lt;&gt;0),$C$4:$BA$4)</f>
        <v>2011-12</v>
      </c>
      <c r="BD248" s="804">
        <f>COUNTIF(RDprograms[[#This Row],[1978-79]:[2028-29]], "&gt;0")</f>
        <v>2</v>
      </c>
      <c r="BE248" s="805">
        <f>SUM(C248:BA248)/RDprograms[[#This Row],[Years with &gt; $0 investment]]</f>
        <v>20.115500000000001</v>
      </c>
      <c r="BF248" s="806" t="s">
        <v>273</v>
      </c>
      <c r="BG248" s="807" t="s">
        <v>397</v>
      </c>
      <c r="BH248" s="847" t="s">
        <v>241</v>
      </c>
      <c r="BI248" s="809"/>
      <c r="BJ248" s="809"/>
      <c r="BK248" s="809"/>
      <c r="BL248" s="809"/>
      <c r="BM248" s="809"/>
      <c r="BN248" s="810"/>
      <c r="BO248" s="811" t="s">
        <v>251</v>
      </c>
      <c r="BP248" s="812"/>
      <c r="BQ248" s="812"/>
      <c r="BR248" s="812"/>
      <c r="BS248" s="812"/>
      <c r="BT248" s="812" t="s">
        <v>238</v>
      </c>
    </row>
    <row r="249" spans="1:72" ht="12.75" customHeight="1">
      <c r="A249" s="813" t="s">
        <v>658</v>
      </c>
      <c r="B249" s="820" t="s">
        <v>768</v>
      </c>
      <c r="C249" s="5">
        <v>0</v>
      </c>
      <c r="D249" s="5">
        <v>0</v>
      </c>
      <c r="E249" s="5">
        <v>0</v>
      </c>
      <c r="F249" s="5">
        <v>0</v>
      </c>
      <c r="G249" s="5">
        <v>0</v>
      </c>
      <c r="H249" s="5">
        <v>0</v>
      </c>
      <c r="I249" s="5">
        <v>0</v>
      </c>
      <c r="J249" s="5">
        <v>0</v>
      </c>
      <c r="K249" s="5">
        <v>0</v>
      </c>
      <c r="L249" s="5">
        <v>0</v>
      </c>
      <c r="M249" s="5">
        <v>0</v>
      </c>
      <c r="N249" s="5">
        <v>0</v>
      </c>
      <c r="O249" s="5">
        <v>0</v>
      </c>
      <c r="P249" s="5">
        <v>0</v>
      </c>
      <c r="Q249" s="5">
        <v>0</v>
      </c>
      <c r="R249" s="5">
        <v>0</v>
      </c>
      <c r="S249" s="5">
        <v>0</v>
      </c>
      <c r="T249" s="5">
        <v>0</v>
      </c>
      <c r="U249" s="5">
        <v>0</v>
      </c>
      <c r="V249" s="5">
        <v>0</v>
      </c>
      <c r="W249" s="5">
        <v>0</v>
      </c>
      <c r="X249" s="5">
        <v>0</v>
      </c>
      <c r="Y249" s="5">
        <v>0</v>
      </c>
      <c r="Z249" s="5">
        <v>0</v>
      </c>
      <c r="AA249" s="5">
        <v>0</v>
      </c>
      <c r="AB249" s="5">
        <v>0</v>
      </c>
      <c r="AC249" s="5">
        <v>0</v>
      </c>
      <c r="AD249" s="5">
        <v>0</v>
      </c>
      <c r="AE249" s="5">
        <v>0</v>
      </c>
      <c r="AF249" s="5">
        <v>0</v>
      </c>
      <c r="AG249" s="5">
        <v>0</v>
      </c>
      <c r="AH249" s="5">
        <v>0</v>
      </c>
      <c r="AI249" s="5">
        <v>0</v>
      </c>
      <c r="AJ249" s="5">
        <v>0</v>
      </c>
      <c r="AK249" s="5">
        <v>0</v>
      </c>
      <c r="AL249" s="5">
        <v>0</v>
      </c>
      <c r="AM249" s="5">
        <v>0</v>
      </c>
      <c r="AN249" s="5">
        <v>0</v>
      </c>
      <c r="AO249" s="5">
        <v>0</v>
      </c>
      <c r="AP249" s="5">
        <v>0</v>
      </c>
      <c r="AQ249" s="5">
        <v>0</v>
      </c>
      <c r="AR249" s="5">
        <v>0</v>
      </c>
      <c r="AS249" s="5">
        <v>0</v>
      </c>
      <c r="AT249" s="5">
        <v>0</v>
      </c>
      <c r="AU249" s="5">
        <v>0</v>
      </c>
      <c r="AV249" s="5">
        <v>2.4390000000000001</v>
      </c>
      <c r="AW249" s="815">
        <v>6.7130000000000001</v>
      </c>
      <c r="AX249" s="816">
        <v>12.186</v>
      </c>
      <c r="AY249" s="819">
        <v>19.437999999999999</v>
      </c>
      <c r="AZ249" s="816">
        <v>25.885000000000002</v>
      </c>
      <c r="BA249" s="818">
        <v>30.388999999999999</v>
      </c>
      <c r="BB249" s="802" t="str" cm="1">
        <f t="array" ref="BB249">INDEX(C$4:BA$4,MATCH(TRUE,INDEX(C249:BA249&lt;&gt;0,),0))</f>
        <v>2023-24</v>
      </c>
      <c r="BC249" s="803" t="str" cm="1">
        <f t="array" ref="BC249">LOOKUP(2,1/(C249:BA249&lt;&gt;0),$C$4:$BA$4)</f>
        <v>2028-29</v>
      </c>
      <c r="BD249" s="804">
        <f>COUNTIF(RDprograms[[#This Row],[1978-79]:[2028-29]], "&gt;0")</f>
        <v>6</v>
      </c>
      <c r="BE249" s="805">
        <f>SUM(C249:BA249)/RDprograms[[#This Row],[Years with &gt; $0 investment]]</f>
        <v>16.175000000000001</v>
      </c>
      <c r="BF249" s="806" t="s">
        <v>273</v>
      </c>
      <c r="BG249" s="807" t="s">
        <v>397</v>
      </c>
      <c r="BH249" s="847" t="s">
        <v>269</v>
      </c>
      <c r="BI249" s="809">
        <v>1</v>
      </c>
      <c r="BJ249" s="809">
        <v>1</v>
      </c>
      <c r="BK249" s="809">
        <v>1</v>
      </c>
      <c r="BL249" s="809">
        <v>1</v>
      </c>
      <c r="BM249" s="809">
        <v>1</v>
      </c>
      <c r="BN249" s="810">
        <v>1</v>
      </c>
      <c r="BO249" s="811" t="s">
        <v>251</v>
      </c>
      <c r="BP249" s="812" t="s">
        <v>769</v>
      </c>
      <c r="BQ249" s="812"/>
      <c r="BR249" s="812"/>
      <c r="BS249" s="812" t="s">
        <v>386</v>
      </c>
      <c r="BT249" s="812" t="s">
        <v>238</v>
      </c>
    </row>
    <row r="250" spans="1:72" ht="12.75" customHeight="1">
      <c r="A250" s="813" t="s">
        <v>658</v>
      </c>
      <c r="B250" s="820" t="s">
        <v>770</v>
      </c>
      <c r="C250" s="5">
        <v>0</v>
      </c>
      <c r="D250" s="5">
        <v>0</v>
      </c>
      <c r="E250" s="5">
        <v>0</v>
      </c>
      <c r="F250" s="5">
        <v>71</v>
      </c>
      <c r="G250" s="5">
        <v>76</v>
      </c>
      <c r="H250" s="5">
        <v>81</v>
      </c>
      <c r="I250" s="5">
        <v>87</v>
      </c>
      <c r="J250" s="5">
        <v>93</v>
      </c>
      <c r="K250" s="5">
        <v>97</v>
      </c>
      <c r="L250" s="5">
        <v>100</v>
      </c>
      <c r="M250" s="5">
        <v>108</v>
      </c>
      <c r="N250" s="5">
        <v>122</v>
      </c>
      <c r="O250" s="5">
        <v>134</v>
      </c>
      <c r="P250" s="5">
        <v>141</v>
      </c>
      <c r="Q250" s="5">
        <v>145</v>
      </c>
      <c r="R250" s="5">
        <v>146</v>
      </c>
      <c r="S250" s="5">
        <v>147</v>
      </c>
      <c r="T250" s="5">
        <v>150</v>
      </c>
      <c r="U250" s="5">
        <v>152</v>
      </c>
      <c r="V250" s="5">
        <v>151</v>
      </c>
      <c r="W250" s="5">
        <v>151</v>
      </c>
      <c r="X250" s="5">
        <v>159.47499999999999</v>
      </c>
      <c r="Y250" s="5">
        <v>161.19749999999999</v>
      </c>
      <c r="Z250" s="5">
        <v>157.93199999999999</v>
      </c>
      <c r="AA250" s="5">
        <v>150.74199999999999</v>
      </c>
      <c r="AB250" s="5">
        <v>150.27799999999999</v>
      </c>
      <c r="AC250" s="5">
        <v>154.94800000000001</v>
      </c>
      <c r="AD250" s="5">
        <v>160.74199999999999</v>
      </c>
      <c r="AE250" s="5">
        <v>166.62899999999999</v>
      </c>
      <c r="AF250" s="5">
        <v>167.72499999999999</v>
      </c>
      <c r="AG250" s="5">
        <v>167.536</v>
      </c>
      <c r="AH250" s="5">
        <v>171.054</v>
      </c>
      <c r="AI250" s="5">
        <v>174.214</v>
      </c>
      <c r="AJ250" s="5">
        <v>178.24600000000001</v>
      </c>
      <c r="AK250" s="5">
        <v>184.423</v>
      </c>
      <c r="AL250" s="5">
        <v>188.8</v>
      </c>
      <c r="AM250" s="5">
        <v>191.3425</v>
      </c>
      <c r="AN250" s="5">
        <v>192.34</v>
      </c>
      <c r="AO250" s="5">
        <v>195.416</v>
      </c>
      <c r="AP250" s="816">
        <v>198.3475</v>
      </c>
      <c r="AQ250" s="816">
        <v>201.72200000000001</v>
      </c>
      <c r="AR250" s="5">
        <v>205.453</v>
      </c>
      <c r="AS250" s="5">
        <v>209.66900000000001</v>
      </c>
      <c r="AT250" s="5">
        <v>211.96600000000001</v>
      </c>
      <c r="AU250" s="5">
        <v>216.64099999999999</v>
      </c>
      <c r="AV250" s="5">
        <v>228.96199999999999</v>
      </c>
      <c r="AW250" s="815">
        <v>242.42599999999999</v>
      </c>
      <c r="AX250" s="816">
        <v>250.26400000000001</v>
      </c>
      <c r="AY250" s="819">
        <v>257.79000000000002</v>
      </c>
      <c r="AZ250" s="816">
        <v>265.62700000000001</v>
      </c>
      <c r="BA250" s="818">
        <v>272.13299999999998</v>
      </c>
      <c r="BB250" s="802" t="str" cm="1">
        <f t="array" ref="BB250">INDEX(C$4:BA$4,MATCH(TRUE,INDEX(C250:BA250&lt;&gt;0,),0))</f>
        <v>1981-82</v>
      </c>
      <c r="BC250" s="803" t="str" cm="1">
        <f t="array" ref="BC250">LOOKUP(2,1/(C250:BA250&lt;&gt;0),$C$4:$BA$4)</f>
        <v>2028-29</v>
      </c>
      <c r="BD250" s="804">
        <f>COUNTIF(RDprograms[[#This Row],[1978-79]:[2028-29]], "&gt;0")</f>
        <v>48</v>
      </c>
      <c r="BE250" s="805">
        <f>SUM(C250:BA250)/RDprograms[[#This Row],[Years with &gt; $0 investment]]</f>
        <v>166.37584375</v>
      </c>
      <c r="BF250" s="806" t="s">
        <v>273</v>
      </c>
      <c r="BG250" s="807" t="s">
        <v>669</v>
      </c>
      <c r="BH250" s="847" t="s">
        <v>269</v>
      </c>
      <c r="BI250" s="809">
        <v>1</v>
      </c>
      <c r="BJ250" s="809">
        <v>1</v>
      </c>
      <c r="BK250" s="809">
        <v>1</v>
      </c>
      <c r="BL250" s="809">
        <v>1</v>
      </c>
      <c r="BM250" s="809">
        <v>1</v>
      </c>
      <c r="BN250" s="810">
        <v>1</v>
      </c>
      <c r="BO250" s="811" t="s">
        <v>251</v>
      </c>
      <c r="BP250" s="812" t="s">
        <v>771</v>
      </c>
      <c r="BQ250" s="812" t="s">
        <v>772</v>
      </c>
      <c r="BR250" s="812" t="s">
        <v>754</v>
      </c>
      <c r="BS250" s="812"/>
      <c r="BT250" s="812" t="s">
        <v>238</v>
      </c>
    </row>
    <row r="251" spans="1:72" ht="12.75" customHeight="1">
      <c r="A251" s="813" t="s">
        <v>658</v>
      </c>
      <c r="B251" s="820" t="s">
        <v>773</v>
      </c>
      <c r="C251" s="5">
        <v>0</v>
      </c>
      <c r="D251" s="5">
        <v>0</v>
      </c>
      <c r="E251" s="5">
        <v>0</v>
      </c>
      <c r="F251" s="5">
        <v>0</v>
      </c>
      <c r="G251" s="5">
        <v>0</v>
      </c>
      <c r="H251" s="5">
        <v>0</v>
      </c>
      <c r="I251" s="5">
        <v>0</v>
      </c>
      <c r="J251" s="5">
        <v>0</v>
      </c>
      <c r="K251" s="5">
        <v>0</v>
      </c>
      <c r="L251" s="5">
        <v>0</v>
      </c>
      <c r="M251" s="5">
        <v>0</v>
      </c>
      <c r="N251" s="5">
        <v>0</v>
      </c>
      <c r="O251" s="5">
        <v>0</v>
      </c>
      <c r="P251" s="5">
        <v>0</v>
      </c>
      <c r="Q251" s="5">
        <v>0</v>
      </c>
      <c r="R251" s="5">
        <v>0</v>
      </c>
      <c r="S251" s="5">
        <v>0</v>
      </c>
      <c r="T251" s="5">
        <v>0</v>
      </c>
      <c r="U251" s="5">
        <v>0</v>
      </c>
      <c r="V251" s="5">
        <v>0</v>
      </c>
      <c r="W251" s="5">
        <v>0</v>
      </c>
      <c r="X251" s="5">
        <v>6</v>
      </c>
      <c r="Y251" s="5">
        <v>1.45</v>
      </c>
      <c r="Z251" s="5">
        <v>4.5</v>
      </c>
      <c r="AA251" s="5">
        <v>0.1</v>
      </c>
      <c r="AB251" s="5">
        <v>0</v>
      </c>
      <c r="AC251" s="5">
        <v>0</v>
      </c>
      <c r="AD251" s="5">
        <v>0</v>
      </c>
      <c r="AE251" s="5">
        <v>0</v>
      </c>
      <c r="AF251" s="5">
        <v>0</v>
      </c>
      <c r="AG251" s="5">
        <v>0</v>
      </c>
      <c r="AH251" s="5">
        <v>0</v>
      </c>
      <c r="AI251" s="5">
        <v>0</v>
      </c>
      <c r="AJ251" s="5">
        <v>0</v>
      </c>
      <c r="AK251" s="5">
        <v>0</v>
      </c>
      <c r="AL251" s="5">
        <v>0</v>
      </c>
      <c r="AM251" s="5">
        <v>0</v>
      </c>
      <c r="AN251" s="5">
        <v>0</v>
      </c>
      <c r="AO251" s="5">
        <v>0</v>
      </c>
      <c r="AP251" s="5">
        <v>0</v>
      </c>
      <c r="AQ251" s="5">
        <v>0</v>
      </c>
      <c r="AR251" s="5">
        <v>0</v>
      </c>
      <c r="AS251" s="5">
        <v>0</v>
      </c>
      <c r="AT251" s="5">
        <v>0</v>
      </c>
      <c r="AU251" s="5">
        <v>0</v>
      </c>
      <c r="AV251" s="5">
        <v>0</v>
      </c>
      <c r="AW251" s="815">
        <v>0</v>
      </c>
      <c r="AX251" s="816">
        <v>0</v>
      </c>
      <c r="AY251" s="819">
        <v>0</v>
      </c>
      <c r="AZ251" s="816"/>
      <c r="BA251" s="818"/>
      <c r="BB251" s="802" t="str" cm="1">
        <f t="array" ref="BB251">INDEX(C$4:BA$4,MATCH(TRUE,INDEX(C251:BA251&lt;&gt;0,),0))</f>
        <v>1999-00</v>
      </c>
      <c r="BC251" s="803" t="str" cm="1">
        <f t="array" ref="BC251">LOOKUP(2,1/(C251:BA251&lt;&gt;0),$C$4:$BA$4)</f>
        <v>2002-03</v>
      </c>
      <c r="BD251" s="804">
        <f>COUNTIF(RDprograms[[#This Row],[1978-79]:[2028-29]], "&gt;0")</f>
        <v>4</v>
      </c>
      <c r="BE251" s="805">
        <f>SUM(C251:BA251)/RDprograms[[#This Row],[Years with &gt; $0 investment]]</f>
        <v>3.0124999999999997</v>
      </c>
      <c r="BF251" s="806" t="s">
        <v>273</v>
      </c>
      <c r="BG251" s="807" t="s">
        <v>406</v>
      </c>
      <c r="BH251" s="847" t="s">
        <v>269</v>
      </c>
      <c r="BI251" s="809"/>
      <c r="BJ251" s="809"/>
      <c r="BK251" s="809"/>
      <c r="BL251" s="809"/>
      <c r="BM251" s="809"/>
      <c r="BN251" s="810"/>
      <c r="BO251" s="811" t="s">
        <v>251</v>
      </c>
      <c r="BP251" s="812"/>
      <c r="BQ251" s="812"/>
      <c r="BR251" s="812"/>
      <c r="BS251" s="812" t="s">
        <v>722</v>
      </c>
      <c r="BT251" s="812" t="s">
        <v>238</v>
      </c>
    </row>
    <row r="252" spans="1:72" ht="12.75" customHeight="1">
      <c r="A252" s="813" t="s">
        <v>658</v>
      </c>
      <c r="B252" s="820" t="s">
        <v>774</v>
      </c>
      <c r="C252" s="5">
        <v>0</v>
      </c>
      <c r="D252" s="5">
        <v>0</v>
      </c>
      <c r="E252" s="5">
        <v>0</v>
      </c>
      <c r="F252" s="5">
        <v>0</v>
      </c>
      <c r="G252" s="5">
        <v>0</v>
      </c>
      <c r="H252" s="5">
        <v>0</v>
      </c>
      <c r="I252" s="5">
        <v>0</v>
      </c>
      <c r="J252" s="5">
        <v>0</v>
      </c>
      <c r="K252" s="5">
        <v>0</v>
      </c>
      <c r="L252" s="5">
        <v>0</v>
      </c>
      <c r="M252" s="5">
        <v>0</v>
      </c>
      <c r="N252" s="5">
        <v>0</v>
      </c>
      <c r="O252" s="5">
        <v>0</v>
      </c>
      <c r="P252" s="5">
        <v>0</v>
      </c>
      <c r="Q252" s="5">
        <v>0</v>
      </c>
      <c r="R252" s="5">
        <v>0</v>
      </c>
      <c r="S252" s="5">
        <v>0</v>
      </c>
      <c r="T252" s="5">
        <v>0</v>
      </c>
      <c r="U252" s="5">
        <v>0</v>
      </c>
      <c r="V252" s="5">
        <v>0</v>
      </c>
      <c r="W252" s="5">
        <v>0</v>
      </c>
      <c r="X252" s="5">
        <v>0</v>
      </c>
      <c r="Y252" s="5">
        <v>0</v>
      </c>
      <c r="Z252" s="5">
        <v>0</v>
      </c>
      <c r="AA252" s="5">
        <v>0</v>
      </c>
      <c r="AB252" s="5">
        <v>0</v>
      </c>
      <c r="AC252" s="5">
        <v>0</v>
      </c>
      <c r="AD252" s="5">
        <v>0</v>
      </c>
      <c r="AE252" s="5">
        <v>0</v>
      </c>
      <c r="AF252" s="5">
        <v>0</v>
      </c>
      <c r="AG252" s="5">
        <v>0</v>
      </c>
      <c r="AH252" s="5">
        <v>0</v>
      </c>
      <c r="AI252" s="5">
        <v>0</v>
      </c>
      <c r="AJ252" s="5">
        <v>0</v>
      </c>
      <c r="AK252" s="5">
        <v>0.497</v>
      </c>
      <c r="AL252" s="5">
        <v>0.995</v>
      </c>
      <c r="AM252" s="5">
        <v>0</v>
      </c>
      <c r="AN252" s="5">
        <v>0</v>
      </c>
      <c r="AO252" s="5">
        <v>0</v>
      </c>
      <c r="AP252" s="5">
        <v>0</v>
      </c>
      <c r="AQ252" s="5">
        <v>0</v>
      </c>
      <c r="AR252" s="5">
        <v>0</v>
      </c>
      <c r="AS252" s="5">
        <v>0</v>
      </c>
      <c r="AT252" s="5">
        <v>0</v>
      </c>
      <c r="AU252" s="5">
        <v>0</v>
      </c>
      <c r="AV252" s="5">
        <v>0</v>
      </c>
      <c r="AW252" s="815">
        <v>0</v>
      </c>
      <c r="AX252" s="816">
        <v>0</v>
      </c>
      <c r="AY252" s="819">
        <v>0</v>
      </c>
      <c r="AZ252" s="816"/>
      <c r="BA252" s="818"/>
      <c r="BB252" s="802" t="str" cm="1">
        <f t="array" ref="BB252">INDEX(C$4:BA$4,MATCH(TRUE,INDEX(C252:BA252&lt;&gt;0,),0))</f>
        <v>2012-13</v>
      </c>
      <c r="BC252" s="803" t="str" cm="1">
        <f t="array" ref="BC252">LOOKUP(2,1/(C252:BA252&lt;&gt;0),$C$4:$BA$4)</f>
        <v>2013-14</v>
      </c>
      <c r="BD252" s="804">
        <f>COUNTIF(RDprograms[[#This Row],[1978-79]:[2028-29]], "&gt;0")</f>
        <v>2</v>
      </c>
      <c r="BE252" s="805">
        <f>SUM(C252:BA252)/RDprograms[[#This Row],[Years with &gt; $0 investment]]</f>
        <v>0.746</v>
      </c>
      <c r="BF252" s="806" t="s">
        <v>273</v>
      </c>
      <c r="BG252" s="807" t="s">
        <v>393</v>
      </c>
      <c r="BH252" s="847" t="s">
        <v>269</v>
      </c>
      <c r="BI252" s="809"/>
      <c r="BJ252" s="809"/>
      <c r="BK252" s="809"/>
      <c r="BL252" s="809"/>
      <c r="BM252" s="809"/>
      <c r="BN252" s="810"/>
      <c r="BO252" s="811" t="s">
        <v>251</v>
      </c>
      <c r="BP252" s="812"/>
      <c r="BQ252" s="812"/>
      <c r="BR252" s="812"/>
      <c r="BS252" s="812" t="s">
        <v>672</v>
      </c>
      <c r="BT252" s="812" t="s">
        <v>238</v>
      </c>
    </row>
    <row r="253" spans="1:72" ht="12.75" customHeight="1">
      <c r="A253" s="813" t="s">
        <v>658</v>
      </c>
      <c r="B253" s="820" t="s">
        <v>775</v>
      </c>
      <c r="C253" s="5">
        <v>0</v>
      </c>
      <c r="D253" s="5">
        <v>0</v>
      </c>
      <c r="E253" s="5">
        <v>0</v>
      </c>
      <c r="F253" s="5">
        <v>0</v>
      </c>
      <c r="G253" s="5">
        <v>0</v>
      </c>
      <c r="H253" s="5">
        <v>0</v>
      </c>
      <c r="I253" s="5">
        <v>0</v>
      </c>
      <c r="J253" s="5">
        <v>0</v>
      </c>
      <c r="K253" s="5">
        <v>0</v>
      </c>
      <c r="L253" s="5">
        <v>0</v>
      </c>
      <c r="M253" s="5">
        <v>0</v>
      </c>
      <c r="N253" s="5">
        <v>0</v>
      </c>
      <c r="O253" s="5">
        <v>0</v>
      </c>
      <c r="P253" s="5">
        <v>0</v>
      </c>
      <c r="Q253" s="5">
        <v>0</v>
      </c>
      <c r="R253" s="5">
        <v>0</v>
      </c>
      <c r="S253" s="5">
        <v>0</v>
      </c>
      <c r="T253" s="5">
        <v>0</v>
      </c>
      <c r="U253" s="5">
        <v>0</v>
      </c>
      <c r="V253" s="5">
        <v>0</v>
      </c>
      <c r="W253" s="5">
        <v>0</v>
      </c>
      <c r="X253" s="5">
        <v>0</v>
      </c>
      <c r="Y253" s="5">
        <v>0</v>
      </c>
      <c r="Z253" s="5">
        <v>0</v>
      </c>
      <c r="AA253" s="5">
        <v>0</v>
      </c>
      <c r="AB253" s="5">
        <v>0</v>
      </c>
      <c r="AC253" s="5">
        <v>0</v>
      </c>
      <c r="AD253" s="5">
        <v>0</v>
      </c>
      <c r="AE253" s="5">
        <v>0</v>
      </c>
      <c r="AF253" s="5">
        <v>0</v>
      </c>
      <c r="AG253" s="5">
        <v>0.4</v>
      </c>
      <c r="AH253" s="5">
        <v>8</v>
      </c>
      <c r="AI253" s="5">
        <v>11.5</v>
      </c>
      <c r="AJ253" s="5">
        <v>58</v>
      </c>
      <c r="AK253" s="5">
        <v>11.8</v>
      </c>
      <c r="AL253" s="5">
        <v>0.2</v>
      </c>
      <c r="AM253" s="5">
        <v>0</v>
      </c>
      <c r="AN253" s="5">
        <v>0</v>
      </c>
      <c r="AO253" s="5">
        <v>0</v>
      </c>
      <c r="AP253" s="816">
        <v>0</v>
      </c>
      <c r="AQ253" s="816">
        <v>0</v>
      </c>
      <c r="AR253" s="5">
        <v>0</v>
      </c>
      <c r="AS253" s="5">
        <v>0</v>
      </c>
      <c r="AT253" s="5">
        <v>0</v>
      </c>
      <c r="AU253" s="5">
        <v>0</v>
      </c>
      <c r="AV253" s="5">
        <v>0</v>
      </c>
      <c r="AW253" s="815">
        <v>0</v>
      </c>
      <c r="AX253" s="816">
        <v>0</v>
      </c>
      <c r="AY253" s="819">
        <v>0</v>
      </c>
      <c r="AZ253" s="816"/>
      <c r="BA253" s="818"/>
      <c r="BB253" s="802" t="str" cm="1">
        <f t="array" ref="BB253">INDEX(C$4:BA$4,MATCH(TRUE,INDEX(C253:BA253&lt;&gt;0,),0))</f>
        <v>2008-09</v>
      </c>
      <c r="BC253" s="803" t="str" cm="1">
        <f t="array" ref="BC253">LOOKUP(2,1/(C253:BA253&lt;&gt;0),$C$4:$BA$4)</f>
        <v>2013-14</v>
      </c>
      <c r="BD253" s="804">
        <f>COUNTIF(RDprograms[[#This Row],[1978-79]:[2028-29]], "&gt;0")</f>
        <v>6</v>
      </c>
      <c r="BE253" s="805">
        <f>SUM(C253:BA253)/RDprograms[[#This Row],[Years with &gt; $0 investment]]</f>
        <v>14.983333333333334</v>
      </c>
      <c r="BF253" s="806" t="s">
        <v>273</v>
      </c>
      <c r="BG253" s="807" t="s">
        <v>397</v>
      </c>
      <c r="BH253" s="847" t="s">
        <v>269</v>
      </c>
      <c r="BI253" s="809"/>
      <c r="BJ253" s="809"/>
      <c r="BK253" s="809"/>
      <c r="BL253" s="809"/>
      <c r="BM253" s="809"/>
      <c r="BN253" s="810"/>
      <c r="BO253" s="811" t="s">
        <v>251</v>
      </c>
      <c r="BP253" s="812"/>
      <c r="BQ253" s="812"/>
      <c r="BR253" s="812"/>
      <c r="BS253" s="812"/>
      <c r="BT253" s="812" t="s">
        <v>238</v>
      </c>
    </row>
    <row r="254" spans="1:72" ht="12.75" customHeight="1">
      <c r="A254" s="813" t="s">
        <v>658</v>
      </c>
      <c r="B254" s="820" t="s">
        <v>776</v>
      </c>
      <c r="C254" s="5">
        <v>0</v>
      </c>
      <c r="D254" s="5">
        <v>0</v>
      </c>
      <c r="E254" s="5">
        <v>0</v>
      </c>
      <c r="F254" s="5">
        <v>0</v>
      </c>
      <c r="G254" s="5">
        <v>0</v>
      </c>
      <c r="H254" s="5">
        <v>0</v>
      </c>
      <c r="I254" s="5">
        <v>0</v>
      </c>
      <c r="J254" s="5">
        <v>0</v>
      </c>
      <c r="K254" s="5">
        <v>0</v>
      </c>
      <c r="L254" s="5">
        <v>0</v>
      </c>
      <c r="M254" s="5">
        <v>0</v>
      </c>
      <c r="N254" s="5">
        <v>0</v>
      </c>
      <c r="O254" s="5">
        <v>0</v>
      </c>
      <c r="P254" s="5">
        <v>0</v>
      </c>
      <c r="Q254" s="5">
        <v>0</v>
      </c>
      <c r="R254" s="5">
        <v>0</v>
      </c>
      <c r="S254" s="5">
        <v>0</v>
      </c>
      <c r="T254" s="5">
        <v>0</v>
      </c>
      <c r="U254" s="5">
        <v>0</v>
      </c>
      <c r="V254" s="5">
        <v>0</v>
      </c>
      <c r="W254" s="5">
        <v>0</v>
      </c>
      <c r="X254" s="5">
        <v>0</v>
      </c>
      <c r="Y254" s="5">
        <v>0</v>
      </c>
      <c r="Z254" s="5">
        <v>0</v>
      </c>
      <c r="AA254" s="5">
        <v>0</v>
      </c>
      <c r="AB254" s="5">
        <v>0</v>
      </c>
      <c r="AC254" s="5">
        <v>0</v>
      </c>
      <c r="AD254" s="5">
        <v>0</v>
      </c>
      <c r="AE254" s="5">
        <v>0</v>
      </c>
      <c r="AF254" s="5">
        <v>0</v>
      </c>
      <c r="AG254" s="5">
        <v>0</v>
      </c>
      <c r="AH254" s="5">
        <v>0</v>
      </c>
      <c r="AI254" s="5">
        <v>13.759</v>
      </c>
      <c r="AJ254" s="5">
        <v>12.098000000000001</v>
      </c>
      <c r="AK254" s="5">
        <v>4.1429999999999998</v>
      </c>
      <c r="AL254" s="5">
        <v>0</v>
      </c>
      <c r="AM254" s="5">
        <v>0</v>
      </c>
      <c r="AN254" s="5">
        <v>0</v>
      </c>
      <c r="AO254" s="5">
        <v>0</v>
      </c>
      <c r="AP254" s="5">
        <v>0</v>
      </c>
      <c r="AQ254" s="5">
        <v>0</v>
      </c>
      <c r="AR254" s="5">
        <v>0</v>
      </c>
      <c r="AS254" s="5">
        <v>0</v>
      </c>
      <c r="AT254" s="5">
        <v>0</v>
      </c>
      <c r="AU254" s="5">
        <v>0</v>
      </c>
      <c r="AV254" s="5">
        <v>0</v>
      </c>
      <c r="AW254" s="815">
        <v>0</v>
      </c>
      <c r="AX254" s="816">
        <v>0</v>
      </c>
      <c r="AY254" s="819">
        <v>0</v>
      </c>
      <c r="AZ254" s="816"/>
      <c r="BA254" s="818"/>
      <c r="BB254" s="802" t="str" cm="1">
        <f t="array" ref="BB254">INDEX(C$4:BA$4,MATCH(TRUE,INDEX(C254:BA254&lt;&gt;0,),0))</f>
        <v>2010-11</v>
      </c>
      <c r="BC254" s="803" t="str" cm="1">
        <f t="array" ref="BC254">LOOKUP(2,1/(C254:BA254&lt;&gt;0),$C$4:$BA$4)</f>
        <v>2012-13</v>
      </c>
      <c r="BD254" s="804">
        <f>COUNTIF(RDprograms[[#This Row],[1978-79]:[2028-29]], "&gt;0")</f>
        <v>3</v>
      </c>
      <c r="BE254" s="805">
        <f>SUM(C254:BA254)/RDprograms[[#This Row],[Years with &gt; $0 investment]]</f>
        <v>10</v>
      </c>
      <c r="BF254" s="806" t="s">
        <v>273</v>
      </c>
      <c r="BG254" s="807" t="s">
        <v>409</v>
      </c>
      <c r="BH254" s="847" t="s">
        <v>269</v>
      </c>
      <c r="BI254" s="809"/>
      <c r="BJ254" s="809"/>
      <c r="BK254" s="809"/>
      <c r="BL254" s="809"/>
      <c r="BM254" s="809"/>
      <c r="BN254" s="810"/>
      <c r="BO254" s="811" t="s">
        <v>251</v>
      </c>
      <c r="BP254" s="812"/>
      <c r="BQ254" s="812"/>
      <c r="BR254" s="812"/>
      <c r="BS254" s="812"/>
      <c r="BT254" s="812"/>
    </row>
    <row r="255" spans="1:72" ht="12.75" customHeight="1">
      <c r="A255" s="813" t="s">
        <v>658</v>
      </c>
      <c r="B255" s="820" t="s">
        <v>777</v>
      </c>
      <c r="C255" s="5">
        <v>0</v>
      </c>
      <c r="D255" s="5">
        <v>0</v>
      </c>
      <c r="E255" s="5">
        <v>0</v>
      </c>
      <c r="F255" s="5">
        <v>0</v>
      </c>
      <c r="G255" s="5">
        <v>0</v>
      </c>
      <c r="H255" s="5">
        <v>0</v>
      </c>
      <c r="I255" s="5">
        <v>0</v>
      </c>
      <c r="J255" s="5">
        <v>0</v>
      </c>
      <c r="K255" s="5">
        <v>0</v>
      </c>
      <c r="L255" s="5">
        <v>0</v>
      </c>
      <c r="M255" s="5">
        <v>0</v>
      </c>
      <c r="N255" s="5">
        <v>0</v>
      </c>
      <c r="O255" s="5">
        <v>0</v>
      </c>
      <c r="P255" s="5">
        <v>0</v>
      </c>
      <c r="Q255" s="5">
        <v>0</v>
      </c>
      <c r="R255" s="5">
        <v>0</v>
      </c>
      <c r="S255" s="5">
        <v>0</v>
      </c>
      <c r="T255" s="5">
        <v>0</v>
      </c>
      <c r="U255" s="5">
        <v>0</v>
      </c>
      <c r="V255" s="5">
        <v>0</v>
      </c>
      <c r="W255" s="5">
        <v>0</v>
      </c>
      <c r="X255" s="5">
        <v>0</v>
      </c>
      <c r="Y255" s="5">
        <v>0</v>
      </c>
      <c r="Z255" s="5">
        <v>0</v>
      </c>
      <c r="AA255" s="5">
        <v>0</v>
      </c>
      <c r="AB255" s="5">
        <v>0</v>
      </c>
      <c r="AC255" s="5">
        <v>0</v>
      </c>
      <c r="AD255" s="5">
        <v>0</v>
      </c>
      <c r="AE255" s="5">
        <v>0</v>
      </c>
      <c r="AF255" s="5">
        <v>0</v>
      </c>
      <c r="AG255" s="5">
        <v>0</v>
      </c>
      <c r="AH255" s="5">
        <v>0</v>
      </c>
      <c r="AI255" s="5">
        <v>0</v>
      </c>
      <c r="AJ255" s="5">
        <v>0</v>
      </c>
      <c r="AK255" s="5">
        <v>1.028</v>
      </c>
      <c r="AL255" s="5">
        <v>2.0569999999999999</v>
      </c>
      <c r="AM255" s="5">
        <v>0</v>
      </c>
      <c r="AN255" s="5">
        <v>0</v>
      </c>
      <c r="AO255" s="5">
        <v>0</v>
      </c>
      <c r="AP255" s="5">
        <v>0</v>
      </c>
      <c r="AQ255" s="5">
        <v>0</v>
      </c>
      <c r="AR255" s="5">
        <v>0</v>
      </c>
      <c r="AS255" s="5">
        <v>0</v>
      </c>
      <c r="AT255" s="5">
        <v>0</v>
      </c>
      <c r="AU255" s="5">
        <v>0</v>
      </c>
      <c r="AV255" s="5">
        <v>0</v>
      </c>
      <c r="AW255" s="815">
        <v>0</v>
      </c>
      <c r="AX255" s="816">
        <v>0</v>
      </c>
      <c r="AY255" s="819">
        <v>0</v>
      </c>
      <c r="AZ255" s="816"/>
      <c r="BA255" s="818"/>
      <c r="BB255" s="802" t="str" cm="1">
        <f t="array" ref="BB255">INDEX(C$4:BA$4,MATCH(TRUE,INDEX(C255:BA255&lt;&gt;0,),0))</f>
        <v>2012-13</v>
      </c>
      <c r="BC255" s="803" t="str" cm="1">
        <f t="array" ref="BC255">LOOKUP(2,1/(C255:BA255&lt;&gt;0),$C$4:$BA$4)</f>
        <v>2013-14</v>
      </c>
      <c r="BD255" s="804">
        <f>COUNTIF(RDprograms[[#This Row],[1978-79]:[2028-29]], "&gt;0")</f>
        <v>2</v>
      </c>
      <c r="BE255" s="805">
        <f>SUM(C255:BA255)/RDprograms[[#This Row],[Years with &gt; $0 investment]]</f>
        <v>1.5425</v>
      </c>
      <c r="BF255" s="806" t="s">
        <v>273</v>
      </c>
      <c r="BG255" s="807" t="s">
        <v>703</v>
      </c>
      <c r="BH255" s="847" t="s">
        <v>269</v>
      </c>
      <c r="BI255" s="809"/>
      <c r="BJ255" s="809"/>
      <c r="BK255" s="809"/>
      <c r="BL255" s="809"/>
      <c r="BM255" s="809"/>
      <c r="BN255" s="810"/>
      <c r="BO255" s="811" t="s">
        <v>251</v>
      </c>
      <c r="BP255" s="812"/>
      <c r="BQ255" s="812"/>
      <c r="BR255" s="812"/>
      <c r="BS255" s="812" t="s">
        <v>672</v>
      </c>
      <c r="BT255" s="812" t="s">
        <v>238</v>
      </c>
    </row>
    <row r="256" spans="1:72" ht="12.75" customHeight="1">
      <c r="A256" s="813" t="s">
        <v>658</v>
      </c>
      <c r="B256" s="820" t="s">
        <v>778</v>
      </c>
      <c r="C256" s="5">
        <v>9</v>
      </c>
      <c r="D256" s="5">
        <v>8.5</v>
      </c>
      <c r="E256" s="5">
        <v>8</v>
      </c>
      <c r="F256" s="5">
        <v>8.8000000000000007</v>
      </c>
      <c r="G256" s="5">
        <v>11.5</v>
      </c>
      <c r="H256" s="5">
        <v>15.1</v>
      </c>
      <c r="I256" s="5">
        <v>16.3</v>
      </c>
      <c r="J256" s="5">
        <v>17.8</v>
      </c>
      <c r="K256" s="5">
        <v>19.3</v>
      </c>
      <c r="L256" s="5">
        <v>20.3</v>
      </c>
      <c r="M256" s="5">
        <v>21.7</v>
      </c>
      <c r="N256" s="5">
        <v>11.3</v>
      </c>
      <c r="O256" s="5">
        <v>0</v>
      </c>
      <c r="P256" s="5">
        <v>0</v>
      </c>
      <c r="Q256" s="5">
        <v>0</v>
      </c>
      <c r="R256" s="5">
        <v>0</v>
      </c>
      <c r="S256" s="5">
        <v>0</v>
      </c>
      <c r="T256" s="5">
        <v>0</v>
      </c>
      <c r="U256" s="5">
        <v>0</v>
      </c>
      <c r="V256" s="5">
        <v>0</v>
      </c>
      <c r="W256" s="5">
        <v>0</v>
      </c>
      <c r="X256" s="5">
        <v>0</v>
      </c>
      <c r="Y256" s="5">
        <v>0</v>
      </c>
      <c r="Z256" s="5">
        <v>0</v>
      </c>
      <c r="AA256" s="5">
        <v>0</v>
      </c>
      <c r="AB256" s="5">
        <v>0</v>
      </c>
      <c r="AC256" s="5">
        <v>0</v>
      </c>
      <c r="AD256" s="5">
        <v>0</v>
      </c>
      <c r="AE256" s="5">
        <v>0</v>
      </c>
      <c r="AF256" s="5">
        <v>0</v>
      </c>
      <c r="AG256" s="5">
        <v>0</v>
      </c>
      <c r="AH256" s="5">
        <v>0</v>
      </c>
      <c r="AI256" s="5">
        <v>0</v>
      </c>
      <c r="AJ256" s="5">
        <v>0</v>
      </c>
      <c r="AK256" s="5">
        <v>0</v>
      </c>
      <c r="AL256" s="5">
        <v>0</v>
      </c>
      <c r="AM256" s="5">
        <v>0</v>
      </c>
      <c r="AN256" s="5">
        <v>0</v>
      </c>
      <c r="AO256" s="5">
        <v>0</v>
      </c>
      <c r="AP256" s="816">
        <v>0</v>
      </c>
      <c r="AQ256" s="816">
        <v>0</v>
      </c>
      <c r="AR256" s="5">
        <v>0</v>
      </c>
      <c r="AS256" s="5">
        <v>0</v>
      </c>
      <c r="AT256" s="5">
        <v>0</v>
      </c>
      <c r="AU256" s="5">
        <v>0</v>
      </c>
      <c r="AV256" s="5">
        <v>0</v>
      </c>
      <c r="AW256" s="815">
        <v>0</v>
      </c>
      <c r="AX256" s="816">
        <v>0</v>
      </c>
      <c r="AY256" s="819">
        <v>0</v>
      </c>
      <c r="AZ256" s="816"/>
      <c r="BA256" s="818"/>
      <c r="BB256" s="802" t="str" cm="1">
        <f t="array" ref="BB256">INDEX(C$4:BA$4,MATCH(TRUE,INDEX(C256:BA256&lt;&gt;0,),0))</f>
        <v>1978-79</v>
      </c>
      <c r="BC256" s="803" t="str" cm="1">
        <f t="array" ref="BC256">LOOKUP(2,1/(C256:BA256&lt;&gt;0),$C$4:$BA$4)</f>
        <v>1989-90</v>
      </c>
      <c r="BD256" s="804">
        <f>COUNTIF(RDprograms[[#This Row],[1978-79]:[2028-29]], "&gt;0")</f>
        <v>12</v>
      </c>
      <c r="BE256" s="805">
        <f>SUM(C256:BA256)/RDprograms[[#This Row],[Years with &gt; $0 investment]]</f>
        <v>13.966666666666667</v>
      </c>
      <c r="BF256" s="806" t="s">
        <v>246</v>
      </c>
      <c r="BG256" s="807" t="s">
        <v>669</v>
      </c>
      <c r="BH256" s="847" t="s">
        <v>670</v>
      </c>
      <c r="BI256" s="809"/>
      <c r="BJ256" s="809"/>
      <c r="BK256" s="809"/>
      <c r="BL256" s="809"/>
      <c r="BM256" s="809"/>
      <c r="BN256" s="810"/>
      <c r="BO256" s="811" t="s">
        <v>251</v>
      </c>
      <c r="BP256" s="812"/>
      <c r="BQ256" s="812"/>
      <c r="BR256" s="812"/>
      <c r="BS256" s="812"/>
      <c r="BT256" s="812" t="s">
        <v>238</v>
      </c>
    </row>
    <row r="257" spans="1:72" ht="12.75" customHeight="1">
      <c r="A257" s="813" t="s">
        <v>658</v>
      </c>
      <c r="B257" s="820" t="s">
        <v>779</v>
      </c>
      <c r="C257" s="5">
        <v>0</v>
      </c>
      <c r="D257" s="5">
        <v>0</v>
      </c>
      <c r="E257" s="5">
        <v>0</v>
      </c>
      <c r="F257" s="5">
        <v>0</v>
      </c>
      <c r="G257" s="5">
        <v>0</v>
      </c>
      <c r="H257" s="5">
        <v>0</v>
      </c>
      <c r="I257" s="5">
        <v>0</v>
      </c>
      <c r="J257" s="5">
        <v>0</v>
      </c>
      <c r="K257" s="5">
        <v>0</v>
      </c>
      <c r="L257" s="5">
        <v>0</v>
      </c>
      <c r="M257" s="5">
        <v>0</v>
      </c>
      <c r="N257" s="5">
        <v>0</v>
      </c>
      <c r="O257" s="5">
        <v>0</v>
      </c>
      <c r="P257" s="5">
        <v>0</v>
      </c>
      <c r="Q257" s="5">
        <v>0</v>
      </c>
      <c r="R257" s="5">
        <v>0</v>
      </c>
      <c r="S257" s="5">
        <v>0</v>
      </c>
      <c r="T257" s="5">
        <v>0</v>
      </c>
      <c r="U257" s="5">
        <v>0</v>
      </c>
      <c r="V257" s="5">
        <v>0</v>
      </c>
      <c r="W257" s="5">
        <v>0</v>
      </c>
      <c r="X257" s="5">
        <v>0</v>
      </c>
      <c r="Y257" s="5">
        <v>0</v>
      </c>
      <c r="Z257" s="5">
        <v>2</v>
      </c>
      <c r="AA257" s="5">
        <v>3.2</v>
      </c>
      <c r="AB257" s="5">
        <v>5.8</v>
      </c>
      <c r="AC257" s="5">
        <v>3.0289999999999999</v>
      </c>
      <c r="AD257" s="5">
        <v>3.1480000000000001</v>
      </c>
      <c r="AE257" s="5">
        <v>6.2</v>
      </c>
      <c r="AF257" s="5">
        <v>3.2</v>
      </c>
      <c r="AG257" s="5">
        <v>1.6</v>
      </c>
      <c r="AH257" s="5">
        <v>0</v>
      </c>
      <c r="AI257" s="5">
        <v>0</v>
      </c>
      <c r="AJ257" s="5">
        <v>0</v>
      </c>
      <c r="AK257" s="5">
        <v>0</v>
      </c>
      <c r="AL257" s="5">
        <v>0</v>
      </c>
      <c r="AM257" s="5">
        <v>0</v>
      </c>
      <c r="AN257" s="5">
        <v>0</v>
      </c>
      <c r="AO257" s="5">
        <v>0</v>
      </c>
      <c r="AP257" s="816">
        <v>0</v>
      </c>
      <c r="AQ257" s="816">
        <v>0</v>
      </c>
      <c r="AR257" s="5">
        <v>0</v>
      </c>
      <c r="AS257" s="5">
        <v>0</v>
      </c>
      <c r="AT257" s="5">
        <v>0</v>
      </c>
      <c r="AU257" s="5">
        <v>0</v>
      </c>
      <c r="AV257" s="5">
        <v>0</v>
      </c>
      <c r="AW257" s="815">
        <v>0</v>
      </c>
      <c r="AX257" s="816">
        <v>0</v>
      </c>
      <c r="AY257" s="819">
        <v>0</v>
      </c>
      <c r="AZ257" s="816"/>
      <c r="BA257" s="818"/>
      <c r="BB257" s="802" t="str" cm="1">
        <f t="array" ref="BB257">INDEX(C$4:BA$4,MATCH(TRUE,INDEX(C257:BA257&lt;&gt;0,),0))</f>
        <v>2001-02</v>
      </c>
      <c r="BC257" s="803" t="str" cm="1">
        <f t="array" ref="BC257">LOOKUP(2,1/(C257:BA257&lt;&gt;0),$C$4:$BA$4)</f>
        <v>2008-09</v>
      </c>
      <c r="BD257" s="804">
        <f>COUNTIF(RDprograms[[#This Row],[1978-79]:[2028-29]], "&gt;0")</f>
        <v>8</v>
      </c>
      <c r="BE257" s="805">
        <f>SUM(C257:BA257)/RDprograms[[#This Row],[Years with &gt; $0 investment]]</f>
        <v>3.522125</v>
      </c>
      <c r="BF257" s="806" t="s">
        <v>246</v>
      </c>
      <c r="BG257" s="807" t="s">
        <v>669</v>
      </c>
      <c r="BH257" s="847" t="s">
        <v>688</v>
      </c>
      <c r="BI257" s="809"/>
      <c r="BJ257" s="809"/>
      <c r="BK257" s="809"/>
      <c r="BL257" s="809"/>
      <c r="BM257" s="809"/>
      <c r="BN257" s="810"/>
      <c r="BO257" s="811" t="s">
        <v>251</v>
      </c>
      <c r="BP257" s="812"/>
      <c r="BQ257" s="812"/>
      <c r="BR257" s="812"/>
      <c r="BS257" s="812"/>
      <c r="BT257" s="812" t="s">
        <v>238</v>
      </c>
    </row>
    <row r="258" spans="1:72" ht="12.75" customHeight="1">
      <c r="A258" s="813" t="s">
        <v>658</v>
      </c>
      <c r="B258" s="820" t="s">
        <v>780</v>
      </c>
      <c r="C258" s="5">
        <v>0</v>
      </c>
      <c r="D258" s="5">
        <v>0</v>
      </c>
      <c r="E258" s="5">
        <v>0</v>
      </c>
      <c r="F258" s="5">
        <v>0</v>
      </c>
      <c r="G258" s="5">
        <v>0</v>
      </c>
      <c r="H258" s="5">
        <v>0</v>
      </c>
      <c r="I258" s="5">
        <v>0</v>
      </c>
      <c r="J258" s="5">
        <v>0</v>
      </c>
      <c r="K258" s="5">
        <v>0</v>
      </c>
      <c r="L258" s="5">
        <v>0</v>
      </c>
      <c r="M258" s="5">
        <v>0</v>
      </c>
      <c r="N258" s="5">
        <v>0</v>
      </c>
      <c r="O258" s="5">
        <v>1.6</v>
      </c>
      <c r="P258" s="5">
        <v>2</v>
      </c>
      <c r="Q258" s="5">
        <v>2</v>
      </c>
      <c r="R258" s="5">
        <v>2</v>
      </c>
      <c r="S258" s="5">
        <v>2.1</v>
      </c>
      <c r="T258" s="5">
        <v>2.1</v>
      </c>
      <c r="U258" s="5">
        <v>2.2000000000000002</v>
      </c>
      <c r="V258" s="5">
        <v>2</v>
      </c>
      <c r="W258" s="5">
        <v>2.5</v>
      </c>
      <c r="X258" s="5">
        <v>2.2999999999999998</v>
      </c>
      <c r="Y258" s="5">
        <v>2.5</v>
      </c>
      <c r="Z258" s="5">
        <v>0</v>
      </c>
      <c r="AA258" s="5">
        <v>0</v>
      </c>
      <c r="AB258" s="5">
        <v>0</v>
      </c>
      <c r="AC258" s="5">
        <v>0</v>
      </c>
      <c r="AD258" s="5">
        <v>0</v>
      </c>
      <c r="AE258" s="5">
        <v>0</v>
      </c>
      <c r="AF258" s="5">
        <v>0</v>
      </c>
      <c r="AG258" s="5">
        <v>0</v>
      </c>
      <c r="AH258" s="5">
        <v>0</v>
      </c>
      <c r="AI258" s="5">
        <v>0</v>
      </c>
      <c r="AJ258" s="5">
        <v>0</v>
      </c>
      <c r="AK258" s="5">
        <v>0</v>
      </c>
      <c r="AL258" s="5">
        <v>0</v>
      </c>
      <c r="AM258" s="5">
        <v>0</v>
      </c>
      <c r="AN258" s="5">
        <v>0</v>
      </c>
      <c r="AO258" s="5">
        <v>0</v>
      </c>
      <c r="AP258" s="5">
        <v>0</v>
      </c>
      <c r="AQ258" s="5">
        <v>0</v>
      </c>
      <c r="AR258" s="5">
        <v>0</v>
      </c>
      <c r="AS258" s="5">
        <v>0</v>
      </c>
      <c r="AT258" s="5">
        <v>0</v>
      </c>
      <c r="AU258" s="5">
        <v>0</v>
      </c>
      <c r="AV258" s="5">
        <v>0</v>
      </c>
      <c r="AW258" s="815">
        <v>0</v>
      </c>
      <c r="AX258" s="816">
        <v>0</v>
      </c>
      <c r="AY258" s="819">
        <v>0</v>
      </c>
      <c r="AZ258" s="816"/>
      <c r="BA258" s="818"/>
      <c r="BB258" s="802" t="str" cm="1">
        <f t="array" ref="BB258">INDEX(C$4:BA$4,MATCH(TRUE,INDEX(C258:BA258&lt;&gt;0,),0))</f>
        <v>1990-91</v>
      </c>
      <c r="BC258" s="803" t="str" cm="1">
        <f t="array" ref="BC258">LOOKUP(2,1/(C258:BA258&lt;&gt;0),$C$4:$BA$4)</f>
        <v>2000-01</v>
      </c>
      <c r="BD258" s="804">
        <f>COUNTIF(RDprograms[[#This Row],[1978-79]:[2028-29]], "&gt;0")</f>
        <v>11</v>
      </c>
      <c r="BE258" s="805">
        <f>SUM(C258:BA258)/RDprograms[[#This Row],[Years with &gt; $0 investment]]</f>
        <v>2.1181818181818182</v>
      </c>
      <c r="BF258" s="806" t="s">
        <v>273</v>
      </c>
      <c r="BG258" s="807" t="s">
        <v>397</v>
      </c>
      <c r="BH258" s="847" t="s">
        <v>269</v>
      </c>
      <c r="BI258" s="809"/>
      <c r="BJ258" s="809"/>
      <c r="BK258" s="809"/>
      <c r="BL258" s="809"/>
      <c r="BM258" s="809"/>
      <c r="BN258" s="810"/>
      <c r="BO258" s="811" t="s">
        <v>251</v>
      </c>
      <c r="BP258" s="812"/>
      <c r="BQ258" s="812"/>
      <c r="BR258" s="812"/>
      <c r="BS258" s="812"/>
      <c r="BT258" s="812" t="s">
        <v>238</v>
      </c>
    </row>
    <row r="259" spans="1:72" ht="12.75" customHeight="1">
      <c r="A259" s="813" t="s">
        <v>658</v>
      </c>
      <c r="B259" s="820" t="s">
        <v>781</v>
      </c>
      <c r="C259" s="5">
        <v>0</v>
      </c>
      <c r="D259" s="5">
        <v>0</v>
      </c>
      <c r="E259" s="5">
        <v>0</v>
      </c>
      <c r="F259" s="5">
        <v>0</v>
      </c>
      <c r="G259" s="5">
        <v>0</v>
      </c>
      <c r="H259" s="5">
        <v>0</v>
      </c>
      <c r="I259" s="5">
        <v>0</v>
      </c>
      <c r="J259" s="5">
        <v>0</v>
      </c>
      <c r="K259" s="5">
        <v>0</v>
      </c>
      <c r="L259" s="5">
        <v>0</v>
      </c>
      <c r="M259" s="5">
        <v>0</v>
      </c>
      <c r="N259" s="5">
        <v>0</v>
      </c>
      <c r="O259" s="5">
        <v>0</v>
      </c>
      <c r="P259" s="5">
        <v>0</v>
      </c>
      <c r="Q259" s="5">
        <v>0</v>
      </c>
      <c r="R259" s="5">
        <v>0</v>
      </c>
      <c r="S259" s="5">
        <v>0</v>
      </c>
      <c r="T259" s="5">
        <v>0</v>
      </c>
      <c r="U259" s="5">
        <v>0</v>
      </c>
      <c r="V259" s="5">
        <v>0</v>
      </c>
      <c r="W259" s="5">
        <v>0</v>
      </c>
      <c r="X259" s="5">
        <v>0</v>
      </c>
      <c r="Y259" s="5">
        <v>81.5</v>
      </c>
      <c r="Z259" s="5">
        <v>111.2</v>
      </c>
      <c r="AA259" s="5">
        <v>136.69999999999999</v>
      </c>
      <c r="AB259" s="5">
        <v>160.6</v>
      </c>
      <c r="AC259" s="5">
        <v>182.982</v>
      </c>
      <c r="AD259" s="5">
        <v>199.90799999999999</v>
      </c>
      <c r="AE259" s="5">
        <v>203.9</v>
      </c>
      <c r="AF259" s="5">
        <v>206</v>
      </c>
      <c r="AG259" s="5">
        <v>210.16900000000001</v>
      </c>
      <c r="AH259" s="5">
        <v>214.58199999999999</v>
      </c>
      <c r="AI259" s="5">
        <v>218.547</v>
      </c>
      <c r="AJ259" s="5">
        <v>224.46700000000001</v>
      </c>
      <c r="AK259" s="5">
        <v>224.61099999999999</v>
      </c>
      <c r="AL259" s="5">
        <v>223.554</v>
      </c>
      <c r="AM259" s="5">
        <v>239.38399999999999</v>
      </c>
      <c r="AN259" s="5">
        <v>242.172</v>
      </c>
      <c r="AO259" s="5">
        <v>122.107</v>
      </c>
      <c r="AP259" s="816">
        <v>0</v>
      </c>
      <c r="AQ259" s="816">
        <v>0</v>
      </c>
      <c r="AR259" s="5">
        <v>0</v>
      </c>
      <c r="AS259" s="5">
        <v>0</v>
      </c>
      <c r="AT259" s="5">
        <v>0</v>
      </c>
      <c r="AU259" s="5">
        <v>0</v>
      </c>
      <c r="AV259" s="5">
        <v>0</v>
      </c>
      <c r="AW259" s="815">
        <v>0</v>
      </c>
      <c r="AX259" s="816">
        <v>0</v>
      </c>
      <c r="AY259" s="819">
        <v>0</v>
      </c>
      <c r="AZ259" s="816"/>
      <c r="BA259" s="818"/>
      <c r="BB259" s="802" t="str" cm="1">
        <f t="array" ref="BB259">INDEX(C$4:BA$4,MATCH(TRUE,INDEX(C259:BA259&lt;&gt;0,),0))</f>
        <v>2000-01</v>
      </c>
      <c r="BC259" s="803" t="str" cm="1">
        <f t="array" ref="BC259">LOOKUP(2,1/(C259:BA259&lt;&gt;0),$C$4:$BA$4)</f>
        <v>2016-17</v>
      </c>
      <c r="BD259" s="804">
        <f>COUNTIF(RDprograms[[#This Row],[1978-79]:[2028-29]], "&gt;0")</f>
        <v>17</v>
      </c>
      <c r="BE259" s="805">
        <f>SUM(C259:BA259)/RDprograms[[#This Row],[Years with &gt; $0 investment]]</f>
        <v>188.37547058823532</v>
      </c>
      <c r="BF259" s="806" t="s">
        <v>246</v>
      </c>
      <c r="BG259" s="807" t="s">
        <v>669</v>
      </c>
      <c r="BH259" s="847" t="s">
        <v>688</v>
      </c>
      <c r="BI259" s="809"/>
      <c r="BJ259" s="809"/>
      <c r="BK259" s="809"/>
      <c r="BL259" s="809"/>
      <c r="BM259" s="809"/>
      <c r="BN259" s="810"/>
      <c r="BO259" s="811" t="s">
        <v>251</v>
      </c>
      <c r="BP259" s="812" t="s">
        <v>782</v>
      </c>
      <c r="BQ259" s="812" t="s">
        <v>757</v>
      </c>
      <c r="BR259" s="812" t="s">
        <v>754</v>
      </c>
      <c r="BS259" s="812"/>
      <c r="BT259" s="812" t="s">
        <v>238</v>
      </c>
    </row>
    <row r="260" spans="1:72" ht="12.75" customHeight="1">
      <c r="A260" s="813" t="s">
        <v>658</v>
      </c>
      <c r="B260" s="820" t="s">
        <v>783</v>
      </c>
      <c r="C260" s="5">
        <v>0</v>
      </c>
      <c r="D260" s="5">
        <v>0</v>
      </c>
      <c r="E260" s="5">
        <v>0</v>
      </c>
      <c r="F260" s="5">
        <v>0</v>
      </c>
      <c r="G260" s="5">
        <v>0</v>
      </c>
      <c r="H260" s="5">
        <v>0</v>
      </c>
      <c r="I260" s="5">
        <v>0</v>
      </c>
      <c r="J260" s="5">
        <v>0</v>
      </c>
      <c r="K260" s="5">
        <v>0</v>
      </c>
      <c r="L260" s="5">
        <v>0</v>
      </c>
      <c r="M260" s="5">
        <v>0</v>
      </c>
      <c r="N260" s="5">
        <v>0</v>
      </c>
      <c r="O260" s="5">
        <v>0</v>
      </c>
      <c r="P260" s="5">
        <v>0</v>
      </c>
      <c r="Q260" s="5">
        <v>0</v>
      </c>
      <c r="R260" s="5">
        <v>0</v>
      </c>
      <c r="S260" s="5">
        <v>0</v>
      </c>
      <c r="T260" s="5">
        <v>263</v>
      </c>
      <c r="U260" s="5">
        <v>276</v>
      </c>
      <c r="V260" s="5">
        <v>219</v>
      </c>
      <c r="W260" s="5">
        <v>219</v>
      </c>
      <c r="X260" s="5">
        <v>220</v>
      </c>
      <c r="Y260" s="5">
        <v>0</v>
      </c>
      <c r="Z260" s="5">
        <v>0</v>
      </c>
      <c r="AA260" s="5">
        <v>0</v>
      </c>
      <c r="AB260" s="5">
        <v>0</v>
      </c>
      <c r="AC260" s="5">
        <v>0</v>
      </c>
      <c r="AD260" s="5">
        <v>0</v>
      </c>
      <c r="AE260" s="5">
        <v>0</v>
      </c>
      <c r="AF260" s="5">
        <v>0</v>
      </c>
      <c r="AG260" s="5">
        <v>0</v>
      </c>
      <c r="AH260" s="5">
        <v>0</v>
      </c>
      <c r="AI260" s="5">
        <v>0</v>
      </c>
      <c r="AJ260" s="5">
        <v>0</v>
      </c>
      <c r="AK260" s="5">
        <v>0</v>
      </c>
      <c r="AL260" s="5">
        <v>0</v>
      </c>
      <c r="AM260" s="5">
        <v>0</v>
      </c>
      <c r="AN260" s="5">
        <v>0</v>
      </c>
      <c r="AO260" s="5">
        <v>0</v>
      </c>
      <c r="AP260" s="816">
        <v>0</v>
      </c>
      <c r="AQ260" s="816">
        <v>0</v>
      </c>
      <c r="AR260" s="5">
        <v>0</v>
      </c>
      <c r="AS260" s="5">
        <v>0</v>
      </c>
      <c r="AT260" s="5">
        <v>0</v>
      </c>
      <c r="AU260" s="5">
        <v>0</v>
      </c>
      <c r="AV260" s="5">
        <v>0</v>
      </c>
      <c r="AW260" s="815">
        <v>0</v>
      </c>
      <c r="AX260" s="816">
        <v>0</v>
      </c>
      <c r="AY260" s="819">
        <v>0</v>
      </c>
      <c r="AZ260" s="816"/>
      <c r="BA260" s="818"/>
      <c r="BB260" s="802" t="str" cm="1">
        <f t="array" ref="BB260">INDEX(C$4:BA$4,MATCH(TRUE,INDEX(C260:BA260&lt;&gt;0,),0))</f>
        <v>1995-96</v>
      </c>
      <c r="BC260" s="803" t="str" cm="1">
        <f t="array" ref="BC260">LOOKUP(2,1/(C260:BA260&lt;&gt;0),$C$4:$BA$4)</f>
        <v>1999-00</v>
      </c>
      <c r="BD260" s="804">
        <f>COUNTIF(RDprograms[[#This Row],[1978-79]:[2028-29]], "&gt;0")</f>
        <v>5</v>
      </c>
      <c r="BE260" s="805">
        <f>SUM(C260:BA260)/RDprograms[[#This Row],[Years with &gt; $0 investment]]</f>
        <v>239.4</v>
      </c>
      <c r="BF260" s="806" t="s">
        <v>246</v>
      </c>
      <c r="BG260" s="807" t="s">
        <v>669</v>
      </c>
      <c r="BH260" s="847" t="s">
        <v>670</v>
      </c>
      <c r="BI260" s="809"/>
      <c r="BJ260" s="809"/>
      <c r="BK260" s="809"/>
      <c r="BL260" s="809"/>
      <c r="BM260" s="809"/>
      <c r="BN260" s="810"/>
      <c r="BO260" s="811" t="s">
        <v>251</v>
      </c>
      <c r="BP260" s="812"/>
      <c r="BQ260" s="812"/>
      <c r="BR260" s="812"/>
      <c r="BS260" s="812"/>
      <c r="BT260" s="812" t="s">
        <v>238</v>
      </c>
    </row>
    <row r="261" spans="1:72" ht="12.75" customHeight="1">
      <c r="A261" s="813" t="s">
        <v>658</v>
      </c>
      <c r="B261" s="820" t="s">
        <v>784</v>
      </c>
      <c r="C261" s="5">
        <v>0</v>
      </c>
      <c r="D261" s="5">
        <v>0</v>
      </c>
      <c r="E261" s="5">
        <v>0</v>
      </c>
      <c r="F261" s="5">
        <v>0</v>
      </c>
      <c r="G261" s="5">
        <v>0</v>
      </c>
      <c r="H261" s="5">
        <v>0</v>
      </c>
      <c r="I261" s="5">
        <v>0</v>
      </c>
      <c r="J261" s="5">
        <v>0</v>
      </c>
      <c r="K261" s="5">
        <v>0</v>
      </c>
      <c r="L261" s="5">
        <v>0</v>
      </c>
      <c r="M261" s="5">
        <v>0</v>
      </c>
      <c r="N261" s="5">
        <v>0</v>
      </c>
      <c r="O261" s="5">
        <v>0</v>
      </c>
      <c r="P261" s="5">
        <v>0</v>
      </c>
      <c r="Q261" s="5">
        <v>0</v>
      </c>
      <c r="R261" s="5">
        <v>0</v>
      </c>
      <c r="S261" s="5">
        <v>0</v>
      </c>
      <c r="T261" s="5">
        <v>0</v>
      </c>
      <c r="U261" s="5">
        <v>0</v>
      </c>
      <c r="V261" s="5">
        <v>0</v>
      </c>
      <c r="W261" s="5">
        <v>0</v>
      </c>
      <c r="X261" s="5">
        <v>0</v>
      </c>
      <c r="Y261" s="5">
        <v>0</v>
      </c>
      <c r="Z261" s="5">
        <v>0</v>
      </c>
      <c r="AA261" s="5">
        <v>0</v>
      </c>
      <c r="AB261" s="5">
        <v>0</v>
      </c>
      <c r="AC261" s="5">
        <v>0</v>
      </c>
      <c r="AD261" s="5">
        <v>0</v>
      </c>
      <c r="AE261" s="5">
        <v>0</v>
      </c>
      <c r="AF261" s="5">
        <v>0</v>
      </c>
      <c r="AG261" s="5">
        <v>0</v>
      </c>
      <c r="AH261" s="5">
        <v>0</v>
      </c>
      <c r="AI261" s="5">
        <v>0</v>
      </c>
      <c r="AJ261" s="5">
        <v>0</v>
      </c>
      <c r="AK261" s="5">
        <v>0</v>
      </c>
      <c r="AL261" s="5">
        <v>0</v>
      </c>
      <c r="AM261" s="5">
        <v>0</v>
      </c>
      <c r="AN261" s="5">
        <v>0</v>
      </c>
      <c r="AO261" s="5">
        <v>402.21499999999997</v>
      </c>
      <c r="AP261" s="816">
        <v>923.70899999999995</v>
      </c>
      <c r="AQ261" s="816">
        <v>894.01599999999996</v>
      </c>
      <c r="AR261" s="5">
        <v>902.06200000000001</v>
      </c>
      <c r="AS261" s="5">
        <v>1918.299</v>
      </c>
      <c r="AT261" s="5">
        <v>930.65899999999999</v>
      </c>
      <c r="AU261" s="5">
        <v>951.18799999999999</v>
      </c>
      <c r="AV261" s="5">
        <v>1005.2809999999999</v>
      </c>
      <c r="AW261" s="815">
        <v>1064.3979999999999</v>
      </c>
      <c r="AX261" s="816">
        <v>1098.809</v>
      </c>
      <c r="AY261" s="819">
        <v>1131.8520000000001</v>
      </c>
      <c r="AZ261" s="816">
        <v>1166.2629999999999</v>
      </c>
      <c r="BA261" s="818">
        <v>1194.829</v>
      </c>
      <c r="BB261" s="802" t="str" cm="1">
        <f t="array" ref="BB261">INDEX(C$4:BA$4,MATCH(TRUE,INDEX(C261:BA261&lt;&gt;0,),0))</f>
        <v>2016-17</v>
      </c>
      <c r="BC261" s="803" t="str" cm="1">
        <f t="array" ref="BC261">LOOKUP(2,1/(C261:BA261&lt;&gt;0),$C$4:$BA$4)</f>
        <v>2028-29</v>
      </c>
      <c r="BD261" s="804">
        <f>COUNTIF(RDprograms[[#This Row],[1978-79]:[2028-29]], "&gt;0")</f>
        <v>13</v>
      </c>
      <c r="BE261" s="805">
        <f>SUM(C261:BA261)/RDprograms[[#This Row],[Years with &gt; $0 investment]]</f>
        <v>1044.8907692307691</v>
      </c>
      <c r="BF261" s="806" t="s">
        <v>246</v>
      </c>
      <c r="BG261" s="807" t="s">
        <v>669</v>
      </c>
      <c r="BH261" s="847" t="s">
        <v>688</v>
      </c>
      <c r="BI261" s="809"/>
      <c r="BJ261" s="809"/>
      <c r="BK261" s="809"/>
      <c r="BL261" s="809"/>
      <c r="BM261" s="809"/>
      <c r="BN261" s="810">
        <v>1</v>
      </c>
      <c r="BO261" s="811" t="s">
        <v>251</v>
      </c>
      <c r="BP261" s="812" t="s">
        <v>785</v>
      </c>
      <c r="BQ261" s="812" t="s">
        <v>786</v>
      </c>
      <c r="BR261" s="812" t="s">
        <v>754</v>
      </c>
      <c r="BS261" s="812" t="s">
        <v>244</v>
      </c>
      <c r="BT261" s="812" t="s">
        <v>238</v>
      </c>
    </row>
    <row r="262" spans="1:72" ht="12.75" customHeight="1">
      <c r="A262" s="813" t="s">
        <v>658</v>
      </c>
      <c r="B262" s="820" t="s">
        <v>787</v>
      </c>
      <c r="C262" s="5">
        <v>0</v>
      </c>
      <c r="D262" s="5">
        <v>0</v>
      </c>
      <c r="E262" s="5">
        <v>0</v>
      </c>
      <c r="F262" s="5">
        <v>0</v>
      </c>
      <c r="G262" s="5">
        <v>0</v>
      </c>
      <c r="H262" s="5">
        <v>0</v>
      </c>
      <c r="I262" s="5">
        <v>0</v>
      </c>
      <c r="J262" s="5">
        <v>0</v>
      </c>
      <c r="K262" s="5">
        <v>0</v>
      </c>
      <c r="L262" s="5">
        <v>0</v>
      </c>
      <c r="M262" s="5">
        <v>0</v>
      </c>
      <c r="N262" s="5">
        <v>0</v>
      </c>
      <c r="O262" s="5">
        <v>0</v>
      </c>
      <c r="P262" s="5">
        <v>0</v>
      </c>
      <c r="Q262" s="5">
        <v>0</v>
      </c>
      <c r="R262" s="5">
        <v>0</v>
      </c>
      <c r="S262" s="5">
        <v>0</v>
      </c>
      <c r="T262" s="5">
        <v>420</v>
      </c>
      <c r="U262" s="5">
        <v>476</v>
      </c>
      <c r="V262" s="5">
        <v>482</v>
      </c>
      <c r="W262" s="5">
        <v>468.4</v>
      </c>
      <c r="X262" s="5">
        <v>487</v>
      </c>
      <c r="Y262" s="5">
        <v>0</v>
      </c>
      <c r="Z262" s="5">
        <v>0</v>
      </c>
      <c r="AA262" s="5">
        <v>0</v>
      </c>
      <c r="AB262" s="5">
        <v>0</v>
      </c>
      <c r="AC262" s="5">
        <v>0</v>
      </c>
      <c r="AD262" s="5">
        <v>0</v>
      </c>
      <c r="AE262" s="5">
        <v>0</v>
      </c>
      <c r="AF262" s="5">
        <v>0</v>
      </c>
      <c r="AG262" s="5">
        <v>0</v>
      </c>
      <c r="AH262" s="5">
        <v>0</v>
      </c>
      <c r="AI262" s="5">
        <v>0</v>
      </c>
      <c r="AJ262" s="5">
        <v>0</v>
      </c>
      <c r="AK262" s="5">
        <v>0</v>
      </c>
      <c r="AL262" s="5">
        <v>0</v>
      </c>
      <c r="AM262" s="5">
        <v>0</v>
      </c>
      <c r="AN262" s="5">
        <v>0</v>
      </c>
      <c r="AO262" s="5">
        <v>0</v>
      </c>
      <c r="AP262" s="816">
        <v>0</v>
      </c>
      <c r="AQ262" s="816">
        <v>0</v>
      </c>
      <c r="AR262" s="5">
        <v>0</v>
      </c>
      <c r="AS262" s="5">
        <v>0</v>
      </c>
      <c r="AT262" s="5">
        <v>0</v>
      </c>
      <c r="AU262" s="5">
        <v>0</v>
      </c>
      <c r="AV262" s="5">
        <v>0</v>
      </c>
      <c r="AW262" s="815">
        <v>0</v>
      </c>
      <c r="AX262" s="816">
        <v>0</v>
      </c>
      <c r="AY262" s="819">
        <v>0</v>
      </c>
      <c r="AZ262" s="816"/>
      <c r="BA262" s="818"/>
      <c r="BB262" s="802" t="str" cm="1">
        <f t="array" ref="BB262">INDEX(C$4:BA$4,MATCH(TRUE,INDEX(C262:BA262&lt;&gt;0,),0))</f>
        <v>1995-96</v>
      </c>
      <c r="BC262" s="803" t="str" cm="1">
        <f t="array" ref="BC262">LOOKUP(2,1/(C262:BA262&lt;&gt;0),$C$4:$BA$4)</f>
        <v>1999-00</v>
      </c>
      <c r="BD262" s="804">
        <f>COUNTIF(RDprograms[[#This Row],[1978-79]:[2028-29]], "&gt;0")</f>
        <v>5</v>
      </c>
      <c r="BE262" s="805">
        <f>SUM(C262:BA262)/RDprograms[[#This Row],[Years with &gt; $0 investment]]</f>
        <v>466.68</v>
      </c>
      <c r="BF262" s="806" t="s">
        <v>246</v>
      </c>
      <c r="BG262" s="807" t="s">
        <v>669</v>
      </c>
      <c r="BH262" s="847" t="s">
        <v>670</v>
      </c>
      <c r="BI262" s="809"/>
      <c r="BJ262" s="809"/>
      <c r="BK262" s="809"/>
      <c r="BL262" s="809"/>
      <c r="BM262" s="809"/>
      <c r="BN262" s="810"/>
      <c r="BO262" s="811" t="s">
        <v>251</v>
      </c>
      <c r="BP262" s="812"/>
      <c r="BQ262" s="812"/>
      <c r="BR262" s="812"/>
      <c r="BS262" s="812"/>
      <c r="BT262" s="812" t="s">
        <v>238</v>
      </c>
    </row>
    <row r="263" spans="1:72" ht="12.75" customHeight="1">
      <c r="A263" s="813" t="s">
        <v>658</v>
      </c>
      <c r="B263" s="820" t="s">
        <v>788</v>
      </c>
      <c r="C263" s="5">
        <v>0</v>
      </c>
      <c r="D263" s="5">
        <v>0</v>
      </c>
      <c r="E263" s="5">
        <v>0</v>
      </c>
      <c r="F263" s="5">
        <v>0</v>
      </c>
      <c r="G263" s="5">
        <v>0</v>
      </c>
      <c r="H263" s="5">
        <v>0</v>
      </c>
      <c r="I263" s="5">
        <v>0</v>
      </c>
      <c r="J263" s="5">
        <v>0</v>
      </c>
      <c r="K263" s="5">
        <v>0</v>
      </c>
      <c r="L263" s="5">
        <v>0</v>
      </c>
      <c r="M263" s="5">
        <v>0</v>
      </c>
      <c r="N263" s="5">
        <v>0</v>
      </c>
      <c r="O263" s="5">
        <v>0</v>
      </c>
      <c r="P263" s="5">
        <v>0</v>
      </c>
      <c r="Q263" s="5">
        <v>0</v>
      </c>
      <c r="R263" s="5">
        <v>0</v>
      </c>
      <c r="S263" s="5">
        <v>0</v>
      </c>
      <c r="T263" s="5">
        <v>0</v>
      </c>
      <c r="U263" s="5">
        <v>0</v>
      </c>
      <c r="V263" s="5">
        <v>0</v>
      </c>
      <c r="W263" s="5">
        <v>0</v>
      </c>
      <c r="X263" s="5">
        <v>0</v>
      </c>
      <c r="Y263" s="5">
        <v>0</v>
      </c>
      <c r="Z263" s="5">
        <v>0</v>
      </c>
      <c r="AA263" s="5">
        <v>0</v>
      </c>
      <c r="AB263" s="5">
        <v>0</v>
      </c>
      <c r="AC263" s="5">
        <v>0</v>
      </c>
      <c r="AD263" s="5">
        <v>0</v>
      </c>
      <c r="AE263" s="5">
        <v>0</v>
      </c>
      <c r="AF263" s="5">
        <v>0</v>
      </c>
      <c r="AG263" s="5">
        <v>0</v>
      </c>
      <c r="AH263" s="5">
        <v>0</v>
      </c>
      <c r="AI263" s="5">
        <v>0</v>
      </c>
      <c r="AJ263" s="5">
        <v>0</v>
      </c>
      <c r="AK263" s="5">
        <v>0</v>
      </c>
      <c r="AL263" s="5">
        <v>0</v>
      </c>
      <c r="AM263" s="5">
        <v>0</v>
      </c>
      <c r="AN263" s="5">
        <v>0</v>
      </c>
      <c r="AO263" s="5">
        <v>505.95299999999997</v>
      </c>
      <c r="AP263" s="5">
        <v>1019.495</v>
      </c>
      <c r="AQ263" s="5">
        <v>1027.0840000000001</v>
      </c>
      <c r="AR263" s="5">
        <v>1036.328</v>
      </c>
      <c r="AS263" s="5">
        <v>1054.981</v>
      </c>
      <c r="AT263" s="5">
        <v>1069.181</v>
      </c>
      <c r="AU263" s="5">
        <v>1092.7660000000001</v>
      </c>
      <c r="AV263" s="5">
        <v>1154.9110000000001</v>
      </c>
      <c r="AW263" s="815">
        <v>1222.827</v>
      </c>
      <c r="AX263" s="816">
        <v>1262.3599999999999</v>
      </c>
      <c r="AY263" s="819">
        <v>1259.3420000000001</v>
      </c>
      <c r="AZ263" s="816">
        <v>1294.729</v>
      </c>
      <c r="BA263" s="818">
        <v>1325.106</v>
      </c>
      <c r="BB263" s="802" t="str" cm="1">
        <f t="array" ref="BB263">INDEX(C$4:BA$4,MATCH(TRUE,INDEX(C263:BA263&lt;&gt;0,),0))</f>
        <v>2016-17</v>
      </c>
      <c r="BC263" s="803" t="str" cm="1">
        <f t="array" ref="BC263">LOOKUP(2,1/(C263:BA263&lt;&gt;0),$C$4:$BA$4)</f>
        <v>2028-29</v>
      </c>
      <c r="BD263" s="804">
        <f>COUNTIF(RDprograms[[#This Row],[1978-79]:[2028-29]], "&gt;0")</f>
        <v>13</v>
      </c>
      <c r="BE263" s="805">
        <f>SUM(C263:BA263)/RDprograms[[#This Row],[Years with &gt; $0 investment]]</f>
        <v>1101.927923076923</v>
      </c>
      <c r="BF263" s="806" t="s">
        <v>246</v>
      </c>
      <c r="BG263" s="807" t="s">
        <v>669</v>
      </c>
      <c r="BH263" s="847" t="s">
        <v>688</v>
      </c>
      <c r="BI263" s="809"/>
      <c r="BJ263" s="809"/>
      <c r="BK263" s="809"/>
      <c r="BL263" s="809"/>
      <c r="BM263" s="809"/>
      <c r="BN263" s="810">
        <v>1</v>
      </c>
      <c r="BO263" s="811" t="s">
        <v>251</v>
      </c>
      <c r="BP263" s="812" t="s">
        <v>789</v>
      </c>
      <c r="BQ263" s="812" t="s">
        <v>790</v>
      </c>
      <c r="BR263" s="812" t="s">
        <v>754</v>
      </c>
      <c r="BS263" s="812" t="s">
        <v>244</v>
      </c>
      <c r="BT263" s="812" t="s">
        <v>238</v>
      </c>
    </row>
    <row r="264" spans="1:72" ht="12.75" customHeight="1">
      <c r="A264" s="813" t="s">
        <v>658</v>
      </c>
      <c r="B264" s="820" t="s">
        <v>791</v>
      </c>
      <c r="C264" s="5">
        <v>0</v>
      </c>
      <c r="D264" s="5">
        <v>0</v>
      </c>
      <c r="E264" s="5">
        <v>0</v>
      </c>
      <c r="F264" s="5">
        <v>0</v>
      </c>
      <c r="G264" s="5">
        <v>0</v>
      </c>
      <c r="H264" s="5">
        <v>0</v>
      </c>
      <c r="I264" s="5">
        <v>0</v>
      </c>
      <c r="J264" s="5">
        <v>0</v>
      </c>
      <c r="K264" s="5">
        <v>0</v>
      </c>
      <c r="L264" s="5">
        <v>0</v>
      </c>
      <c r="M264" s="5">
        <v>0</v>
      </c>
      <c r="N264" s="5">
        <v>0</v>
      </c>
      <c r="O264" s="5">
        <v>0</v>
      </c>
      <c r="P264" s="5">
        <v>0</v>
      </c>
      <c r="Q264" s="5">
        <v>0</v>
      </c>
      <c r="R264" s="5">
        <v>0</v>
      </c>
      <c r="S264" s="5">
        <v>0</v>
      </c>
      <c r="T264" s="5">
        <v>0</v>
      </c>
      <c r="U264" s="5">
        <v>0</v>
      </c>
      <c r="V264" s="5">
        <v>0</v>
      </c>
      <c r="W264" s="5">
        <v>0</v>
      </c>
      <c r="X264" s="5">
        <v>0</v>
      </c>
      <c r="Y264" s="5">
        <v>504.5</v>
      </c>
      <c r="Z264" s="5">
        <v>515.6</v>
      </c>
      <c r="AA264" s="5">
        <v>528</v>
      </c>
      <c r="AB264" s="5">
        <v>541.9</v>
      </c>
      <c r="AC264" s="5">
        <v>552.20000000000005</v>
      </c>
      <c r="AD264" s="5">
        <v>562.64400000000001</v>
      </c>
      <c r="AE264" s="5">
        <v>573.89599999999996</v>
      </c>
      <c r="AF264" s="5">
        <v>585.37699999999995</v>
      </c>
      <c r="AG264" s="5">
        <v>591.5</v>
      </c>
      <c r="AH264" s="5">
        <v>603.94299999999998</v>
      </c>
      <c r="AI264" s="5">
        <v>615.101</v>
      </c>
      <c r="AJ264" s="5">
        <v>631.76300000000003</v>
      </c>
      <c r="AK264" s="5">
        <v>656.09199999999998</v>
      </c>
      <c r="AL264" s="5">
        <v>671.78300000000002</v>
      </c>
      <c r="AM264" s="5">
        <v>676.70500000000004</v>
      </c>
      <c r="AN264" s="5">
        <v>684.25300000000004</v>
      </c>
      <c r="AO264" s="5">
        <v>345.01</v>
      </c>
      <c r="AP264" s="816">
        <v>0</v>
      </c>
      <c r="AQ264" s="816">
        <v>0</v>
      </c>
      <c r="AR264" s="5">
        <v>0</v>
      </c>
      <c r="AS264" s="5">
        <v>0</v>
      </c>
      <c r="AT264" s="5">
        <v>0</v>
      </c>
      <c r="AU264" s="5">
        <v>0</v>
      </c>
      <c r="AV264" s="5">
        <v>0</v>
      </c>
      <c r="AW264" s="815">
        <v>0</v>
      </c>
      <c r="AX264" s="816">
        <v>0</v>
      </c>
      <c r="AY264" s="819">
        <v>0</v>
      </c>
      <c r="AZ264" s="816"/>
      <c r="BA264" s="818"/>
      <c r="BB264" s="802" t="str" cm="1">
        <f t="array" ref="BB264">INDEX(C$4:BA$4,MATCH(TRUE,INDEX(C264:BA264&lt;&gt;0,),0))</f>
        <v>2000-01</v>
      </c>
      <c r="BC264" s="803" t="str" cm="1">
        <f t="array" ref="BC264">LOOKUP(2,1/(C264:BA264&lt;&gt;0),$C$4:$BA$4)</f>
        <v>2016-17</v>
      </c>
      <c r="BD264" s="804">
        <f>COUNTIF(RDprograms[[#This Row],[1978-79]:[2028-29]], "&gt;0")</f>
        <v>17</v>
      </c>
      <c r="BE264" s="805">
        <f>SUM(C264:BA264)/RDprograms[[#This Row],[Years with &gt; $0 investment]]</f>
        <v>578.83923529411777</v>
      </c>
      <c r="BF264" s="806" t="s">
        <v>246</v>
      </c>
      <c r="BG264" s="807" t="s">
        <v>669</v>
      </c>
      <c r="BH264" s="847" t="s">
        <v>688</v>
      </c>
      <c r="BI264" s="809"/>
      <c r="BJ264" s="809"/>
      <c r="BK264" s="809"/>
      <c r="BL264" s="809"/>
      <c r="BM264" s="809"/>
      <c r="BN264" s="810"/>
      <c r="BO264" s="811" t="s">
        <v>251</v>
      </c>
      <c r="BP264" s="812" t="s">
        <v>792</v>
      </c>
      <c r="BQ264" s="812" t="s">
        <v>690</v>
      </c>
      <c r="BR264" s="812" t="s">
        <v>754</v>
      </c>
      <c r="BS264" s="812"/>
      <c r="BT264" s="812" t="s">
        <v>238</v>
      </c>
    </row>
    <row r="265" spans="1:72" ht="12.75" customHeight="1">
      <c r="A265" s="813" t="s">
        <v>658</v>
      </c>
      <c r="B265" s="820" t="s">
        <v>793</v>
      </c>
      <c r="C265" s="5">
        <v>0</v>
      </c>
      <c r="D265" s="5">
        <v>0</v>
      </c>
      <c r="E265" s="5">
        <v>0</v>
      </c>
      <c r="F265" s="5">
        <v>0</v>
      </c>
      <c r="G265" s="5">
        <v>0</v>
      </c>
      <c r="H265" s="5">
        <v>0</v>
      </c>
      <c r="I265" s="5">
        <v>0</v>
      </c>
      <c r="J265" s="5">
        <v>0</v>
      </c>
      <c r="K265" s="5">
        <v>0</v>
      </c>
      <c r="L265" s="5">
        <v>0</v>
      </c>
      <c r="M265" s="5">
        <v>0</v>
      </c>
      <c r="N265" s="5">
        <v>0</v>
      </c>
      <c r="O265" s="5">
        <v>0</v>
      </c>
      <c r="P265" s="5">
        <v>0</v>
      </c>
      <c r="Q265" s="5">
        <v>0</v>
      </c>
      <c r="R265" s="5">
        <v>0</v>
      </c>
      <c r="S265" s="5">
        <v>0</v>
      </c>
      <c r="T265" s="5">
        <v>0</v>
      </c>
      <c r="U265" s="5">
        <v>0</v>
      </c>
      <c r="V265" s="5">
        <v>0</v>
      </c>
      <c r="W265" s="5">
        <v>0</v>
      </c>
      <c r="X265" s="5">
        <v>0</v>
      </c>
      <c r="Y265" s="5">
        <v>0</v>
      </c>
      <c r="Z265" s="5">
        <v>0</v>
      </c>
      <c r="AA265" s="5">
        <v>0</v>
      </c>
      <c r="AB265" s="5">
        <v>0</v>
      </c>
      <c r="AC265" s="5">
        <v>0</v>
      </c>
      <c r="AD265" s="5">
        <v>0</v>
      </c>
      <c r="AE265" s="5">
        <v>0</v>
      </c>
      <c r="AF265" s="5">
        <v>0</v>
      </c>
      <c r="AG265" s="5">
        <v>0</v>
      </c>
      <c r="AH265" s="5">
        <v>0</v>
      </c>
      <c r="AI265" s="5">
        <v>10.1</v>
      </c>
      <c r="AJ265" s="5">
        <v>15</v>
      </c>
      <c r="AK265" s="5">
        <v>0</v>
      </c>
      <c r="AL265" s="5">
        <v>0</v>
      </c>
      <c r="AM265" s="5">
        <v>0</v>
      </c>
      <c r="AN265" s="5">
        <v>0</v>
      </c>
      <c r="AO265" s="5">
        <v>0</v>
      </c>
      <c r="AP265" s="816">
        <v>0</v>
      </c>
      <c r="AQ265" s="816">
        <v>0</v>
      </c>
      <c r="AR265" s="5">
        <v>0</v>
      </c>
      <c r="AS265" s="5">
        <v>0</v>
      </c>
      <c r="AT265" s="5">
        <v>0</v>
      </c>
      <c r="AU265" s="5">
        <v>0</v>
      </c>
      <c r="AV265" s="5">
        <v>0</v>
      </c>
      <c r="AW265" s="815">
        <v>0</v>
      </c>
      <c r="AX265" s="816">
        <v>0</v>
      </c>
      <c r="AY265" s="819">
        <v>0</v>
      </c>
      <c r="AZ265" s="816"/>
      <c r="BA265" s="818"/>
      <c r="BB265" s="802" t="str" cm="1">
        <f t="array" ref="BB265">INDEX(C$4:BA$4,MATCH(TRUE,INDEX(C265:BA265&lt;&gt;0,),0))</f>
        <v>2010-11</v>
      </c>
      <c r="BC265" s="803" t="str" cm="1">
        <f t="array" ref="BC265">LOOKUP(2,1/(C265:BA265&lt;&gt;0),$C$4:$BA$4)</f>
        <v>2011-12</v>
      </c>
      <c r="BD265" s="804">
        <f>COUNTIF(RDprograms[[#This Row],[1978-79]:[2028-29]], "&gt;0")</f>
        <v>2</v>
      </c>
      <c r="BE265" s="805">
        <f>SUM(C265:BA265)/RDprograms[[#This Row],[Years with &gt; $0 investment]]</f>
        <v>12.55</v>
      </c>
      <c r="BF265" s="806" t="s">
        <v>273</v>
      </c>
      <c r="BG265" s="807" t="s">
        <v>409</v>
      </c>
      <c r="BH265" s="847" t="s">
        <v>269</v>
      </c>
      <c r="BI265" s="809"/>
      <c r="BJ265" s="809"/>
      <c r="BK265" s="809"/>
      <c r="BL265" s="809"/>
      <c r="BM265" s="809"/>
      <c r="BN265" s="810"/>
      <c r="BO265" s="811" t="s">
        <v>251</v>
      </c>
      <c r="BP265" s="812"/>
      <c r="BQ265" s="812"/>
      <c r="BR265" s="812"/>
      <c r="BS265" s="812"/>
      <c r="BT265" s="812" t="s">
        <v>238</v>
      </c>
    </row>
    <row r="266" spans="1:72" ht="12.75" customHeight="1">
      <c r="A266" s="813" t="s">
        <v>658</v>
      </c>
      <c r="B266" s="820" t="s">
        <v>794</v>
      </c>
      <c r="C266" s="5">
        <v>0</v>
      </c>
      <c r="D266" s="5">
        <v>0</v>
      </c>
      <c r="E266" s="5">
        <v>0</v>
      </c>
      <c r="F266" s="5">
        <v>0</v>
      </c>
      <c r="G266" s="5">
        <v>0</v>
      </c>
      <c r="H266" s="5">
        <v>0</v>
      </c>
      <c r="I266" s="5">
        <v>0</v>
      </c>
      <c r="J266" s="5">
        <v>0</v>
      </c>
      <c r="K266" s="5">
        <v>0</v>
      </c>
      <c r="L266" s="5">
        <v>0</v>
      </c>
      <c r="M266" s="5">
        <v>0</v>
      </c>
      <c r="N266" s="5">
        <v>0</v>
      </c>
      <c r="O266" s="5">
        <v>0</v>
      </c>
      <c r="P266" s="5">
        <v>0</v>
      </c>
      <c r="Q266" s="5">
        <v>0</v>
      </c>
      <c r="R266" s="5">
        <v>0</v>
      </c>
      <c r="S266" s="5">
        <v>0</v>
      </c>
      <c r="T266" s="5">
        <v>0</v>
      </c>
      <c r="U266" s="5">
        <v>0</v>
      </c>
      <c r="V266" s="5">
        <v>0</v>
      </c>
      <c r="W266" s="5">
        <v>0</v>
      </c>
      <c r="X266" s="5">
        <v>3.9</v>
      </c>
      <c r="Y266" s="5">
        <v>11</v>
      </c>
      <c r="Z266" s="5">
        <v>0</v>
      </c>
      <c r="AA266" s="5">
        <v>0</v>
      </c>
      <c r="AB266" s="5">
        <v>0</v>
      </c>
      <c r="AC266" s="5">
        <v>0</v>
      </c>
      <c r="AD266" s="5">
        <v>0</v>
      </c>
      <c r="AE266" s="5">
        <v>0</v>
      </c>
      <c r="AF266" s="5">
        <v>0</v>
      </c>
      <c r="AG266" s="5">
        <v>0</v>
      </c>
      <c r="AH266" s="5">
        <v>0</v>
      </c>
      <c r="AI266" s="5">
        <v>0</v>
      </c>
      <c r="AJ266" s="5">
        <v>0</v>
      </c>
      <c r="AK266" s="5">
        <v>0</v>
      </c>
      <c r="AL266" s="5">
        <v>0</v>
      </c>
      <c r="AM266" s="5">
        <v>0</v>
      </c>
      <c r="AN266" s="5">
        <v>0</v>
      </c>
      <c r="AO266" s="5">
        <v>0</v>
      </c>
      <c r="AP266" s="5">
        <v>0</v>
      </c>
      <c r="AQ266" s="5">
        <v>0</v>
      </c>
      <c r="AR266" s="5">
        <v>0</v>
      </c>
      <c r="AS266" s="5">
        <v>0</v>
      </c>
      <c r="AT266" s="5">
        <v>0</v>
      </c>
      <c r="AU266" s="5">
        <v>0</v>
      </c>
      <c r="AV266" s="5">
        <v>0</v>
      </c>
      <c r="AW266" s="815">
        <v>0</v>
      </c>
      <c r="AX266" s="816">
        <v>0</v>
      </c>
      <c r="AY266" s="819">
        <v>0</v>
      </c>
      <c r="AZ266" s="816"/>
      <c r="BA266" s="818"/>
      <c r="BB266" s="802" t="str" cm="1">
        <f t="array" ref="BB266">INDEX(C$4:BA$4,MATCH(TRUE,INDEX(C266:BA266&lt;&gt;0,),0))</f>
        <v>1999-00</v>
      </c>
      <c r="BC266" s="803" t="str" cm="1">
        <f t="array" ref="BC266">LOOKUP(2,1/(C266:BA266&lt;&gt;0),$C$4:$BA$4)</f>
        <v>2000-01</v>
      </c>
      <c r="BD266" s="804">
        <f>COUNTIF(RDprograms[[#This Row],[1978-79]:[2028-29]], "&gt;0")</f>
        <v>2</v>
      </c>
      <c r="BE266" s="805">
        <f>SUM(C266:BA266)/RDprograms[[#This Row],[Years with &gt; $0 investment]]</f>
        <v>7.45</v>
      </c>
      <c r="BF266" s="806" t="s">
        <v>273</v>
      </c>
      <c r="BG266" s="807" t="s">
        <v>669</v>
      </c>
      <c r="BH266" s="847" t="s">
        <v>269</v>
      </c>
      <c r="BI266" s="809"/>
      <c r="BJ266" s="809"/>
      <c r="BK266" s="809"/>
      <c r="BL266" s="809"/>
      <c r="BM266" s="809"/>
      <c r="BN266" s="810"/>
      <c r="BO266" s="811" t="s">
        <v>251</v>
      </c>
      <c r="BP266" s="812"/>
      <c r="BQ266" s="812"/>
      <c r="BR266" s="812"/>
      <c r="BS266" s="812"/>
      <c r="BT266" s="812"/>
    </row>
    <row r="267" spans="1:72" ht="12.75" customHeight="1">
      <c r="A267" s="813" t="s">
        <v>658</v>
      </c>
      <c r="B267" s="820" t="s">
        <v>795</v>
      </c>
      <c r="C267" s="5">
        <v>0</v>
      </c>
      <c r="D267" s="5">
        <v>0</v>
      </c>
      <c r="E267" s="5">
        <v>0</v>
      </c>
      <c r="F267" s="5">
        <v>0</v>
      </c>
      <c r="G267" s="5">
        <v>0</v>
      </c>
      <c r="H267" s="5">
        <v>0</v>
      </c>
      <c r="I267" s="5">
        <v>0</v>
      </c>
      <c r="J267" s="5">
        <v>0</v>
      </c>
      <c r="K267" s="5">
        <v>0</v>
      </c>
      <c r="L267" s="5">
        <v>0</v>
      </c>
      <c r="M267" s="5">
        <v>0</v>
      </c>
      <c r="N267" s="5">
        <v>0</v>
      </c>
      <c r="O267" s="5">
        <v>0</v>
      </c>
      <c r="P267" s="5">
        <v>0</v>
      </c>
      <c r="Q267" s="5">
        <v>0</v>
      </c>
      <c r="R267" s="5">
        <v>0</v>
      </c>
      <c r="S267" s="5">
        <v>0</v>
      </c>
      <c r="T267" s="5">
        <v>0</v>
      </c>
      <c r="U267" s="5">
        <v>0</v>
      </c>
      <c r="V267" s="5">
        <v>0</v>
      </c>
      <c r="W267" s="5">
        <v>0</v>
      </c>
      <c r="X267" s="5">
        <v>0</v>
      </c>
      <c r="Y267" s="5">
        <v>0</v>
      </c>
      <c r="Z267" s="5">
        <v>0</v>
      </c>
      <c r="AA267" s="5">
        <v>0</v>
      </c>
      <c r="AB267" s="5">
        <v>0</v>
      </c>
      <c r="AC267" s="5">
        <v>0</v>
      </c>
      <c r="AD267" s="5">
        <v>0</v>
      </c>
      <c r="AE267" s="5">
        <v>0</v>
      </c>
      <c r="AF267" s="5">
        <v>0</v>
      </c>
      <c r="AG267" s="5">
        <v>0</v>
      </c>
      <c r="AH267" s="5">
        <v>0</v>
      </c>
      <c r="AI267" s="5">
        <v>7</v>
      </c>
      <c r="AJ267" s="5">
        <v>0</v>
      </c>
      <c r="AK267" s="5">
        <v>0</v>
      </c>
      <c r="AL267" s="5">
        <v>0</v>
      </c>
      <c r="AM267" s="5">
        <v>0</v>
      </c>
      <c r="AN267" s="5">
        <v>0</v>
      </c>
      <c r="AO267" s="5">
        <v>0</v>
      </c>
      <c r="AP267" s="5">
        <v>0</v>
      </c>
      <c r="AQ267" s="5">
        <v>0</v>
      </c>
      <c r="AR267" s="5">
        <v>0</v>
      </c>
      <c r="AS267" s="5">
        <v>0</v>
      </c>
      <c r="AT267" s="5">
        <v>0</v>
      </c>
      <c r="AU267" s="5">
        <v>0</v>
      </c>
      <c r="AV267" s="5">
        <v>0</v>
      </c>
      <c r="AW267" s="815">
        <v>0</v>
      </c>
      <c r="AX267" s="816">
        <v>0</v>
      </c>
      <c r="AY267" s="819">
        <v>0</v>
      </c>
      <c r="AZ267" s="816"/>
      <c r="BA267" s="818"/>
      <c r="BB267" s="802" t="str" cm="1">
        <f t="array" ref="BB267">INDEX(C$4:BA$4,MATCH(TRUE,INDEX(C267:BA267&lt;&gt;0,),0))</f>
        <v>2010-11</v>
      </c>
      <c r="BC267" s="803" t="str" cm="1">
        <f t="array" ref="BC267">LOOKUP(2,1/(C267:BA267&lt;&gt;0),$C$4:$BA$4)</f>
        <v>2010-11</v>
      </c>
      <c r="BD267" s="804">
        <f>COUNTIF(RDprograms[[#This Row],[1978-79]:[2028-29]], "&gt;0")</f>
        <v>1</v>
      </c>
      <c r="BE267" s="805">
        <f>SUM(C267:BA267)/RDprograms[[#This Row],[Years with &gt; $0 investment]]</f>
        <v>7</v>
      </c>
      <c r="BF267" s="806" t="s">
        <v>273</v>
      </c>
      <c r="BG267" s="807" t="s">
        <v>362</v>
      </c>
      <c r="BH267" s="847" t="s">
        <v>269</v>
      </c>
      <c r="BI267" s="809"/>
      <c r="BJ267" s="809"/>
      <c r="BK267" s="809"/>
      <c r="BL267" s="809"/>
      <c r="BM267" s="809"/>
      <c r="BN267" s="810"/>
      <c r="BO267" s="811" t="s">
        <v>236</v>
      </c>
      <c r="BP267" s="812"/>
      <c r="BQ267" s="812"/>
      <c r="BR267" s="812"/>
      <c r="BS267" s="812"/>
      <c r="BT267" s="812" t="s">
        <v>238</v>
      </c>
    </row>
    <row r="268" spans="1:72" ht="12.75" customHeight="1">
      <c r="A268" s="813" t="s">
        <v>658</v>
      </c>
      <c r="B268" s="820" t="s">
        <v>796</v>
      </c>
      <c r="C268" s="5">
        <v>0</v>
      </c>
      <c r="D268" s="5">
        <v>0</v>
      </c>
      <c r="E268" s="5">
        <v>0</v>
      </c>
      <c r="F268" s="5">
        <v>0</v>
      </c>
      <c r="G268" s="5">
        <v>0</v>
      </c>
      <c r="H268" s="5">
        <v>0</v>
      </c>
      <c r="I268" s="5">
        <v>0</v>
      </c>
      <c r="J268" s="5">
        <v>0</v>
      </c>
      <c r="K268" s="5">
        <v>0</v>
      </c>
      <c r="L268" s="5">
        <v>0</v>
      </c>
      <c r="M268" s="5">
        <v>0</v>
      </c>
      <c r="N268" s="5">
        <v>0</v>
      </c>
      <c r="O268" s="5">
        <v>0</v>
      </c>
      <c r="P268" s="5">
        <v>0</v>
      </c>
      <c r="Q268" s="5">
        <v>0</v>
      </c>
      <c r="R268" s="5">
        <v>0</v>
      </c>
      <c r="S268" s="5">
        <v>0</v>
      </c>
      <c r="T268" s="5">
        <v>0</v>
      </c>
      <c r="U268" s="5">
        <v>0</v>
      </c>
      <c r="V268" s="5">
        <v>0</v>
      </c>
      <c r="W268" s="5">
        <v>0</v>
      </c>
      <c r="X268" s="5">
        <v>0</v>
      </c>
      <c r="Y268" s="5">
        <v>0</v>
      </c>
      <c r="Z268" s="5">
        <v>0</v>
      </c>
      <c r="AA268" s="5">
        <v>0</v>
      </c>
      <c r="AB268" s="5">
        <v>0</v>
      </c>
      <c r="AC268" s="5">
        <v>0</v>
      </c>
      <c r="AD268" s="5">
        <v>0</v>
      </c>
      <c r="AE268" s="5">
        <v>0</v>
      </c>
      <c r="AF268" s="5">
        <v>0</v>
      </c>
      <c r="AG268" s="5">
        <v>0</v>
      </c>
      <c r="AH268" s="5">
        <v>0</v>
      </c>
      <c r="AI268" s="5">
        <v>55</v>
      </c>
      <c r="AJ268" s="5">
        <v>0</v>
      </c>
      <c r="AK268" s="5">
        <v>0</v>
      </c>
      <c r="AL268" s="5">
        <v>0</v>
      </c>
      <c r="AM268" s="5">
        <v>0</v>
      </c>
      <c r="AN268" s="5">
        <v>0</v>
      </c>
      <c r="AO268" s="5">
        <v>0</v>
      </c>
      <c r="AP268" s="5">
        <v>0</v>
      </c>
      <c r="AQ268" s="5">
        <v>0</v>
      </c>
      <c r="AR268" s="5">
        <v>0</v>
      </c>
      <c r="AS268" s="5">
        <v>0</v>
      </c>
      <c r="AT268" s="5">
        <v>0</v>
      </c>
      <c r="AU268" s="5">
        <v>0</v>
      </c>
      <c r="AV268" s="5">
        <v>0</v>
      </c>
      <c r="AW268" s="815">
        <v>0</v>
      </c>
      <c r="AX268" s="816">
        <v>0</v>
      </c>
      <c r="AY268" s="819">
        <v>0</v>
      </c>
      <c r="AZ268" s="816"/>
      <c r="BA268" s="818"/>
      <c r="BB268" s="802" t="str" cm="1">
        <f t="array" ref="BB268">INDEX(C$4:BA$4,MATCH(TRUE,INDEX(C268:BA268&lt;&gt;0,),0))</f>
        <v>2010-11</v>
      </c>
      <c r="BC268" s="803" t="str" cm="1">
        <f t="array" ref="BC268">LOOKUP(2,1/(C268:BA268&lt;&gt;0),$C$4:$BA$4)</f>
        <v>2010-11</v>
      </c>
      <c r="BD268" s="804">
        <f>COUNTIF(RDprograms[[#This Row],[1978-79]:[2028-29]], "&gt;0")</f>
        <v>1</v>
      </c>
      <c r="BE268" s="805">
        <f>SUM(C268:BA268)/RDprograms[[#This Row],[Years with &gt; $0 investment]]</f>
        <v>55</v>
      </c>
      <c r="BF268" s="806" t="s">
        <v>273</v>
      </c>
      <c r="BG268" s="807" t="s">
        <v>703</v>
      </c>
      <c r="BH268" s="847" t="s">
        <v>241</v>
      </c>
      <c r="BI268" s="809"/>
      <c r="BJ268" s="809"/>
      <c r="BK268" s="809"/>
      <c r="BL268" s="809"/>
      <c r="BM268" s="809"/>
      <c r="BN268" s="810"/>
      <c r="BO268" s="811" t="s">
        <v>251</v>
      </c>
      <c r="BP268" s="812"/>
      <c r="BQ268" s="812"/>
      <c r="BR268" s="812"/>
      <c r="BS268" s="812"/>
      <c r="BT268" s="812" t="s">
        <v>238</v>
      </c>
    </row>
    <row r="269" spans="1:72" ht="12.75" customHeight="1">
      <c r="A269" s="813" t="s">
        <v>658</v>
      </c>
      <c r="B269" s="820" t="s">
        <v>797</v>
      </c>
      <c r="C269" s="5">
        <v>0</v>
      </c>
      <c r="D269" s="5">
        <v>0</v>
      </c>
      <c r="E269" s="5">
        <v>0</v>
      </c>
      <c r="F269" s="5">
        <v>1.5</v>
      </c>
      <c r="G269" s="5">
        <v>5.9</v>
      </c>
      <c r="H269" s="5">
        <v>5.7</v>
      </c>
      <c r="I269" s="5">
        <v>5.6</v>
      </c>
      <c r="J269" s="5">
        <v>5.9</v>
      </c>
      <c r="K269" s="5">
        <v>6</v>
      </c>
      <c r="L269" s="5">
        <v>9</v>
      </c>
      <c r="M269" s="5">
        <v>12.1</v>
      </c>
      <c r="N269" s="5">
        <v>77.3</v>
      </c>
      <c r="O269" s="5">
        <v>178.7</v>
      </c>
      <c r="P269" s="5">
        <v>240.3</v>
      </c>
      <c r="Q269" s="5">
        <v>260</v>
      </c>
      <c r="R269" s="5">
        <v>292</v>
      </c>
      <c r="S269" s="5">
        <v>306.3</v>
      </c>
      <c r="T269" s="5">
        <v>346.4</v>
      </c>
      <c r="U269" s="5">
        <v>396.5</v>
      </c>
      <c r="V269" s="5">
        <v>420.4</v>
      </c>
      <c r="W269" s="5">
        <v>451.2</v>
      </c>
      <c r="X269" s="5">
        <v>442.9</v>
      </c>
      <c r="Y269" s="5">
        <v>0</v>
      </c>
      <c r="Z269" s="5">
        <v>0</v>
      </c>
      <c r="AA269" s="5">
        <v>0</v>
      </c>
      <c r="AB269" s="5">
        <v>0</v>
      </c>
      <c r="AC269" s="5">
        <v>0</v>
      </c>
      <c r="AD269" s="5">
        <v>0</v>
      </c>
      <c r="AE269" s="5">
        <v>0</v>
      </c>
      <c r="AF269" s="5">
        <v>0</v>
      </c>
      <c r="AG269" s="5">
        <v>0</v>
      </c>
      <c r="AH269" s="5">
        <v>0</v>
      </c>
      <c r="AI269" s="5">
        <v>0</v>
      </c>
      <c r="AJ269" s="5">
        <v>0</v>
      </c>
      <c r="AK269" s="5">
        <v>0</v>
      </c>
      <c r="AL269" s="5">
        <v>0</v>
      </c>
      <c r="AM269" s="5">
        <v>0</v>
      </c>
      <c r="AN269" s="5">
        <v>0</v>
      </c>
      <c r="AO269" s="5">
        <v>0</v>
      </c>
      <c r="AP269" s="5">
        <v>0</v>
      </c>
      <c r="AQ269" s="5">
        <v>0</v>
      </c>
      <c r="AR269" s="5">
        <v>0</v>
      </c>
      <c r="AS269" s="5">
        <v>0</v>
      </c>
      <c r="AT269" s="5">
        <v>0</v>
      </c>
      <c r="AU269" s="5">
        <v>0</v>
      </c>
      <c r="AV269" s="5">
        <v>0</v>
      </c>
      <c r="AW269" s="815">
        <v>0</v>
      </c>
      <c r="AX269" s="816">
        <v>0</v>
      </c>
      <c r="AY269" s="819">
        <v>0</v>
      </c>
      <c r="AZ269" s="816"/>
      <c r="BA269" s="818"/>
      <c r="BB269" s="802" t="str" cm="1">
        <f t="array" ref="BB269">INDEX(C$4:BA$4,MATCH(TRUE,INDEX(C269:BA269&lt;&gt;0,),0))</f>
        <v>1981-82</v>
      </c>
      <c r="BC269" s="803" t="str" cm="1">
        <f t="array" ref="BC269">LOOKUP(2,1/(C269:BA269&lt;&gt;0),$C$4:$BA$4)</f>
        <v>1999-00</v>
      </c>
      <c r="BD269" s="804">
        <f>COUNTIF(RDprograms[[#This Row],[1978-79]:[2028-29]], "&gt;0")</f>
        <v>19</v>
      </c>
      <c r="BE269" s="805">
        <f>SUM(C269:BA269)/RDprograms[[#This Row],[Years with &gt; $0 investment]]</f>
        <v>182.29999999999998</v>
      </c>
      <c r="BF269" s="806" t="s">
        <v>246</v>
      </c>
      <c r="BG269" s="807" t="s">
        <v>669</v>
      </c>
      <c r="BH269" s="847" t="s">
        <v>670</v>
      </c>
      <c r="BI269" s="809"/>
      <c r="BJ269" s="809"/>
      <c r="BK269" s="809"/>
      <c r="BL269" s="809"/>
      <c r="BM269" s="809"/>
      <c r="BN269" s="810"/>
      <c r="BO269" s="811" t="s">
        <v>251</v>
      </c>
      <c r="BP269" s="812" t="s">
        <v>798</v>
      </c>
      <c r="BQ269" s="812"/>
      <c r="BR269" s="812"/>
      <c r="BS269" s="812"/>
      <c r="BT269" s="812"/>
    </row>
    <row r="270" spans="1:72" ht="12.75" customHeight="1">
      <c r="A270" s="813" t="s">
        <v>658</v>
      </c>
      <c r="B270" s="820" t="s">
        <v>799</v>
      </c>
      <c r="C270" s="5">
        <v>0</v>
      </c>
      <c r="D270" s="5">
        <v>0</v>
      </c>
      <c r="E270" s="5">
        <v>0</v>
      </c>
      <c r="F270" s="5">
        <v>0</v>
      </c>
      <c r="G270" s="5">
        <v>0</v>
      </c>
      <c r="H270" s="5">
        <v>0</v>
      </c>
      <c r="I270" s="5">
        <v>0</v>
      </c>
      <c r="J270" s="5">
        <v>0</v>
      </c>
      <c r="K270" s="5">
        <v>0</v>
      </c>
      <c r="L270" s="5">
        <v>0</v>
      </c>
      <c r="M270" s="5">
        <v>0</v>
      </c>
      <c r="N270" s="5">
        <v>0</v>
      </c>
      <c r="O270" s="5">
        <v>0</v>
      </c>
      <c r="P270" s="5">
        <v>0</v>
      </c>
      <c r="Q270" s="5">
        <v>0</v>
      </c>
      <c r="R270" s="5">
        <v>0</v>
      </c>
      <c r="S270" s="5">
        <v>0</v>
      </c>
      <c r="T270" s="5">
        <v>0</v>
      </c>
      <c r="U270" s="5">
        <v>0</v>
      </c>
      <c r="V270" s="5">
        <v>0</v>
      </c>
      <c r="W270" s="5">
        <v>0</v>
      </c>
      <c r="X270" s="5">
        <v>0</v>
      </c>
      <c r="Y270" s="5">
        <v>0</v>
      </c>
      <c r="Z270" s="5">
        <v>0</v>
      </c>
      <c r="AA270" s="5">
        <v>0</v>
      </c>
      <c r="AB270" s="5">
        <v>0</v>
      </c>
      <c r="AC270" s="5">
        <v>0</v>
      </c>
      <c r="AD270" s="5">
        <v>0</v>
      </c>
      <c r="AE270" s="5">
        <v>0</v>
      </c>
      <c r="AF270" s="5">
        <v>0</v>
      </c>
      <c r="AG270" s="5">
        <v>0</v>
      </c>
      <c r="AH270" s="5">
        <v>0</v>
      </c>
      <c r="AI270" s="5">
        <v>0</v>
      </c>
      <c r="AJ270" s="5">
        <v>0</v>
      </c>
      <c r="AK270" s="5">
        <v>0</v>
      </c>
      <c r="AL270" s="5">
        <v>0</v>
      </c>
      <c r="AM270" s="5">
        <v>0</v>
      </c>
      <c r="AN270" s="5">
        <v>0</v>
      </c>
      <c r="AO270" s="5">
        <v>0</v>
      </c>
      <c r="AP270" s="5">
        <v>0</v>
      </c>
      <c r="AQ270" s="5">
        <v>0</v>
      </c>
      <c r="AR270" s="5">
        <v>0</v>
      </c>
      <c r="AS270" s="5">
        <v>0</v>
      </c>
      <c r="AT270" s="5">
        <v>13.775</v>
      </c>
      <c r="AU270" s="5">
        <v>8.2439999999999998</v>
      </c>
      <c r="AV270" s="5">
        <v>1.091</v>
      </c>
      <c r="AW270" s="815">
        <v>0</v>
      </c>
      <c r="AX270" s="816">
        <v>0</v>
      </c>
      <c r="AY270" s="819">
        <v>0</v>
      </c>
      <c r="AZ270" s="816"/>
      <c r="BA270" s="818"/>
      <c r="BB270" s="802" t="str" cm="1">
        <f t="array" ref="BB270">INDEX(C$4:BA$4,MATCH(TRUE,INDEX(C270:BA270&lt;&gt;0,),0))</f>
        <v>2021-22</v>
      </c>
      <c r="BC270" s="803" t="str" cm="1">
        <f t="array" ref="BC270">LOOKUP(2,1/(C270:BA270&lt;&gt;0),$C$4:$BA$4)</f>
        <v>2023-24</v>
      </c>
      <c r="BD270" s="804">
        <f>COUNTIF(RDprograms[[#This Row],[1978-79]:[2028-29]], "&gt;0")</f>
        <v>3</v>
      </c>
      <c r="BE270" s="805">
        <f>SUM(C270:BA270)/RDprograms[[#This Row],[Years with &gt; $0 investment]]</f>
        <v>7.7033333333333331</v>
      </c>
      <c r="BF270" s="806" t="s">
        <v>240</v>
      </c>
      <c r="BG270" s="807" t="s">
        <v>669</v>
      </c>
      <c r="BH270" s="847" t="s">
        <v>269</v>
      </c>
      <c r="BI270" s="809"/>
      <c r="BJ270" s="809"/>
      <c r="BK270" s="809"/>
      <c r="BL270" s="809"/>
      <c r="BM270" s="809"/>
      <c r="BN270" s="810"/>
      <c r="BO270" s="811" t="s">
        <v>251</v>
      </c>
      <c r="BP270" s="812" t="s">
        <v>800</v>
      </c>
      <c r="BQ270" s="812"/>
      <c r="BR270" s="812"/>
      <c r="BS270" s="812"/>
      <c r="BT270" s="812" t="s">
        <v>238</v>
      </c>
    </row>
    <row r="271" spans="1:72" ht="12.75" customHeight="1">
      <c r="A271" s="813" t="s">
        <v>658</v>
      </c>
      <c r="B271" s="820" t="s">
        <v>801</v>
      </c>
      <c r="C271" s="5">
        <v>0</v>
      </c>
      <c r="D271" s="5">
        <v>0</v>
      </c>
      <c r="E271" s="5">
        <v>0</v>
      </c>
      <c r="F271" s="5">
        <v>0</v>
      </c>
      <c r="G271" s="5">
        <v>0</v>
      </c>
      <c r="H271" s="5">
        <v>0</v>
      </c>
      <c r="I271" s="5">
        <v>0</v>
      </c>
      <c r="J271" s="5">
        <v>0</v>
      </c>
      <c r="K271" s="5">
        <v>0</v>
      </c>
      <c r="L271" s="5">
        <v>0</v>
      </c>
      <c r="M271" s="5">
        <v>0</v>
      </c>
      <c r="N271" s="5">
        <v>0</v>
      </c>
      <c r="O271" s="5">
        <v>0</v>
      </c>
      <c r="P271" s="5">
        <v>0</v>
      </c>
      <c r="Q271" s="5">
        <v>0</v>
      </c>
      <c r="R271" s="5">
        <v>0</v>
      </c>
      <c r="S271" s="5">
        <v>0</v>
      </c>
      <c r="T271" s="5">
        <v>0</v>
      </c>
      <c r="U271" s="5">
        <v>0</v>
      </c>
      <c r="V271" s="5">
        <v>0</v>
      </c>
      <c r="W271" s="5">
        <v>0</v>
      </c>
      <c r="X271" s="5">
        <v>0</v>
      </c>
      <c r="Y271" s="5">
        <v>0</v>
      </c>
      <c r="Z271" s="5">
        <v>0</v>
      </c>
      <c r="AA271" s="5">
        <v>0</v>
      </c>
      <c r="AB271" s="5">
        <v>0</v>
      </c>
      <c r="AC271" s="5">
        <v>0</v>
      </c>
      <c r="AD271" s="5">
        <v>0</v>
      </c>
      <c r="AE271" s="5">
        <v>0</v>
      </c>
      <c r="AF271" s="5">
        <v>0</v>
      </c>
      <c r="AG271" s="5">
        <v>0</v>
      </c>
      <c r="AH271" s="5">
        <v>0</v>
      </c>
      <c r="AI271" s="5">
        <v>0</v>
      </c>
      <c r="AJ271" s="5">
        <v>0</v>
      </c>
      <c r="AK271" s="5">
        <v>1.3380000000000001</v>
      </c>
      <c r="AL271" s="5">
        <v>2.6749999999999998</v>
      </c>
      <c r="AM271" s="5">
        <v>0</v>
      </c>
      <c r="AN271" s="5">
        <v>0</v>
      </c>
      <c r="AO271" s="5">
        <v>0</v>
      </c>
      <c r="AP271" s="816">
        <v>0</v>
      </c>
      <c r="AQ271" s="816">
        <v>0</v>
      </c>
      <c r="AR271" s="5">
        <v>0</v>
      </c>
      <c r="AS271" s="5">
        <v>0</v>
      </c>
      <c r="AT271" s="5">
        <v>0</v>
      </c>
      <c r="AU271" s="5">
        <v>0</v>
      </c>
      <c r="AV271" s="5">
        <v>0</v>
      </c>
      <c r="AW271" s="815">
        <v>0</v>
      </c>
      <c r="AX271" s="816">
        <v>0</v>
      </c>
      <c r="AY271" s="819">
        <v>0</v>
      </c>
      <c r="AZ271" s="816"/>
      <c r="BA271" s="818"/>
      <c r="BB271" s="802" t="str" cm="1">
        <f t="array" ref="BB271">INDEX(C$4:BA$4,MATCH(TRUE,INDEX(C271:BA271&lt;&gt;0,),0))</f>
        <v>2012-13</v>
      </c>
      <c r="BC271" s="803" t="str" cm="1">
        <f t="array" ref="BC271">LOOKUP(2,1/(C271:BA271&lt;&gt;0),$C$4:$BA$4)</f>
        <v>2013-14</v>
      </c>
      <c r="BD271" s="804">
        <f>COUNTIF(RDprograms[[#This Row],[1978-79]:[2028-29]], "&gt;0")</f>
        <v>2</v>
      </c>
      <c r="BE271" s="805">
        <f>SUM(C271:BA271)/RDprograms[[#This Row],[Years with &gt; $0 investment]]</f>
        <v>2.0065</v>
      </c>
      <c r="BF271" s="806" t="s">
        <v>273</v>
      </c>
      <c r="BG271" s="807" t="s">
        <v>393</v>
      </c>
      <c r="BH271" s="847" t="s">
        <v>269</v>
      </c>
      <c r="BI271" s="809"/>
      <c r="BJ271" s="809"/>
      <c r="BK271" s="809"/>
      <c r="BL271" s="809"/>
      <c r="BM271" s="809"/>
      <c r="BN271" s="810"/>
      <c r="BO271" s="811" t="s">
        <v>251</v>
      </c>
      <c r="BP271" s="812"/>
      <c r="BQ271" s="812"/>
      <c r="BR271" s="812"/>
      <c r="BS271" s="812" t="s">
        <v>672</v>
      </c>
      <c r="BT271" s="812" t="s">
        <v>238</v>
      </c>
    </row>
    <row r="272" spans="1:72" ht="12.75" customHeight="1">
      <c r="A272" s="813" t="s">
        <v>658</v>
      </c>
      <c r="B272" s="820" t="s">
        <v>802</v>
      </c>
      <c r="C272" s="5">
        <v>0</v>
      </c>
      <c r="D272" s="5">
        <v>0</v>
      </c>
      <c r="E272" s="5">
        <v>0</v>
      </c>
      <c r="F272" s="5">
        <v>0</v>
      </c>
      <c r="G272" s="5">
        <v>0</v>
      </c>
      <c r="H272" s="5">
        <v>0</v>
      </c>
      <c r="I272" s="5">
        <v>0</v>
      </c>
      <c r="J272" s="5">
        <v>0</v>
      </c>
      <c r="K272" s="5">
        <v>0</v>
      </c>
      <c r="L272" s="5">
        <v>0</v>
      </c>
      <c r="M272" s="5">
        <v>0</v>
      </c>
      <c r="N272" s="5">
        <v>0</v>
      </c>
      <c r="O272" s="5">
        <v>0</v>
      </c>
      <c r="P272" s="5">
        <v>0</v>
      </c>
      <c r="Q272" s="5">
        <v>0</v>
      </c>
      <c r="R272" s="5">
        <v>0</v>
      </c>
      <c r="S272" s="5">
        <v>0</v>
      </c>
      <c r="T272" s="5">
        <v>0</v>
      </c>
      <c r="U272" s="5">
        <v>0</v>
      </c>
      <c r="V272" s="5">
        <v>0</v>
      </c>
      <c r="W272" s="5">
        <v>0</v>
      </c>
      <c r="X272" s="5">
        <v>0</v>
      </c>
      <c r="Y272" s="5">
        <v>0</v>
      </c>
      <c r="Z272" s="5">
        <v>0</v>
      </c>
      <c r="AA272" s="5">
        <v>0</v>
      </c>
      <c r="AB272" s="5">
        <v>0</v>
      </c>
      <c r="AC272" s="5">
        <v>0</v>
      </c>
      <c r="AD272" s="5">
        <v>0</v>
      </c>
      <c r="AE272" s="5">
        <v>0</v>
      </c>
      <c r="AF272" s="5">
        <v>0</v>
      </c>
      <c r="AG272" s="5">
        <v>20</v>
      </c>
      <c r="AH272" s="5">
        <v>109</v>
      </c>
      <c r="AI272" s="5">
        <v>109</v>
      </c>
      <c r="AJ272" s="5">
        <v>112.5</v>
      </c>
      <c r="AK272" s="5">
        <v>100.5</v>
      </c>
      <c r="AL272" s="5">
        <v>3</v>
      </c>
      <c r="AM272" s="5">
        <v>0</v>
      </c>
      <c r="AN272" s="5">
        <v>0</v>
      </c>
      <c r="AO272" s="5">
        <v>0</v>
      </c>
      <c r="AP272" s="816">
        <v>0</v>
      </c>
      <c r="AQ272" s="816">
        <v>0</v>
      </c>
      <c r="AR272" s="5">
        <v>0</v>
      </c>
      <c r="AS272" s="5">
        <v>0</v>
      </c>
      <c r="AT272" s="5">
        <v>0</v>
      </c>
      <c r="AU272" s="5">
        <v>0</v>
      </c>
      <c r="AV272" s="5">
        <v>0</v>
      </c>
      <c r="AW272" s="815">
        <v>0</v>
      </c>
      <c r="AX272" s="816">
        <v>0</v>
      </c>
      <c r="AY272" s="819">
        <v>0</v>
      </c>
      <c r="AZ272" s="816"/>
      <c r="BA272" s="818"/>
      <c r="BB272" s="802" t="str" cm="1">
        <f t="array" ref="BB272">INDEX(C$4:BA$4,MATCH(TRUE,INDEX(C272:BA272&lt;&gt;0,),0))</f>
        <v>2008-09</v>
      </c>
      <c r="BC272" s="803" t="str" cm="1">
        <f t="array" ref="BC272">LOOKUP(2,1/(C272:BA272&lt;&gt;0),$C$4:$BA$4)</f>
        <v>2013-14</v>
      </c>
      <c r="BD272" s="804">
        <f>COUNTIF(RDprograms[[#This Row],[1978-79]:[2028-29]], "&gt;0")</f>
        <v>6</v>
      </c>
      <c r="BE272" s="805">
        <f>SUM(C272:BA272)/RDprograms[[#This Row],[Years with &gt; $0 investment]]</f>
        <v>75.666666666666671</v>
      </c>
      <c r="BF272" s="806" t="s">
        <v>273</v>
      </c>
      <c r="BG272" s="807" t="s">
        <v>389</v>
      </c>
      <c r="BH272" s="847" t="s">
        <v>241</v>
      </c>
      <c r="BI272" s="809"/>
      <c r="BJ272" s="809"/>
      <c r="BK272" s="809"/>
      <c r="BL272" s="809"/>
      <c r="BM272" s="809"/>
      <c r="BN272" s="810"/>
      <c r="BO272" s="811" t="s">
        <v>251</v>
      </c>
      <c r="BP272" s="812"/>
      <c r="BQ272" s="812" t="s">
        <v>803</v>
      </c>
      <c r="BR272" s="812" t="s">
        <v>804</v>
      </c>
      <c r="BS272" s="812"/>
      <c r="BT272" s="812" t="s">
        <v>238</v>
      </c>
    </row>
    <row r="273" spans="1:72" ht="12.75" customHeight="1">
      <c r="A273" s="813" t="s">
        <v>658</v>
      </c>
      <c r="B273" s="820" t="s">
        <v>805</v>
      </c>
      <c r="C273" s="5">
        <v>0</v>
      </c>
      <c r="D273" s="5">
        <v>0</v>
      </c>
      <c r="E273" s="5">
        <v>0</v>
      </c>
      <c r="F273" s="5">
        <v>0</v>
      </c>
      <c r="G273" s="5">
        <v>0</v>
      </c>
      <c r="H273" s="5">
        <v>0</v>
      </c>
      <c r="I273" s="5">
        <v>0</v>
      </c>
      <c r="J273" s="5">
        <v>0</v>
      </c>
      <c r="K273" s="5">
        <v>0</v>
      </c>
      <c r="L273" s="5">
        <v>0</v>
      </c>
      <c r="M273" s="5">
        <v>0</v>
      </c>
      <c r="N273" s="5">
        <v>0</v>
      </c>
      <c r="O273" s="5">
        <v>0</v>
      </c>
      <c r="P273" s="5">
        <v>0</v>
      </c>
      <c r="Q273" s="5">
        <v>0</v>
      </c>
      <c r="R273" s="5">
        <v>0</v>
      </c>
      <c r="S273" s="5">
        <v>0</v>
      </c>
      <c r="T273" s="5">
        <v>0</v>
      </c>
      <c r="U273" s="5">
        <v>0</v>
      </c>
      <c r="V273" s="5">
        <v>0</v>
      </c>
      <c r="W273" s="5">
        <v>0</v>
      </c>
      <c r="X273" s="5">
        <v>0</v>
      </c>
      <c r="Y273" s="5">
        <v>0</v>
      </c>
      <c r="Z273" s="5">
        <v>0</v>
      </c>
      <c r="AA273" s="5">
        <v>0</v>
      </c>
      <c r="AB273" s="5">
        <v>0</v>
      </c>
      <c r="AC273" s="5">
        <v>0</v>
      </c>
      <c r="AD273" s="5">
        <v>0</v>
      </c>
      <c r="AE273" s="5">
        <v>0</v>
      </c>
      <c r="AF273" s="5">
        <v>0</v>
      </c>
      <c r="AG273" s="5">
        <v>8</v>
      </c>
      <c r="AH273" s="5">
        <v>71</v>
      </c>
      <c r="AI273" s="5">
        <v>116</v>
      </c>
      <c r="AJ273" s="5">
        <v>64.37</v>
      </c>
      <c r="AK273" s="5">
        <v>97.63</v>
      </c>
      <c r="AL273" s="5">
        <v>0</v>
      </c>
      <c r="AM273" s="5">
        <v>0</v>
      </c>
      <c r="AN273" s="5">
        <v>0</v>
      </c>
      <c r="AO273" s="5">
        <v>0</v>
      </c>
      <c r="AP273" s="816">
        <v>0</v>
      </c>
      <c r="AQ273" s="816">
        <v>0</v>
      </c>
      <c r="AR273" s="5">
        <v>0</v>
      </c>
      <c r="AS273" s="5">
        <v>0</v>
      </c>
      <c r="AT273" s="5">
        <v>0</v>
      </c>
      <c r="AU273" s="5">
        <v>0</v>
      </c>
      <c r="AV273" s="5">
        <v>0</v>
      </c>
      <c r="AW273" s="815">
        <v>0</v>
      </c>
      <c r="AX273" s="816">
        <v>0</v>
      </c>
      <c r="AY273" s="819">
        <v>0</v>
      </c>
      <c r="AZ273" s="816"/>
      <c r="BA273" s="818"/>
      <c r="BB273" s="802" t="str" cm="1">
        <f t="array" ref="BB273">INDEX(C$4:BA$4,MATCH(TRUE,INDEX(C273:BA273&lt;&gt;0,),0))</f>
        <v>2008-09</v>
      </c>
      <c r="BC273" s="803" t="str" cm="1">
        <f t="array" ref="BC273">LOOKUP(2,1/(C273:BA273&lt;&gt;0),$C$4:$BA$4)</f>
        <v>2012-13</v>
      </c>
      <c r="BD273" s="804">
        <f>COUNTIF(RDprograms[[#This Row],[1978-79]:[2028-29]], "&gt;0")</f>
        <v>5</v>
      </c>
      <c r="BE273" s="805">
        <f>SUM(C273:BA273)/RDprograms[[#This Row],[Years with &gt; $0 investment]]</f>
        <v>71.400000000000006</v>
      </c>
      <c r="BF273" s="806" t="s">
        <v>273</v>
      </c>
      <c r="BG273" s="807" t="s">
        <v>393</v>
      </c>
      <c r="BH273" s="847" t="s">
        <v>241</v>
      </c>
      <c r="BI273" s="809"/>
      <c r="BJ273" s="809"/>
      <c r="BK273" s="809"/>
      <c r="BL273" s="809"/>
      <c r="BM273" s="809"/>
      <c r="BN273" s="810"/>
      <c r="BO273" s="811" t="s">
        <v>251</v>
      </c>
      <c r="BP273" s="812"/>
      <c r="BQ273" s="812" t="s">
        <v>806</v>
      </c>
      <c r="BR273" s="812" t="s">
        <v>807</v>
      </c>
      <c r="BS273" s="812"/>
      <c r="BT273" s="812"/>
    </row>
    <row r="274" spans="1:72" ht="12.75" customHeight="1">
      <c r="A274" s="813" t="s">
        <v>658</v>
      </c>
      <c r="B274" s="820" t="s">
        <v>808</v>
      </c>
      <c r="C274" s="5">
        <v>0</v>
      </c>
      <c r="D274" s="5">
        <v>0</v>
      </c>
      <c r="E274" s="5">
        <v>0</v>
      </c>
      <c r="F274" s="5">
        <v>0</v>
      </c>
      <c r="G274" s="5">
        <v>0</v>
      </c>
      <c r="H274" s="5">
        <v>0</v>
      </c>
      <c r="I274" s="5">
        <v>0</v>
      </c>
      <c r="J274" s="5">
        <v>0</v>
      </c>
      <c r="K274" s="5">
        <v>0</v>
      </c>
      <c r="L274" s="5">
        <v>0</v>
      </c>
      <c r="M274" s="5">
        <v>0</v>
      </c>
      <c r="N274" s="5">
        <v>0</v>
      </c>
      <c r="O274" s="5">
        <v>0</v>
      </c>
      <c r="P274" s="5">
        <v>0</v>
      </c>
      <c r="Q274" s="5">
        <v>0</v>
      </c>
      <c r="R274" s="5">
        <v>0</v>
      </c>
      <c r="S274" s="5">
        <v>0</v>
      </c>
      <c r="T274" s="5">
        <v>0</v>
      </c>
      <c r="U274" s="5">
        <v>0</v>
      </c>
      <c r="V274" s="5">
        <v>0</v>
      </c>
      <c r="W274" s="5">
        <v>0</v>
      </c>
      <c r="X274" s="5">
        <v>0</v>
      </c>
      <c r="Y274" s="5">
        <v>0</v>
      </c>
      <c r="Z274" s="5">
        <v>0</v>
      </c>
      <c r="AA274" s="5">
        <v>0</v>
      </c>
      <c r="AB274" s="5">
        <v>0</v>
      </c>
      <c r="AC274" s="5">
        <v>0</v>
      </c>
      <c r="AD274" s="5">
        <v>0</v>
      </c>
      <c r="AE274" s="5">
        <v>0</v>
      </c>
      <c r="AF274" s="5">
        <v>0</v>
      </c>
      <c r="AG274" s="5">
        <v>0</v>
      </c>
      <c r="AH274" s="5">
        <v>20</v>
      </c>
      <c r="AI274" s="5">
        <v>20</v>
      </c>
      <c r="AJ274" s="5">
        <v>7.5</v>
      </c>
      <c r="AK274" s="5">
        <v>42.5</v>
      </c>
      <c r="AL274" s="5">
        <v>0</v>
      </c>
      <c r="AM274" s="5">
        <v>0</v>
      </c>
      <c r="AN274" s="5">
        <v>0</v>
      </c>
      <c r="AO274" s="5">
        <v>0</v>
      </c>
      <c r="AP274" s="5">
        <v>0</v>
      </c>
      <c r="AQ274" s="5">
        <v>0</v>
      </c>
      <c r="AR274" s="5">
        <v>0</v>
      </c>
      <c r="AS274" s="5">
        <v>0</v>
      </c>
      <c r="AT274" s="5">
        <v>0</v>
      </c>
      <c r="AU274" s="5">
        <v>0</v>
      </c>
      <c r="AV274" s="5">
        <v>0</v>
      </c>
      <c r="AW274" s="815">
        <v>0</v>
      </c>
      <c r="AX274" s="816">
        <v>0</v>
      </c>
      <c r="AY274" s="819">
        <v>0</v>
      </c>
      <c r="AZ274" s="816"/>
      <c r="BA274" s="818"/>
      <c r="BB274" s="802" t="str" cm="1">
        <f t="array" ref="BB274">INDEX(C$4:BA$4,MATCH(TRUE,INDEX(C274:BA274&lt;&gt;0,),0))</f>
        <v>2009-10</v>
      </c>
      <c r="BC274" s="803" t="str" cm="1">
        <f t="array" ref="BC274">LOOKUP(2,1/(C274:BA274&lt;&gt;0),$C$4:$BA$4)</f>
        <v>2012-13</v>
      </c>
      <c r="BD274" s="804">
        <f>COUNTIF(RDprograms[[#This Row],[1978-79]:[2028-29]], "&gt;0")</f>
        <v>4</v>
      </c>
      <c r="BE274" s="805">
        <f>SUM(C274:BA274)/RDprograms[[#This Row],[Years with &gt; $0 investment]]</f>
        <v>22.5</v>
      </c>
      <c r="BF274" s="806" t="s">
        <v>273</v>
      </c>
      <c r="BG274" s="807" t="s">
        <v>734</v>
      </c>
      <c r="BH274" s="847" t="s">
        <v>241</v>
      </c>
      <c r="BI274" s="809"/>
      <c r="BJ274" s="809"/>
      <c r="BK274" s="809"/>
      <c r="BL274" s="809"/>
      <c r="BM274" s="809"/>
      <c r="BN274" s="810"/>
      <c r="BO274" s="811" t="s">
        <v>251</v>
      </c>
      <c r="BP274" s="812"/>
      <c r="BQ274" s="812"/>
      <c r="BR274" s="812"/>
      <c r="BS274" s="812"/>
      <c r="BT274" s="812"/>
    </row>
    <row r="275" spans="1:72" ht="12.75" customHeight="1">
      <c r="A275" s="813" t="s">
        <v>658</v>
      </c>
      <c r="B275" s="820" t="s">
        <v>809</v>
      </c>
      <c r="C275" s="5">
        <v>0</v>
      </c>
      <c r="D275" s="5">
        <v>0</v>
      </c>
      <c r="E275" s="5">
        <v>0</v>
      </c>
      <c r="F275" s="5">
        <v>0</v>
      </c>
      <c r="G275" s="5">
        <v>0</v>
      </c>
      <c r="H275" s="5">
        <v>0</v>
      </c>
      <c r="I275" s="5">
        <v>0</v>
      </c>
      <c r="J275" s="5">
        <v>0</v>
      </c>
      <c r="K275" s="5">
        <v>0</v>
      </c>
      <c r="L275" s="5">
        <v>0</v>
      </c>
      <c r="M275" s="5">
        <v>0</v>
      </c>
      <c r="N275" s="5">
        <v>0</v>
      </c>
      <c r="O275" s="5">
        <v>0</v>
      </c>
      <c r="P275" s="5">
        <v>0</v>
      </c>
      <c r="Q275" s="5">
        <v>0</v>
      </c>
      <c r="R275" s="5">
        <v>0</v>
      </c>
      <c r="S275" s="5">
        <v>0</v>
      </c>
      <c r="T275" s="5">
        <v>0</v>
      </c>
      <c r="U275" s="5">
        <v>0</v>
      </c>
      <c r="V275" s="5">
        <v>0</v>
      </c>
      <c r="W275" s="5">
        <v>0</v>
      </c>
      <c r="X275" s="5">
        <v>0</v>
      </c>
      <c r="Y275" s="5">
        <v>0</v>
      </c>
      <c r="Z275" s="5">
        <v>0</v>
      </c>
      <c r="AA275" s="5">
        <v>0</v>
      </c>
      <c r="AB275" s="5">
        <v>0</v>
      </c>
      <c r="AC275" s="5">
        <v>0</v>
      </c>
      <c r="AD275" s="5">
        <v>0</v>
      </c>
      <c r="AE275" s="5">
        <v>0</v>
      </c>
      <c r="AF275" s="5">
        <v>0</v>
      </c>
      <c r="AG275" s="5">
        <v>0</v>
      </c>
      <c r="AH275" s="5">
        <v>0</v>
      </c>
      <c r="AI275" s="5">
        <v>0</v>
      </c>
      <c r="AJ275" s="5">
        <v>24.167999999999999</v>
      </c>
      <c r="AK275" s="5">
        <v>11.632</v>
      </c>
      <c r="AL275" s="5">
        <v>11.5</v>
      </c>
      <c r="AM275" s="5">
        <v>0</v>
      </c>
      <c r="AN275" s="5">
        <v>0</v>
      </c>
      <c r="AO275" s="5">
        <v>0</v>
      </c>
      <c r="AP275" s="816">
        <v>0</v>
      </c>
      <c r="AQ275" s="816">
        <v>0</v>
      </c>
      <c r="AR275" s="5">
        <v>0</v>
      </c>
      <c r="AS275" s="5">
        <v>0</v>
      </c>
      <c r="AT275" s="5">
        <v>0</v>
      </c>
      <c r="AU275" s="5">
        <v>0</v>
      </c>
      <c r="AV275" s="5">
        <v>0</v>
      </c>
      <c r="AW275" s="815">
        <v>0</v>
      </c>
      <c r="AX275" s="816">
        <v>0</v>
      </c>
      <c r="AY275" s="819">
        <v>0</v>
      </c>
      <c r="AZ275" s="816"/>
      <c r="BA275" s="818"/>
      <c r="BB275" s="802" t="str" cm="1">
        <f t="array" ref="BB275">INDEX(C$4:BA$4,MATCH(TRUE,INDEX(C275:BA275&lt;&gt;0,),0))</f>
        <v>2011-12</v>
      </c>
      <c r="BC275" s="803" t="str" cm="1">
        <f t="array" ref="BC275">LOOKUP(2,1/(C275:BA275&lt;&gt;0),$C$4:$BA$4)</f>
        <v>2013-14</v>
      </c>
      <c r="BD275" s="804">
        <f>COUNTIF(RDprograms[[#This Row],[1978-79]:[2028-29]], "&gt;0")</f>
        <v>3</v>
      </c>
      <c r="BE275" s="805">
        <f>SUM(C275:BA275)/RDprograms[[#This Row],[Years with &gt; $0 investment]]</f>
        <v>15.766666666666666</v>
      </c>
      <c r="BF275" s="806" t="s">
        <v>273</v>
      </c>
      <c r="BG275" s="807" t="s">
        <v>409</v>
      </c>
      <c r="BH275" s="847" t="s">
        <v>241</v>
      </c>
      <c r="BI275" s="809"/>
      <c r="BJ275" s="809"/>
      <c r="BK275" s="809"/>
      <c r="BL275" s="809"/>
      <c r="BM275" s="809"/>
      <c r="BN275" s="810"/>
      <c r="BO275" s="811" t="s">
        <v>251</v>
      </c>
      <c r="BP275" s="812"/>
      <c r="BQ275" s="812"/>
      <c r="BR275" s="812"/>
      <c r="BS275" s="812"/>
      <c r="BT275" s="812" t="s">
        <v>238</v>
      </c>
    </row>
    <row r="276" spans="1:72" ht="12.75" customHeight="1">
      <c r="A276" s="813" t="s">
        <v>658</v>
      </c>
      <c r="B276" s="820" t="s">
        <v>810</v>
      </c>
      <c r="C276" s="5">
        <v>0</v>
      </c>
      <c r="D276" s="5">
        <v>0</v>
      </c>
      <c r="E276" s="5">
        <v>0</v>
      </c>
      <c r="F276" s="5">
        <v>0</v>
      </c>
      <c r="G276" s="5">
        <v>0</v>
      </c>
      <c r="H276" s="5">
        <v>0</v>
      </c>
      <c r="I276" s="5">
        <v>0</v>
      </c>
      <c r="J276" s="5">
        <v>0</v>
      </c>
      <c r="K276" s="5">
        <v>0</v>
      </c>
      <c r="L276" s="5">
        <v>0</v>
      </c>
      <c r="M276" s="5">
        <v>0</v>
      </c>
      <c r="N276" s="5">
        <v>0</v>
      </c>
      <c r="O276" s="5">
        <v>0</v>
      </c>
      <c r="P276" s="5">
        <v>0</v>
      </c>
      <c r="Q276" s="5">
        <v>0</v>
      </c>
      <c r="R276" s="5">
        <v>0</v>
      </c>
      <c r="S276" s="5">
        <v>0</v>
      </c>
      <c r="T276" s="5">
        <v>0</v>
      </c>
      <c r="U276" s="5">
        <v>0</v>
      </c>
      <c r="V276" s="5">
        <v>0</v>
      </c>
      <c r="W276" s="5">
        <v>0</v>
      </c>
      <c r="X276" s="5">
        <v>0</v>
      </c>
      <c r="Y276" s="5">
        <v>0</v>
      </c>
      <c r="Z276" s="5">
        <v>0</v>
      </c>
      <c r="AA276" s="5">
        <v>0</v>
      </c>
      <c r="AB276" s="5">
        <v>0</v>
      </c>
      <c r="AC276" s="5">
        <v>0</v>
      </c>
      <c r="AD276" s="5">
        <v>0</v>
      </c>
      <c r="AE276" s="5">
        <v>0</v>
      </c>
      <c r="AF276" s="5">
        <v>0</v>
      </c>
      <c r="AG276" s="5">
        <v>0</v>
      </c>
      <c r="AH276" s="5">
        <v>30</v>
      </c>
      <c r="AI276" s="5">
        <v>120.96</v>
      </c>
      <c r="AJ276" s="5">
        <v>165.19300000000001</v>
      </c>
      <c r="AK276" s="5">
        <v>139.15199999999999</v>
      </c>
      <c r="AL276" s="5">
        <v>169.53700000000001</v>
      </c>
      <c r="AM276" s="5">
        <v>185.416</v>
      </c>
      <c r="AN276" s="5">
        <v>238.733</v>
      </c>
      <c r="AO276" s="5">
        <v>67.438999999999993</v>
      </c>
      <c r="AP276" s="816">
        <v>0</v>
      </c>
      <c r="AQ276" s="816">
        <v>0</v>
      </c>
      <c r="AR276" s="5">
        <v>0</v>
      </c>
      <c r="AS276" s="5">
        <v>0</v>
      </c>
      <c r="AT276" s="5">
        <v>0</v>
      </c>
      <c r="AU276" s="5">
        <v>0</v>
      </c>
      <c r="AV276" s="5">
        <v>0</v>
      </c>
      <c r="AW276" s="815">
        <v>0</v>
      </c>
      <c r="AX276" s="816">
        <v>0</v>
      </c>
      <c r="AY276" s="819">
        <v>0</v>
      </c>
      <c r="AZ276" s="816"/>
      <c r="BA276" s="818"/>
      <c r="BB276" s="802" t="str" cm="1">
        <f t="array" ref="BB276">INDEX(C$4:BA$4,MATCH(TRUE,INDEX(C276:BA276&lt;&gt;0,),0))</f>
        <v>2009-10</v>
      </c>
      <c r="BC276" s="803" t="str" cm="1">
        <f t="array" ref="BC276">LOOKUP(2,1/(C276:BA276&lt;&gt;0),$C$4:$BA$4)</f>
        <v>2016-17</v>
      </c>
      <c r="BD276" s="804">
        <f>COUNTIF(RDprograms[[#This Row],[1978-79]:[2028-29]], "&gt;0")</f>
        <v>8</v>
      </c>
      <c r="BE276" s="805">
        <f>SUM(C276:BA276)/RDprograms[[#This Row],[Years with &gt; $0 investment]]</f>
        <v>139.55375000000001</v>
      </c>
      <c r="BF276" s="806" t="s">
        <v>246</v>
      </c>
      <c r="BG276" s="807" t="s">
        <v>669</v>
      </c>
      <c r="BH276" s="847" t="s">
        <v>688</v>
      </c>
      <c r="BI276" s="809"/>
      <c r="BJ276" s="809"/>
      <c r="BK276" s="809"/>
      <c r="BL276" s="809"/>
      <c r="BM276" s="809"/>
      <c r="BN276" s="810"/>
      <c r="BO276" s="811" t="s">
        <v>251</v>
      </c>
      <c r="BP276" s="812" t="s">
        <v>811</v>
      </c>
      <c r="BQ276" s="812" t="s">
        <v>757</v>
      </c>
      <c r="BR276" s="812" t="s">
        <v>754</v>
      </c>
      <c r="BS276" s="812"/>
      <c r="BT276" s="812" t="s">
        <v>238</v>
      </c>
    </row>
    <row r="277" spans="1:72" ht="12.75" customHeight="1">
      <c r="A277" s="813" t="s">
        <v>658</v>
      </c>
      <c r="B277" s="820" t="s">
        <v>812</v>
      </c>
      <c r="C277" s="5">
        <v>0</v>
      </c>
      <c r="D277" s="5">
        <v>0</v>
      </c>
      <c r="E277" s="5">
        <v>0</v>
      </c>
      <c r="F277" s="5">
        <v>0</v>
      </c>
      <c r="G277" s="5">
        <v>0</v>
      </c>
      <c r="H277" s="5">
        <v>0</v>
      </c>
      <c r="I277" s="5">
        <v>0</v>
      </c>
      <c r="J277" s="5">
        <v>0</v>
      </c>
      <c r="K277" s="5">
        <v>0</v>
      </c>
      <c r="L277" s="5">
        <v>0</v>
      </c>
      <c r="M277" s="5">
        <v>0</v>
      </c>
      <c r="N277" s="5">
        <v>0</v>
      </c>
      <c r="O277" s="5">
        <v>0</v>
      </c>
      <c r="P277" s="5">
        <v>0</v>
      </c>
      <c r="Q277" s="5">
        <v>0</v>
      </c>
      <c r="R277" s="5">
        <v>0</v>
      </c>
      <c r="S277" s="5">
        <v>0</v>
      </c>
      <c r="T277" s="5">
        <v>0</v>
      </c>
      <c r="U277" s="5">
        <v>0</v>
      </c>
      <c r="V277" s="5">
        <v>0</v>
      </c>
      <c r="W277" s="5">
        <v>0</v>
      </c>
      <c r="X277" s="5">
        <v>0</v>
      </c>
      <c r="Y277" s="5">
        <v>0</v>
      </c>
      <c r="Z277" s="5">
        <v>23.6</v>
      </c>
      <c r="AA277" s="5">
        <v>28.4</v>
      </c>
      <c r="AB277" s="5">
        <v>71.400000000000006</v>
      </c>
      <c r="AC277" s="5">
        <v>39.898000000000003</v>
      </c>
      <c r="AD277" s="5">
        <v>48.695</v>
      </c>
      <c r="AE277" s="5">
        <v>29.739000000000001</v>
      </c>
      <c r="AF277" s="5">
        <v>0</v>
      </c>
      <c r="AG277" s="5">
        <v>0</v>
      </c>
      <c r="AH277" s="5">
        <v>0</v>
      </c>
      <c r="AI277" s="5">
        <v>0</v>
      </c>
      <c r="AJ277" s="5">
        <v>0</v>
      </c>
      <c r="AK277" s="5">
        <v>0</v>
      </c>
      <c r="AL277" s="5">
        <v>0</v>
      </c>
      <c r="AM277" s="5">
        <v>0</v>
      </c>
      <c r="AN277" s="5">
        <v>0</v>
      </c>
      <c r="AO277" s="5">
        <v>0</v>
      </c>
      <c r="AP277" s="816">
        <v>0</v>
      </c>
      <c r="AQ277" s="816">
        <v>0</v>
      </c>
      <c r="AR277" s="5">
        <v>0</v>
      </c>
      <c r="AS277" s="5">
        <v>0</v>
      </c>
      <c r="AT277" s="5">
        <v>0</v>
      </c>
      <c r="AU277" s="5">
        <v>0</v>
      </c>
      <c r="AV277" s="5">
        <v>0</v>
      </c>
      <c r="AW277" s="815">
        <v>0</v>
      </c>
      <c r="AX277" s="816">
        <v>0</v>
      </c>
      <c r="AY277" s="819">
        <v>0</v>
      </c>
      <c r="AZ277" s="816"/>
      <c r="BA277" s="818"/>
      <c r="BB277" s="802" t="str" cm="1">
        <f t="array" ref="BB277">INDEX(C$4:BA$4,MATCH(TRUE,INDEX(C277:BA277&lt;&gt;0,),0))</f>
        <v>2001-02</v>
      </c>
      <c r="BC277" s="803" t="str" cm="1">
        <f t="array" ref="BC277">LOOKUP(2,1/(C277:BA277&lt;&gt;0),$C$4:$BA$4)</f>
        <v>2006-07</v>
      </c>
      <c r="BD277" s="804">
        <f>COUNTIF(RDprograms[[#This Row],[1978-79]:[2028-29]], "&gt;0")</f>
        <v>6</v>
      </c>
      <c r="BE277" s="805">
        <f>SUM(C277:BA277)/RDprograms[[#This Row],[Years with &gt; $0 investment]]</f>
        <v>40.288666666666664</v>
      </c>
      <c r="BF277" s="806" t="s">
        <v>273</v>
      </c>
      <c r="BG277" s="807" t="s">
        <v>669</v>
      </c>
      <c r="BH277" s="847" t="s">
        <v>688</v>
      </c>
      <c r="BI277" s="809"/>
      <c r="BJ277" s="809"/>
      <c r="BK277" s="809"/>
      <c r="BL277" s="809"/>
      <c r="BM277" s="809"/>
      <c r="BN277" s="810"/>
      <c r="BO277" s="811" t="s">
        <v>251</v>
      </c>
      <c r="BP277" s="812"/>
      <c r="BQ277" s="812"/>
      <c r="BR277" s="812"/>
      <c r="BS277" s="812"/>
      <c r="BT277" s="812"/>
    </row>
    <row r="278" spans="1:72" ht="12.75" customHeight="1">
      <c r="A278" s="813" t="s">
        <v>658</v>
      </c>
      <c r="B278" s="820" t="s">
        <v>813</v>
      </c>
      <c r="C278" s="5">
        <v>0</v>
      </c>
      <c r="D278" s="5">
        <v>0</v>
      </c>
      <c r="E278" s="5">
        <v>0</v>
      </c>
      <c r="F278" s="5">
        <v>0</v>
      </c>
      <c r="G278" s="5">
        <v>0</v>
      </c>
      <c r="H278" s="5">
        <v>0</v>
      </c>
      <c r="I278" s="5">
        <v>0</v>
      </c>
      <c r="J278" s="5">
        <v>0</v>
      </c>
      <c r="K278" s="5">
        <v>0</v>
      </c>
      <c r="L278" s="5">
        <v>0</v>
      </c>
      <c r="M278" s="5">
        <v>0</v>
      </c>
      <c r="N278" s="5">
        <v>0.2</v>
      </c>
      <c r="O278" s="5">
        <v>1</v>
      </c>
      <c r="P278" s="5">
        <v>2</v>
      </c>
      <c r="Q278" s="5">
        <v>1.1000000000000001</v>
      </c>
      <c r="R278" s="5">
        <v>1.4</v>
      </c>
      <c r="S278" s="5">
        <v>1.4</v>
      </c>
      <c r="T278" s="5">
        <v>0.8</v>
      </c>
      <c r="U278" s="5">
        <v>0.5</v>
      </c>
      <c r="V278" s="5">
        <v>0.5</v>
      </c>
      <c r="W278" s="5">
        <v>0</v>
      </c>
      <c r="X278" s="5">
        <v>0</v>
      </c>
      <c r="Y278" s="5">
        <v>0</v>
      </c>
      <c r="Z278" s="5">
        <v>0</v>
      </c>
      <c r="AA278" s="5">
        <v>0</v>
      </c>
      <c r="AB278" s="5">
        <v>0</v>
      </c>
      <c r="AC278" s="5">
        <v>0</v>
      </c>
      <c r="AD278" s="5">
        <v>0</v>
      </c>
      <c r="AE278" s="5">
        <v>0</v>
      </c>
      <c r="AF278" s="5">
        <v>0</v>
      </c>
      <c r="AG278" s="5">
        <v>0</v>
      </c>
      <c r="AH278" s="5">
        <v>0</v>
      </c>
      <c r="AI278" s="5">
        <v>0</v>
      </c>
      <c r="AJ278" s="5">
        <v>0</v>
      </c>
      <c r="AK278" s="5">
        <v>0</v>
      </c>
      <c r="AL278" s="5">
        <v>0</v>
      </c>
      <c r="AM278" s="5">
        <v>0</v>
      </c>
      <c r="AN278" s="5">
        <v>0</v>
      </c>
      <c r="AO278" s="5">
        <v>0</v>
      </c>
      <c r="AP278" s="5">
        <v>0</v>
      </c>
      <c r="AQ278" s="5">
        <v>0</v>
      </c>
      <c r="AR278" s="5">
        <v>0</v>
      </c>
      <c r="AS278" s="5">
        <v>0</v>
      </c>
      <c r="AT278" s="5">
        <v>0</v>
      </c>
      <c r="AU278" s="5">
        <v>0</v>
      </c>
      <c r="AV278" s="5">
        <v>0</v>
      </c>
      <c r="AW278" s="815">
        <v>0</v>
      </c>
      <c r="AX278" s="816">
        <v>0</v>
      </c>
      <c r="AY278" s="819">
        <v>0</v>
      </c>
      <c r="AZ278" s="816"/>
      <c r="BA278" s="818"/>
      <c r="BB278" s="802" t="str" cm="1">
        <f t="array" ref="BB278">INDEX(C$4:BA$4,MATCH(TRUE,INDEX(C278:BA278&lt;&gt;0,),0))</f>
        <v>1989-90</v>
      </c>
      <c r="BC278" s="803" t="str" cm="1">
        <f t="array" ref="BC278">LOOKUP(2,1/(C278:BA278&lt;&gt;0),$C$4:$BA$4)</f>
        <v>1997-98</v>
      </c>
      <c r="BD278" s="804">
        <f>COUNTIF(RDprograms[[#This Row],[1978-79]:[2028-29]], "&gt;0")</f>
        <v>9</v>
      </c>
      <c r="BE278" s="805">
        <f>SUM(C278:BA278)/RDprograms[[#This Row],[Years with &gt; $0 investment]]</f>
        <v>0.98888888888888915</v>
      </c>
      <c r="BF278" s="6" t="s">
        <v>273</v>
      </c>
      <c r="BG278" s="820" t="s">
        <v>397</v>
      </c>
      <c r="BH278" s="848" t="s">
        <v>269</v>
      </c>
      <c r="BI278" s="33"/>
      <c r="BJ278" s="33"/>
      <c r="BK278" s="33"/>
      <c r="BL278" s="33"/>
      <c r="BM278" s="33"/>
      <c r="BN278" s="842"/>
      <c r="BO278" s="1" t="s">
        <v>236</v>
      </c>
      <c r="BP278" s="829"/>
      <c r="BQ278" s="829"/>
      <c r="BR278" s="829"/>
      <c r="BS278" s="829"/>
      <c r="BT278" s="812"/>
    </row>
    <row r="279" spans="1:72" ht="12.75" customHeight="1">
      <c r="A279" s="813" t="s">
        <v>658</v>
      </c>
      <c r="B279" s="820" t="s">
        <v>814</v>
      </c>
      <c r="C279" s="5">
        <v>0</v>
      </c>
      <c r="D279" s="5">
        <v>0</v>
      </c>
      <c r="E279" s="5">
        <v>0</v>
      </c>
      <c r="F279" s="5">
        <v>0</v>
      </c>
      <c r="G279" s="5">
        <v>0</v>
      </c>
      <c r="H279" s="5">
        <v>0</v>
      </c>
      <c r="I279" s="5">
        <v>0</v>
      </c>
      <c r="J279" s="5">
        <v>0</v>
      </c>
      <c r="K279" s="5">
        <v>0</v>
      </c>
      <c r="L279" s="5">
        <v>0</v>
      </c>
      <c r="M279" s="5">
        <v>0</v>
      </c>
      <c r="N279" s="5">
        <v>0</v>
      </c>
      <c r="O279" s="5">
        <v>0</v>
      </c>
      <c r="P279" s="5">
        <v>0</v>
      </c>
      <c r="Q279" s="5">
        <v>0</v>
      </c>
      <c r="R279" s="5">
        <v>0</v>
      </c>
      <c r="S279" s="5">
        <v>0</v>
      </c>
      <c r="T279" s="5">
        <v>0</v>
      </c>
      <c r="U279" s="5">
        <v>0</v>
      </c>
      <c r="V279" s="5">
        <v>0</v>
      </c>
      <c r="W279" s="5">
        <v>0</v>
      </c>
      <c r="X279" s="5">
        <v>0</v>
      </c>
      <c r="Y279" s="5">
        <v>0</v>
      </c>
      <c r="Z279" s="5">
        <v>0</v>
      </c>
      <c r="AA279" s="5">
        <v>0</v>
      </c>
      <c r="AB279" s="5">
        <v>0</v>
      </c>
      <c r="AC279" s="5">
        <v>0</v>
      </c>
      <c r="AD279" s="5">
        <v>0</v>
      </c>
      <c r="AE279" s="5">
        <v>0</v>
      </c>
      <c r="AF279" s="5">
        <v>0</v>
      </c>
      <c r="AG279" s="5">
        <v>0</v>
      </c>
      <c r="AH279" s="5">
        <v>0</v>
      </c>
      <c r="AI279" s="5">
        <v>0</v>
      </c>
      <c r="AJ279" s="5">
        <v>0</v>
      </c>
      <c r="AK279" s="5">
        <v>1.022</v>
      </c>
      <c r="AL279" s="5">
        <v>2.0430000000000001</v>
      </c>
      <c r="AM279" s="5">
        <v>0</v>
      </c>
      <c r="AN279" s="5">
        <v>0</v>
      </c>
      <c r="AO279" s="5">
        <v>0</v>
      </c>
      <c r="AP279" s="5">
        <v>0</v>
      </c>
      <c r="AQ279" s="5">
        <v>0</v>
      </c>
      <c r="AR279" s="5">
        <v>0</v>
      </c>
      <c r="AS279" s="5">
        <v>0</v>
      </c>
      <c r="AT279" s="5">
        <v>0</v>
      </c>
      <c r="AU279" s="5">
        <v>0</v>
      </c>
      <c r="AV279" s="5">
        <v>0</v>
      </c>
      <c r="AW279" s="815">
        <v>0</v>
      </c>
      <c r="AX279" s="816">
        <v>0</v>
      </c>
      <c r="AY279" s="819">
        <v>0</v>
      </c>
      <c r="AZ279" s="816"/>
      <c r="BA279" s="818"/>
      <c r="BB279" s="802" t="str" cm="1">
        <f t="array" ref="BB279">INDEX(C$4:BA$4,MATCH(TRUE,INDEX(C279:BA279&lt;&gt;0,),0))</f>
        <v>2012-13</v>
      </c>
      <c r="BC279" s="803" t="str" cm="1">
        <f t="array" ref="BC279">LOOKUP(2,1/(C279:BA279&lt;&gt;0),$C$4:$BA$4)</f>
        <v>2013-14</v>
      </c>
      <c r="BD279" s="804">
        <f>COUNTIF(RDprograms[[#This Row],[1978-79]:[2028-29]], "&gt;0")</f>
        <v>2</v>
      </c>
      <c r="BE279" s="805">
        <f>SUM(C279:BA279)/RDprograms[[#This Row],[Years with &gt; $0 investment]]</f>
        <v>1.5325000000000002</v>
      </c>
      <c r="BF279" s="806" t="s">
        <v>273</v>
      </c>
      <c r="BG279" s="807" t="s">
        <v>406</v>
      </c>
      <c r="BH279" s="847" t="s">
        <v>269</v>
      </c>
      <c r="BI279" s="809"/>
      <c r="BJ279" s="809"/>
      <c r="BK279" s="809"/>
      <c r="BL279" s="809"/>
      <c r="BM279" s="809"/>
      <c r="BN279" s="810"/>
      <c r="BO279" s="811" t="s">
        <v>251</v>
      </c>
      <c r="BP279" s="812"/>
      <c r="BQ279" s="812"/>
      <c r="BR279" s="812"/>
      <c r="BS279" s="812" t="s">
        <v>672</v>
      </c>
      <c r="BT279" s="812"/>
    </row>
    <row r="280" spans="1:72" ht="12.75" customHeight="1">
      <c r="A280" s="813" t="s">
        <v>658</v>
      </c>
      <c r="B280" s="820" t="s">
        <v>815</v>
      </c>
      <c r="C280" s="5">
        <v>0</v>
      </c>
      <c r="D280" s="5">
        <v>0</v>
      </c>
      <c r="E280" s="5">
        <v>0</v>
      </c>
      <c r="F280" s="5">
        <v>0</v>
      </c>
      <c r="G280" s="5">
        <v>0</v>
      </c>
      <c r="H280" s="5">
        <v>0</v>
      </c>
      <c r="I280" s="5">
        <v>0</v>
      </c>
      <c r="J280" s="5">
        <v>0</v>
      </c>
      <c r="K280" s="5">
        <v>0</v>
      </c>
      <c r="L280" s="5">
        <v>0</v>
      </c>
      <c r="M280" s="5">
        <v>0</v>
      </c>
      <c r="N280" s="5">
        <v>0</v>
      </c>
      <c r="O280" s="5">
        <v>0</v>
      </c>
      <c r="P280" s="5">
        <v>0</v>
      </c>
      <c r="Q280" s="5">
        <v>0</v>
      </c>
      <c r="R280" s="5">
        <v>0</v>
      </c>
      <c r="S280" s="5">
        <v>0</v>
      </c>
      <c r="T280" s="5">
        <v>0</v>
      </c>
      <c r="U280" s="5">
        <v>0</v>
      </c>
      <c r="V280" s="5">
        <v>0</v>
      </c>
      <c r="W280" s="5">
        <v>0</v>
      </c>
      <c r="X280" s="5">
        <v>0</v>
      </c>
      <c r="Y280" s="5">
        <v>0</v>
      </c>
      <c r="Z280" s="5">
        <v>0</v>
      </c>
      <c r="AA280" s="5">
        <v>0</v>
      </c>
      <c r="AB280" s="5">
        <v>0</v>
      </c>
      <c r="AC280" s="5">
        <v>0</v>
      </c>
      <c r="AD280" s="5">
        <v>0</v>
      </c>
      <c r="AE280" s="5">
        <v>0</v>
      </c>
      <c r="AF280" s="5">
        <v>0</v>
      </c>
      <c r="AG280" s="5">
        <v>0</v>
      </c>
      <c r="AH280" s="5">
        <v>0</v>
      </c>
      <c r="AI280" s="5">
        <v>7.1</v>
      </c>
      <c r="AJ280" s="5">
        <v>26.1</v>
      </c>
      <c r="AK280" s="5">
        <v>0</v>
      </c>
      <c r="AL280" s="5">
        <v>0</v>
      </c>
      <c r="AM280" s="5">
        <v>6.8</v>
      </c>
      <c r="AN280" s="5">
        <v>0</v>
      </c>
      <c r="AO280" s="5">
        <v>0</v>
      </c>
      <c r="AP280" s="5">
        <v>0</v>
      </c>
      <c r="AQ280" s="5">
        <v>0</v>
      </c>
      <c r="AR280" s="5">
        <v>0</v>
      </c>
      <c r="AS280" s="5">
        <v>0</v>
      </c>
      <c r="AT280" s="5">
        <v>0</v>
      </c>
      <c r="AU280" s="5">
        <v>0</v>
      </c>
      <c r="AV280" s="5">
        <v>0</v>
      </c>
      <c r="AW280" s="815">
        <v>0</v>
      </c>
      <c r="AX280" s="816">
        <v>0</v>
      </c>
      <c r="AY280" s="819">
        <v>0</v>
      </c>
      <c r="AZ280" s="816"/>
      <c r="BA280" s="818"/>
      <c r="BB280" s="802" t="str" cm="1">
        <f t="array" ref="BB280">INDEX(C$4:BA$4,MATCH(TRUE,INDEX(C280:BA280&lt;&gt;0,),0))</f>
        <v>2010-11</v>
      </c>
      <c r="BC280" s="803" t="str" cm="1">
        <f t="array" ref="BC280">LOOKUP(2,1/(C280:BA280&lt;&gt;0),$C$4:$BA$4)</f>
        <v>2014-15</v>
      </c>
      <c r="BD280" s="804">
        <f>COUNTIF(RDprograms[[#This Row],[1978-79]:[2028-29]], "&gt;0")</f>
        <v>3</v>
      </c>
      <c r="BE280" s="805">
        <f>SUM(C280:BA280)/RDprograms[[#This Row],[Years with &gt; $0 investment]]</f>
        <v>13.333333333333334</v>
      </c>
      <c r="BF280" s="806" t="s">
        <v>273</v>
      </c>
      <c r="BG280" s="807" t="s">
        <v>397</v>
      </c>
      <c r="BH280" s="847" t="s">
        <v>241</v>
      </c>
      <c r="BI280" s="809"/>
      <c r="BJ280" s="809"/>
      <c r="BK280" s="809"/>
      <c r="BL280" s="809"/>
      <c r="BM280" s="809"/>
      <c r="BN280" s="810"/>
      <c r="BO280" s="811" t="s">
        <v>251</v>
      </c>
      <c r="BP280" s="812"/>
      <c r="BQ280" s="812"/>
      <c r="BR280" s="812"/>
      <c r="BS280" s="812"/>
      <c r="BT280" s="812"/>
    </row>
    <row r="281" spans="1:72" ht="12.75" customHeight="1">
      <c r="A281" s="813" t="s">
        <v>658</v>
      </c>
      <c r="B281" s="820" t="s">
        <v>816</v>
      </c>
      <c r="C281" s="5">
        <v>0</v>
      </c>
      <c r="D281" s="5">
        <v>0</v>
      </c>
      <c r="E281" s="5">
        <v>0</v>
      </c>
      <c r="F281" s="5">
        <v>0</v>
      </c>
      <c r="G281" s="5">
        <v>0</v>
      </c>
      <c r="H281" s="5">
        <v>0</v>
      </c>
      <c r="I281" s="5">
        <v>0</v>
      </c>
      <c r="J281" s="5">
        <v>0</v>
      </c>
      <c r="K281" s="5">
        <v>0</v>
      </c>
      <c r="L281" s="5">
        <v>0</v>
      </c>
      <c r="M281" s="5">
        <v>0</v>
      </c>
      <c r="N281" s="5">
        <v>0</v>
      </c>
      <c r="O281" s="5">
        <v>0</v>
      </c>
      <c r="P281" s="5">
        <v>0</v>
      </c>
      <c r="Q281" s="5">
        <v>0</v>
      </c>
      <c r="R281" s="5">
        <v>0</v>
      </c>
      <c r="S281" s="5">
        <v>0</v>
      </c>
      <c r="T281" s="5">
        <v>0</v>
      </c>
      <c r="U281" s="5">
        <v>0</v>
      </c>
      <c r="V281" s="5">
        <v>0</v>
      </c>
      <c r="W281" s="5">
        <v>0</v>
      </c>
      <c r="X281" s="5">
        <v>0</v>
      </c>
      <c r="Y281" s="5">
        <v>0</v>
      </c>
      <c r="Z281" s="5">
        <v>0</v>
      </c>
      <c r="AA281" s="5">
        <v>0</v>
      </c>
      <c r="AB281" s="5">
        <v>0</v>
      </c>
      <c r="AC281" s="5">
        <v>0</v>
      </c>
      <c r="AD281" s="5">
        <v>0</v>
      </c>
      <c r="AE281" s="5">
        <v>0</v>
      </c>
      <c r="AF281" s="5">
        <v>0</v>
      </c>
      <c r="AG281" s="5">
        <v>0</v>
      </c>
      <c r="AH281" s="5">
        <v>0</v>
      </c>
      <c r="AI281" s="5">
        <v>0</v>
      </c>
      <c r="AJ281" s="5">
        <v>0</v>
      </c>
      <c r="AK281" s="5">
        <v>0</v>
      </c>
      <c r="AL281" s="5">
        <v>0</v>
      </c>
      <c r="AM281" s="5">
        <v>0</v>
      </c>
      <c r="AN281" s="5">
        <v>0</v>
      </c>
      <c r="AO281" s="5">
        <v>0</v>
      </c>
      <c r="AP281" s="5">
        <v>0</v>
      </c>
      <c r="AQ281" s="5">
        <v>0</v>
      </c>
      <c r="AR281" s="5">
        <v>0</v>
      </c>
      <c r="AS281" s="5">
        <v>0</v>
      </c>
      <c r="AT281" s="5">
        <v>0</v>
      </c>
      <c r="AU281" s="5">
        <v>76.099999999999994</v>
      </c>
      <c r="AV281" s="5">
        <v>53.723999999999997</v>
      </c>
      <c r="AW281" s="815">
        <v>108.717</v>
      </c>
      <c r="AX281" s="816">
        <v>86.620999999999995</v>
      </c>
      <c r="AY281" s="819">
        <v>0</v>
      </c>
      <c r="AZ281" s="816">
        <v>0</v>
      </c>
      <c r="BA281" s="818">
        <v>0</v>
      </c>
      <c r="BB281" s="802" t="str" cm="1">
        <f t="array" ref="BB281">INDEX(C$4:BA$4,MATCH(TRUE,INDEX(C281:BA281&lt;&gt;0,),0))</f>
        <v>2022-23</v>
      </c>
      <c r="BC281" s="803" t="str" cm="1">
        <f t="array" ref="BC281">LOOKUP(2,1/(C281:BA281&lt;&gt;0),$C$4:$BA$4)</f>
        <v>2025-26</v>
      </c>
      <c r="BD281" s="804">
        <f>COUNTIF(RDprograms[[#This Row],[1978-79]:[2028-29]], "&gt;0")</f>
        <v>4</v>
      </c>
      <c r="BE281" s="805">
        <f>SUM(C281:BA281)/RDprograms[[#This Row],[Years with &gt; $0 investment]]</f>
        <v>81.290499999999994</v>
      </c>
      <c r="BF281" s="806" t="s">
        <v>273</v>
      </c>
      <c r="BG281" s="807" t="s">
        <v>397</v>
      </c>
      <c r="BH281" s="847" t="s">
        <v>269</v>
      </c>
      <c r="BI281" s="809">
        <v>1</v>
      </c>
      <c r="BJ281" s="809"/>
      <c r="BK281" s="809"/>
      <c r="BL281" s="809">
        <v>1</v>
      </c>
      <c r="BM281" s="809">
        <v>1</v>
      </c>
      <c r="BN281" s="810">
        <v>1</v>
      </c>
      <c r="BO281" s="811" t="s">
        <v>251</v>
      </c>
      <c r="BP281" s="812" t="s">
        <v>817</v>
      </c>
      <c r="BQ281" s="812"/>
      <c r="BR281" s="812" t="s">
        <v>818</v>
      </c>
      <c r="BS281" s="812" t="s">
        <v>386</v>
      </c>
      <c r="BT281" s="812" t="s">
        <v>238</v>
      </c>
    </row>
    <row r="282" spans="1:72" ht="12.75" customHeight="1">
      <c r="A282" s="813" t="s">
        <v>819</v>
      </c>
      <c r="B282" s="820" t="s">
        <v>820</v>
      </c>
      <c r="C282" s="5">
        <v>0</v>
      </c>
      <c r="D282" s="5">
        <v>0</v>
      </c>
      <c r="E282" s="5">
        <v>0</v>
      </c>
      <c r="F282" s="5">
        <v>0</v>
      </c>
      <c r="G282" s="5">
        <v>0</v>
      </c>
      <c r="H282" s="5">
        <v>0</v>
      </c>
      <c r="I282" s="5">
        <v>0</v>
      </c>
      <c r="J282" s="5">
        <v>0</v>
      </c>
      <c r="K282" s="5">
        <v>0</v>
      </c>
      <c r="L282" s="5">
        <v>0</v>
      </c>
      <c r="M282" s="5">
        <v>0</v>
      </c>
      <c r="N282" s="5">
        <v>0</v>
      </c>
      <c r="O282" s="5">
        <v>0</v>
      </c>
      <c r="P282" s="5">
        <v>0</v>
      </c>
      <c r="Q282" s="5">
        <v>0</v>
      </c>
      <c r="R282" s="5">
        <v>0</v>
      </c>
      <c r="S282" s="5">
        <v>0</v>
      </c>
      <c r="T282" s="5">
        <v>0</v>
      </c>
      <c r="U282" s="5">
        <v>0</v>
      </c>
      <c r="V282" s="5">
        <v>0</v>
      </c>
      <c r="W282" s="5">
        <v>0</v>
      </c>
      <c r="X282" s="5">
        <v>0</v>
      </c>
      <c r="Y282" s="5">
        <v>0</v>
      </c>
      <c r="Z282" s="5">
        <v>0</v>
      </c>
      <c r="AA282" s="5">
        <v>0</v>
      </c>
      <c r="AB282" s="5">
        <v>0</v>
      </c>
      <c r="AC282" s="5">
        <v>0</v>
      </c>
      <c r="AD282" s="5">
        <v>0</v>
      </c>
      <c r="AE282" s="5">
        <v>0</v>
      </c>
      <c r="AF282" s="5">
        <v>0</v>
      </c>
      <c r="AG282" s="5">
        <v>0</v>
      </c>
      <c r="AH282" s="5">
        <v>0</v>
      </c>
      <c r="AI282" s="5">
        <v>0</v>
      </c>
      <c r="AJ282" s="5">
        <v>0</v>
      </c>
      <c r="AK282" s="5">
        <v>0</v>
      </c>
      <c r="AL282" s="5">
        <v>0.1</v>
      </c>
      <c r="AM282" s="5">
        <v>0.1</v>
      </c>
      <c r="AN282" s="5">
        <v>0</v>
      </c>
      <c r="AO282" s="5">
        <v>0</v>
      </c>
      <c r="AP282" s="816">
        <v>0</v>
      </c>
      <c r="AQ282" s="816">
        <v>0</v>
      </c>
      <c r="AR282" s="5">
        <v>0</v>
      </c>
      <c r="AS282" s="5">
        <v>0</v>
      </c>
      <c r="AT282" s="5">
        <v>0</v>
      </c>
      <c r="AU282" s="5">
        <v>0</v>
      </c>
      <c r="AV282" s="5">
        <v>0</v>
      </c>
      <c r="AW282" s="815">
        <v>0</v>
      </c>
      <c r="AX282" s="816">
        <v>0</v>
      </c>
      <c r="AY282" s="819">
        <v>0</v>
      </c>
      <c r="AZ282" s="816">
        <v>0</v>
      </c>
      <c r="BA282" s="818"/>
      <c r="BB282" s="802" t="str" cm="1">
        <f t="array" ref="BB282">INDEX(C$4:BA$4,MATCH(TRUE,INDEX(C282:BA282&lt;&gt;0,),0))</f>
        <v>2013-14</v>
      </c>
      <c r="BC282" s="803" t="str" cm="1">
        <f t="array" ref="BC282">LOOKUP(2,1/(C282:BA282&lt;&gt;0),$C$4:$BA$4)</f>
        <v>2014-15</v>
      </c>
      <c r="BD282" s="804">
        <f>COUNTIF(RDprograms[[#This Row],[1978-79]:[2028-29]], "&gt;0")</f>
        <v>2</v>
      </c>
      <c r="BE282" s="805">
        <f>SUM(C282:BA282)/RDprograms[[#This Row],[Years with &gt; $0 investment]]</f>
        <v>0.1</v>
      </c>
      <c r="BF282" s="806" t="s">
        <v>273</v>
      </c>
      <c r="BG282" s="807" t="s">
        <v>362</v>
      </c>
      <c r="BH282" s="847" t="s">
        <v>269</v>
      </c>
      <c r="BI282" s="809"/>
      <c r="BJ282" s="809"/>
      <c r="BK282" s="809"/>
      <c r="BL282" s="809"/>
      <c r="BM282" s="809"/>
      <c r="BN282" s="810"/>
      <c r="BO282" s="811" t="s">
        <v>236</v>
      </c>
      <c r="BP282" s="812"/>
      <c r="BQ282" s="812"/>
      <c r="BR282" s="812"/>
      <c r="BS282" s="812"/>
      <c r="BT282" s="812" t="s">
        <v>238</v>
      </c>
    </row>
    <row r="283" spans="1:72" ht="12.75" customHeight="1">
      <c r="A283" s="813" t="s">
        <v>819</v>
      </c>
      <c r="B283" s="820" t="s">
        <v>821</v>
      </c>
      <c r="C283" s="5">
        <v>0</v>
      </c>
      <c r="D283" s="5">
        <v>0</v>
      </c>
      <c r="E283" s="5">
        <v>0</v>
      </c>
      <c r="F283" s="5">
        <v>0</v>
      </c>
      <c r="G283" s="5">
        <v>0</v>
      </c>
      <c r="H283" s="5">
        <v>0</v>
      </c>
      <c r="I283" s="5">
        <v>0</v>
      </c>
      <c r="J283" s="5">
        <v>0</v>
      </c>
      <c r="K283" s="5">
        <v>0</v>
      </c>
      <c r="L283" s="5">
        <v>0</v>
      </c>
      <c r="M283" s="5">
        <v>0</v>
      </c>
      <c r="N283" s="5">
        <v>0</v>
      </c>
      <c r="O283" s="5">
        <v>0</v>
      </c>
      <c r="P283" s="5">
        <v>0</v>
      </c>
      <c r="Q283" s="5">
        <v>0</v>
      </c>
      <c r="R283" s="5">
        <v>0</v>
      </c>
      <c r="S283" s="5">
        <v>0</v>
      </c>
      <c r="T283" s="5">
        <v>0</v>
      </c>
      <c r="U283" s="5">
        <v>0</v>
      </c>
      <c r="V283" s="5">
        <v>0</v>
      </c>
      <c r="W283" s="5">
        <v>0</v>
      </c>
      <c r="X283" s="5">
        <v>0</v>
      </c>
      <c r="Y283" s="5">
        <v>41.38</v>
      </c>
      <c r="Z283" s="5">
        <v>39.67</v>
      </c>
      <c r="AA283" s="5">
        <v>41.264000000000003</v>
      </c>
      <c r="AB283" s="5">
        <v>41.164000000000001</v>
      </c>
      <c r="AC283" s="5">
        <v>42.845999999999997</v>
      </c>
      <c r="AD283" s="5">
        <v>46.406999999999996</v>
      </c>
      <c r="AE283" s="5">
        <v>51.305999999999997</v>
      </c>
      <c r="AF283" s="5">
        <v>56.837000000000003</v>
      </c>
      <c r="AG283" s="5">
        <v>56.069000000000003</v>
      </c>
      <c r="AH283" s="5">
        <v>72.844999999999999</v>
      </c>
      <c r="AI283" s="5">
        <v>88.313999999999993</v>
      </c>
      <c r="AJ283" s="5">
        <v>97.478999999999999</v>
      </c>
      <c r="AK283" s="5">
        <v>104.73399999999999</v>
      </c>
      <c r="AL283" s="5">
        <v>99.19</v>
      </c>
      <c r="AM283" s="5">
        <v>101.15300000000001</v>
      </c>
      <c r="AN283" s="5">
        <v>94.132999999999996</v>
      </c>
      <c r="AO283" s="5">
        <v>103.524</v>
      </c>
      <c r="AP283" s="816">
        <v>107.727</v>
      </c>
      <c r="AQ283" s="816">
        <v>107.268</v>
      </c>
      <c r="AR283" s="5">
        <v>107.989</v>
      </c>
      <c r="AS283" s="5">
        <v>96.697999999999993</v>
      </c>
      <c r="AT283" s="5">
        <v>100.553</v>
      </c>
      <c r="AU283" s="5">
        <v>102.102</v>
      </c>
      <c r="AV283" s="5">
        <v>112.893</v>
      </c>
      <c r="AW283" s="815">
        <v>117.063</v>
      </c>
      <c r="AX283" s="816">
        <v>120.371</v>
      </c>
      <c r="AY283" s="819">
        <v>123.075</v>
      </c>
      <c r="AZ283" s="816">
        <v>125.758</v>
      </c>
      <c r="BA283" s="818">
        <v>127.548</v>
      </c>
      <c r="BB283" s="802" t="str" cm="1">
        <f t="array" ref="BB283">INDEX(C$4:BA$4,MATCH(TRUE,INDEX(C283:BA283&lt;&gt;0,),0))</f>
        <v>2000-01</v>
      </c>
      <c r="BC283" s="803" t="str" cm="1">
        <f t="array" ref="BC283">LOOKUP(2,1/(C283:BA283&lt;&gt;0),$C$4:$BA$4)</f>
        <v>2028-29</v>
      </c>
      <c r="BD283" s="804">
        <f>COUNTIF(RDprograms[[#This Row],[1978-79]:[2028-29]], "&gt;0")</f>
        <v>29</v>
      </c>
      <c r="BE283" s="805">
        <f>SUM(C283:BA283)/RDprograms[[#This Row],[Years with &gt; $0 investment]]</f>
        <v>87.150344827586196</v>
      </c>
      <c r="BF283" s="806" t="s">
        <v>273</v>
      </c>
      <c r="BG283" s="807" t="s">
        <v>234</v>
      </c>
      <c r="BH283" s="847" t="s">
        <v>258</v>
      </c>
      <c r="BI283" s="809">
        <v>1</v>
      </c>
      <c r="BJ283" s="809">
        <v>1</v>
      </c>
      <c r="BK283" s="809"/>
      <c r="BL283" s="809"/>
      <c r="BM283" s="809">
        <v>1</v>
      </c>
      <c r="BN283" s="810">
        <v>1</v>
      </c>
      <c r="BO283" s="811" t="s">
        <v>236</v>
      </c>
      <c r="BP283" s="812" t="s">
        <v>822</v>
      </c>
      <c r="BQ283" s="812"/>
      <c r="BR283" s="812"/>
      <c r="BS283" s="812"/>
      <c r="BT283" s="812" t="s">
        <v>238</v>
      </c>
    </row>
    <row r="284" spans="1:72" ht="12.75" customHeight="1">
      <c r="A284" s="813" t="s">
        <v>819</v>
      </c>
      <c r="B284" s="820" t="s">
        <v>823</v>
      </c>
      <c r="C284" s="5">
        <v>0</v>
      </c>
      <c r="D284" s="5">
        <v>0</v>
      </c>
      <c r="E284" s="5">
        <v>0</v>
      </c>
      <c r="F284" s="5">
        <v>0</v>
      </c>
      <c r="G284" s="5">
        <v>0</v>
      </c>
      <c r="H284" s="5">
        <v>0</v>
      </c>
      <c r="I284" s="5">
        <v>0</v>
      </c>
      <c r="J284" s="5">
        <v>0</v>
      </c>
      <c r="K284" s="5">
        <v>0</v>
      </c>
      <c r="L284" s="5">
        <v>0</v>
      </c>
      <c r="M284" s="5">
        <v>0</v>
      </c>
      <c r="N284" s="5">
        <v>0</v>
      </c>
      <c r="O284" s="5">
        <v>0</v>
      </c>
      <c r="P284" s="5">
        <v>0</v>
      </c>
      <c r="Q284" s="5">
        <v>0</v>
      </c>
      <c r="R284" s="5">
        <v>0</v>
      </c>
      <c r="S284" s="5">
        <v>0</v>
      </c>
      <c r="T284" s="5">
        <v>0</v>
      </c>
      <c r="U284" s="5">
        <v>0</v>
      </c>
      <c r="V284" s="5">
        <v>0</v>
      </c>
      <c r="W284" s="5">
        <v>0</v>
      </c>
      <c r="X284" s="5">
        <v>0</v>
      </c>
      <c r="Y284" s="5">
        <v>0</v>
      </c>
      <c r="Z284" s="5">
        <v>0</v>
      </c>
      <c r="AA284" s="5">
        <v>0</v>
      </c>
      <c r="AB284" s="5">
        <v>0</v>
      </c>
      <c r="AC284" s="5">
        <v>0</v>
      </c>
      <c r="AD284" s="5">
        <v>15.670400000000001</v>
      </c>
      <c r="AE284" s="5">
        <v>23.18036</v>
      </c>
      <c r="AF284" s="5">
        <v>43.249268999999998</v>
      </c>
      <c r="AG284" s="5">
        <v>63.545088</v>
      </c>
      <c r="AH284" s="5">
        <v>73.540439000000006</v>
      </c>
      <c r="AI284" s="5">
        <v>110.34307200000001</v>
      </c>
      <c r="AJ284" s="5">
        <v>108.693657</v>
      </c>
      <c r="AK284" s="5">
        <v>76.817999999999998</v>
      </c>
      <c r="AL284" s="5">
        <v>79.314999999999998</v>
      </c>
      <c r="AM284" s="5">
        <v>61.542999999999999</v>
      </c>
      <c r="AN284" s="5">
        <v>98.91</v>
      </c>
      <c r="AO284" s="5">
        <v>111.43600000000001</v>
      </c>
      <c r="AP284" s="816">
        <v>94.992999999999995</v>
      </c>
      <c r="AQ284" s="816">
        <v>94.471000000000004</v>
      </c>
      <c r="AR284" s="5">
        <v>59.348999999999997</v>
      </c>
      <c r="AS284" s="5">
        <v>0</v>
      </c>
      <c r="AT284" s="5">
        <v>0</v>
      </c>
      <c r="AU284" s="5">
        <v>0</v>
      </c>
      <c r="AV284" s="5">
        <v>0</v>
      </c>
      <c r="AW284" s="815">
        <v>0</v>
      </c>
      <c r="AX284" s="816">
        <v>0</v>
      </c>
      <c r="AY284" s="819">
        <v>0</v>
      </c>
      <c r="AZ284" s="816">
        <v>0</v>
      </c>
      <c r="BA284" s="818"/>
      <c r="BB284" s="802" t="str" cm="1">
        <f t="array" ref="BB284">INDEX(C$4:BA$4,MATCH(TRUE,INDEX(C284:BA284&lt;&gt;0,),0))</f>
        <v>2005-06</v>
      </c>
      <c r="BC284" s="803" t="str" cm="1">
        <f t="array" ref="BC284">LOOKUP(2,1/(C284:BA284&lt;&gt;0),$C$4:$BA$4)</f>
        <v>2019-20</v>
      </c>
      <c r="BD284" s="804">
        <f>COUNTIF(RDprograms[[#This Row],[1978-79]:[2028-29]], "&gt;0")</f>
        <v>15</v>
      </c>
      <c r="BE284" s="805">
        <f>SUM(C284:BA284)/RDprograms[[#This Row],[Years with &gt; $0 investment]]</f>
        <v>74.337152333333336</v>
      </c>
      <c r="BF284" s="806" t="s">
        <v>273</v>
      </c>
      <c r="BG284" s="807" t="s">
        <v>362</v>
      </c>
      <c r="BH284" s="847" t="s">
        <v>241</v>
      </c>
      <c r="BI284" s="809"/>
      <c r="BJ284" s="809"/>
      <c r="BK284" s="809"/>
      <c r="BL284" s="809"/>
      <c r="BM284" s="809"/>
      <c r="BN284" s="810"/>
      <c r="BO284" s="811" t="s">
        <v>236</v>
      </c>
      <c r="BP284" s="812"/>
      <c r="BQ284" s="812"/>
      <c r="BR284" s="812"/>
      <c r="BS284" s="812"/>
      <c r="BT284" s="812" t="s">
        <v>238</v>
      </c>
    </row>
    <row r="285" spans="1:72" ht="12.75" customHeight="1">
      <c r="A285" s="813" t="s">
        <v>819</v>
      </c>
      <c r="B285" s="820" t="s">
        <v>824</v>
      </c>
      <c r="C285" s="5">
        <v>0</v>
      </c>
      <c r="D285" s="5">
        <v>0</v>
      </c>
      <c r="E285" s="5">
        <v>0</v>
      </c>
      <c r="F285" s="5">
        <v>0</v>
      </c>
      <c r="G285" s="5">
        <v>0</v>
      </c>
      <c r="H285" s="5">
        <v>0</v>
      </c>
      <c r="I285" s="5">
        <v>0</v>
      </c>
      <c r="J285" s="5">
        <v>0</v>
      </c>
      <c r="K285" s="5">
        <v>0</v>
      </c>
      <c r="L285" s="5">
        <v>0</v>
      </c>
      <c r="M285" s="5">
        <v>0</v>
      </c>
      <c r="N285" s="5">
        <v>0</v>
      </c>
      <c r="O285" s="5">
        <v>0</v>
      </c>
      <c r="P285" s="5">
        <v>0</v>
      </c>
      <c r="Q285" s="5">
        <v>0</v>
      </c>
      <c r="R285" s="5">
        <v>0</v>
      </c>
      <c r="S285" s="5">
        <v>0</v>
      </c>
      <c r="T285" s="5">
        <v>0</v>
      </c>
      <c r="U285" s="5">
        <v>0</v>
      </c>
      <c r="V285" s="5">
        <v>0</v>
      </c>
      <c r="W285" s="5">
        <v>0</v>
      </c>
      <c r="X285" s="5">
        <v>0</v>
      </c>
      <c r="Y285" s="5">
        <v>0</v>
      </c>
      <c r="Z285" s="5">
        <v>0</v>
      </c>
      <c r="AA285" s="5">
        <v>0</v>
      </c>
      <c r="AB285" s="5">
        <v>0</v>
      </c>
      <c r="AC285" s="5">
        <v>0</v>
      </c>
      <c r="AD285" s="5">
        <v>0</v>
      </c>
      <c r="AE285" s="5">
        <v>0</v>
      </c>
      <c r="AF285" s="5">
        <v>0</v>
      </c>
      <c r="AG285" s="5">
        <v>0</v>
      </c>
      <c r="AH285" s="5">
        <v>0</v>
      </c>
      <c r="AI285" s="5">
        <v>0</v>
      </c>
      <c r="AJ285" s="5">
        <v>0</v>
      </c>
      <c r="AK285" s="5">
        <v>0</v>
      </c>
      <c r="AL285" s="5">
        <v>0</v>
      </c>
      <c r="AM285" s="5">
        <v>0</v>
      </c>
      <c r="AN285" s="5">
        <v>0</v>
      </c>
      <c r="AO285" s="5">
        <v>0</v>
      </c>
      <c r="AP285" s="816">
        <v>0</v>
      </c>
      <c r="AQ285" s="816">
        <v>0</v>
      </c>
      <c r="AR285" s="5">
        <v>0</v>
      </c>
      <c r="AS285" s="5">
        <v>0</v>
      </c>
      <c r="AT285" s="5">
        <v>0.1</v>
      </c>
      <c r="AU285" s="5">
        <v>0.1</v>
      </c>
      <c r="AV285" s="5">
        <v>0.1</v>
      </c>
      <c r="AW285" s="815">
        <v>0</v>
      </c>
      <c r="AX285" s="816">
        <v>0</v>
      </c>
      <c r="AY285" s="819">
        <v>0</v>
      </c>
      <c r="AZ285" s="816"/>
      <c r="BA285" s="818"/>
      <c r="BB285" s="802" t="str" cm="1">
        <f t="array" ref="BB285">INDEX(C$4:BA$4,MATCH(TRUE,INDEX(C285:BA285&lt;&gt;0,),0))</f>
        <v>2021-22</v>
      </c>
      <c r="BC285" s="803" t="str" cm="1">
        <f t="array" ref="BC285">LOOKUP(2,1/(C285:BA285&lt;&gt;0),$C$4:$BA$4)</f>
        <v>2023-24</v>
      </c>
      <c r="BD285" s="804">
        <f>COUNTIF(RDprograms[[#This Row],[1978-79]:[2028-29]], "&gt;0")</f>
        <v>3</v>
      </c>
      <c r="BE285" s="805">
        <f>SUM(C285:BA285)/RDprograms[[#This Row],[Years with &gt; $0 investment]]</f>
        <v>0.10000000000000002</v>
      </c>
      <c r="BF285" s="806" t="s">
        <v>273</v>
      </c>
      <c r="BG285" s="807" t="s">
        <v>234</v>
      </c>
      <c r="BH285" s="847" t="s">
        <v>241</v>
      </c>
      <c r="BI285" s="809"/>
      <c r="BJ285" s="809"/>
      <c r="BK285" s="809"/>
      <c r="BL285" s="809"/>
      <c r="BM285" s="809"/>
      <c r="BN285" s="810"/>
      <c r="BO285" s="811" t="s">
        <v>236</v>
      </c>
      <c r="BP285" s="843" t="s">
        <v>825</v>
      </c>
      <c r="BQ285" s="812"/>
      <c r="BR285" s="812"/>
      <c r="BS285" s="812"/>
      <c r="BT285" s="812" t="s">
        <v>238</v>
      </c>
    </row>
    <row r="286" spans="1:72" ht="12.75" customHeight="1">
      <c r="A286" s="813" t="s">
        <v>819</v>
      </c>
      <c r="B286" s="820" t="s">
        <v>826</v>
      </c>
      <c r="C286" s="5">
        <v>0</v>
      </c>
      <c r="D286" s="5">
        <v>0</v>
      </c>
      <c r="E286" s="5">
        <v>0</v>
      </c>
      <c r="F286" s="5">
        <v>0</v>
      </c>
      <c r="G286" s="5">
        <v>0</v>
      </c>
      <c r="H286" s="5">
        <v>0</v>
      </c>
      <c r="I286" s="5">
        <v>0</v>
      </c>
      <c r="J286" s="5">
        <v>0</v>
      </c>
      <c r="K286" s="5">
        <v>0</v>
      </c>
      <c r="L286" s="5">
        <v>0</v>
      </c>
      <c r="M286" s="5">
        <v>0</v>
      </c>
      <c r="N286" s="5">
        <v>0</v>
      </c>
      <c r="O286" s="5">
        <v>0</v>
      </c>
      <c r="P286" s="5">
        <v>0</v>
      </c>
      <c r="Q286" s="5">
        <v>0</v>
      </c>
      <c r="R286" s="5">
        <v>0</v>
      </c>
      <c r="S286" s="5">
        <v>0</v>
      </c>
      <c r="T286" s="5">
        <v>0</v>
      </c>
      <c r="U286" s="5">
        <v>0</v>
      </c>
      <c r="V286" s="5">
        <v>0</v>
      </c>
      <c r="W286" s="5">
        <v>0</v>
      </c>
      <c r="X286" s="5">
        <v>0</v>
      </c>
      <c r="Y286" s="5">
        <v>0</v>
      </c>
      <c r="Z286" s="5">
        <v>0</v>
      </c>
      <c r="AA286" s="5">
        <v>0</v>
      </c>
      <c r="AB286" s="5">
        <v>0</v>
      </c>
      <c r="AC286" s="5">
        <v>0</v>
      </c>
      <c r="AD286" s="5">
        <v>0</v>
      </c>
      <c r="AE286" s="5">
        <v>0</v>
      </c>
      <c r="AF286" s="5">
        <v>0</v>
      </c>
      <c r="AG286" s="5">
        <v>0</v>
      </c>
      <c r="AH286" s="5">
        <v>0</v>
      </c>
      <c r="AI286" s="5">
        <v>0</v>
      </c>
      <c r="AJ286" s="5">
        <v>0</v>
      </c>
      <c r="AK286" s="5">
        <v>0</v>
      </c>
      <c r="AL286" s="5">
        <v>0.125</v>
      </c>
      <c r="AM286" s="5">
        <v>0.125</v>
      </c>
      <c r="AN286" s="5">
        <v>0</v>
      </c>
      <c r="AO286" s="5">
        <v>0</v>
      </c>
      <c r="AP286" s="5">
        <v>0</v>
      </c>
      <c r="AQ286" s="5">
        <v>0</v>
      </c>
      <c r="AR286" s="5">
        <v>0</v>
      </c>
      <c r="AS286" s="5">
        <v>0</v>
      </c>
      <c r="AT286" s="5">
        <v>0</v>
      </c>
      <c r="AU286" s="5">
        <v>0</v>
      </c>
      <c r="AV286" s="5">
        <v>0</v>
      </c>
      <c r="AW286" s="815">
        <v>0</v>
      </c>
      <c r="AX286" s="816">
        <v>0</v>
      </c>
      <c r="AY286" s="819">
        <v>0</v>
      </c>
      <c r="AZ286" s="816"/>
      <c r="BA286" s="818"/>
      <c r="BB286" s="802" t="str" cm="1">
        <f t="array" ref="BB286">INDEX(C$4:BA$4,MATCH(TRUE,INDEX(C286:BA286&lt;&gt;0,),0))</f>
        <v>2013-14</v>
      </c>
      <c r="BC286" s="803" t="str" cm="1">
        <f t="array" ref="BC286">LOOKUP(2,1/(C286:BA286&lt;&gt;0),$C$4:$BA$4)</f>
        <v>2014-15</v>
      </c>
      <c r="BD286" s="804">
        <f>COUNTIF(RDprograms[[#This Row],[1978-79]:[2028-29]], "&gt;0")</f>
        <v>2</v>
      </c>
      <c r="BE286" s="805">
        <f>SUM(C286:BA286)/RDprograms[[#This Row],[Years with &gt; $0 investment]]</f>
        <v>0.125</v>
      </c>
      <c r="BF286" s="806" t="s">
        <v>273</v>
      </c>
      <c r="BG286" s="807" t="s">
        <v>362</v>
      </c>
      <c r="BH286" s="847" t="s">
        <v>241</v>
      </c>
      <c r="BI286" s="809"/>
      <c r="BJ286" s="809"/>
      <c r="BK286" s="809"/>
      <c r="BL286" s="809"/>
      <c r="BM286" s="809"/>
      <c r="BN286" s="810"/>
      <c r="BO286" s="811" t="s">
        <v>236</v>
      </c>
      <c r="BP286" s="812" t="s">
        <v>827</v>
      </c>
      <c r="BQ286" s="812"/>
      <c r="BR286" s="812"/>
      <c r="BS286" s="812"/>
      <c r="BT286" s="812" t="s">
        <v>238</v>
      </c>
    </row>
    <row r="287" spans="1:72" ht="12.75" customHeight="1">
      <c r="A287" s="813" t="s">
        <v>819</v>
      </c>
      <c r="B287" s="820" t="s">
        <v>828</v>
      </c>
      <c r="C287" s="5">
        <v>0</v>
      </c>
      <c r="D287" s="5">
        <v>0</v>
      </c>
      <c r="E287" s="5">
        <v>0</v>
      </c>
      <c r="F287" s="5">
        <v>0</v>
      </c>
      <c r="G287" s="5">
        <v>0</v>
      </c>
      <c r="H287" s="5">
        <v>0</v>
      </c>
      <c r="I287" s="5">
        <v>0</v>
      </c>
      <c r="J287" s="5">
        <v>0</v>
      </c>
      <c r="K287" s="5">
        <v>0</v>
      </c>
      <c r="L287" s="5">
        <v>0</v>
      </c>
      <c r="M287" s="5">
        <v>0</v>
      </c>
      <c r="N287" s="5">
        <v>0</v>
      </c>
      <c r="O287" s="5">
        <v>0</v>
      </c>
      <c r="P287" s="5">
        <v>0</v>
      </c>
      <c r="Q287" s="5">
        <v>0</v>
      </c>
      <c r="R287" s="5">
        <v>0</v>
      </c>
      <c r="S287" s="5">
        <v>0</v>
      </c>
      <c r="T287" s="5">
        <v>0</v>
      </c>
      <c r="U287" s="5">
        <v>0</v>
      </c>
      <c r="V287" s="5">
        <v>0</v>
      </c>
      <c r="W287" s="5">
        <v>0</v>
      </c>
      <c r="X287" s="5">
        <v>0</v>
      </c>
      <c r="Y287" s="5">
        <v>0</v>
      </c>
      <c r="Z287" s="5">
        <v>0</v>
      </c>
      <c r="AA287" s="5">
        <v>0</v>
      </c>
      <c r="AB287" s="5">
        <v>0</v>
      </c>
      <c r="AC287" s="5">
        <v>0</v>
      </c>
      <c r="AD287" s="5">
        <v>0</v>
      </c>
      <c r="AE287" s="5">
        <v>0</v>
      </c>
      <c r="AF287" s="5">
        <v>0</v>
      </c>
      <c r="AG287" s="5">
        <v>0</v>
      </c>
      <c r="AH287" s="5">
        <v>0</v>
      </c>
      <c r="AI287" s="5">
        <v>0</v>
      </c>
      <c r="AJ287" s="5">
        <v>0</v>
      </c>
      <c r="AK287" s="5">
        <v>0</v>
      </c>
      <c r="AL287" s="5">
        <v>0</v>
      </c>
      <c r="AM287" s="5">
        <v>0</v>
      </c>
      <c r="AN287" s="5">
        <v>0</v>
      </c>
      <c r="AO287" s="5">
        <v>0</v>
      </c>
      <c r="AP287" s="5">
        <v>0</v>
      </c>
      <c r="AQ287" s="5">
        <v>0</v>
      </c>
      <c r="AR287" s="5">
        <v>0</v>
      </c>
      <c r="AS287" s="5">
        <v>0</v>
      </c>
      <c r="AT287" s="5">
        <v>0</v>
      </c>
      <c r="AU287" s="5">
        <v>1.19868676</v>
      </c>
      <c r="AV287" s="5">
        <v>1.73</v>
      </c>
      <c r="AW287" s="815">
        <v>0</v>
      </c>
      <c r="AX287" s="816">
        <v>0</v>
      </c>
      <c r="AY287" s="819">
        <v>0</v>
      </c>
      <c r="AZ287" s="816"/>
      <c r="BA287" s="818"/>
      <c r="BB287" s="802" t="str" cm="1">
        <f t="array" ref="BB287">INDEX(C$4:BA$4,MATCH(TRUE,INDEX(C287:BA287&lt;&gt;0,),0))</f>
        <v>2022-23</v>
      </c>
      <c r="BC287" s="803" t="str" cm="1">
        <f t="array" ref="BC287">LOOKUP(2,1/(C287:BA287&lt;&gt;0),$C$4:$BA$4)</f>
        <v>2023-24</v>
      </c>
      <c r="BD287" s="804">
        <f>COUNTIF(RDprograms[[#This Row],[1978-79]:[2028-29]], "&gt;0")</f>
        <v>2</v>
      </c>
      <c r="BE287" s="805">
        <f>SUM(C287:BA287)/RDprograms[[#This Row],[Years with &gt; $0 investment]]</f>
        <v>1.4643433799999999</v>
      </c>
      <c r="BF287" s="806" t="s">
        <v>273</v>
      </c>
      <c r="BG287" s="807" t="s">
        <v>362</v>
      </c>
      <c r="BH287" s="847" t="s">
        <v>241</v>
      </c>
      <c r="BI287" s="809"/>
      <c r="BJ287" s="809"/>
      <c r="BK287" s="809"/>
      <c r="BL287" s="809"/>
      <c r="BM287" s="809"/>
      <c r="BN287" s="810"/>
      <c r="BO287" s="811" t="s">
        <v>236</v>
      </c>
      <c r="BP287" s="812" t="s">
        <v>829</v>
      </c>
      <c r="BQ287" s="812"/>
      <c r="BR287" s="812"/>
      <c r="BS287" s="812"/>
      <c r="BT287" s="812" t="s">
        <v>238</v>
      </c>
    </row>
    <row r="288" spans="1:72" ht="12.75" customHeight="1">
      <c r="A288" s="813" t="s">
        <v>819</v>
      </c>
      <c r="B288" s="820" t="s">
        <v>830</v>
      </c>
      <c r="C288" s="5">
        <v>0</v>
      </c>
      <c r="D288" s="5">
        <v>0</v>
      </c>
      <c r="E288" s="5">
        <v>0</v>
      </c>
      <c r="F288" s="5">
        <v>0</v>
      </c>
      <c r="G288" s="5">
        <v>0</v>
      </c>
      <c r="H288" s="5">
        <v>0</v>
      </c>
      <c r="I288" s="5">
        <v>0</v>
      </c>
      <c r="J288" s="5">
        <v>0</v>
      </c>
      <c r="K288" s="5">
        <v>0</v>
      </c>
      <c r="L288" s="5">
        <v>0</v>
      </c>
      <c r="M288" s="5">
        <v>0</v>
      </c>
      <c r="N288" s="5">
        <v>0</v>
      </c>
      <c r="O288" s="5">
        <v>0</v>
      </c>
      <c r="P288" s="5">
        <v>0</v>
      </c>
      <c r="Q288" s="5">
        <v>0</v>
      </c>
      <c r="R288" s="5">
        <v>0</v>
      </c>
      <c r="S288" s="5">
        <v>0</v>
      </c>
      <c r="T288" s="5">
        <v>0</v>
      </c>
      <c r="U288" s="5">
        <v>0</v>
      </c>
      <c r="V288" s="5">
        <v>0</v>
      </c>
      <c r="W288" s="5">
        <v>0</v>
      </c>
      <c r="X288" s="5">
        <v>0</v>
      </c>
      <c r="Y288" s="5">
        <v>0</v>
      </c>
      <c r="Z288" s="5">
        <v>0</v>
      </c>
      <c r="AA288" s="5">
        <v>0</v>
      </c>
      <c r="AB288" s="5">
        <v>0</v>
      </c>
      <c r="AC288" s="5">
        <v>0</v>
      </c>
      <c r="AD288" s="5">
        <v>0</v>
      </c>
      <c r="AE288" s="5">
        <v>0</v>
      </c>
      <c r="AF288" s="5">
        <v>0</v>
      </c>
      <c r="AG288" s="5">
        <v>0</v>
      </c>
      <c r="AH288" s="5">
        <v>0</v>
      </c>
      <c r="AI288" s="5">
        <v>0</v>
      </c>
      <c r="AJ288" s="5">
        <v>0</v>
      </c>
      <c r="AK288" s="5">
        <v>0</v>
      </c>
      <c r="AL288" s="5">
        <v>0</v>
      </c>
      <c r="AM288" s="5">
        <v>0</v>
      </c>
      <c r="AN288" s="5">
        <v>0</v>
      </c>
      <c r="AO288" s="5">
        <v>0</v>
      </c>
      <c r="AP288" s="816">
        <v>0</v>
      </c>
      <c r="AQ288" s="816">
        <v>0</v>
      </c>
      <c r="AR288" s="5">
        <v>0</v>
      </c>
      <c r="AS288" s="5">
        <v>0</v>
      </c>
      <c r="AT288" s="5">
        <v>0</v>
      </c>
      <c r="AU288" s="5">
        <v>0.47402684</v>
      </c>
      <c r="AV288" s="5">
        <v>0.34</v>
      </c>
      <c r="AW288" s="815">
        <v>0.61199999999999999</v>
      </c>
      <c r="AX288" s="816">
        <v>0</v>
      </c>
      <c r="AY288" s="819">
        <v>0</v>
      </c>
      <c r="AZ288" s="816"/>
      <c r="BA288" s="818"/>
      <c r="BB288" s="802" t="str" cm="1">
        <f t="array" ref="BB288">INDEX(C$4:BA$4,MATCH(TRUE,INDEX(C288:BA288&lt;&gt;0,),0))</f>
        <v>2022-23</v>
      </c>
      <c r="BC288" s="803" t="str" cm="1">
        <f t="array" ref="BC288">LOOKUP(2,1/(C288:BA288&lt;&gt;0),$C$4:$BA$4)</f>
        <v>2024-25</v>
      </c>
      <c r="BD288" s="804">
        <f>COUNTIF(RDprograms[[#This Row],[1978-79]:[2028-29]], "&gt;0")</f>
        <v>3</v>
      </c>
      <c r="BE288" s="805">
        <f>SUM(C288:BA288)/RDprograms[[#This Row],[Years with &gt; $0 investment]]</f>
        <v>0.47534228000000001</v>
      </c>
      <c r="BF288" s="806" t="s">
        <v>273</v>
      </c>
      <c r="BG288" s="807" t="s">
        <v>362</v>
      </c>
      <c r="BH288" s="847" t="s">
        <v>241</v>
      </c>
      <c r="BI288" s="809"/>
      <c r="BJ288" s="809"/>
      <c r="BK288" s="809"/>
      <c r="BL288" s="809"/>
      <c r="BM288" s="809"/>
      <c r="BN288" s="810"/>
      <c r="BO288" s="811" t="s">
        <v>236</v>
      </c>
      <c r="BP288" s="812" t="s">
        <v>831</v>
      </c>
      <c r="BQ288" s="812"/>
      <c r="BR288" s="812"/>
      <c r="BS288" s="812"/>
      <c r="BT288" s="828" t="s">
        <v>277</v>
      </c>
    </row>
    <row r="289" spans="1:72" ht="12.75" customHeight="1">
      <c r="A289" s="813" t="s">
        <v>832</v>
      </c>
      <c r="B289" s="820" t="s">
        <v>833</v>
      </c>
      <c r="C289" s="5">
        <v>0</v>
      </c>
      <c r="D289" s="5">
        <v>0</v>
      </c>
      <c r="E289" s="5">
        <v>0</v>
      </c>
      <c r="F289" s="5">
        <v>0</v>
      </c>
      <c r="G289" s="5">
        <v>0</v>
      </c>
      <c r="H289" s="5">
        <v>0</v>
      </c>
      <c r="I289" s="5">
        <v>0</v>
      </c>
      <c r="J289" s="5">
        <v>0</v>
      </c>
      <c r="K289" s="5">
        <v>0</v>
      </c>
      <c r="L289" s="5">
        <v>0</v>
      </c>
      <c r="M289" s="5">
        <v>0</v>
      </c>
      <c r="N289" s="5">
        <v>0</v>
      </c>
      <c r="O289" s="5">
        <v>0</v>
      </c>
      <c r="P289" s="5">
        <v>0</v>
      </c>
      <c r="Q289" s="5">
        <v>0</v>
      </c>
      <c r="R289" s="5">
        <v>0</v>
      </c>
      <c r="S289" s="5">
        <v>0</v>
      </c>
      <c r="T289" s="5">
        <v>0</v>
      </c>
      <c r="U289" s="5">
        <v>0</v>
      </c>
      <c r="V289" s="5">
        <v>0</v>
      </c>
      <c r="W289" s="5">
        <v>0</v>
      </c>
      <c r="X289" s="5">
        <v>0</v>
      </c>
      <c r="Y289" s="5">
        <v>0</v>
      </c>
      <c r="Z289" s="5">
        <v>0</v>
      </c>
      <c r="AA289" s="5">
        <v>0</v>
      </c>
      <c r="AB289" s="5">
        <v>0</v>
      </c>
      <c r="AC289" s="5">
        <v>0</v>
      </c>
      <c r="AD289" s="5">
        <v>0</v>
      </c>
      <c r="AE289" s="5">
        <v>0</v>
      </c>
      <c r="AF289" s="5">
        <v>0</v>
      </c>
      <c r="AG289" s="5">
        <v>0</v>
      </c>
      <c r="AH289" s="5">
        <v>0</v>
      </c>
      <c r="AI289" s="5">
        <v>0</v>
      </c>
      <c r="AJ289" s="5">
        <v>0</v>
      </c>
      <c r="AK289" s="5">
        <v>0</v>
      </c>
      <c r="AL289" s="5">
        <v>0</v>
      </c>
      <c r="AM289" s="5">
        <v>5.5E-2</v>
      </c>
      <c r="AN289" s="5">
        <v>0</v>
      </c>
      <c r="AO289" s="5">
        <v>0</v>
      </c>
      <c r="AP289" s="816">
        <v>0</v>
      </c>
      <c r="AQ289" s="816">
        <v>0</v>
      </c>
      <c r="AR289" s="5">
        <v>0</v>
      </c>
      <c r="AS289" s="5">
        <v>0</v>
      </c>
      <c r="AT289" s="5">
        <v>0</v>
      </c>
      <c r="AU289" s="5">
        <v>0</v>
      </c>
      <c r="AV289" s="5">
        <v>0</v>
      </c>
      <c r="AW289" s="815">
        <v>0</v>
      </c>
      <c r="AX289" s="816">
        <v>0</v>
      </c>
      <c r="AY289" s="819">
        <v>0</v>
      </c>
      <c r="AZ289" s="816"/>
      <c r="BA289" s="818"/>
      <c r="BB289" s="802" t="str" cm="1">
        <f t="array" ref="BB289">INDEX(C$4:BA$4,MATCH(TRUE,INDEX(C289:BA289&lt;&gt;0,),0))</f>
        <v>2014-15</v>
      </c>
      <c r="BC289" s="803" t="str" cm="1">
        <f t="array" ref="BC289">LOOKUP(2,1/(C289:BA289&lt;&gt;0),$C$4:$BA$4)</f>
        <v>2014-15</v>
      </c>
      <c r="BD289" s="804">
        <f>COUNTIF(RDprograms[[#This Row],[1978-79]:[2028-29]], "&gt;0")</f>
        <v>1</v>
      </c>
      <c r="BE289" s="805">
        <f>SUM(C289:BA289)/RDprograms[[#This Row],[Years with &gt; $0 investment]]</f>
        <v>5.5E-2</v>
      </c>
      <c r="BF289" s="806" t="s">
        <v>273</v>
      </c>
      <c r="BG289" s="807" t="s">
        <v>703</v>
      </c>
      <c r="BH289" s="847" t="s">
        <v>834</v>
      </c>
      <c r="BI289" s="809"/>
      <c r="BJ289" s="809"/>
      <c r="BK289" s="809"/>
      <c r="BL289" s="809"/>
      <c r="BM289" s="809"/>
      <c r="BN289" s="810"/>
      <c r="BO289" s="811" t="s">
        <v>251</v>
      </c>
      <c r="BP289" s="812"/>
      <c r="BQ289" s="812" t="s">
        <v>835</v>
      </c>
      <c r="BR289" s="812"/>
      <c r="BS289" s="812"/>
      <c r="BT289" s="812" t="s">
        <v>238</v>
      </c>
    </row>
    <row r="290" spans="1:72" ht="12.75" customHeight="1">
      <c r="A290" s="813" t="s">
        <v>832</v>
      </c>
      <c r="B290" s="820" t="s">
        <v>836</v>
      </c>
      <c r="C290" s="5">
        <v>0</v>
      </c>
      <c r="D290" s="5">
        <v>0</v>
      </c>
      <c r="E290" s="5">
        <v>0</v>
      </c>
      <c r="F290" s="5">
        <v>0</v>
      </c>
      <c r="G290" s="5">
        <v>0</v>
      </c>
      <c r="H290" s="5">
        <v>0</v>
      </c>
      <c r="I290" s="5">
        <v>0</v>
      </c>
      <c r="J290" s="5">
        <v>0</v>
      </c>
      <c r="K290" s="5">
        <v>0</v>
      </c>
      <c r="L290" s="5">
        <v>0</v>
      </c>
      <c r="M290" s="5">
        <v>0</v>
      </c>
      <c r="N290" s="5">
        <v>0</v>
      </c>
      <c r="O290" s="5">
        <v>0</v>
      </c>
      <c r="P290" s="5">
        <v>0</v>
      </c>
      <c r="Q290" s="5">
        <v>0</v>
      </c>
      <c r="R290" s="5">
        <v>0</v>
      </c>
      <c r="S290" s="5">
        <v>0</v>
      </c>
      <c r="T290" s="5">
        <v>0</v>
      </c>
      <c r="U290" s="5">
        <v>0</v>
      </c>
      <c r="V290" s="5">
        <v>0</v>
      </c>
      <c r="W290" s="5">
        <v>0</v>
      </c>
      <c r="X290" s="5">
        <v>0</v>
      </c>
      <c r="Y290" s="5">
        <v>0</v>
      </c>
      <c r="Z290" s="5">
        <v>0</v>
      </c>
      <c r="AA290" s="5">
        <v>0</v>
      </c>
      <c r="AB290" s="5">
        <v>0</v>
      </c>
      <c r="AC290" s="5">
        <v>0</v>
      </c>
      <c r="AD290" s="5">
        <v>0</v>
      </c>
      <c r="AE290" s="5">
        <v>0</v>
      </c>
      <c r="AF290" s="5">
        <v>0</v>
      </c>
      <c r="AG290" s="5">
        <v>0</v>
      </c>
      <c r="AH290" s="5">
        <v>0</v>
      </c>
      <c r="AI290" s="5">
        <v>0</v>
      </c>
      <c r="AJ290" s="5">
        <v>0</v>
      </c>
      <c r="AK290" s="5">
        <v>0</v>
      </c>
      <c r="AL290" s="5">
        <v>0</v>
      </c>
      <c r="AM290" s="5">
        <v>0</v>
      </c>
      <c r="AN290" s="5">
        <v>0</v>
      </c>
      <c r="AO290" s="5">
        <v>0</v>
      </c>
      <c r="AP290" s="5">
        <v>0</v>
      </c>
      <c r="AQ290" s="5">
        <v>0</v>
      </c>
      <c r="AR290" s="5">
        <v>0</v>
      </c>
      <c r="AS290" s="5">
        <v>0</v>
      </c>
      <c r="AT290" s="5">
        <v>0.11</v>
      </c>
      <c r="AU290" s="5">
        <v>0</v>
      </c>
      <c r="AV290" s="5">
        <v>0</v>
      </c>
      <c r="AW290" s="815">
        <v>0</v>
      </c>
      <c r="AX290" s="816">
        <v>0</v>
      </c>
      <c r="AY290" s="819">
        <v>0</v>
      </c>
      <c r="AZ290" s="816"/>
      <c r="BA290" s="818"/>
      <c r="BB290" s="802" t="str" cm="1">
        <f t="array" ref="BB290">INDEX(C$4:BA$4,MATCH(TRUE,INDEX(C290:BA290&lt;&gt;0,),0))</f>
        <v>2021-22</v>
      </c>
      <c r="BC290" s="803" t="str" cm="1">
        <f t="array" ref="BC290">LOOKUP(2,1/(C290:BA290&lt;&gt;0),$C$4:$BA$4)</f>
        <v>2021-22</v>
      </c>
      <c r="BD290" s="804">
        <f>COUNTIF(RDprograms[[#This Row],[1978-79]:[2028-29]], "&gt;0")</f>
        <v>1</v>
      </c>
      <c r="BE290" s="805">
        <f>SUM(C290:BA290)/RDprograms[[#This Row],[Years with &gt; $0 investment]]</f>
        <v>0.11</v>
      </c>
      <c r="BF290" s="806" t="s">
        <v>273</v>
      </c>
      <c r="BG290" s="807" t="s">
        <v>703</v>
      </c>
      <c r="BH290" s="847" t="s">
        <v>258</v>
      </c>
      <c r="BI290" s="809"/>
      <c r="BJ290" s="809"/>
      <c r="BK290" s="809"/>
      <c r="BL290" s="809"/>
      <c r="BM290" s="809"/>
      <c r="BN290" s="810"/>
      <c r="BO290" s="811" t="s">
        <v>236</v>
      </c>
      <c r="BP290" s="812" t="s">
        <v>837</v>
      </c>
      <c r="BQ290" s="812"/>
      <c r="BR290" s="812"/>
      <c r="BS290" s="812"/>
      <c r="BT290" s="812" t="s">
        <v>238</v>
      </c>
    </row>
    <row r="291" spans="1:72" ht="12.75" customHeight="1">
      <c r="A291" s="813" t="s">
        <v>832</v>
      </c>
      <c r="B291" s="820" t="s">
        <v>838</v>
      </c>
      <c r="C291" s="5">
        <v>0</v>
      </c>
      <c r="D291" s="5">
        <v>0</v>
      </c>
      <c r="E291" s="5">
        <v>0</v>
      </c>
      <c r="F291" s="5">
        <v>0</v>
      </c>
      <c r="G291" s="5">
        <v>0</v>
      </c>
      <c r="H291" s="5">
        <v>0</v>
      </c>
      <c r="I291" s="5">
        <v>0</v>
      </c>
      <c r="J291" s="5">
        <v>0</v>
      </c>
      <c r="K291" s="5">
        <v>0</v>
      </c>
      <c r="L291" s="5">
        <v>0</v>
      </c>
      <c r="M291" s="5">
        <v>0</v>
      </c>
      <c r="N291" s="5">
        <v>0</v>
      </c>
      <c r="O291" s="5">
        <v>0</v>
      </c>
      <c r="P291" s="5">
        <v>0</v>
      </c>
      <c r="Q291" s="5">
        <v>0</v>
      </c>
      <c r="R291" s="5">
        <v>0</v>
      </c>
      <c r="S291" s="5">
        <v>0</v>
      </c>
      <c r="T291" s="5">
        <v>0</v>
      </c>
      <c r="U291" s="5">
        <v>0</v>
      </c>
      <c r="V291" s="5">
        <v>0</v>
      </c>
      <c r="W291" s="5">
        <v>0</v>
      </c>
      <c r="X291" s="5">
        <v>0</v>
      </c>
      <c r="Y291" s="5">
        <v>0</v>
      </c>
      <c r="Z291" s="5">
        <v>0</v>
      </c>
      <c r="AA291" s="5">
        <v>0</v>
      </c>
      <c r="AB291" s="5">
        <v>0</v>
      </c>
      <c r="AC291" s="5">
        <v>0</v>
      </c>
      <c r="AD291" s="5">
        <v>0</v>
      </c>
      <c r="AE291" s="5">
        <v>0</v>
      </c>
      <c r="AF291" s="5">
        <v>0</v>
      </c>
      <c r="AG291" s="5">
        <v>0</v>
      </c>
      <c r="AH291" s="5">
        <v>0</v>
      </c>
      <c r="AI291" s="5">
        <v>0</v>
      </c>
      <c r="AJ291" s="5">
        <v>0</v>
      </c>
      <c r="AK291" s="5">
        <v>0</v>
      </c>
      <c r="AL291" s="5">
        <v>0</v>
      </c>
      <c r="AM291" s="5">
        <v>0</v>
      </c>
      <c r="AN291" s="5">
        <v>0</v>
      </c>
      <c r="AO291" s="5">
        <v>0</v>
      </c>
      <c r="AP291" s="5">
        <v>0</v>
      </c>
      <c r="AQ291" s="5">
        <v>0</v>
      </c>
      <c r="AR291" s="5">
        <v>0</v>
      </c>
      <c r="AS291" s="5">
        <v>0</v>
      </c>
      <c r="AT291" s="5">
        <v>0</v>
      </c>
      <c r="AU291" s="5">
        <v>0</v>
      </c>
      <c r="AV291" s="5">
        <v>0</v>
      </c>
      <c r="AW291" s="849">
        <v>0.5</v>
      </c>
      <c r="AX291" s="5">
        <v>0</v>
      </c>
      <c r="AY291" s="850">
        <v>0</v>
      </c>
      <c r="AZ291" s="5">
        <v>0</v>
      </c>
      <c r="BA291" s="821">
        <v>0</v>
      </c>
      <c r="BB291" s="822" t="str" cm="1">
        <f t="array" ref="BB291">INDEX(C$4:BA$4,MATCH(TRUE,INDEX(C291:BA291&lt;&gt;0,),0))</f>
        <v>2024-25</v>
      </c>
      <c r="BC291" s="823" t="str" cm="1">
        <f t="array" ref="BC291">LOOKUP(2,1/(C291:BA291&lt;&gt;0),$C$4:$BA$4)</f>
        <v>2024-25</v>
      </c>
      <c r="BD291" s="824">
        <f>COUNTIF(RDprograms[[#This Row],[1978-79]:[2028-29]], "&gt;0")</f>
        <v>1</v>
      </c>
      <c r="BE291" s="805">
        <f>SUM(C291:BA291)/RDprograms[[#This Row],[Years with &gt; $0 investment]]</f>
        <v>0.5</v>
      </c>
      <c r="BF291" s="806" t="s">
        <v>273</v>
      </c>
      <c r="BG291" s="807" t="s">
        <v>703</v>
      </c>
      <c r="BH291" s="851" t="s">
        <v>258</v>
      </c>
      <c r="BI291" s="809"/>
      <c r="BJ291" s="809"/>
      <c r="BK291" s="809"/>
      <c r="BL291" s="809"/>
      <c r="BM291" s="809"/>
      <c r="BN291" s="810"/>
      <c r="BO291" s="811" t="s">
        <v>236</v>
      </c>
      <c r="BP291" s="812" t="s">
        <v>839</v>
      </c>
      <c r="BQ291" s="812"/>
      <c r="BR291" s="812"/>
      <c r="BS291" s="812"/>
      <c r="BT291" s="812"/>
    </row>
    <row r="292" spans="1:72" ht="12.75" customHeight="1">
      <c r="A292" s="813" t="s">
        <v>832</v>
      </c>
      <c r="B292" s="820" t="s">
        <v>840</v>
      </c>
      <c r="C292" s="5">
        <v>0</v>
      </c>
      <c r="D292" s="5">
        <v>0</v>
      </c>
      <c r="E292" s="5">
        <v>0</v>
      </c>
      <c r="F292" s="5">
        <v>0</v>
      </c>
      <c r="G292" s="5">
        <v>0</v>
      </c>
      <c r="H292" s="5">
        <v>0</v>
      </c>
      <c r="I292" s="5">
        <v>0</v>
      </c>
      <c r="J292" s="5">
        <v>0</v>
      </c>
      <c r="K292" s="5">
        <v>0</v>
      </c>
      <c r="L292" s="5">
        <v>0</v>
      </c>
      <c r="M292" s="5">
        <v>0</v>
      </c>
      <c r="N292" s="5">
        <v>0</v>
      </c>
      <c r="O292" s="5">
        <v>0</v>
      </c>
      <c r="P292" s="5">
        <v>0</v>
      </c>
      <c r="Q292" s="5">
        <v>0</v>
      </c>
      <c r="R292" s="5">
        <v>0</v>
      </c>
      <c r="S292" s="5">
        <v>0</v>
      </c>
      <c r="T292" s="5">
        <v>0</v>
      </c>
      <c r="U292" s="5">
        <v>0</v>
      </c>
      <c r="V292" s="5">
        <v>0</v>
      </c>
      <c r="W292" s="5">
        <v>0</v>
      </c>
      <c r="X292" s="5">
        <v>0</v>
      </c>
      <c r="Y292" s="5">
        <v>0</v>
      </c>
      <c r="Z292" s="5">
        <v>0</v>
      </c>
      <c r="AA292" s="5">
        <v>0</v>
      </c>
      <c r="AB292" s="5">
        <v>0</v>
      </c>
      <c r="AC292" s="5">
        <v>0</v>
      </c>
      <c r="AD292" s="5">
        <v>0</v>
      </c>
      <c r="AE292" s="5">
        <v>0</v>
      </c>
      <c r="AF292" s="5">
        <v>0</v>
      </c>
      <c r="AG292" s="5">
        <v>0</v>
      </c>
      <c r="AH292" s="5">
        <v>0</v>
      </c>
      <c r="AI292" s="5">
        <v>0</v>
      </c>
      <c r="AJ292" s="5">
        <v>0</v>
      </c>
      <c r="AK292" s="5">
        <v>0</v>
      </c>
      <c r="AL292" s="5">
        <v>0</v>
      </c>
      <c r="AM292" s="5">
        <v>3.41</v>
      </c>
      <c r="AN292" s="5">
        <v>0</v>
      </c>
      <c r="AO292" s="5">
        <v>5.2</v>
      </c>
      <c r="AP292" s="816">
        <v>0</v>
      </c>
      <c r="AQ292" s="816">
        <v>0</v>
      </c>
      <c r="AR292" s="5">
        <v>0</v>
      </c>
      <c r="AS292" s="5">
        <v>0</v>
      </c>
      <c r="AT292" s="5">
        <v>0</v>
      </c>
      <c r="AU292" s="5">
        <v>0</v>
      </c>
      <c r="AV292" s="5">
        <v>0</v>
      </c>
      <c r="AW292" s="815">
        <v>0</v>
      </c>
      <c r="AX292" s="816">
        <v>0</v>
      </c>
      <c r="AY292" s="819">
        <v>0</v>
      </c>
      <c r="AZ292" s="816"/>
      <c r="BA292" s="818"/>
      <c r="BB292" s="802" t="str" cm="1">
        <f t="array" ref="BB292">INDEX(C$4:BA$4,MATCH(TRUE,INDEX(C292:BA292&lt;&gt;0,),0))</f>
        <v>2014-15</v>
      </c>
      <c r="BC292" s="803" t="str" cm="1">
        <f t="array" ref="BC292">LOOKUP(2,1/(C292:BA292&lt;&gt;0),$C$4:$BA$4)</f>
        <v>2016-17</v>
      </c>
      <c r="BD292" s="804">
        <f>COUNTIF(RDprograms[[#This Row],[1978-79]:[2028-29]], "&gt;0")</f>
        <v>2</v>
      </c>
      <c r="BE292" s="805">
        <f>SUM(C292:BA292)/RDprograms[[#This Row],[Years with &gt; $0 investment]]</f>
        <v>4.3049999999999997</v>
      </c>
      <c r="BF292" s="806" t="s">
        <v>249</v>
      </c>
      <c r="BG292" s="807" t="s">
        <v>703</v>
      </c>
      <c r="BH292" s="847" t="s">
        <v>834</v>
      </c>
      <c r="BI292" s="809"/>
      <c r="BJ292" s="809"/>
      <c r="BK292" s="809"/>
      <c r="BL292" s="809"/>
      <c r="BM292" s="809"/>
      <c r="BN292" s="810"/>
      <c r="BO292" s="811" t="s">
        <v>236</v>
      </c>
      <c r="BP292" s="812" t="s">
        <v>841</v>
      </c>
      <c r="BQ292" s="812" t="s">
        <v>842</v>
      </c>
      <c r="BR292" s="812"/>
      <c r="BS292" s="812"/>
      <c r="BT292" s="812" t="s">
        <v>238</v>
      </c>
    </row>
    <row r="293" spans="1:72" ht="12.75" customHeight="1">
      <c r="A293" s="813" t="s">
        <v>832</v>
      </c>
      <c r="B293" s="820" t="s">
        <v>843</v>
      </c>
      <c r="C293" s="5">
        <v>0</v>
      </c>
      <c r="D293" s="5">
        <v>0</v>
      </c>
      <c r="E293" s="5">
        <v>0</v>
      </c>
      <c r="F293" s="5">
        <v>0</v>
      </c>
      <c r="G293" s="5">
        <v>0</v>
      </c>
      <c r="H293" s="5">
        <v>0</v>
      </c>
      <c r="I293" s="5">
        <v>0</v>
      </c>
      <c r="J293" s="5">
        <v>0</v>
      </c>
      <c r="K293" s="5">
        <v>0</v>
      </c>
      <c r="L293" s="5">
        <v>0</v>
      </c>
      <c r="M293" s="5">
        <v>0</v>
      </c>
      <c r="N293" s="5">
        <v>0</v>
      </c>
      <c r="O293" s="5">
        <v>0</v>
      </c>
      <c r="P293" s="5">
        <v>0</v>
      </c>
      <c r="Q293" s="5">
        <v>0</v>
      </c>
      <c r="R293" s="5">
        <v>0</v>
      </c>
      <c r="S293" s="5">
        <v>0</v>
      </c>
      <c r="T293" s="5">
        <v>0</v>
      </c>
      <c r="U293" s="5">
        <v>0</v>
      </c>
      <c r="V293" s="5">
        <v>0</v>
      </c>
      <c r="W293" s="5">
        <v>0</v>
      </c>
      <c r="X293" s="5">
        <v>0</v>
      </c>
      <c r="Y293" s="5">
        <v>0</v>
      </c>
      <c r="Z293" s="5">
        <v>0</v>
      </c>
      <c r="AA293" s="5">
        <v>0</v>
      </c>
      <c r="AB293" s="5">
        <v>0</v>
      </c>
      <c r="AC293" s="5">
        <v>0</v>
      </c>
      <c r="AD293" s="5">
        <v>0</v>
      </c>
      <c r="AE293" s="5">
        <v>0</v>
      </c>
      <c r="AF293" s="5">
        <v>0</v>
      </c>
      <c r="AG293" s="5">
        <v>0</v>
      </c>
      <c r="AH293" s="5">
        <v>0</v>
      </c>
      <c r="AI293" s="5">
        <v>0</v>
      </c>
      <c r="AJ293" s="5">
        <v>0</v>
      </c>
      <c r="AK293" s="5">
        <v>0</v>
      </c>
      <c r="AL293" s="5">
        <v>0</v>
      </c>
      <c r="AM293" s="5">
        <v>0</v>
      </c>
      <c r="AN293" s="5">
        <v>0</v>
      </c>
      <c r="AO293" s="5">
        <v>0</v>
      </c>
      <c r="AP293" s="5">
        <v>0</v>
      </c>
      <c r="AQ293" s="5">
        <v>0</v>
      </c>
      <c r="AR293" s="5">
        <v>0</v>
      </c>
      <c r="AS293" s="5">
        <v>0</v>
      </c>
      <c r="AT293" s="5">
        <v>0</v>
      </c>
      <c r="AU293" s="5">
        <v>0</v>
      </c>
      <c r="AV293" s="5">
        <v>0.2</v>
      </c>
      <c r="AW293" s="815">
        <v>3.7</v>
      </c>
      <c r="AX293" s="816">
        <v>12.3</v>
      </c>
      <c r="AY293" s="819">
        <v>3.3</v>
      </c>
      <c r="AZ293" s="816">
        <v>5.7</v>
      </c>
      <c r="BA293" s="818"/>
      <c r="BB293" s="802" t="str" cm="1">
        <f t="array" ref="BB293">INDEX(C$4:BA$4,MATCH(TRUE,INDEX(C293:BA293&lt;&gt;0,),0))</f>
        <v>2023-24</v>
      </c>
      <c r="BC293" s="803" t="str" cm="1">
        <f t="array" ref="BC293">LOOKUP(2,1/(C293:BA293&lt;&gt;0),$C$4:$BA$4)</f>
        <v>2027-28</v>
      </c>
      <c r="BD293" s="804">
        <f>COUNTIF(RDprograms[[#This Row],[1978-79]:[2028-29]], "&gt;0")</f>
        <v>5</v>
      </c>
      <c r="BE293" s="805">
        <f>SUM(C293:BA293)/RDprograms[[#This Row],[Years with &gt; $0 investment]]</f>
        <v>5.0400000000000009</v>
      </c>
      <c r="BF293" s="806" t="s">
        <v>273</v>
      </c>
      <c r="BG293" s="807" t="s">
        <v>703</v>
      </c>
      <c r="BH293" s="847" t="s">
        <v>834</v>
      </c>
      <c r="BI293" s="809"/>
      <c r="BJ293" s="809"/>
      <c r="BK293" s="809">
        <v>1</v>
      </c>
      <c r="BL293" s="809"/>
      <c r="BM293" s="809"/>
      <c r="BN293" s="810"/>
      <c r="BO293" s="811" t="s">
        <v>236</v>
      </c>
      <c r="BP293" s="812" t="s">
        <v>844</v>
      </c>
      <c r="BQ293" s="812"/>
      <c r="BR293" s="812"/>
      <c r="BS293" s="812"/>
      <c r="BT293" s="812" t="s">
        <v>238</v>
      </c>
    </row>
    <row r="294" spans="1:72" ht="12.75" customHeight="1">
      <c r="A294" s="813" t="s">
        <v>832</v>
      </c>
      <c r="B294" s="820" t="s">
        <v>845</v>
      </c>
      <c r="C294" s="5">
        <v>0</v>
      </c>
      <c r="D294" s="5">
        <v>0</v>
      </c>
      <c r="E294" s="5">
        <v>0</v>
      </c>
      <c r="F294" s="5">
        <v>0</v>
      </c>
      <c r="G294" s="5">
        <v>0</v>
      </c>
      <c r="H294" s="5">
        <v>0</v>
      </c>
      <c r="I294" s="5">
        <v>0</v>
      </c>
      <c r="J294" s="5">
        <v>0</v>
      </c>
      <c r="K294" s="5">
        <v>0</v>
      </c>
      <c r="L294" s="5">
        <v>0</v>
      </c>
      <c r="M294" s="5">
        <v>0</v>
      </c>
      <c r="N294" s="5">
        <v>0</v>
      </c>
      <c r="O294" s="5">
        <v>0</v>
      </c>
      <c r="P294" s="5">
        <v>0</v>
      </c>
      <c r="Q294" s="5">
        <v>0</v>
      </c>
      <c r="R294" s="5">
        <v>0</v>
      </c>
      <c r="S294" s="5">
        <v>0</v>
      </c>
      <c r="T294" s="5">
        <v>0</v>
      </c>
      <c r="U294" s="5">
        <v>0</v>
      </c>
      <c r="V294" s="5">
        <v>0</v>
      </c>
      <c r="W294" s="5">
        <v>0</v>
      </c>
      <c r="X294" s="5">
        <v>0</v>
      </c>
      <c r="Y294" s="5">
        <v>0</v>
      </c>
      <c r="Z294" s="5">
        <v>0</v>
      </c>
      <c r="AA294" s="5">
        <v>0</v>
      </c>
      <c r="AB294" s="5">
        <v>0</v>
      </c>
      <c r="AC294" s="5">
        <v>0</v>
      </c>
      <c r="AD294" s="5">
        <v>0</v>
      </c>
      <c r="AE294" s="5">
        <v>5</v>
      </c>
      <c r="AF294" s="5">
        <v>5</v>
      </c>
      <c r="AG294" s="5">
        <v>5</v>
      </c>
      <c r="AH294" s="5">
        <v>5</v>
      </c>
      <c r="AI294" s="5">
        <v>0</v>
      </c>
      <c r="AJ294" s="5">
        <v>0</v>
      </c>
      <c r="AK294" s="5">
        <v>0</v>
      </c>
      <c r="AL294" s="5">
        <v>0</v>
      </c>
      <c r="AM294" s="5">
        <v>0</v>
      </c>
      <c r="AN294" s="5">
        <v>0</v>
      </c>
      <c r="AO294" s="5">
        <v>0</v>
      </c>
      <c r="AP294" s="816">
        <v>0</v>
      </c>
      <c r="AQ294" s="816">
        <v>0</v>
      </c>
      <c r="AR294" s="5">
        <v>0</v>
      </c>
      <c r="AS294" s="5">
        <v>0</v>
      </c>
      <c r="AT294" s="5">
        <v>0</v>
      </c>
      <c r="AU294" s="5">
        <v>0</v>
      </c>
      <c r="AV294" s="5">
        <v>0</v>
      </c>
      <c r="AW294" s="815">
        <v>0</v>
      </c>
      <c r="AX294" s="816">
        <v>0</v>
      </c>
      <c r="AY294" s="819">
        <v>0</v>
      </c>
      <c r="AZ294" s="816"/>
      <c r="BA294" s="818"/>
      <c r="BB294" s="802" t="str" cm="1">
        <f t="array" ref="BB294">INDEX(C$4:BA$4,MATCH(TRUE,INDEX(C294:BA294&lt;&gt;0,),0))</f>
        <v>2006-07</v>
      </c>
      <c r="BC294" s="803" t="str" cm="1">
        <f t="array" ref="BC294">LOOKUP(2,1/(C294:BA294&lt;&gt;0),$C$4:$BA$4)</f>
        <v>2009-10</v>
      </c>
      <c r="BD294" s="804">
        <f>COUNTIF(RDprograms[[#This Row],[1978-79]:[2028-29]], "&gt;0")</f>
        <v>4</v>
      </c>
      <c r="BE294" s="805">
        <f>SUM(C294:BA294)/RDprograms[[#This Row],[Years with &gt; $0 investment]]</f>
        <v>5</v>
      </c>
      <c r="BF294" s="806" t="s">
        <v>273</v>
      </c>
      <c r="BG294" s="807" t="s">
        <v>703</v>
      </c>
      <c r="BH294" s="847" t="s">
        <v>834</v>
      </c>
      <c r="BI294" s="809"/>
      <c r="BJ294" s="809"/>
      <c r="BK294" s="809"/>
      <c r="BL294" s="809"/>
      <c r="BM294" s="809"/>
      <c r="BN294" s="810"/>
      <c r="BO294" s="811" t="s">
        <v>236</v>
      </c>
      <c r="BP294" s="812"/>
      <c r="BQ294" s="812"/>
      <c r="BR294" s="812"/>
      <c r="BS294" s="812"/>
      <c r="BT294" s="812" t="s">
        <v>238</v>
      </c>
    </row>
    <row r="295" spans="1:72" ht="12.75" customHeight="1">
      <c r="A295" s="813" t="s">
        <v>832</v>
      </c>
      <c r="B295" s="820" t="s">
        <v>846</v>
      </c>
      <c r="C295" s="5">
        <v>0</v>
      </c>
      <c r="D295" s="5">
        <v>0</v>
      </c>
      <c r="E295" s="5">
        <v>0</v>
      </c>
      <c r="F295" s="5">
        <v>0</v>
      </c>
      <c r="G295" s="5">
        <v>0</v>
      </c>
      <c r="H295" s="5">
        <v>0</v>
      </c>
      <c r="I295" s="5">
        <v>0</v>
      </c>
      <c r="J295" s="5">
        <v>0</v>
      </c>
      <c r="K295" s="5">
        <v>0</v>
      </c>
      <c r="L295" s="5">
        <v>0</v>
      </c>
      <c r="M295" s="5">
        <v>0</v>
      </c>
      <c r="N295" s="5">
        <v>0</v>
      </c>
      <c r="O295" s="5">
        <v>0</v>
      </c>
      <c r="P295" s="5">
        <v>0</v>
      </c>
      <c r="Q295" s="5">
        <v>0</v>
      </c>
      <c r="R295" s="5">
        <v>0</v>
      </c>
      <c r="S295" s="5">
        <v>0</v>
      </c>
      <c r="T295" s="5">
        <v>0</v>
      </c>
      <c r="U295" s="5">
        <v>0</v>
      </c>
      <c r="V295" s="5">
        <v>0</v>
      </c>
      <c r="W295" s="5">
        <v>0</v>
      </c>
      <c r="X295" s="5">
        <v>0</v>
      </c>
      <c r="Y295" s="5">
        <v>0</v>
      </c>
      <c r="Z295" s="5">
        <v>0</v>
      </c>
      <c r="AA295" s="5">
        <v>0</v>
      </c>
      <c r="AB295" s="5">
        <v>0</v>
      </c>
      <c r="AC295" s="5">
        <v>0</v>
      </c>
      <c r="AD295" s="5">
        <v>0</v>
      </c>
      <c r="AE295" s="5">
        <v>0</v>
      </c>
      <c r="AF295" s="5">
        <v>0</v>
      </c>
      <c r="AG295" s="5">
        <v>0</v>
      </c>
      <c r="AH295" s="5">
        <v>0</v>
      </c>
      <c r="AI295" s="5">
        <v>0</v>
      </c>
      <c r="AJ295" s="5">
        <v>0</v>
      </c>
      <c r="AK295" s="5">
        <v>0</v>
      </c>
      <c r="AL295" s="5">
        <v>0</v>
      </c>
      <c r="AM295" s="5">
        <v>0</v>
      </c>
      <c r="AN295" s="5">
        <v>0</v>
      </c>
      <c r="AO295" s="5">
        <v>0</v>
      </c>
      <c r="AP295" s="5">
        <v>0</v>
      </c>
      <c r="AQ295" s="5">
        <v>0</v>
      </c>
      <c r="AR295" s="5">
        <v>0</v>
      </c>
      <c r="AS295" s="5">
        <v>0</v>
      </c>
      <c r="AT295" s="5"/>
      <c r="AU295" s="5">
        <v>3</v>
      </c>
      <c r="AV295" s="5">
        <v>1</v>
      </c>
      <c r="AW295" s="849">
        <v>0</v>
      </c>
      <c r="AX295" s="5">
        <v>0</v>
      </c>
      <c r="AY295" s="819">
        <v>0</v>
      </c>
      <c r="AZ295" s="826">
        <v>0</v>
      </c>
      <c r="BA295" s="838"/>
      <c r="BB295" s="802" t="str" cm="1">
        <f t="array" ref="BB295">INDEX(C$4:BA$4,MATCH(TRUE,INDEX(C295:BA295&lt;&gt;0,),0))</f>
        <v>2022-23</v>
      </c>
      <c r="BC295" s="803" t="str" cm="1">
        <f t="array" ref="BC295">LOOKUP(2,1/(C295:BA295&lt;&gt;0),$C$4:$BA$4)</f>
        <v>2023-24</v>
      </c>
      <c r="BD295" s="839">
        <f>COUNTIF(RDprograms[[#This Row],[1978-79]:[2028-29]], "&gt;0")</f>
        <v>2</v>
      </c>
      <c r="BE295" s="805">
        <f>SUM(C295:BA295)/RDprograms[[#This Row],[Years with &gt; $0 investment]]</f>
        <v>2</v>
      </c>
      <c r="BF295" s="806" t="s">
        <v>273</v>
      </c>
      <c r="BG295" s="807" t="s">
        <v>703</v>
      </c>
      <c r="BH295" s="847" t="s">
        <v>834</v>
      </c>
      <c r="BI295" s="809"/>
      <c r="BJ295" s="809"/>
      <c r="BK295" s="809"/>
      <c r="BL295" s="809"/>
      <c r="BM295" s="809"/>
      <c r="BN295" s="810"/>
      <c r="BO295" s="811" t="s">
        <v>236</v>
      </c>
      <c r="BP295" s="812" t="s">
        <v>847</v>
      </c>
      <c r="BQ295" s="812" t="s">
        <v>848</v>
      </c>
      <c r="BR295" s="812"/>
      <c r="BS295" s="812"/>
      <c r="BT295" s="812"/>
    </row>
    <row r="296" spans="1:72" ht="12.75" customHeight="1">
      <c r="A296" s="813" t="s">
        <v>832</v>
      </c>
      <c r="B296" s="820" t="s">
        <v>849</v>
      </c>
      <c r="C296" s="5">
        <v>0</v>
      </c>
      <c r="D296" s="5">
        <v>0</v>
      </c>
      <c r="E296" s="5">
        <v>0</v>
      </c>
      <c r="F296" s="5">
        <v>0</v>
      </c>
      <c r="G296" s="5">
        <v>0</v>
      </c>
      <c r="H296" s="5">
        <v>0</v>
      </c>
      <c r="I296" s="5">
        <v>0</v>
      </c>
      <c r="J296" s="5">
        <v>0.8</v>
      </c>
      <c r="K296" s="5">
        <v>1.5</v>
      </c>
      <c r="L296" s="5">
        <v>3</v>
      </c>
      <c r="M296" s="5">
        <v>3.5</v>
      </c>
      <c r="N296" s="5">
        <v>5</v>
      </c>
      <c r="O296" s="5">
        <v>7.1</v>
      </c>
      <c r="P296" s="5">
        <v>10.8</v>
      </c>
      <c r="Q296" s="5">
        <v>10.5</v>
      </c>
      <c r="R296" s="5">
        <v>11.6</v>
      </c>
      <c r="S296" s="5">
        <v>12.1</v>
      </c>
      <c r="T296" s="5">
        <v>12.1</v>
      </c>
      <c r="U296" s="5">
        <v>11.7</v>
      </c>
      <c r="V296" s="5">
        <v>12</v>
      </c>
      <c r="W296" s="5">
        <v>12</v>
      </c>
      <c r="X296" s="5">
        <v>0</v>
      </c>
      <c r="Y296" s="5">
        <v>0</v>
      </c>
      <c r="Z296" s="5">
        <v>0</v>
      </c>
      <c r="AA296" s="5">
        <v>0</v>
      </c>
      <c r="AB296" s="5">
        <v>0</v>
      </c>
      <c r="AC296" s="5">
        <v>0</v>
      </c>
      <c r="AD296" s="5">
        <v>0</v>
      </c>
      <c r="AE296" s="5">
        <v>0</v>
      </c>
      <c r="AF296" s="5">
        <v>0</v>
      </c>
      <c r="AG296" s="5">
        <v>0</v>
      </c>
      <c r="AH296" s="5">
        <v>0</v>
      </c>
      <c r="AI296" s="5">
        <v>0</v>
      </c>
      <c r="AJ296" s="5">
        <v>0</v>
      </c>
      <c r="AK296" s="5">
        <v>0</v>
      </c>
      <c r="AL296" s="5">
        <v>0</v>
      </c>
      <c r="AM296" s="5">
        <v>0</v>
      </c>
      <c r="AN296" s="5">
        <v>0</v>
      </c>
      <c r="AO296" s="5">
        <v>0</v>
      </c>
      <c r="AP296" s="5">
        <v>0</v>
      </c>
      <c r="AQ296" s="5">
        <v>0</v>
      </c>
      <c r="AR296" s="5">
        <v>0</v>
      </c>
      <c r="AS296" s="5">
        <v>0</v>
      </c>
      <c r="AT296" s="5">
        <v>0</v>
      </c>
      <c r="AU296" s="5">
        <v>0</v>
      </c>
      <c r="AV296" s="5">
        <v>0</v>
      </c>
      <c r="AW296" s="815">
        <v>0</v>
      </c>
      <c r="AX296" s="816">
        <v>0</v>
      </c>
      <c r="AY296" s="819">
        <v>0</v>
      </c>
      <c r="AZ296" s="816"/>
      <c r="BA296" s="818"/>
      <c r="BB296" s="802" t="str" cm="1">
        <f t="array" ref="BB296">INDEX(C$4:BA$4,MATCH(TRUE,INDEX(C296:BA296&lt;&gt;0,),0))</f>
        <v>1985-86</v>
      </c>
      <c r="BC296" s="803" t="str" cm="1">
        <f t="array" ref="BC296">LOOKUP(2,1/(C296:BA296&lt;&gt;0),$C$4:$BA$4)</f>
        <v>1998-99</v>
      </c>
      <c r="BD296" s="804">
        <f>COUNTIF(RDprograms[[#This Row],[1978-79]:[2028-29]], "&gt;0")</f>
        <v>14</v>
      </c>
      <c r="BE296" s="805">
        <f>SUM(C296:BA296)/RDprograms[[#This Row],[Years with &gt; $0 investment]]</f>
        <v>8.1214285714285719</v>
      </c>
      <c r="BF296" s="806" t="s">
        <v>273</v>
      </c>
      <c r="BG296" s="807" t="s">
        <v>703</v>
      </c>
      <c r="BH296" s="847" t="s">
        <v>834</v>
      </c>
      <c r="BI296" s="809"/>
      <c r="BJ296" s="809"/>
      <c r="BK296" s="809"/>
      <c r="BL296" s="809"/>
      <c r="BM296" s="809"/>
      <c r="BN296" s="810"/>
      <c r="BO296" s="811" t="s">
        <v>236</v>
      </c>
      <c r="BP296" s="812"/>
      <c r="BQ296" s="812"/>
      <c r="BR296" s="812"/>
      <c r="BS296" s="812"/>
      <c r="BT296" s="812" t="s">
        <v>663</v>
      </c>
    </row>
    <row r="297" spans="1:72" ht="12.75" customHeight="1">
      <c r="A297" s="813" t="s">
        <v>832</v>
      </c>
      <c r="B297" s="820" t="s">
        <v>850</v>
      </c>
      <c r="C297" s="5">
        <v>0</v>
      </c>
      <c r="D297" s="5">
        <v>0</v>
      </c>
      <c r="E297" s="5">
        <v>0</v>
      </c>
      <c r="F297" s="5">
        <v>0</v>
      </c>
      <c r="G297" s="5">
        <v>0</v>
      </c>
      <c r="H297" s="5">
        <v>0</v>
      </c>
      <c r="I297" s="5">
        <v>0</v>
      </c>
      <c r="J297" s="5">
        <v>0</v>
      </c>
      <c r="K297" s="5">
        <v>0</v>
      </c>
      <c r="L297" s="5">
        <v>0</v>
      </c>
      <c r="M297" s="5">
        <v>0</v>
      </c>
      <c r="N297" s="5">
        <v>0</v>
      </c>
      <c r="O297" s="5">
        <v>0</v>
      </c>
      <c r="P297" s="5">
        <v>0</v>
      </c>
      <c r="Q297" s="5">
        <v>0</v>
      </c>
      <c r="R297" s="5">
        <v>0</v>
      </c>
      <c r="S297" s="5">
        <v>0</v>
      </c>
      <c r="T297" s="5">
        <v>0</v>
      </c>
      <c r="U297" s="5">
        <v>0</v>
      </c>
      <c r="V297" s="5">
        <v>0</v>
      </c>
      <c r="W297" s="5">
        <v>0</v>
      </c>
      <c r="X297" s="5">
        <v>0</v>
      </c>
      <c r="Y297" s="5">
        <v>0</v>
      </c>
      <c r="Z297" s="5">
        <v>0</v>
      </c>
      <c r="AA297" s="5">
        <v>0</v>
      </c>
      <c r="AB297" s="5">
        <v>0</v>
      </c>
      <c r="AC297" s="5">
        <v>0</v>
      </c>
      <c r="AD297" s="5">
        <v>0</v>
      </c>
      <c r="AE297" s="5">
        <v>0</v>
      </c>
      <c r="AF297" s="5">
        <v>0</v>
      </c>
      <c r="AG297" s="5">
        <v>0</v>
      </c>
      <c r="AH297" s="5">
        <v>0</v>
      </c>
      <c r="AI297" s="5">
        <v>0</v>
      </c>
      <c r="AJ297" s="5">
        <v>0</v>
      </c>
      <c r="AK297" s="5">
        <v>0</v>
      </c>
      <c r="AL297" s="5">
        <v>0</v>
      </c>
      <c r="AM297" s="5">
        <v>0</v>
      </c>
      <c r="AN297" s="5">
        <v>0</v>
      </c>
      <c r="AO297" s="5">
        <v>7.0000000000000007E-2</v>
      </c>
      <c r="AP297" s="816">
        <v>7.0000000000000007E-2</v>
      </c>
      <c r="AQ297" s="816">
        <v>0</v>
      </c>
      <c r="AR297" s="5">
        <v>0</v>
      </c>
      <c r="AS297" s="5">
        <v>0</v>
      </c>
      <c r="AT297" s="5">
        <v>0</v>
      </c>
      <c r="AU297" s="5">
        <v>0</v>
      </c>
      <c r="AV297" s="5">
        <v>0</v>
      </c>
      <c r="AW297" s="815">
        <v>0</v>
      </c>
      <c r="AX297" s="816">
        <v>0</v>
      </c>
      <c r="AY297" s="819">
        <v>0</v>
      </c>
      <c r="AZ297" s="816"/>
      <c r="BA297" s="818"/>
      <c r="BB297" s="802" t="str" cm="1">
        <f t="array" ref="BB297">INDEX(C$4:BA$4,MATCH(TRUE,INDEX(C297:BA297&lt;&gt;0,),0))</f>
        <v>2016-17</v>
      </c>
      <c r="BC297" s="803" t="str" cm="1">
        <f t="array" ref="BC297">LOOKUP(2,1/(C297:BA297&lt;&gt;0),$C$4:$BA$4)</f>
        <v>2017-18</v>
      </c>
      <c r="BD297" s="804">
        <f>COUNTIF(RDprograms[[#This Row],[1978-79]:[2028-29]], "&gt;0")</f>
        <v>2</v>
      </c>
      <c r="BE297" s="805">
        <f>SUM(C297:BA297)/RDprograms[[#This Row],[Years with &gt; $0 investment]]</f>
        <v>7.0000000000000007E-2</v>
      </c>
      <c r="BF297" s="806" t="s">
        <v>273</v>
      </c>
      <c r="BG297" s="807" t="s">
        <v>703</v>
      </c>
      <c r="BH297" s="847" t="s">
        <v>258</v>
      </c>
      <c r="BI297" s="809"/>
      <c r="BJ297" s="809"/>
      <c r="BK297" s="809"/>
      <c r="BL297" s="809"/>
      <c r="BM297" s="809"/>
      <c r="BN297" s="810"/>
      <c r="BO297" s="811" t="s">
        <v>236</v>
      </c>
      <c r="BP297" s="812" t="s">
        <v>851</v>
      </c>
      <c r="BQ297" s="812"/>
      <c r="BR297" s="812"/>
      <c r="BS297" s="812"/>
      <c r="BT297" s="812" t="s">
        <v>238</v>
      </c>
    </row>
    <row r="298" spans="1:72" ht="12.75" customHeight="1">
      <c r="A298" s="813" t="s">
        <v>832</v>
      </c>
      <c r="B298" s="820" t="s">
        <v>852</v>
      </c>
      <c r="C298" s="5">
        <v>0</v>
      </c>
      <c r="D298" s="5">
        <v>0</v>
      </c>
      <c r="E298" s="5">
        <v>0</v>
      </c>
      <c r="F298" s="5">
        <v>0</v>
      </c>
      <c r="G298" s="5">
        <v>0</v>
      </c>
      <c r="H298" s="5">
        <v>0</v>
      </c>
      <c r="I298" s="5">
        <v>0</v>
      </c>
      <c r="J298" s="5">
        <v>0</v>
      </c>
      <c r="K298" s="5">
        <v>0</v>
      </c>
      <c r="L298" s="5">
        <v>0</v>
      </c>
      <c r="M298" s="5">
        <v>0</v>
      </c>
      <c r="N298" s="5">
        <v>0</v>
      </c>
      <c r="O298" s="5">
        <v>0</v>
      </c>
      <c r="P298" s="5">
        <v>0</v>
      </c>
      <c r="Q298" s="5">
        <v>0</v>
      </c>
      <c r="R298" s="5">
        <v>0</v>
      </c>
      <c r="S298" s="5">
        <v>0</v>
      </c>
      <c r="T298" s="5">
        <v>0</v>
      </c>
      <c r="U298" s="5">
        <v>0</v>
      </c>
      <c r="V298" s="5">
        <v>0</v>
      </c>
      <c r="W298" s="5">
        <v>0</v>
      </c>
      <c r="X298" s="5">
        <v>0</v>
      </c>
      <c r="Y298" s="5">
        <v>0</v>
      </c>
      <c r="Z298" s="5">
        <v>0</v>
      </c>
      <c r="AA298" s="5">
        <v>0</v>
      </c>
      <c r="AB298" s="5">
        <v>0</v>
      </c>
      <c r="AC298" s="5">
        <v>0</v>
      </c>
      <c r="AD298" s="5">
        <v>0</v>
      </c>
      <c r="AE298" s="5">
        <v>0</v>
      </c>
      <c r="AF298" s="5">
        <v>0</v>
      </c>
      <c r="AG298" s="5">
        <v>0</v>
      </c>
      <c r="AH298" s="5">
        <v>0</v>
      </c>
      <c r="AI298" s="5">
        <v>0</v>
      </c>
      <c r="AJ298" s="5">
        <v>0</v>
      </c>
      <c r="AK298" s="5">
        <v>0</v>
      </c>
      <c r="AL298" s="5">
        <v>0</v>
      </c>
      <c r="AM298" s="5">
        <v>0</v>
      </c>
      <c r="AN298" s="5">
        <v>0</v>
      </c>
      <c r="AO298" s="5">
        <v>0</v>
      </c>
      <c r="AP298" s="5">
        <v>0</v>
      </c>
      <c r="AQ298" s="5">
        <v>0</v>
      </c>
      <c r="AR298" s="5">
        <v>0</v>
      </c>
      <c r="AS298" s="5">
        <v>0.32200000000000001</v>
      </c>
      <c r="AT298" s="5">
        <v>0.375</v>
      </c>
      <c r="AU298" s="5">
        <v>0</v>
      </c>
      <c r="AV298" s="5">
        <v>0</v>
      </c>
      <c r="AW298" s="815">
        <v>0</v>
      </c>
      <c r="AX298" s="816">
        <v>0</v>
      </c>
      <c r="AY298" s="819">
        <v>0</v>
      </c>
      <c r="AZ298" s="816"/>
      <c r="BA298" s="818"/>
      <c r="BB298" s="802" t="str" cm="1">
        <f t="array" ref="BB298">INDEX(C$4:BA$4,MATCH(TRUE,INDEX(C298:BA298&lt;&gt;0,),0))</f>
        <v>2020-21</v>
      </c>
      <c r="BC298" s="803" t="str" cm="1">
        <f t="array" ref="BC298">LOOKUP(2,1/(C298:BA298&lt;&gt;0),$C$4:$BA$4)</f>
        <v>2021-22</v>
      </c>
      <c r="BD298" s="804">
        <f>COUNTIF(RDprograms[[#This Row],[1978-79]:[2028-29]], "&gt;0")</f>
        <v>2</v>
      </c>
      <c r="BE298" s="805">
        <f>SUM(C298:BA298)/RDprograms[[#This Row],[Years with &gt; $0 investment]]</f>
        <v>0.34850000000000003</v>
      </c>
      <c r="BF298" s="806" t="s">
        <v>273</v>
      </c>
      <c r="BG298" s="807" t="s">
        <v>703</v>
      </c>
      <c r="BH298" s="847" t="s">
        <v>834</v>
      </c>
      <c r="BI298" s="809"/>
      <c r="BJ298" s="809"/>
      <c r="BK298" s="809"/>
      <c r="BL298" s="809"/>
      <c r="BM298" s="809"/>
      <c r="BN298" s="810"/>
      <c r="BO298" s="811" t="s">
        <v>236</v>
      </c>
      <c r="BP298" s="812" t="s">
        <v>853</v>
      </c>
      <c r="BQ298" s="812" t="s">
        <v>854</v>
      </c>
      <c r="BR298" s="812"/>
      <c r="BS298" s="812"/>
      <c r="BT298" s="812" t="s">
        <v>238</v>
      </c>
    </row>
    <row r="299" spans="1:72" ht="12.75" customHeight="1">
      <c r="A299" s="813" t="s">
        <v>832</v>
      </c>
      <c r="B299" s="820" t="s">
        <v>855</v>
      </c>
      <c r="C299" s="5">
        <v>0</v>
      </c>
      <c r="D299" s="5">
        <v>0</v>
      </c>
      <c r="E299" s="5">
        <v>0</v>
      </c>
      <c r="F299" s="5">
        <v>0</v>
      </c>
      <c r="G299" s="5">
        <v>0</v>
      </c>
      <c r="H299" s="5">
        <v>0</v>
      </c>
      <c r="I299" s="5">
        <v>0</v>
      </c>
      <c r="J299" s="5">
        <v>0</v>
      </c>
      <c r="K299" s="5">
        <v>0</v>
      </c>
      <c r="L299" s="5">
        <v>0</v>
      </c>
      <c r="M299" s="5">
        <v>0</v>
      </c>
      <c r="N299" s="5">
        <v>0</v>
      </c>
      <c r="O299" s="5">
        <v>0</v>
      </c>
      <c r="P299" s="5">
        <v>0</v>
      </c>
      <c r="Q299" s="5">
        <v>0</v>
      </c>
      <c r="R299" s="5">
        <v>0</v>
      </c>
      <c r="S299" s="5">
        <v>0</v>
      </c>
      <c r="T299" s="5">
        <v>0</v>
      </c>
      <c r="U299" s="5">
        <v>0</v>
      </c>
      <c r="V299" s="5">
        <v>0</v>
      </c>
      <c r="W299" s="5">
        <v>0</v>
      </c>
      <c r="X299" s="5">
        <v>0</v>
      </c>
      <c r="Y299" s="5">
        <v>0</v>
      </c>
      <c r="Z299" s="5">
        <v>0.8</v>
      </c>
      <c r="AA299" s="5">
        <v>0.8</v>
      </c>
      <c r="AB299" s="5">
        <v>0.9</v>
      </c>
      <c r="AC299" s="5">
        <v>0.6</v>
      </c>
      <c r="AD299" s="5">
        <v>0.5</v>
      </c>
      <c r="AE299" s="5">
        <v>0.6</v>
      </c>
      <c r="AF299" s="5">
        <v>1.2</v>
      </c>
      <c r="AG299" s="5">
        <v>1.3</v>
      </c>
      <c r="AH299" s="5">
        <v>0.8</v>
      </c>
      <c r="AI299" s="5">
        <v>0.7</v>
      </c>
      <c r="AJ299" s="5">
        <v>0.73599999999999999</v>
      </c>
      <c r="AK299" s="5">
        <v>0.79400000000000004</v>
      </c>
      <c r="AL299" s="5">
        <v>1.002</v>
      </c>
      <c r="AM299" s="5">
        <v>0</v>
      </c>
      <c r="AN299" s="5">
        <v>0.45</v>
      </c>
      <c r="AO299" s="5">
        <v>0</v>
      </c>
      <c r="AP299" s="5">
        <v>0.24</v>
      </c>
      <c r="AQ299" s="5">
        <v>0</v>
      </c>
      <c r="AR299" s="5">
        <v>0</v>
      </c>
      <c r="AS299" s="5">
        <v>0</v>
      </c>
      <c r="AT299" s="5">
        <v>0</v>
      </c>
      <c r="AU299" s="5">
        <v>0</v>
      </c>
      <c r="AV299" s="5">
        <v>0</v>
      </c>
      <c r="AW299" s="815">
        <v>0</v>
      </c>
      <c r="AX299" s="816">
        <v>0</v>
      </c>
      <c r="AY299" s="819">
        <v>0</v>
      </c>
      <c r="AZ299" s="816"/>
      <c r="BA299" s="818"/>
      <c r="BB299" s="802" t="str" cm="1">
        <f t="array" ref="BB299">INDEX(C$4:BA$4,MATCH(TRUE,INDEX(C299:BA299&lt;&gt;0,),0))</f>
        <v>2001-02</v>
      </c>
      <c r="BC299" s="803" t="str" cm="1">
        <f t="array" ref="BC299">LOOKUP(2,1/(C299:BA299&lt;&gt;0),$C$4:$BA$4)</f>
        <v>2017-18</v>
      </c>
      <c r="BD299" s="804">
        <f>COUNTIF(RDprograms[[#This Row],[1978-79]:[2028-29]], "&gt;0")</f>
        <v>15</v>
      </c>
      <c r="BE299" s="805">
        <f>SUM(C299:BA299)/RDprograms[[#This Row],[Years with &gt; $0 investment]]</f>
        <v>0.76146666666666674</v>
      </c>
      <c r="BF299" s="806" t="s">
        <v>249</v>
      </c>
      <c r="BG299" s="807" t="s">
        <v>703</v>
      </c>
      <c r="BH299" s="847" t="s">
        <v>834</v>
      </c>
      <c r="BI299" s="809"/>
      <c r="BJ299" s="809"/>
      <c r="BK299" s="809"/>
      <c r="BL299" s="809"/>
      <c r="BM299" s="809"/>
      <c r="BN299" s="810"/>
      <c r="BO299" s="811" t="s">
        <v>236</v>
      </c>
      <c r="BP299" s="812"/>
      <c r="BQ299" s="812" t="s">
        <v>856</v>
      </c>
      <c r="BR299" s="812"/>
      <c r="BS299" s="812"/>
      <c r="BT299" s="812" t="s">
        <v>238</v>
      </c>
    </row>
    <row r="300" spans="1:72" ht="12.75" customHeight="1">
      <c r="A300" s="813" t="s">
        <v>832</v>
      </c>
      <c r="B300" s="820" t="s">
        <v>857</v>
      </c>
      <c r="C300" s="5">
        <v>0</v>
      </c>
      <c r="D300" s="5">
        <v>0</v>
      </c>
      <c r="E300" s="5">
        <v>0</v>
      </c>
      <c r="F300" s="5">
        <v>0</v>
      </c>
      <c r="G300" s="5">
        <v>0</v>
      </c>
      <c r="H300" s="5">
        <v>0</v>
      </c>
      <c r="I300" s="5">
        <v>0</v>
      </c>
      <c r="J300" s="5">
        <v>0</v>
      </c>
      <c r="K300" s="5">
        <v>0</v>
      </c>
      <c r="L300" s="5">
        <v>0</v>
      </c>
      <c r="M300" s="5">
        <v>0</v>
      </c>
      <c r="N300" s="5">
        <v>0</v>
      </c>
      <c r="O300" s="5">
        <v>0</v>
      </c>
      <c r="P300" s="5">
        <v>0</v>
      </c>
      <c r="Q300" s="5">
        <v>0</v>
      </c>
      <c r="R300" s="5">
        <v>0</v>
      </c>
      <c r="S300" s="5">
        <v>0</v>
      </c>
      <c r="T300" s="5">
        <v>0</v>
      </c>
      <c r="U300" s="5">
        <v>0</v>
      </c>
      <c r="V300" s="5">
        <v>0</v>
      </c>
      <c r="W300" s="5">
        <v>0</v>
      </c>
      <c r="X300" s="5">
        <v>0</v>
      </c>
      <c r="Y300" s="5">
        <v>0</v>
      </c>
      <c r="Z300" s="5">
        <v>0</v>
      </c>
      <c r="AA300" s="5">
        <v>0</v>
      </c>
      <c r="AB300" s="5">
        <v>0</v>
      </c>
      <c r="AC300" s="5">
        <v>0</v>
      </c>
      <c r="AD300" s="5">
        <v>0</v>
      </c>
      <c r="AE300" s="5">
        <v>0</v>
      </c>
      <c r="AF300" s="5">
        <v>0</v>
      </c>
      <c r="AG300" s="5">
        <v>0</v>
      </c>
      <c r="AH300" s="5">
        <v>0</v>
      </c>
      <c r="AI300" s="5">
        <v>0</v>
      </c>
      <c r="AJ300" s="5">
        <v>0</v>
      </c>
      <c r="AK300" s="5">
        <v>0.25</v>
      </c>
      <c r="AL300" s="5">
        <v>2.2999999999999998</v>
      </c>
      <c r="AM300" s="5">
        <v>2.6</v>
      </c>
      <c r="AN300" s="5">
        <v>0</v>
      </c>
      <c r="AO300" s="5">
        <v>2</v>
      </c>
      <c r="AP300" s="5">
        <v>0</v>
      </c>
      <c r="AQ300" s="5">
        <v>2.4</v>
      </c>
      <c r="AR300" s="5">
        <v>0</v>
      </c>
      <c r="AS300" s="5">
        <v>0</v>
      </c>
      <c r="AT300" s="5">
        <v>0</v>
      </c>
      <c r="AU300" s="5">
        <v>0</v>
      </c>
      <c r="AV300" s="5">
        <v>0</v>
      </c>
      <c r="AW300" s="815">
        <v>0</v>
      </c>
      <c r="AX300" s="816">
        <v>0</v>
      </c>
      <c r="AY300" s="819">
        <v>0</v>
      </c>
      <c r="AZ300" s="816"/>
      <c r="BA300" s="818"/>
      <c r="BB300" s="802" t="str" cm="1">
        <f t="array" ref="BB300">INDEX(C$4:BA$4,MATCH(TRUE,INDEX(C300:BA300&lt;&gt;0,),0))</f>
        <v>2012-13</v>
      </c>
      <c r="BC300" s="803" t="str" cm="1">
        <f t="array" ref="BC300">LOOKUP(2,1/(C300:BA300&lt;&gt;0),$C$4:$BA$4)</f>
        <v>2018-19</v>
      </c>
      <c r="BD300" s="804">
        <f>COUNTIF(RDprograms[[#This Row],[1978-79]:[2028-29]], "&gt;0")</f>
        <v>5</v>
      </c>
      <c r="BE300" s="805">
        <f>SUM(C300:BA300)/RDprograms[[#This Row],[Years with &gt; $0 investment]]</f>
        <v>1.9100000000000001</v>
      </c>
      <c r="BF300" s="806" t="s">
        <v>273</v>
      </c>
      <c r="BG300" s="807" t="s">
        <v>703</v>
      </c>
      <c r="BH300" s="847" t="s">
        <v>834</v>
      </c>
      <c r="BI300" s="809"/>
      <c r="BJ300" s="809"/>
      <c r="BK300" s="809"/>
      <c r="BL300" s="809"/>
      <c r="BM300" s="809"/>
      <c r="BN300" s="810"/>
      <c r="BO300" s="811" t="s">
        <v>251</v>
      </c>
      <c r="BP300" s="812" t="s">
        <v>858</v>
      </c>
      <c r="BQ300" s="812" t="s">
        <v>835</v>
      </c>
      <c r="BR300" s="812"/>
      <c r="BS300" s="812"/>
      <c r="BT300" s="812" t="s">
        <v>672</v>
      </c>
    </row>
    <row r="301" spans="1:72" ht="12.75" customHeight="1">
      <c r="A301" s="813" t="s">
        <v>832</v>
      </c>
      <c r="B301" s="820" t="s">
        <v>859</v>
      </c>
      <c r="C301" s="5">
        <v>0</v>
      </c>
      <c r="D301" s="5">
        <v>0</v>
      </c>
      <c r="E301" s="5">
        <v>0</v>
      </c>
      <c r="F301" s="5">
        <v>0</v>
      </c>
      <c r="G301" s="5">
        <v>0</v>
      </c>
      <c r="H301" s="5">
        <v>0</v>
      </c>
      <c r="I301" s="5">
        <v>0</v>
      </c>
      <c r="J301" s="5">
        <v>0</v>
      </c>
      <c r="K301" s="5">
        <v>0</v>
      </c>
      <c r="L301" s="5">
        <v>0</v>
      </c>
      <c r="M301" s="5">
        <v>0</v>
      </c>
      <c r="N301" s="5">
        <v>0</v>
      </c>
      <c r="O301" s="5">
        <v>0</v>
      </c>
      <c r="P301" s="5">
        <v>0</v>
      </c>
      <c r="Q301" s="5">
        <v>0</v>
      </c>
      <c r="R301" s="5">
        <v>0</v>
      </c>
      <c r="S301" s="5">
        <v>0</v>
      </c>
      <c r="T301" s="5">
        <v>0</v>
      </c>
      <c r="U301" s="5">
        <v>0</v>
      </c>
      <c r="V301" s="5">
        <v>0</v>
      </c>
      <c r="W301" s="5">
        <v>0</v>
      </c>
      <c r="X301" s="5">
        <v>0</v>
      </c>
      <c r="Y301" s="5">
        <v>0</v>
      </c>
      <c r="Z301" s="5">
        <v>0</v>
      </c>
      <c r="AA301" s="5">
        <v>0</v>
      </c>
      <c r="AB301" s="5">
        <v>0</v>
      </c>
      <c r="AC301" s="5">
        <v>0</v>
      </c>
      <c r="AD301" s="5">
        <v>0</v>
      </c>
      <c r="AE301" s="5">
        <v>0</v>
      </c>
      <c r="AF301" s="5">
        <v>0</v>
      </c>
      <c r="AG301" s="5">
        <v>0</v>
      </c>
      <c r="AH301" s="5">
        <v>0</v>
      </c>
      <c r="AI301" s="5">
        <v>0</v>
      </c>
      <c r="AJ301" s="5">
        <v>0</v>
      </c>
      <c r="AK301" s="5">
        <v>0</v>
      </c>
      <c r="AL301" s="5">
        <v>0</v>
      </c>
      <c r="AM301" s="5">
        <v>0</v>
      </c>
      <c r="AN301" s="5">
        <v>0</v>
      </c>
      <c r="AO301" s="5">
        <v>0</v>
      </c>
      <c r="AP301" s="816">
        <v>0</v>
      </c>
      <c r="AQ301" s="816">
        <v>0</v>
      </c>
      <c r="AR301" s="5">
        <v>2.121</v>
      </c>
      <c r="AS301" s="5">
        <v>0.6</v>
      </c>
      <c r="AT301" s="5">
        <v>0.54</v>
      </c>
      <c r="AU301" s="5">
        <v>0</v>
      </c>
      <c r="AV301" s="5">
        <v>0</v>
      </c>
      <c r="AW301" s="815">
        <v>1</v>
      </c>
      <c r="AX301" s="816">
        <v>0</v>
      </c>
      <c r="AY301" s="819">
        <v>0</v>
      </c>
      <c r="AZ301" s="816"/>
      <c r="BA301" s="818"/>
      <c r="BB301" s="802" t="str" cm="1">
        <f t="array" ref="BB301">INDEX(C$4:BA$4,MATCH(TRUE,INDEX(C301:BA301&lt;&gt;0,),0))</f>
        <v>2019-20</v>
      </c>
      <c r="BC301" s="803" t="str" cm="1">
        <f t="array" ref="BC301">LOOKUP(2,1/(C301:BA301&lt;&gt;0),$C$4:$BA$4)</f>
        <v>2024-25</v>
      </c>
      <c r="BD301" s="804">
        <f>COUNTIF(RDprograms[[#This Row],[1978-79]:[2028-29]], "&gt;0")</f>
        <v>4</v>
      </c>
      <c r="BE301" s="805">
        <f>SUM(C301:BA301)/RDprograms[[#This Row],[Years with &gt; $0 investment]]</f>
        <v>1.06525</v>
      </c>
      <c r="BF301" s="806" t="s">
        <v>273</v>
      </c>
      <c r="BG301" s="807" t="s">
        <v>703</v>
      </c>
      <c r="BH301" s="847" t="s">
        <v>834</v>
      </c>
      <c r="BI301" s="809"/>
      <c r="BJ301" s="809"/>
      <c r="BK301" s="809"/>
      <c r="BL301" s="809"/>
      <c r="BM301" s="809"/>
      <c r="BN301" s="810"/>
      <c r="BO301" s="811" t="s">
        <v>236</v>
      </c>
      <c r="BP301" s="812" t="s">
        <v>860</v>
      </c>
      <c r="BQ301" s="812" t="s">
        <v>861</v>
      </c>
      <c r="BR301" s="812"/>
      <c r="BS301" s="812"/>
      <c r="BT301" s="812" t="s">
        <v>672</v>
      </c>
    </row>
    <row r="302" spans="1:72" ht="12.75" customHeight="1">
      <c r="A302" s="813" t="s">
        <v>832</v>
      </c>
      <c r="B302" s="820" t="s">
        <v>862</v>
      </c>
      <c r="C302" s="5">
        <v>0</v>
      </c>
      <c r="D302" s="5">
        <v>0</v>
      </c>
      <c r="E302" s="5">
        <v>0</v>
      </c>
      <c r="F302" s="5">
        <v>0</v>
      </c>
      <c r="G302" s="5">
        <v>0</v>
      </c>
      <c r="H302" s="5">
        <v>0</v>
      </c>
      <c r="I302" s="5">
        <v>0</v>
      </c>
      <c r="J302" s="5">
        <v>0</v>
      </c>
      <c r="K302" s="5">
        <v>0</v>
      </c>
      <c r="L302" s="5">
        <v>0</v>
      </c>
      <c r="M302" s="5">
        <v>0</v>
      </c>
      <c r="N302" s="5">
        <v>0</v>
      </c>
      <c r="O302" s="5">
        <v>0</v>
      </c>
      <c r="P302" s="5">
        <v>0</v>
      </c>
      <c r="Q302" s="5">
        <v>0</v>
      </c>
      <c r="R302" s="5">
        <v>0</v>
      </c>
      <c r="S302" s="5">
        <v>0</v>
      </c>
      <c r="T302" s="5">
        <v>0</v>
      </c>
      <c r="U302" s="5">
        <v>0</v>
      </c>
      <c r="V302" s="5">
        <v>0</v>
      </c>
      <c r="W302" s="5">
        <v>0</v>
      </c>
      <c r="X302" s="5">
        <v>0</v>
      </c>
      <c r="Y302" s="5">
        <v>0</v>
      </c>
      <c r="Z302" s="5">
        <v>0</v>
      </c>
      <c r="AA302" s="5">
        <v>0</v>
      </c>
      <c r="AB302" s="5">
        <v>0</v>
      </c>
      <c r="AC302" s="5">
        <v>0</v>
      </c>
      <c r="AD302" s="5">
        <v>0</v>
      </c>
      <c r="AE302" s="5">
        <v>0</v>
      </c>
      <c r="AF302" s="5">
        <v>0</v>
      </c>
      <c r="AG302" s="5">
        <v>0</v>
      </c>
      <c r="AH302" s="5">
        <v>0</v>
      </c>
      <c r="AI302" s="5">
        <v>0</v>
      </c>
      <c r="AJ302" s="5">
        <v>0</v>
      </c>
      <c r="AK302" s="5">
        <v>0</v>
      </c>
      <c r="AL302" s="5">
        <v>0</v>
      </c>
      <c r="AM302" s="5">
        <v>0</v>
      </c>
      <c r="AN302" s="5">
        <v>0</v>
      </c>
      <c r="AO302" s="5">
        <v>0</v>
      </c>
      <c r="AP302" s="816">
        <v>0</v>
      </c>
      <c r="AQ302" s="816">
        <v>10</v>
      </c>
      <c r="AR302" s="5">
        <v>10</v>
      </c>
      <c r="AS302" s="5">
        <v>10</v>
      </c>
      <c r="AT302" s="5">
        <v>10</v>
      </c>
      <c r="AU302" s="5">
        <v>10</v>
      </c>
      <c r="AV302" s="5">
        <v>0</v>
      </c>
      <c r="AW302" s="815">
        <v>0</v>
      </c>
      <c r="AX302" s="816">
        <v>15</v>
      </c>
      <c r="AY302" s="819">
        <v>15.8</v>
      </c>
      <c r="AZ302" s="816">
        <v>0</v>
      </c>
      <c r="BA302" s="818"/>
      <c r="BB302" s="802" t="str" cm="1">
        <f t="array" ref="BB302">INDEX(C$4:BA$4,MATCH(TRUE,INDEX(C302:BA302&lt;&gt;0,),0))</f>
        <v>2018-19</v>
      </c>
      <c r="BC302" s="803" t="str" cm="1">
        <f t="array" ref="BC302">LOOKUP(2,1/(C302:BA302&lt;&gt;0),$C$4:$BA$4)</f>
        <v>2026-27</v>
      </c>
      <c r="BD302" s="804">
        <f>COUNTIF(RDprograms[[#This Row],[1978-79]:[2028-29]], "&gt;0")</f>
        <v>7</v>
      </c>
      <c r="BE302" s="805">
        <f>SUM(C302:BA302)/RDprograms[[#This Row],[Years with &gt; $0 investment]]</f>
        <v>11.542857142857143</v>
      </c>
      <c r="BF302" s="806" t="s">
        <v>273</v>
      </c>
      <c r="BG302" s="807" t="s">
        <v>703</v>
      </c>
      <c r="BH302" s="847" t="s">
        <v>863</v>
      </c>
      <c r="BI302" s="809"/>
      <c r="BJ302" s="809">
        <v>1</v>
      </c>
      <c r="BK302" s="809"/>
      <c r="BL302" s="809"/>
      <c r="BM302" s="809"/>
      <c r="BN302" s="810"/>
      <c r="BO302" s="811" t="s">
        <v>236</v>
      </c>
      <c r="BP302" s="812" t="s">
        <v>864</v>
      </c>
      <c r="BQ302" s="812"/>
      <c r="BR302" s="812"/>
      <c r="BS302" s="812"/>
      <c r="BT302" s="812" t="s">
        <v>238</v>
      </c>
    </row>
    <row r="303" spans="1:72" ht="12.75" customHeight="1">
      <c r="A303" s="813" t="s">
        <v>832</v>
      </c>
      <c r="B303" s="820" t="s">
        <v>865</v>
      </c>
      <c r="C303" s="5">
        <v>0</v>
      </c>
      <c r="D303" s="5">
        <v>0</v>
      </c>
      <c r="E303" s="5">
        <v>0</v>
      </c>
      <c r="F303" s="5">
        <v>0</v>
      </c>
      <c r="G303" s="5">
        <v>0</v>
      </c>
      <c r="H303" s="5">
        <v>0</v>
      </c>
      <c r="I303" s="5">
        <v>0</v>
      </c>
      <c r="J303" s="5">
        <v>0</v>
      </c>
      <c r="K303" s="5">
        <v>0</v>
      </c>
      <c r="L303" s="5">
        <v>0</v>
      </c>
      <c r="M303" s="5">
        <v>0</v>
      </c>
      <c r="N303" s="5">
        <v>0</v>
      </c>
      <c r="O303" s="5">
        <v>0</v>
      </c>
      <c r="P303" s="5">
        <v>0</v>
      </c>
      <c r="Q303" s="5">
        <v>0</v>
      </c>
      <c r="R303" s="5">
        <v>0</v>
      </c>
      <c r="S303" s="5">
        <v>0</v>
      </c>
      <c r="T303" s="5">
        <v>0</v>
      </c>
      <c r="U303" s="5">
        <v>0</v>
      </c>
      <c r="V303" s="5">
        <v>0</v>
      </c>
      <c r="W303" s="5">
        <v>0</v>
      </c>
      <c r="X303" s="5">
        <v>0</v>
      </c>
      <c r="Y303" s="5">
        <v>0</v>
      </c>
      <c r="Z303" s="5">
        <v>0</v>
      </c>
      <c r="AA303" s="5">
        <v>0</v>
      </c>
      <c r="AB303" s="5">
        <v>0</v>
      </c>
      <c r="AC303" s="5">
        <v>0</v>
      </c>
      <c r="AD303" s="5">
        <v>0</v>
      </c>
      <c r="AE303" s="5">
        <v>0</v>
      </c>
      <c r="AF303" s="5">
        <v>0</v>
      </c>
      <c r="AG303" s="5">
        <v>0</v>
      </c>
      <c r="AH303" s="5">
        <v>0</v>
      </c>
      <c r="AI303" s="5">
        <v>0</v>
      </c>
      <c r="AJ303" s="5">
        <v>0</v>
      </c>
      <c r="AK303" s="5">
        <v>0</v>
      </c>
      <c r="AL303" s="5">
        <v>0</v>
      </c>
      <c r="AM303" s="5">
        <v>0</v>
      </c>
      <c r="AN303" s="5">
        <v>0</v>
      </c>
      <c r="AO303" s="5">
        <v>0</v>
      </c>
      <c r="AP303" s="816">
        <v>0</v>
      </c>
      <c r="AQ303" s="816">
        <v>0</v>
      </c>
      <c r="AR303" s="5">
        <v>0</v>
      </c>
      <c r="AS303" s="5">
        <v>2.5</v>
      </c>
      <c r="AT303" s="5">
        <v>5</v>
      </c>
      <c r="AU303" s="5">
        <v>5</v>
      </c>
      <c r="AV303" s="5">
        <v>2.5</v>
      </c>
      <c r="AW303" s="815">
        <v>0</v>
      </c>
      <c r="AX303" s="816">
        <v>0</v>
      </c>
      <c r="AY303" s="819">
        <v>0</v>
      </c>
      <c r="AZ303" s="816"/>
      <c r="BA303" s="818"/>
      <c r="BB303" s="802" t="str" cm="1">
        <f t="array" ref="BB303">INDEX(C$4:BA$4,MATCH(TRUE,INDEX(C303:BA303&lt;&gt;0,),0))</f>
        <v>2020-21</v>
      </c>
      <c r="BC303" s="803" t="str" cm="1">
        <f t="array" ref="BC303">LOOKUP(2,1/(C303:BA303&lt;&gt;0),$C$4:$BA$4)</f>
        <v>2023-24</v>
      </c>
      <c r="BD303" s="804">
        <f>COUNTIF(RDprograms[[#This Row],[1978-79]:[2028-29]], "&gt;0")</f>
        <v>4</v>
      </c>
      <c r="BE303" s="805">
        <f>SUM(C303:BA303)/RDprograms[[#This Row],[Years with &gt; $0 investment]]</f>
        <v>3.75</v>
      </c>
      <c r="BF303" s="806" t="s">
        <v>273</v>
      </c>
      <c r="BG303" s="807" t="s">
        <v>703</v>
      </c>
      <c r="BH303" s="847" t="s">
        <v>863</v>
      </c>
      <c r="BI303" s="809"/>
      <c r="BJ303" s="809"/>
      <c r="BK303" s="809"/>
      <c r="BL303" s="809"/>
      <c r="BM303" s="809"/>
      <c r="BN303" s="810"/>
      <c r="BO303" s="811" t="s">
        <v>236</v>
      </c>
      <c r="BP303" s="812" t="s">
        <v>866</v>
      </c>
      <c r="BQ303" s="812"/>
      <c r="BR303" s="812"/>
      <c r="BS303" s="812"/>
      <c r="BT303" s="812" t="s">
        <v>238</v>
      </c>
    </row>
    <row r="304" spans="1:72" ht="12.75" customHeight="1">
      <c r="A304" s="813" t="s">
        <v>832</v>
      </c>
      <c r="B304" s="820" t="s">
        <v>867</v>
      </c>
      <c r="C304" s="5">
        <v>0</v>
      </c>
      <c r="D304" s="5">
        <v>0</v>
      </c>
      <c r="E304" s="5">
        <v>0</v>
      </c>
      <c r="F304" s="5">
        <v>0</v>
      </c>
      <c r="G304" s="5">
        <v>0</v>
      </c>
      <c r="H304" s="5">
        <v>0</v>
      </c>
      <c r="I304" s="5">
        <v>0</v>
      </c>
      <c r="J304" s="5">
        <v>0</v>
      </c>
      <c r="K304" s="5">
        <v>0</v>
      </c>
      <c r="L304" s="5">
        <v>0</v>
      </c>
      <c r="M304" s="5">
        <v>0</v>
      </c>
      <c r="N304" s="5">
        <v>0</v>
      </c>
      <c r="O304" s="5">
        <v>0</v>
      </c>
      <c r="P304" s="5">
        <v>0</v>
      </c>
      <c r="Q304" s="5">
        <v>0</v>
      </c>
      <c r="R304" s="5">
        <v>0</v>
      </c>
      <c r="S304" s="5">
        <v>0</v>
      </c>
      <c r="T304" s="5">
        <v>0</v>
      </c>
      <c r="U304" s="5">
        <v>0</v>
      </c>
      <c r="V304" s="5">
        <v>0</v>
      </c>
      <c r="W304" s="5">
        <v>0</v>
      </c>
      <c r="X304" s="5">
        <v>0</v>
      </c>
      <c r="Y304" s="5">
        <v>0</v>
      </c>
      <c r="Z304" s="5">
        <v>0</v>
      </c>
      <c r="AA304" s="5">
        <v>0</v>
      </c>
      <c r="AB304" s="5">
        <v>0</v>
      </c>
      <c r="AC304" s="5">
        <v>0</v>
      </c>
      <c r="AD304" s="5">
        <v>0</v>
      </c>
      <c r="AE304" s="5">
        <v>0</v>
      </c>
      <c r="AF304" s="5">
        <v>0</v>
      </c>
      <c r="AG304" s="5">
        <v>0</v>
      </c>
      <c r="AH304" s="5">
        <v>0</v>
      </c>
      <c r="AI304" s="5">
        <v>0</v>
      </c>
      <c r="AJ304" s="5">
        <v>0</v>
      </c>
      <c r="AK304" s="5">
        <v>0</v>
      </c>
      <c r="AL304" s="5">
        <v>0</v>
      </c>
      <c r="AM304" s="5">
        <v>0</v>
      </c>
      <c r="AN304" s="5">
        <v>0</v>
      </c>
      <c r="AO304" s="5">
        <v>0</v>
      </c>
      <c r="AP304" s="5">
        <v>0</v>
      </c>
      <c r="AQ304" s="5">
        <v>0</v>
      </c>
      <c r="AR304" s="5">
        <v>0</v>
      </c>
      <c r="AS304" s="5">
        <v>0</v>
      </c>
      <c r="AT304" s="5">
        <v>0</v>
      </c>
      <c r="AU304" s="5">
        <v>0</v>
      </c>
      <c r="AV304" s="5">
        <v>0</v>
      </c>
      <c r="AW304" s="849">
        <v>0</v>
      </c>
      <c r="AX304" s="5">
        <v>0.56000000000000005</v>
      </c>
      <c r="AY304" s="850">
        <v>0</v>
      </c>
      <c r="AZ304" s="5">
        <v>0</v>
      </c>
      <c r="BA304" s="821">
        <v>0</v>
      </c>
      <c r="BB304" s="822" t="str" cm="1">
        <f t="array" ref="BB304">INDEX(C$4:BA$4,MATCH(TRUE,INDEX(C304:BA304&lt;&gt;0,),0))</f>
        <v>2025-26</v>
      </c>
      <c r="BC304" s="823" t="str" cm="1">
        <f t="array" ref="BC304">LOOKUP(2,1/(C304:BA304&lt;&gt;0),$C$4:$BA$4)</f>
        <v>2025-26</v>
      </c>
      <c r="BD304" s="824">
        <f>COUNTIF(RDprograms[[#This Row],[1978-79]:[2028-29]], "&gt;0")</f>
        <v>1</v>
      </c>
      <c r="BE304" s="805">
        <f>SUM(C304:BA304)/RDprograms[[#This Row],[Years with &gt; $0 investment]]</f>
        <v>0.56000000000000005</v>
      </c>
      <c r="BF304" s="806" t="s">
        <v>273</v>
      </c>
      <c r="BG304" s="807" t="s">
        <v>703</v>
      </c>
      <c r="BH304" s="851" t="s">
        <v>258</v>
      </c>
      <c r="BI304" s="809"/>
      <c r="BJ304" s="809">
        <v>1</v>
      </c>
      <c r="BK304" s="809"/>
      <c r="BL304" s="809"/>
      <c r="BM304" s="809"/>
      <c r="BN304" s="810"/>
      <c r="BO304" s="811" t="s">
        <v>236</v>
      </c>
      <c r="BP304" s="812"/>
      <c r="BQ304" s="812"/>
      <c r="BR304" s="812"/>
      <c r="BS304" s="812"/>
      <c r="BT304" s="812"/>
    </row>
    <row r="305" spans="1:72" ht="12.75" customHeight="1">
      <c r="A305" s="813" t="s">
        <v>832</v>
      </c>
      <c r="B305" s="820" t="s">
        <v>868</v>
      </c>
      <c r="C305" s="5">
        <v>0</v>
      </c>
      <c r="D305" s="5">
        <v>2.4</v>
      </c>
      <c r="E305" s="5">
        <v>2.8</v>
      </c>
      <c r="F305" s="5">
        <v>3</v>
      </c>
      <c r="G305" s="5">
        <v>3.4</v>
      </c>
      <c r="H305" s="5">
        <v>4</v>
      </c>
      <c r="I305" s="5">
        <v>4.5999999999999996</v>
      </c>
      <c r="J305" s="5">
        <v>5.0999999999999996</v>
      </c>
      <c r="K305" s="5">
        <v>5.2</v>
      </c>
      <c r="L305" s="5">
        <v>3.4</v>
      </c>
      <c r="M305" s="5">
        <v>4.2</v>
      </c>
      <c r="N305" s="5">
        <v>4.4000000000000004</v>
      </c>
      <c r="O305" s="5">
        <v>4.2</v>
      </c>
      <c r="P305" s="5">
        <v>5</v>
      </c>
      <c r="Q305" s="5">
        <v>6.8</v>
      </c>
      <c r="R305" s="5">
        <v>7.2</v>
      </c>
      <c r="S305" s="5">
        <v>0</v>
      </c>
      <c r="T305" s="5">
        <v>0</v>
      </c>
      <c r="U305" s="5">
        <v>0</v>
      </c>
      <c r="V305" s="5">
        <v>0</v>
      </c>
      <c r="W305" s="5">
        <v>0</v>
      </c>
      <c r="X305" s="5">
        <v>0</v>
      </c>
      <c r="Y305" s="5">
        <v>0</v>
      </c>
      <c r="Z305" s="5">
        <v>0</v>
      </c>
      <c r="AA305" s="5">
        <v>0</v>
      </c>
      <c r="AB305" s="5">
        <v>0</v>
      </c>
      <c r="AC305" s="5">
        <v>0</v>
      </c>
      <c r="AD305" s="5">
        <v>0</v>
      </c>
      <c r="AE305" s="5">
        <v>0</v>
      </c>
      <c r="AF305" s="5">
        <v>0</v>
      </c>
      <c r="AG305" s="5">
        <v>0</v>
      </c>
      <c r="AH305" s="5">
        <v>0</v>
      </c>
      <c r="AI305" s="5">
        <v>0</v>
      </c>
      <c r="AJ305" s="5">
        <v>0</v>
      </c>
      <c r="AK305" s="5">
        <v>0</v>
      </c>
      <c r="AL305" s="5">
        <v>0</v>
      </c>
      <c r="AM305" s="5">
        <v>0</v>
      </c>
      <c r="AN305" s="5">
        <v>0</v>
      </c>
      <c r="AO305" s="5">
        <v>0</v>
      </c>
      <c r="AP305" s="5">
        <v>0</v>
      </c>
      <c r="AQ305" s="5">
        <v>0</v>
      </c>
      <c r="AR305" s="5">
        <v>0</v>
      </c>
      <c r="AS305" s="5">
        <v>0</v>
      </c>
      <c r="AT305" s="5">
        <v>0</v>
      </c>
      <c r="AU305" s="5">
        <v>0</v>
      </c>
      <c r="AV305" s="5">
        <v>0</v>
      </c>
      <c r="AW305" s="815">
        <v>0</v>
      </c>
      <c r="AX305" s="816">
        <v>0</v>
      </c>
      <c r="AY305" s="819">
        <v>0</v>
      </c>
      <c r="AZ305" s="816"/>
      <c r="BA305" s="818"/>
      <c r="BB305" s="802" t="str" cm="1">
        <f t="array" ref="BB305">INDEX(C$4:BA$4,MATCH(TRUE,INDEX(C305:BA305&lt;&gt;0,),0))</f>
        <v>1979-80</v>
      </c>
      <c r="BC305" s="803" t="str" cm="1">
        <f t="array" ref="BC305">LOOKUP(2,1/(C305:BA305&lt;&gt;0),$C$4:$BA$4)</f>
        <v>1993-94</v>
      </c>
      <c r="BD305" s="804">
        <f>COUNTIF(RDprograms[[#This Row],[1978-79]:[2028-29]], "&gt;0")</f>
        <v>15</v>
      </c>
      <c r="BE305" s="805">
        <f>SUM(C305:BA305)/RDprograms[[#This Row],[Years with &gt; $0 investment]]</f>
        <v>4.38</v>
      </c>
      <c r="BF305" s="806" t="s">
        <v>273</v>
      </c>
      <c r="BG305" s="807" t="s">
        <v>703</v>
      </c>
      <c r="BH305" s="847" t="s">
        <v>258</v>
      </c>
      <c r="BI305" s="809"/>
      <c r="BJ305" s="809"/>
      <c r="BK305" s="809"/>
      <c r="BL305" s="809"/>
      <c r="BM305" s="809"/>
      <c r="BN305" s="810"/>
      <c r="BO305" s="811" t="s">
        <v>236</v>
      </c>
      <c r="BP305" s="812"/>
      <c r="BQ305" s="812"/>
      <c r="BR305" s="812"/>
      <c r="BS305" s="812"/>
      <c r="BT305" s="812" t="s">
        <v>238</v>
      </c>
    </row>
    <row r="306" spans="1:72" ht="12.75" customHeight="1">
      <c r="A306" s="813" t="s">
        <v>832</v>
      </c>
      <c r="B306" s="820" t="s">
        <v>869</v>
      </c>
      <c r="C306" s="5">
        <v>0</v>
      </c>
      <c r="D306" s="5">
        <v>0</v>
      </c>
      <c r="E306" s="5">
        <v>0</v>
      </c>
      <c r="F306" s="5">
        <v>0</v>
      </c>
      <c r="G306" s="5">
        <v>0</v>
      </c>
      <c r="H306" s="5">
        <v>0</v>
      </c>
      <c r="I306" s="5">
        <v>0</v>
      </c>
      <c r="J306" s="5">
        <v>0</v>
      </c>
      <c r="K306" s="5">
        <v>0</v>
      </c>
      <c r="L306" s="5">
        <v>0</v>
      </c>
      <c r="M306" s="5">
        <v>0</v>
      </c>
      <c r="N306" s="5">
        <v>0</v>
      </c>
      <c r="O306" s="5">
        <v>0</v>
      </c>
      <c r="P306" s="5">
        <v>0</v>
      </c>
      <c r="Q306" s="5">
        <v>0</v>
      </c>
      <c r="R306" s="5">
        <v>0</v>
      </c>
      <c r="S306" s="5">
        <v>0</v>
      </c>
      <c r="T306" s="5">
        <v>0</v>
      </c>
      <c r="U306" s="5">
        <v>0</v>
      </c>
      <c r="V306" s="5">
        <v>0</v>
      </c>
      <c r="W306" s="5">
        <v>0</v>
      </c>
      <c r="X306" s="5">
        <v>0</v>
      </c>
      <c r="Y306" s="5">
        <v>0</v>
      </c>
      <c r="Z306" s="5">
        <v>0</v>
      </c>
      <c r="AA306" s="5">
        <v>0</v>
      </c>
      <c r="AB306" s="5">
        <v>0</v>
      </c>
      <c r="AC306" s="5">
        <v>0</v>
      </c>
      <c r="AD306" s="5">
        <v>0</v>
      </c>
      <c r="AE306" s="5">
        <v>0</v>
      </c>
      <c r="AF306" s="5">
        <v>0</v>
      </c>
      <c r="AG306" s="5">
        <v>0</v>
      </c>
      <c r="AH306" s="5">
        <v>0</v>
      </c>
      <c r="AI306" s="5">
        <v>1.7</v>
      </c>
      <c r="AJ306" s="5">
        <v>2.1</v>
      </c>
      <c r="AK306" s="5">
        <v>3.0880000000000001</v>
      </c>
      <c r="AL306" s="5">
        <v>1.3</v>
      </c>
      <c r="AM306" s="5">
        <v>1.4</v>
      </c>
      <c r="AN306" s="5">
        <v>2.2000000000000002</v>
      </c>
      <c r="AO306" s="5">
        <v>0</v>
      </c>
      <c r="AP306" s="816">
        <v>2</v>
      </c>
      <c r="AQ306" s="816">
        <v>2.5</v>
      </c>
      <c r="AR306" s="5">
        <v>2</v>
      </c>
      <c r="AS306" s="5">
        <v>1.1000000000000001</v>
      </c>
      <c r="AT306" s="5">
        <v>0.88300000000000001</v>
      </c>
      <c r="AU306" s="5">
        <v>1.637</v>
      </c>
      <c r="AV306" s="5">
        <v>3.4870000000000001</v>
      </c>
      <c r="AW306" s="815">
        <v>3.8980000000000001</v>
      </c>
      <c r="AX306" s="816">
        <v>1.89</v>
      </c>
      <c r="AY306" s="819">
        <v>0</v>
      </c>
      <c r="AZ306" s="816"/>
      <c r="BA306" s="818"/>
      <c r="BB306" s="802" t="str" cm="1">
        <f t="array" ref="BB306">INDEX(C$4:BA$4,MATCH(TRUE,INDEX(C306:BA306&lt;&gt;0,),0))</f>
        <v>2010-11</v>
      </c>
      <c r="BC306" s="803" t="str" cm="1">
        <f t="array" ref="BC306">LOOKUP(2,1/(C306:BA306&lt;&gt;0),$C$4:$BA$4)</f>
        <v>2025-26</v>
      </c>
      <c r="BD306" s="804">
        <f>COUNTIF(RDprograms[[#This Row],[1978-79]:[2028-29]], "&gt;0")</f>
        <v>15</v>
      </c>
      <c r="BE306" s="805">
        <f>SUM(C306:BA306)/RDprograms[[#This Row],[Years with &gt; $0 investment]]</f>
        <v>2.0788666666666669</v>
      </c>
      <c r="BF306" s="806" t="s">
        <v>273</v>
      </c>
      <c r="BG306" s="807" t="s">
        <v>703</v>
      </c>
      <c r="BH306" s="847" t="s">
        <v>834</v>
      </c>
      <c r="BI306" s="809"/>
      <c r="BJ306" s="809">
        <v>1</v>
      </c>
      <c r="BK306" s="809"/>
      <c r="BL306" s="809"/>
      <c r="BM306" s="809"/>
      <c r="BN306" s="810"/>
      <c r="BO306" s="811" t="s">
        <v>236</v>
      </c>
      <c r="BP306" s="812" t="s">
        <v>870</v>
      </c>
      <c r="BQ306" s="812" t="s">
        <v>835</v>
      </c>
      <c r="BR306" s="812"/>
      <c r="BS306" s="812"/>
      <c r="BT306" s="812" t="s">
        <v>238</v>
      </c>
    </row>
    <row r="307" spans="1:72" ht="12.75" customHeight="1">
      <c r="A307" s="813" t="s">
        <v>832</v>
      </c>
      <c r="B307" s="820" t="s">
        <v>871</v>
      </c>
      <c r="C307" s="5">
        <v>0</v>
      </c>
      <c r="D307" s="5">
        <v>0</v>
      </c>
      <c r="E307" s="5">
        <v>0</v>
      </c>
      <c r="F307" s="5">
        <v>0</v>
      </c>
      <c r="G307" s="5">
        <v>0</v>
      </c>
      <c r="H307" s="5">
        <v>0</v>
      </c>
      <c r="I307" s="5">
        <v>0</v>
      </c>
      <c r="J307" s="5">
        <v>0</v>
      </c>
      <c r="K307" s="5">
        <v>0</v>
      </c>
      <c r="L307" s="5">
        <v>0</v>
      </c>
      <c r="M307" s="5">
        <v>0</v>
      </c>
      <c r="N307" s="5">
        <v>0</v>
      </c>
      <c r="O307" s="5">
        <v>0</v>
      </c>
      <c r="P307" s="5">
        <v>0</v>
      </c>
      <c r="Q307" s="5">
        <v>0</v>
      </c>
      <c r="R307" s="5">
        <v>0</v>
      </c>
      <c r="S307" s="5">
        <v>0</v>
      </c>
      <c r="T307" s="5">
        <v>0.91300000000000003</v>
      </c>
      <c r="U307" s="5">
        <v>0.9</v>
      </c>
      <c r="V307" s="5">
        <v>0.9</v>
      </c>
      <c r="W307" s="5">
        <v>0.92</v>
      </c>
      <c r="X307" s="5">
        <v>0.82799999999999996</v>
      </c>
      <c r="Y307" s="5">
        <v>0.82799999999999996</v>
      </c>
      <c r="Z307" s="5">
        <v>0.82799999999999996</v>
      </c>
      <c r="AA307" s="5">
        <v>0.93</v>
      </c>
      <c r="AB307" s="5">
        <v>1.7</v>
      </c>
      <c r="AC307" s="5">
        <v>1.1000000000000001</v>
      </c>
      <c r="AD307" s="5">
        <v>1.4</v>
      </c>
      <c r="AE307" s="5">
        <v>1.4</v>
      </c>
      <c r="AF307" s="5">
        <v>1.4</v>
      </c>
      <c r="AG307" s="5">
        <v>1.4</v>
      </c>
      <c r="AH307" s="5">
        <v>1.339</v>
      </c>
      <c r="AI307" s="5">
        <v>2.359</v>
      </c>
      <c r="AJ307" s="5">
        <v>3.129</v>
      </c>
      <c r="AK307" s="5">
        <v>3.605</v>
      </c>
      <c r="AL307" s="5">
        <v>2.677</v>
      </c>
      <c r="AM307" s="5">
        <v>2.9210799999999999</v>
      </c>
      <c r="AN307" s="5">
        <v>1.22</v>
      </c>
      <c r="AO307" s="5">
        <v>2.2999999999999998</v>
      </c>
      <c r="AP307" s="5">
        <v>2.2999999999999998</v>
      </c>
      <c r="AQ307" s="5">
        <v>2.2999999999999998</v>
      </c>
      <c r="AR307" s="5">
        <v>5.8819999999999997</v>
      </c>
      <c r="AS307" s="5">
        <v>0</v>
      </c>
      <c r="AT307" s="5">
        <v>2.5</v>
      </c>
      <c r="AU307" s="5">
        <v>2.8450000000000002</v>
      </c>
      <c r="AV307" s="5">
        <v>5.19</v>
      </c>
      <c r="AW307" s="815">
        <v>3.923</v>
      </c>
      <c r="AX307" s="816">
        <v>3.79</v>
      </c>
      <c r="AY307" s="819">
        <v>4.1719999999999997</v>
      </c>
      <c r="AZ307" s="816"/>
      <c r="BA307" s="818"/>
      <c r="BB307" s="802" t="str" cm="1">
        <f t="array" ref="BB307">INDEX(C$4:BA$4,MATCH(TRUE,INDEX(C307:BA307&lt;&gt;0,),0))</f>
        <v>1995-96</v>
      </c>
      <c r="BC307" s="803" t="str" cm="1">
        <f t="array" ref="BC307">LOOKUP(2,1/(C307:BA307&lt;&gt;0),$C$4:$BA$4)</f>
        <v>2026-27</v>
      </c>
      <c r="BD307" s="804">
        <f>COUNTIF(RDprograms[[#This Row],[1978-79]:[2028-29]], "&gt;0")</f>
        <v>31</v>
      </c>
      <c r="BE307" s="805">
        <f>SUM(C307:BA307)/RDprograms[[#This Row],[Years with &gt; $0 investment]]</f>
        <v>2.1902929032258065</v>
      </c>
      <c r="BF307" s="806" t="s">
        <v>273</v>
      </c>
      <c r="BG307" s="807" t="s">
        <v>703</v>
      </c>
      <c r="BH307" s="847" t="s">
        <v>834</v>
      </c>
      <c r="BI307" s="809"/>
      <c r="BJ307" s="809">
        <v>1</v>
      </c>
      <c r="BK307" s="809"/>
      <c r="BL307" s="809"/>
      <c r="BM307" s="809"/>
      <c r="BN307" s="810"/>
      <c r="BO307" s="811" t="s">
        <v>236</v>
      </c>
      <c r="BP307" s="812" t="s">
        <v>872</v>
      </c>
      <c r="BQ307" s="812" t="s">
        <v>835</v>
      </c>
      <c r="BR307" s="812"/>
      <c r="BS307" s="812"/>
      <c r="BT307" s="812" t="s">
        <v>672</v>
      </c>
    </row>
    <row r="308" spans="1:72" ht="12.75" customHeight="1">
      <c r="A308" s="813" t="s">
        <v>832</v>
      </c>
      <c r="B308" s="820" t="s">
        <v>873</v>
      </c>
      <c r="C308" s="5">
        <v>0</v>
      </c>
      <c r="D308" s="5">
        <v>0</v>
      </c>
      <c r="E308" s="5">
        <v>0</v>
      </c>
      <c r="F308" s="5">
        <v>0</v>
      </c>
      <c r="G308" s="5">
        <v>0</v>
      </c>
      <c r="H308" s="5">
        <v>0</v>
      </c>
      <c r="I308" s="5">
        <v>0</v>
      </c>
      <c r="J308" s="5">
        <v>0</v>
      </c>
      <c r="K308" s="5">
        <v>0</v>
      </c>
      <c r="L308" s="5">
        <v>0</v>
      </c>
      <c r="M308" s="5">
        <v>0</v>
      </c>
      <c r="N308" s="5">
        <v>0</v>
      </c>
      <c r="O308" s="5">
        <v>0</v>
      </c>
      <c r="P308" s="5">
        <v>0</v>
      </c>
      <c r="Q308" s="5">
        <v>0</v>
      </c>
      <c r="R308" s="5">
        <v>0</v>
      </c>
      <c r="S308" s="5">
        <v>0</v>
      </c>
      <c r="T308" s="5">
        <v>0</v>
      </c>
      <c r="U308" s="5">
        <v>0</v>
      </c>
      <c r="V308" s="5">
        <v>0</v>
      </c>
      <c r="W308" s="5">
        <v>0</v>
      </c>
      <c r="X308" s="5">
        <v>0</v>
      </c>
      <c r="Y308" s="5">
        <v>0</v>
      </c>
      <c r="Z308" s="5">
        <v>0</v>
      </c>
      <c r="AA308" s="5">
        <v>0</v>
      </c>
      <c r="AB308" s="5">
        <v>0</v>
      </c>
      <c r="AC308" s="5">
        <v>0</v>
      </c>
      <c r="AD308" s="5">
        <v>0</v>
      </c>
      <c r="AE308" s="5">
        <v>0</v>
      </c>
      <c r="AF308" s="5">
        <v>0</v>
      </c>
      <c r="AG308" s="5">
        <v>0</v>
      </c>
      <c r="AH308" s="5">
        <v>0</v>
      </c>
      <c r="AI308" s="5">
        <v>0</v>
      </c>
      <c r="AJ308" s="5">
        <v>4.6749999999999998</v>
      </c>
      <c r="AK308" s="5">
        <v>7.0970000000000004</v>
      </c>
      <c r="AL308" s="5">
        <v>4.8940000000000001</v>
      </c>
      <c r="AM308" s="5">
        <v>1.33147112</v>
      </c>
      <c r="AN308" s="5">
        <v>0.93899999999999995</v>
      </c>
      <c r="AO308" s="5">
        <v>0</v>
      </c>
      <c r="AP308" s="816">
        <v>0</v>
      </c>
      <c r="AQ308" s="816">
        <v>0</v>
      </c>
      <c r="AR308" s="5">
        <v>0</v>
      </c>
      <c r="AS308" s="5">
        <v>0</v>
      </c>
      <c r="AT308" s="5">
        <v>0</v>
      </c>
      <c r="AU308" s="5">
        <v>0</v>
      </c>
      <c r="AV308" s="5">
        <v>0</v>
      </c>
      <c r="AW308" s="815">
        <v>0</v>
      </c>
      <c r="AX308" s="816">
        <v>0</v>
      </c>
      <c r="AY308" s="819">
        <v>0</v>
      </c>
      <c r="AZ308" s="816"/>
      <c r="BA308" s="818"/>
      <c r="BB308" s="802" t="str" cm="1">
        <f t="array" ref="BB308">INDEX(C$4:BA$4,MATCH(TRUE,INDEX(C308:BA308&lt;&gt;0,),0))</f>
        <v>2011-12</v>
      </c>
      <c r="BC308" s="803" t="str" cm="1">
        <f t="array" ref="BC308">LOOKUP(2,1/(C308:BA308&lt;&gt;0),$C$4:$BA$4)</f>
        <v>2015-16</v>
      </c>
      <c r="BD308" s="804">
        <f>COUNTIF(RDprograms[[#This Row],[1978-79]:[2028-29]], "&gt;0")</f>
        <v>5</v>
      </c>
      <c r="BE308" s="805">
        <f>SUM(C308:BA308)/RDprograms[[#This Row],[Years with &gt; $0 investment]]</f>
        <v>3.787294224</v>
      </c>
      <c r="BF308" s="806" t="s">
        <v>273</v>
      </c>
      <c r="BG308" s="807" t="s">
        <v>703</v>
      </c>
      <c r="BH308" s="847" t="s">
        <v>834</v>
      </c>
      <c r="BI308" s="809"/>
      <c r="BJ308" s="809"/>
      <c r="BK308" s="809"/>
      <c r="BL308" s="809"/>
      <c r="BM308" s="809"/>
      <c r="BN308" s="810"/>
      <c r="BO308" s="811" t="s">
        <v>236</v>
      </c>
      <c r="BP308" s="843"/>
      <c r="BQ308" s="812" t="s">
        <v>874</v>
      </c>
      <c r="BR308" s="812"/>
      <c r="BS308" s="812"/>
      <c r="BT308" s="812" t="s">
        <v>672</v>
      </c>
    </row>
    <row r="309" spans="1:72" ht="12.75" customHeight="1">
      <c r="A309" s="813" t="s">
        <v>832</v>
      </c>
      <c r="B309" s="820" t="s">
        <v>875</v>
      </c>
      <c r="C309" s="5">
        <v>0</v>
      </c>
      <c r="D309" s="5">
        <v>0</v>
      </c>
      <c r="E309" s="5">
        <v>0</v>
      </c>
      <c r="F309" s="5">
        <v>0</v>
      </c>
      <c r="G309" s="5">
        <v>0</v>
      </c>
      <c r="H309" s="5">
        <v>0</v>
      </c>
      <c r="I309" s="5">
        <v>0</v>
      </c>
      <c r="J309" s="5">
        <v>0</v>
      </c>
      <c r="K309" s="5">
        <v>0</v>
      </c>
      <c r="L309" s="5">
        <v>0</v>
      </c>
      <c r="M309" s="5">
        <v>0</v>
      </c>
      <c r="N309" s="5">
        <v>0</v>
      </c>
      <c r="O309" s="5">
        <v>0</v>
      </c>
      <c r="P309" s="5">
        <v>0</v>
      </c>
      <c r="Q309" s="5">
        <v>0</v>
      </c>
      <c r="R309" s="5">
        <v>0</v>
      </c>
      <c r="S309" s="5">
        <v>0</v>
      </c>
      <c r="T309" s="5">
        <v>0</v>
      </c>
      <c r="U309" s="5">
        <v>0</v>
      </c>
      <c r="V309" s="5">
        <v>0</v>
      </c>
      <c r="W309" s="5">
        <v>0</v>
      </c>
      <c r="X309" s="5">
        <v>0</v>
      </c>
      <c r="Y309" s="5">
        <v>0</v>
      </c>
      <c r="Z309" s="5">
        <v>0</v>
      </c>
      <c r="AA309" s="5">
        <v>0</v>
      </c>
      <c r="AB309" s="5">
        <v>0</v>
      </c>
      <c r="AC309" s="5">
        <v>0</v>
      </c>
      <c r="AD309" s="5">
        <v>0</v>
      </c>
      <c r="AE309" s="5">
        <v>0</v>
      </c>
      <c r="AF309" s="5">
        <v>0</v>
      </c>
      <c r="AG309" s="5">
        <v>0</v>
      </c>
      <c r="AH309" s="5">
        <v>0</v>
      </c>
      <c r="AI309" s="5">
        <v>0</v>
      </c>
      <c r="AJ309" s="5">
        <v>0</v>
      </c>
      <c r="AK309" s="5">
        <v>0</v>
      </c>
      <c r="AL309" s="5">
        <v>0</v>
      </c>
      <c r="AM309" s="5">
        <v>0</v>
      </c>
      <c r="AN309" s="5">
        <v>0</v>
      </c>
      <c r="AO309" s="5">
        <v>0</v>
      </c>
      <c r="AP309" s="5">
        <v>0</v>
      </c>
      <c r="AQ309" s="5">
        <v>0.43753500000000001</v>
      </c>
      <c r="AR309" s="5">
        <v>0</v>
      </c>
      <c r="AS309" s="5">
        <v>0</v>
      </c>
      <c r="AT309" s="5">
        <v>0</v>
      </c>
      <c r="AU309" s="5">
        <v>0</v>
      </c>
      <c r="AV309" s="5">
        <v>0</v>
      </c>
      <c r="AW309" s="815">
        <v>0</v>
      </c>
      <c r="AX309" s="816">
        <v>0</v>
      </c>
      <c r="AY309" s="819">
        <v>0</v>
      </c>
      <c r="AZ309" s="816"/>
      <c r="BA309" s="818"/>
      <c r="BB309" s="802" t="str" cm="1">
        <f t="array" ref="BB309">INDEX(C$4:BA$4,MATCH(TRUE,INDEX(C309:BA309&lt;&gt;0,),0))</f>
        <v>2018-19</v>
      </c>
      <c r="BC309" s="803" t="str" cm="1">
        <f t="array" ref="BC309">LOOKUP(2,1/(C309:BA309&lt;&gt;0),$C$4:$BA$4)</f>
        <v>2018-19</v>
      </c>
      <c r="BD309" s="804">
        <f>COUNTIF(RDprograms[[#This Row],[1978-79]:[2028-29]], "&gt;0")</f>
        <v>1</v>
      </c>
      <c r="BE309" s="805">
        <f>SUM(C309:BA309)/RDprograms[[#This Row],[Years with &gt; $0 investment]]</f>
        <v>0.43753500000000001</v>
      </c>
      <c r="BF309" s="806" t="s">
        <v>273</v>
      </c>
      <c r="BG309" s="807" t="s">
        <v>703</v>
      </c>
      <c r="BH309" s="847" t="s">
        <v>863</v>
      </c>
      <c r="BI309" s="809"/>
      <c r="BJ309" s="809"/>
      <c r="BK309" s="809"/>
      <c r="BL309" s="809"/>
      <c r="BM309" s="809"/>
      <c r="BN309" s="810"/>
      <c r="BO309" s="811" t="s">
        <v>236</v>
      </c>
      <c r="BP309" s="812" t="s">
        <v>876</v>
      </c>
      <c r="BQ309" s="812"/>
      <c r="BR309" s="812"/>
      <c r="BS309" s="812"/>
      <c r="BT309" s="812" t="s">
        <v>672</v>
      </c>
    </row>
    <row r="310" spans="1:72" ht="12.75" customHeight="1">
      <c r="A310" s="813" t="s">
        <v>832</v>
      </c>
      <c r="B310" s="820" t="s">
        <v>877</v>
      </c>
      <c r="C310" s="5">
        <v>0</v>
      </c>
      <c r="D310" s="5">
        <v>0</v>
      </c>
      <c r="E310" s="5">
        <v>0</v>
      </c>
      <c r="F310" s="5">
        <v>0</v>
      </c>
      <c r="G310" s="5">
        <v>0</v>
      </c>
      <c r="H310" s="5">
        <v>0</v>
      </c>
      <c r="I310" s="5">
        <v>0</v>
      </c>
      <c r="J310" s="5">
        <v>0</v>
      </c>
      <c r="K310" s="5">
        <v>0</v>
      </c>
      <c r="L310" s="5">
        <v>0</v>
      </c>
      <c r="M310" s="5">
        <v>0</v>
      </c>
      <c r="N310" s="5">
        <v>0</v>
      </c>
      <c r="O310" s="5">
        <v>0</v>
      </c>
      <c r="P310" s="5">
        <v>0</v>
      </c>
      <c r="Q310" s="5">
        <v>0</v>
      </c>
      <c r="R310" s="5">
        <v>0</v>
      </c>
      <c r="S310" s="5">
        <v>0</v>
      </c>
      <c r="T310" s="5">
        <v>0</v>
      </c>
      <c r="U310" s="5">
        <v>0</v>
      </c>
      <c r="V310" s="5">
        <v>0</v>
      </c>
      <c r="W310" s="5">
        <v>0</v>
      </c>
      <c r="X310" s="5">
        <v>0</v>
      </c>
      <c r="Y310" s="5">
        <v>0</v>
      </c>
      <c r="Z310" s="5">
        <v>0</v>
      </c>
      <c r="AA310" s="5">
        <v>0</v>
      </c>
      <c r="AB310" s="5">
        <v>0</v>
      </c>
      <c r="AC310" s="5">
        <v>0</v>
      </c>
      <c r="AD310" s="5">
        <v>0</v>
      </c>
      <c r="AE310" s="5">
        <v>0</v>
      </c>
      <c r="AF310" s="5">
        <v>0</v>
      </c>
      <c r="AG310" s="5">
        <v>0</v>
      </c>
      <c r="AH310" s="5">
        <v>0</v>
      </c>
      <c r="AI310" s="5">
        <v>0</v>
      </c>
      <c r="AJ310" s="5">
        <v>0</v>
      </c>
      <c r="AK310" s="5">
        <v>0</v>
      </c>
      <c r="AL310" s="5">
        <v>0</v>
      </c>
      <c r="AM310" s="5">
        <v>0</v>
      </c>
      <c r="AN310" s="5">
        <v>0</v>
      </c>
      <c r="AO310" s="5">
        <v>0</v>
      </c>
      <c r="AP310" s="816">
        <v>0</v>
      </c>
      <c r="AQ310" s="816">
        <v>0.6</v>
      </c>
      <c r="AR310" s="5">
        <v>0</v>
      </c>
      <c r="AS310" s="5">
        <v>0</v>
      </c>
      <c r="AT310" s="5">
        <v>0</v>
      </c>
      <c r="AU310" s="5">
        <v>0</v>
      </c>
      <c r="AV310" s="5">
        <v>0</v>
      </c>
      <c r="AW310" s="815">
        <v>0</v>
      </c>
      <c r="AX310" s="816">
        <v>0</v>
      </c>
      <c r="AY310" s="819">
        <v>0</v>
      </c>
      <c r="AZ310" s="816">
        <v>0</v>
      </c>
      <c r="BA310" s="818"/>
      <c r="BB310" s="802" t="str" cm="1">
        <f t="array" ref="BB310">INDEX(C$4:BA$4,MATCH(TRUE,INDEX(C310:BA310&lt;&gt;0,),0))</f>
        <v>2018-19</v>
      </c>
      <c r="BC310" s="803" t="str" cm="1">
        <f t="array" ref="BC310">LOOKUP(2,1/(C310:BA310&lt;&gt;0),$C$4:$BA$4)</f>
        <v>2018-19</v>
      </c>
      <c r="BD310" s="804">
        <f>COUNTIF(RDprograms[[#This Row],[1978-79]:[2028-29]], "&gt;0")</f>
        <v>1</v>
      </c>
      <c r="BE310" s="805">
        <f>SUM(C310:BA310)/RDprograms[[#This Row],[Years with &gt; $0 investment]]</f>
        <v>0.6</v>
      </c>
      <c r="BF310" s="806" t="s">
        <v>273</v>
      </c>
      <c r="BG310" s="807" t="s">
        <v>703</v>
      </c>
      <c r="BH310" s="847" t="s">
        <v>863</v>
      </c>
      <c r="BI310" s="809"/>
      <c r="BJ310" s="809"/>
      <c r="BK310" s="809"/>
      <c r="BL310" s="809"/>
      <c r="BM310" s="809"/>
      <c r="BN310" s="810"/>
      <c r="BO310" s="811" t="s">
        <v>236</v>
      </c>
      <c r="BP310" s="812" t="s">
        <v>878</v>
      </c>
      <c r="BQ310" s="812"/>
      <c r="BR310" s="812"/>
      <c r="BS310" s="812"/>
      <c r="BT310" s="812" t="s">
        <v>238</v>
      </c>
    </row>
    <row r="311" spans="1:72" ht="12.75" customHeight="1">
      <c r="A311" s="813" t="s">
        <v>832</v>
      </c>
      <c r="B311" s="820" t="s">
        <v>879</v>
      </c>
      <c r="C311" s="5">
        <v>0</v>
      </c>
      <c r="D311" s="5">
        <v>0</v>
      </c>
      <c r="E311" s="5">
        <v>0</v>
      </c>
      <c r="F311" s="5">
        <v>0</v>
      </c>
      <c r="G311" s="5">
        <v>0</v>
      </c>
      <c r="H311" s="5">
        <v>0</v>
      </c>
      <c r="I311" s="5">
        <v>0</v>
      </c>
      <c r="J311" s="5">
        <v>0</v>
      </c>
      <c r="K311" s="5">
        <v>0</v>
      </c>
      <c r="L311" s="5">
        <v>0</v>
      </c>
      <c r="M311" s="5">
        <v>0</v>
      </c>
      <c r="N311" s="5">
        <v>0</v>
      </c>
      <c r="O311" s="5">
        <v>0</v>
      </c>
      <c r="P311" s="5">
        <v>0</v>
      </c>
      <c r="Q311" s="5">
        <v>0.8</v>
      </c>
      <c r="R311" s="5">
        <v>0.8</v>
      </c>
      <c r="S311" s="5">
        <v>0.8</v>
      </c>
      <c r="T311" s="5">
        <v>0.9</v>
      </c>
      <c r="U311" s="5">
        <v>0.9</v>
      </c>
      <c r="V311" s="5">
        <v>0.9</v>
      </c>
      <c r="W311" s="5">
        <v>0</v>
      </c>
      <c r="X311" s="5">
        <v>0</v>
      </c>
      <c r="Y311" s="5">
        <v>0</v>
      </c>
      <c r="Z311" s="5">
        <v>0</v>
      </c>
      <c r="AA311" s="5">
        <v>0</v>
      </c>
      <c r="AB311" s="5">
        <v>0</v>
      </c>
      <c r="AC311" s="5">
        <v>0</v>
      </c>
      <c r="AD311" s="5">
        <v>0</v>
      </c>
      <c r="AE311" s="5">
        <v>0</v>
      </c>
      <c r="AF311" s="5">
        <v>2.1</v>
      </c>
      <c r="AG311" s="5">
        <v>4.3</v>
      </c>
      <c r="AH311" s="5">
        <v>2</v>
      </c>
      <c r="AI311" s="5">
        <v>2</v>
      </c>
      <c r="AJ311" s="5">
        <v>2</v>
      </c>
      <c r="AK311" s="5">
        <v>1.9419999999999999</v>
      </c>
      <c r="AL311" s="5">
        <v>1.93</v>
      </c>
      <c r="AM311" s="5">
        <v>1.899</v>
      </c>
      <c r="AN311" s="5">
        <v>1.8280000000000001</v>
      </c>
      <c r="AO311" s="5">
        <v>1.722</v>
      </c>
      <c r="AP311" s="816">
        <v>1.6890000000000001</v>
      </c>
      <c r="AQ311" s="816">
        <v>1.671</v>
      </c>
      <c r="AR311" s="5">
        <v>1.66</v>
      </c>
      <c r="AS311" s="5">
        <v>1.667</v>
      </c>
      <c r="AT311" s="5">
        <v>1.669</v>
      </c>
      <c r="AU311" s="5">
        <v>1.651</v>
      </c>
      <c r="AV311" s="5">
        <v>1.7050000000000001</v>
      </c>
      <c r="AW311" s="815">
        <v>1.7410000000000001</v>
      </c>
      <c r="AX311" s="816">
        <v>1.7430000000000001</v>
      </c>
      <c r="AY311" s="819">
        <v>1.7729999999999999</v>
      </c>
      <c r="AZ311" s="816">
        <v>1.7470000000000001</v>
      </c>
      <c r="BA311" s="818">
        <v>1.7170000000000001</v>
      </c>
      <c r="BB311" s="802" t="str" cm="1">
        <f t="array" ref="BB311">INDEX(C$4:BA$4,MATCH(TRUE,INDEX(C311:BA311&lt;&gt;0,),0))</f>
        <v>1992-93</v>
      </c>
      <c r="BC311" s="803" t="str" cm="1">
        <f t="array" ref="BC311">LOOKUP(2,1/(C311:BA311&lt;&gt;0),$C$4:$BA$4)</f>
        <v>2028-29</v>
      </c>
      <c r="BD311" s="804">
        <f>COUNTIF(RDprograms[[#This Row],[1978-79]:[2028-29]], "&gt;0")</f>
        <v>28</v>
      </c>
      <c r="BE311" s="805">
        <f>SUM(C311:BA311)/RDprograms[[#This Row],[Years with &gt; $0 investment]]</f>
        <v>1.6876428571428572</v>
      </c>
      <c r="BF311" s="806" t="s">
        <v>273</v>
      </c>
      <c r="BG311" s="807" t="s">
        <v>703</v>
      </c>
      <c r="BH311" s="847" t="s">
        <v>258</v>
      </c>
      <c r="BI311" s="809"/>
      <c r="BJ311" s="809">
        <v>1</v>
      </c>
      <c r="BK311" s="809"/>
      <c r="BL311" s="809"/>
      <c r="BM311" s="809"/>
      <c r="BN311" s="810"/>
      <c r="BO311" s="811" t="s">
        <v>236</v>
      </c>
      <c r="BP311" s="812" t="s">
        <v>880</v>
      </c>
      <c r="BQ311" s="812"/>
      <c r="BR311" s="812"/>
      <c r="BS311" s="812"/>
      <c r="BT311" s="812" t="s">
        <v>238</v>
      </c>
    </row>
    <row r="312" spans="1:72" ht="12.75" customHeight="1">
      <c r="A312" s="813" t="s">
        <v>832</v>
      </c>
      <c r="B312" s="820" t="s">
        <v>881</v>
      </c>
      <c r="C312" s="5">
        <v>0</v>
      </c>
      <c r="D312" s="5">
        <v>0</v>
      </c>
      <c r="E312" s="5">
        <v>0</v>
      </c>
      <c r="F312" s="5">
        <v>0</v>
      </c>
      <c r="G312" s="5">
        <v>0</v>
      </c>
      <c r="H312" s="5">
        <v>0</v>
      </c>
      <c r="I312" s="5">
        <v>0</v>
      </c>
      <c r="J312" s="5">
        <v>0</v>
      </c>
      <c r="K312" s="5">
        <v>0</v>
      </c>
      <c r="L312" s="5">
        <v>0</v>
      </c>
      <c r="M312" s="5">
        <v>0</v>
      </c>
      <c r="N312" s="5">
        <v>0</v>
      </c>
      <c r="O312" s="5">
        <v>0</v>
      </c>
      <c r="P312" s="5">
        <v>0</v>
      </c>
      <c r="Q312" s="5">
        <v>0</v>
      </c>
      <c r="R312" s="5">
        <v>0</v>
      </c>
      <c r="S312" s="5">
        <v>0</v>
      </c>
      <c r="T312" s="5">
        <v>0</v>
      </c>
      <c r="U312" s="5">
        <v>0</v>
      </c>
      <c r="V312" s="5">
        <v>0</v>
      </c>
      <c r="W312" s="5">
        <v>0</v>
      </c>
      <c r="X312" s="5">
        <v>0</v>
      </c>
      <c r="Y312" s="5">
        <v>0</v>
      </c>
      <c r="Z312" s="5">
        <v>0</v>
      </c>
      <c r="AA312" s="5">
        <v>0</v>
      </c>
      <c r="AB312" s="5">
        <v>0</v>
      </c>
      <c r="AC312" s="5">
        <v>0</v>
      </c>
      <c r="AD312" s="5">
        <v>0</v>
      </c>
      <c r="AE312" s="5">
        <v>0</v>
      </c>
      <c r="AF312" s="5">
        <v>0</v>
      </c>
      <c r="AG312" s="5">
        <v>0</v>
      </c>
      <c r="AH312" s="5">
        <v>0</v>
      </c>
      <c r="AI312" s="5">
        <v>0</v>
      </c>
      <c r="AJ312" s="5">
        <v>0</v>
      </c>
      <c r="AK312" s="5">
        <v>0</v>
      </c>
      <c r="AL312" s="5">
        <v>0</v>
      </c>
      <c r="AM312" s="5">
        <v>0</v>
      </c>
      <c r="AN312" s="5">
        <v>0</v>
      </c>
      <c r="AO312" s="5">
        <v>0.19400000000000001</v>
      </c>
      <c r="AP312" s="816">
        <v>0</v>
      </c>
      <c r="AQ312" s="816">
        <v>0</v>
      </c>
      <c r="AR312" s="5">
        <v>0</v>
      </c>
      <c r="AS312" s="5">
        <v>0</v>
      </c>
      <c r="AT312" s="5">
        <v>0</v>
      </c>
      <c r="AU312" s="5">
        <v>0</v>
      </c>
      <c r="AV312" s="5">
        <v>0</v>
      </c>
      <c r="AW312" s="815">
        <v>0</v>
      </c>
      <c r="AX312" s="816">
        <v>0</v>
      </c>
      <c r="AY312" s="819">
        <v>0</v>
      </c>
      <c r="AZ312" s="816">
        <v>0</v>
      </c>
      <c r="BA312" s="818"/>
      <c r="BB312" s="802" t="str" cm="1">
        <f t="array" ref="BB312">INDEX(C$4:BA$4,MATCH(TRUE,INDEX(C312:BA312&lt;&gt;0,),0))</f>
        <v>2016-17</v>
      </c>
      <c r="BC312" s="803" t="str" cm="1">
        <f t="array" ref="BC312">LOOKUP(2,1/(C312:BA312&lt;&gt;0),$C$4:$BA$4)</f>
        <v>2016-17</v>
      </c>
      <c r="BD312" s="804">
        <f>COUNTIF(RDprograms[[#This Row],[1978-79]:[2028-29]], "&gt;0")</f>
        <v>1</v>
      </c>
      <c r="BE312" s="805">
        <f>SUM(C312:BA312)/RDprograms[[#This Row],[Years with &gt; $0 investment]]</f>
        <v>0.19400000000000001</v>
      </c>
      <c r="BF312" s="806" t="s">
        <v>273</v>
      </c>
      <c r="BG312" s="807" t="s">
        <v>703</v>
      </c>
      <c r="BH312" s="847" t="s">
        <v>258</v>
      </c>
      <c r="BI312" s="809"/>
      <c r="BJ312" s="809"/>
      <c r="BK312" s="809"/>
      <c r="BL312" s="809"/>
      <c r="BM312" s="809"/>
      <c r="BN312" s="810"/>
      <c r="BO312" s="811" t="s">
        <v>236</v>
      </c>
      <c r="BP312" s="812" t="s">
        <v>882</v>
      </c>
      <c r="BQ312" s="812"/>
      <c r="BR312" s="812"/>
      <c r="BS312" s="812"/>
      <c r="BT312" s="812" t="s">
        <v>672</v>
      </c>
    </row>
    <row r="313" spans="1:72" ht="12.75" customHeight="1">
      <c r="A313" s="813" t="s">
        <v>832</v>
      </c>
      <c r="B313" s="820" t="s">
        <v>883</v>
      </c>
      <c r="C313" s="5">
        <v>0</v>
      </c>
      <c r="D313" s="5">
        <v>0</v>
      </c>
      <c r="E313" s="5">
        <v>0</v>
      </c>
      <c r="F313" s="5">
        <v>0</v>
      </c>
      <c r="G313" s="5">
        <v>0</v>
      </c>
      <c r="H313" s="5">
        <v>0</v>
      </c>
      <c r="I313" s="5">
        <v>0</v>
      </c>
      <c r="J313" s="5">
        <v>0</v>
      </c>
      <c r="K313" s="5">
        <v>0</v>
      </c>
      <c r="L313" s="5">
        <v>0</v>
      </c>
      <c r="M313" s="5">
        <v>0</v>
      </c>
      <c r="N313" s="5">
        <v>0</v>
      </c>
      <c r="O313" s="5">
        <v>0</v>
      </c>
      <c r="P313" s="5">
        <v>0</v>
      </c>
      <c r="Q313" s="5">
        <v>0</v>
      </c>
      <c r="R313" s="5">
        <v>0</v>
      </c>
      <c r="S313" s="5">
        <v>0</v>
      </c>
      <c r="T313" s="5">
        <v>0</v>
      </c>
      <c r="U313" s="5">
        <v>0</v>
      </c>
      <c r="V313" s="5">
        <v>0</v>
      </c>
      <c r="W313" s="5">
        <v>0</v>
      </c>
      <c r="X313" s="5">
        <v>0</v>
      </c>
      <c r="Y313" s="5">
        <v>0</v>
      </c>
      <c r="Z313" s="5">
        <v>0</v>
      </c>
      <c r="AA313" s="5">
        <v>0</v>
      </c>
      <c r="AB313" s="5">
        <v>0</v>
      </c>
      <c r="AC313" s="5">
        <v>0</v>
      </c>
      <c r="AD313" s="5">
        <v>0</v>
      </c>
      <c r="AE313" s="5">
        <v>0</v>
      </c>
      <c r="AF313" s="5">
        <v>0</v>
      </c>
      <c r="AG313" s="5">
        <v>0</v>
      </c>
      <c r="AH313" s="5">
        <v>0</v>
      </c>
      <c r="AI313" s="5">
        <v>0</v>
      </c>
      <c r="AJ313" s="5">
        <v>0</v>
      </c>
      <c r="AK313" s="5">
        <v>0</v>
      </c>
      <c r="AL313" s="5">
        <v>0</v>
      </c>
      <c r="AM313" s="5">
        <v>0</v>
      </c>
      <c r="AN313" s="5">
        <v>0</v>
      </c>
      <c r="AO313" s="5">
        <v>0</v>
      </c>
      <c r="AP313" s="816">
        <v>0</v>
      </c>
      <c r="AQ313" s="816">
        <v>0</v>
      </c>
      <c r="AR313" s="5">
        <v>0</v>
      </c>
      <c r="AS313" s="5">
        <v>0.43</v>
      </c>
      <c r="AT313" s="5">
        <v>0.433</v>
      </c>
      <c r="AU313" s="5">
        <v>0.436</v>
      </c>
      <c r="AV313" s="5">
        <v>0.42799999999999999</v>
      </c>
      <c r="AW313" s="815">
        <v>0.435</v>
      </c>
      <c r="AX313" s="816">
        <v>0.441</v>
      </c>
      <c r="AY313" s="819">
        <v>0.44900000000000001</v>
      </c>
      <c r="AZ313" s="816">
        <v>0.44800000000000001</v>
      </c>
      <c r="BA313" s="818">
        <v>0.44700000000000001</v>
      </c>
      <c r="BB313" s="802" t="str" cm="1">
        <f t="array" ref="BB313">INDEX(C$4:BA$4,MATCH(TRUE,INDEX(C313:BA313&lt;&gt;0,),0))</f>
        <v>2020-21</v>
      </c>
      <c r="BC313" s="803" t="str" cm="1">
        <f t="array" ref="BC313">LOOKUP(2,1/(C313:BA313&lt;&gt;0),$C$4:$BA$4)</f>
        <v>2028-29</v>
      </c>
      <c r="BD313" s="804">
        <f>COUNTIF(RDprograms[[#This Row],[1978-79]:[2028-29]], "&gt;0")</f>
        <v>9</v>
      </c>
      <c r="BE313" s="805">
        <f>SUM(C313:BA313)/RDprograms[[#This Row],[Years with &gt; $0 investment]]</f>
        <v>0.43855555555555553</v>
      </c>
      <c r="BF313" s="806" t="s">
        <v>273</v>
      </c>
      <c r="BG313" s="807" t="s">
        <v>703</v>
      </c>
      <c r="BH313" s="847" t="s">
        <v>258</v>
      </c>
      <c r="BI313" s="809"/>
      <c r="BJ313" s="809">
        <v>1</v>
      </c>
      <c r="BK313" s="809"/>
      <c r="BL313" s="809"/>
      <c r="BM313" s="809"/>
      <c r="BN313" s="810"/>
      <c r="BO313" s="811" t="s">
        <v>236</v>
      </c>
      <c r="BP313" s="812" t="s">
        <v>884</v>
      </c>
      <c r="BQ313" s="812"/>
      <c r="BR313" s="812"/>
      <c r="BS313" s="812"/>
      <c r="BT313" s="812" t="s">
        <v>672</v>
      </c>
    </row>
    <row r="314" spans="1:72" ht="12.75" customHeight="1">
      <c r="A314" s="813" t="s">
        <v>832</v>
      </c>
      <c r="B314" s="820" t="s">
        <v>885</v>
      </c>
      <c r="C314" s="5">
        <v>0</v>
      </c>
      <c r="D314" s="5">
        <v>0</v>
      </c>
      <c r="E314" s="5">
        <v>0</v>
      </c>
      <c r="F314" s="5">
        <v>0</v>
      </c>
      <c r="G314" s="5">
        <v>0</v>
      </c>
      <c r="H314" s="5">
        <v>0</v>
      </c>
      <c r="I314" s="5">
        <v>0</v>
      </c>
      <c r="J314" s="5">
        <v>0</v>
      </c>
      <c r="K314" s="5">
        <v>0</v>
      </c>
      <c r="L314" s="5">
        <v>0</v>
      </c>
      <c r="M314" s="5">
        <v>0</v>
      </c>
      <c r="N314" s="5">
        <v>0</v>
      </c>
      <c r="O314" s="5">
        <v>0</v>
      </c>
      <c r="P314" s="5">
        <v>0</v>
      </c>
      <c r="Q314" s="5">
        <v>0</v>
      </c>
      <c r="R314" s="5">
        <v>0</v>
      </c>
      <c r="S314" s="5">
        <v>0</v>
      </c>
      <c r="T314" s="5">
        <v>0</v>
      </c>
      <c r="U314" s="5">
        <v>0</v>
      </c>
      <c r="V314" s="5">
        <v>0</v>
      </c>
      <c r="W314" s="5">
        <v>0</v>
      </c>
      <c r="X314" s="5">
        <v>0</v>
      </c>
      <c r="Y314" s="5">
        <v>0</v>
      </c>
      <c r="Z314" s="5">
        <v>0</v>
      </c>
      <c r="AA314" s="5">
        <v>0</v>
      </c>
      <c r="AB314" s="5">
        <v>0</v>
      </c>
      <c r="AC314" s="5">
        <v>0</v>
      </c>
      <c r="AD314" s="5">
        <v>0</v>
      </c>
      <c r="AE314" s="5">
        <v>0</v>
      </c>
      <c r="AF314" s="5">
        <v>0</v>
      </c>
      <c r="AG314" s="5">
        <v>0</v>
      </c>
      <c r="AH314" s="5">
        <v>0</v>
      </c>
      <c r="AI314" s="5">
        <v>0</v>
      </c>
      <c r="AJ314" s="5">
        <v>0</v>
      </c>
      <c r="AK314" s="5">
        <v>0</v>
      </c>
      <c r="AL314" s="5">
        <v>8.5999999999999993E-2</v>
      </c>
      <c r="AM314" s="5">
        <v>0.33</v>
      </c>
      <c r="AN314" s="5">
        <v>0.32700000000000001</v>
      </c>
      <c r="AO314" s="5">
        <v>0.254</v>
      </c>
      <c r="AP314" s="816">
        <v>0.41199999999999998</v>
      </c>
      <c r="AQ314" s="816">
        <v>0.41199999999999998</v>
      </c>
      <c r="AR314" s="5">
        <v>2.1840000000000002</v>
      </c>
      <c r="AS314" s="5">
        <v>1.0660000000000001</v>
      </c>
      <c r="AT314" s="5">
        <v>1.27</v>
      </c>
      <c r="AU314" s="5">
        <v>0.77100000000000002</v>
      </c>
      <c r="AV314" s="5">
        <v>0.77100000000000002</v>
      </c>
      <c r="AW314" s="815">
        <v>1.9</v>
      </c>
      <c r="AX314" s="816">
        <v>1.9</v>
      </c>
      <c r="AY314" s="819">
        <v>0.71099999999999997</v>
      </c>
      <c r="AZ314" s="816">
        <v>0.71099999999999997</v>
      </c>
      <c r="BA314" s="818">
        <v>0.71099999999999997</v>
      </c>
      <c r="BB314" s="802" t="str" cm="1">
        <f t="array" ref="BB314">INDEX(C$4:BA$4,MATCH(TRUE,INDEX(C314:BA314&lt;&gt;0,),0))</f>
        <v>2013-14</v>
      </c>
      <c r="BC314" s="803" t="str" cm="1">
        <f t="array" ref="BC314">LOOKUP(2,1/(C314:BA314&lt;&gt;0),$C$4:$BA$4)</f>
        <v>2028-29</v>
      </c>
      <c r="BD314" s="804">
        <f>COUNTIF(RDprograms[[#This Row],[1978-79]:[2028-29]], "&gt;0")</f>
        <v>16</v>
      </c>
      <c r="BE314" s="805">
        <f>SUM(C314:BA314)/RDprograms[[#This Row],[Years with &gt; $0 investment]]</f>
        <v>0.86350000000000005</v>
      </c>
      <c r="BF314" s="806" t="s">
        <v>240</v>
      </c>
      <c r="BG314" s="807" t="s">
        <v>703</v>
      </c>
      <c r="BH314" s="847" t="s">
        <v>834</v>
      </c>
      <c r="BI314" s="809"/>
      <c r="BJ314" s="809">
        <v>1</v>
      </c>
      <c r="BK314" s="809"/>
      <c r="BL314" s="809"/>
      <c r="BM314" s="809"/>
      <c r="BN314" s="810"/>
      <c r="BO314" s="811" t="s">
        <v>236</v>
      </c>
      <c r="BP314" s="812" t="s">
        <v>886</v>
      </c>
      <c r="BQ314" s="812"/>
      <c r="BR314" s="812" t="s">
        <v>887</v>
      </c>
      <c r="BS314" s="812"/>
      <c r="BT314" s="812" t="s">
        <v>238</v>
      </c>
    </row>
    <row r="315" spans="1:72" ht="12.75" customHeight="1">
      <c r="A315" s="813" t="s">
        <v>832</v>
      </c>
      <c r="B315" s="820" t="s">
        <v>888</v>
      </c>
      <c r="C315" s="5">
        <v>0</v>
      </c>
      <c r="D315" s="5">
        <v>0</v>
      </c>
      <c r="E315" s="5">
        <v>0</v>
      </c>
      <c r="F315" s="5">
        <v>0</v>
      </c>
      <c r="G315" s="5">
        <v>0</v>
      </c>
      <c r="H315" s="5">
        <v>0</v>
      </c>
      <c r="I315" s="5">
        <v>0</v>
      </c>
      <c r="J315" s="5">
        <v>0</v>
      </c>
      <c r="K315" s="5">
        <v>0</v>
      </c>
      <c r="L315" s="5">
        <v>0</v>
      </c>
      <c r="M315" s="5">
        <v>0</v>
      </c>
      <c r="N315" s="5">
        <v>0</v>
      </c>
      <c r="O315" s="5">
        <v>0</v>
      </c>
      <c r="P315" s="5">
        <v>0</v>
      </c>
      <c r="Q315" s="5">
        <v>0</v>
      </c>
      <c r="R315" s="5">
        <v>0</v>
      </c>
      <c r="S315" s="5">
        <v>0</v>
      </c>
      <c r="T315" s="5">
        <v>0</v>
      </c>
      <c r="U315" s="5">
        <v>0</v>
      </c>
      <c r="V315" s="5">
        <v>0</v>
      </c>
      <c r="W315" s="5">
        <v>0</v>
      </c>
      <c r="X315" s="5">
        <v>0</v>
      </c>
      <c r="Y315" s="5">
        <v>0</v>
      </c>
      <c r="Z315" s="5">
        <v>0</v>
      </c>
      <c r="AA315" s="5">
        <v>0</v>
      </c>
      <c r="AB315" s="5">
        <v>0</v>
      </c>
      <c r="AC315" s="5">
        <v>0</v>
      </c>
      <c r="AD315" s="5">
        <v>0</v>
      </c>
      <c r="AE315" s="5">
        <v>0</v>
      </c>
      <c r="AF315" s="5">
        <v>0</v>
      </c>
      <c r="AG315" s="5">
        <v>0</v>
      </c>
      <c r="AH315" s="5">
        <v>1.7889999999999999</v>
      </c>
      <c r="AI315" s="5">
        <v>2.2170000000000001</v>
      </c>
      <c r="AJ315" s="5">
        <v>2.0979999999999999</v>
      </c>
      <c r="AK315" s="5">
        <v>2.9980000000000002</v>
      </c>
      <c r="AL315" s="5">
        <v>0.249</v>
      </c>
      <c r="AM315" s="5">
        <v>0.35199999999999998</v>
      </c>
      <c r="AN315" s="5">
        <v>0.39100000000000001</v>
      </c>
      <c r="AO315" s="5">
        <v>0.47899999999999998</v>
      </c>
      <c r="AP315" s="816">
        <v>0.49199999999999999</v>
      </c>
      <c r="AQ315" s="816">
        <v>0.49199999999999999</v>
      </c>
      <c r="AR315" s="5">
        <v>0</v>
      </c>
      <c r="AS315" s="5">
        <v>0.6</v>
      </c>
      <c r="AT315" s="5">
        <v>1.4</v>
      </c>
      <c r="AU315" s="5">
        <v>1.4</v>
      </c>
      <c r="AV315" s="5">
        <v>1.4</v>
      </c>
      <c r="AW315" s="815">
        <v>1.5009999999999999</v>
      </c>
      <c r="AX315" s="816">
        <v>1.5009999999999999</v>
      </c>
      <c r="AY315" s="819">
        <v>0</v>
      </c>
      <c r="AZ315" s="816"/>
      <c r="BA315" s="818"/>
      <c r="BB315" s="802" t="str" cm="1">
        <f t="array" ref="BB315">INDEX(C$4:BA$4,MATCH(TRUE,INDEX(C315:BA315&lt;&gt;0,),0))</f>
        <v>2009-10</v>
      </c>
      <c r="BC315" s="803" t="str" cm="1">
        <f t="array" ref="BC315">LOOKUP(2,1/(C315:BA315&lt;&gt;0),$C$4:$BA$4)</f>
        <v>2025-26</v>
      </c>
      <c r="BD315" s="804">
        <f>COUNTIF(RDprograms[[#This Row],[1978-79]:[2028-29]], "&gt;0")</f>
        <v>16</v>
      </c>
      <c r="BE315" s="805">
        <f>SUM(C315:BA315)/RDprograms[[#This Row],[Years with &gt; $0 investment]]</f>
        <v>1.2099375000000003</v>
      </c>
      <c r="BF315" s="806" t="s">
        <v>240</v>
      </c>
      <c r="BG315" s="807" t="s">
        <v>703</v>
      </c>
      <c r="BH315" s="847" t="s">
        <v>258</v>
      </c>
      <c r="BI315" s="809"/>
      <c r="BJ315" s="809">
        <v>1</v>
      </c>
      <c r="BK315" s="809"/>
      <c r="BL315" s="809"/>
      <c r="BM315" s="809"/>
      <c r="BN315" s="810"/>
      <c r="BO315" s="811" t="s">
        <v>236</v>
      </c>
      <c r="BP315" s="812" t="s">
        <v>889</v>
      </c>
      <c r="BQ315" s="812" t="s">
        <v>890</v>
      </c>
      <c r="BR315" s="812" t="s">
        <v>887</v>
      </c>
      <c r="BS315" s="812"/>
      <c r="BT315" s="812" t="s">
        <v>238</v>
      </c>
    </row>
    <row r="316" spans="1:72" ht="12.75" customHeight="1">
      <c r="A316" s="813" t="s">
        <v>832</v>
      </c>
      <c r="B316" s="820" t="s">
        <v>891</v>
      </c>
      <c r="C316" s="5">
        <v>0</v>
      </c>
      <c r="D316" s="5">
        <v>0</v>
      </c>
      <c r="E316" s="5">
        <v>0</v>
      </c>
      <c r="F316" s="5">
        <v>0</v>
      </c>
      <c r="G316" s="5">
        <v>0</v>
      </c>
      <c r="H316" s="5">
        <v>0</v>
      </c>
      <c r="I316" s="5">
        <v>0</v>
      </c>
      <c r="J316" s="5">
        <v>0</v>
      </c>
      <c r="K316" s="5">
        <v>0</v>
      </c>
      <c r="L316" s="5">
        <v>0</v>
      </c>
      <c r="M316" s="5">
        <v>0</v>
      </c>
      <c r="N316" s="5">
        <v>0</v>
      </c>
      <c r="O316" s="5">
        <v>0</v>
      </c>
      <c r="P316" s="5">
        <v>0</v>
      </c>
      <c r="Q316" s="5">
        <v>0</v>
      </c>
      <c r="R316" s="5">
        <v>0</v>
      </c>
      <c r="S316" s="5">
        <v>0</v>
      </c>
      <c r="T316" s="5">
        <v>0</v>
      </c>
      <c r="U316" s="5">
        <v>0</v>
      </c>
      <c r="V316" s="5">
        <v>0</v>
      </c>
      <c r="W316" s="5">
        <v>0</v>
      </c>
      <c r="X316" s="5">
        <v>0</v>
      </c>
      <c r="Y316" s="5">
        <v>0</v>
      </c>
      <c r="Z316" s="5">
        <v>0</v>
      </c>
      <c r="AA316" s="5">
        <v>0</v>
      </c>
      <c r="AB316" s="5">
        <v>0</v>
      </c>
      <c r="AC316" s="5">
        <v>0</v>
      </c>
      <c r="AD316" s="5">
        <v>0</v>
      </c>
      <c r="AE316" s="5">
        <v>0</v>
      </c>
      <c r="AF316" s="5">
        <v>0</v>
      </c>
      <c r="AG316" s="5">
        <v>0</v>
      </c>
      <c r="AH316" s="5">
        <v>0</v>
      </c>
      <c r="AI316" s="5">
        <v>0</v>
      </c>
      <c r="AJ316" s="5">
        <v>0.3</v>
      </c>
      <c r="AK316" s="5">
        <v>0.315</v>
      </c>
      <c r="AL316" s="5">
        <v>0.33</v>
      </c>
      <c r="AM316" s="5">
        <v>0.34499999999999997</v>
      </c>
      <c r="AN316" s="5">
        <v>0.34200000000000003</v>
      </c>
      <c r="AO316" s="5">
        <v>0</v>
      </c>
      <c r="AP316" s="5">
        <v>0</v>
      </c>
      <c r="AQ316" s="5">
        <v>0</v>
      </c>
      <c r="AR316" s="5">
        <v>0</v>
      </c>
      <c r="AS316" s="5">
        <v>0</v>
      </c>
      <c r="AT316" s="5">
        <v>0</v>
      </c>
      <c r="AU316" s="5">
        <v>0</v>
      </c>
      <c r="AV316" s="5">
        <v>0</v>
      </c>
      <c r="AW316" s="815">
        <v>0</v>
      </c>
      <c r="AX316" s="816">
        <v>0</v>
      </c>
      <c r="AY316" s="819">
        <v>0</v>
      </c>
      <c r="AZ316" s="816"/>
      <c r="BA316" s="818"/>
      <c r="BB316" s="802" t="str" cm="1">
        <f t="array" ref="BB316">INDEX(C$4:BA$4,MATCH(TRUE,INDEX(C316:BA316&lt;&gt;0,),0))</f>
        <v>2011-12</v>
      </c>
      <c r="BC316" s="803" t="str" cm="1">
        <f t="array" ref="BC316">LOOKUP(2,1/(C316:BA316&lt;&gt;0),$C$4:$BA$4)</f>
        <v>2015-16</v>
      </c>
      <c r="BD316" s="804">
        <f>COUNTIF(RDprograms[[#This Row],[1978-79]:[2028-29]], "&gt;0")</f>
        <v>5</v>
      </c>
      <c r="BE316" s="805">
        <f>SUM(C316:BA316)/RDprograms[[#This Row],[Years with &gt; $0 investment]]</f>
        <v>0.32640000000000002</v>
      </c>
      <c r="BF316" s="806" t="s">
        <v>273</v>
      </c>
      <c r="BG316" s="807" t="s">
        <v>703</v>
      </c>
      <c r="BH316" s="847" t="s">
        <v>834</v>
      </c>
      <c r="BI316" s="809"/>
      <c r="BJ316" s="809"/>
      <c r="BK316" s="809"/>
      <c r="BL316" s="809"/>
      <c r="BM316" s="809"/>
      <c r="BN316" s="810"/>
      <c r="BO316" s="811" t="s">
        <v>236</v>
      </c>
      <c r="BP316" s="812"/>
      <c r="BQ316" s="812" t="s">
        <v>892</v>
      </c>
      <c r="BR316" s="812"/>
      <c r="BS316" s="812"/>
      <c r="BT316" s="812" t="s">
        <v>238</v>
      </c>
    </row>
    <row r="317" spans="1:72" ht="12.75" customHeight="1">
      <c r="A317" s="813" t="s">
        <v>832</v>
      </c>
      <c r="B317" s="820" t="s">
        <v>893</v>
      </c>
      <c r="C317" s="5">
        <v>0</v>
      </c>
      <c r="D317" s="5">
        <v>0</v>
      </c>
      <c r="E317" s="5">
        <v>0</v>
      </c>
      <c r="F317" s="5">
        <v>0</v>
      </c>
      <c r="G317" s="5">
        <v>0</v>
      </c>
      <c r="H317" s="5">
        <v>0</v>
      </c>
      <c r="I317" s="5">
        <v>0</v>
      </c>
      <c r="J317" s="5">
        <v>0</v>
      </c>
      <c r="K317" s="5">
        <v>0</v>
      </c>
      <c r="L317" s="5">
        <v>0</v>
      </c>
      <c r="M317" s="5">
        <v>0</v>
      </c>
      <c r="N317" s="5">
        <v>0</v>
      </c>
      <c r="O317" s="5">
        <v>0</v>
      </c>
      <c r="P317" s="5">
        <v>0</v>
      </c>
      <c r="Q317" s="5">
        <v>0</v>
      </c>
      <c r="R317" s="5">
        <v>0</v>
      </c>
      <c r="S317" s="5">
        <v>0</v>
      </c>
      <c r="T317" s="5">
        <v>0</v>
      </c>
      <c r="U317" s="5">
        <v>0</v>
      </c>
      <c r="V317" s="5">
        <v>0</v>
      </c>
      <c r="W317" s="5">
        <v>0</v>
      </c>
      <c r="X317" s="5">
        <v>0</v>
      </c>
      <c r="Y317" s="5">
        <v>0</v>
      </c>
      <c r="Z317" s="5">
        <v>0</v>
      </c>
      <c r="AA317" s="5">
        <v>0</v>
      </c>
      <c r="AB317" s="5">
        <v>0</v>
      </c>
      <c r="AC317" s="5">
        <v>0</v>
      </c>
      <c r="AD317" s="5">
        <v>0</v>
      </c>
      <c r="AE317" s="5">
        <v>0</v>
      </c>
      <c r="AF317" s="5">
        <v>0</v>
      </c>
      <c r="AG317" s="5">
        <v>0</v>
      </c>
      <c r="AH317" s="5">
        <v>0</v>
      </c>
      <c r="AI317" s="5">
        <v>0</v>
      </c>
      <c r="AJ317" s="5">
        <v>0</v>
      </c>
      <c r="AK317" s="5">
        <v>0</v>
      </c>
      <c r="AL317" s="5">
        <v>0</v>
      </c>
      <c r="AM317" s="5">
        <v>0</v>
      </c>
      <c r="AN317" s="5">
        <v>0</v>
      </c>
      <c r="AO317" s="5">
        <v>5.8090000000000002</v>
      </c>
      <c r="AP317" s="816">
        <v>16.032</v>
      </c>
      <c r="AQ317" s="816">
        <v>35.378</v>
      </c>
      <c r="AR317" s="5">
        <v>18.370999999999999</v>
      </c>
      <c r="AS317" s="5">
        <v>34.097999999999999</v>
      </c>
      <c r="AT317" s="5">
        <v>29.42</v>
      </c>
      <c r="AU317" s="5">
        <v>29.023</v>
      </c>
      <c r="AV317" s="5">
        <v>14.39</v>
      </c>
      <c r="AW317" s="815">
        <v>8.7949999999999999</v>
      </c>
      <c r="AX317" s="816">
        <v>0</v>
      </c>
      <c r="AY317" s="819">
        <v>0</v>
      </c>
      <c r="AZ317" s="816"/>
      <c r="BA317" s="818"/>
      <c r="BB317" s="802" t="str" cm="1">
        <f t="array" ref="BB317">INDEX(C$4:BA$4,MATCH(TRUE,INDEX(C317:BA317&lt;&gt;0,),0))</f>
        <v>2016-17</v>
      </c>
      <c r="BC317" s="803" t="str" cm="1">
        <f t="array" ref="BC317">LOOKUP(2,1/(C317:BA317&lt;&gt;0),$C$4:$BA$4)</f>
        <v>2024-25</v>
      </c>
      <c r="BD317" s="804">
        <f>COUNTIF(RDprograms[[#This Row],[1978-79]:[2028-29]], "&gt;0")</f>
        <v>9</v>
      </c>
      <c r="BE317" s="805">
        <f>SUM(C317:BA317)/RDprograms[[#This Row],[Years with &gt; $0 investment]]</f>
        <v>21.257333333333335</v>
      </c>
      <c r="BF317" s="806" t="s">
        <v>273</v>
      </c>
      <c r="BG317" s="807" t="s">
        <v>703</v>
      </c>
      <c r="BH317" s="847" t="s">
        <v>834</v>
      </c>
      <c r="BI317" s="809"/>
      <c r="BJ317" s="809"/>
      <c r="BK317" s="809"/>
      <c r="BL317" s="809"/>
      <c r="BM317" s="809"/>
      <c r="BN317" s="810"/>
      <c r="BO317" s="811" t="s">
        <v>236</v>
      </c>
      <c r="BP317" s="812" t="s">
        <v>894</v>
      </c>
      <c r="BQ317" s="852" t="s">
        <v>895</v>
      </c>
      <c r="BR317" s="812" t="s">
        <v>896</v>
      </c>
      <c r="BS317" s="812" t="s">
        <v>280</v>
      </c>
      <c r="BT317" s="812" t="s">
        <v>425</v>
      </c>
    </row>
    <row r="318" spans="1:72" ht="12.75" customHeight="1">
      <c r="A318" s="813" t="s">
        <v>832</v>
      </c>
      <c r="B318" s="820" t="s">
        <v>897</v>
      </c>
      <c r="C318" s="5">
        <v>0</v>
      </c>
      <c r="D318" s="5">
        <v>0</v>
      </c>
      <c r="E318" s="5">
        <v>0</v>
      </c>
      <c r="F318" s="5">
        <v>0</v>
      </c>
      <c r="G318" s="5">
        <v>0</v>
      </c>
      <c r="H318" s="5">
        <v>0</v>
      </c>
      <c r="I318" s="5">
        <v>0</v>
      </c>
      <c r="J318" s="5">
        <v>0</v>
      </c>
      <c r="K318" s="5">
        <v>0</v>
      </c>
      <c r="L318" s="5">
        <v>0</v>
      </c>
      <c r="M318" s="5">
        <v>0</v>
      </c>
      <c r="N318" s="5">
        <v>0</v>
      </c>
      <c r="O318" s="5">
        <v>0</v>
      </c>
      <c r="P318" s="5">
        <v>0</v>
      </c>
      <c r="Q318" s="5">
        <v>0</v>
      </c>
      <c r="R318" s="5">
        <v>0</v>
      </c>
      <c r="S318" s="5">
        <v>0</v>
      </c>
      <c r="T318" s="5">
        <v>0</v>
      </c>
      <c r="U318" s="5">
        <v>0</v>
      </c>
      <c r="V318" s="5">
        <v>0</v>
      </c>
      <c r="W318" s="5">
        <v>0</v>
      </c>
      <c r="X318" s="5">
        <v>0</v>
      </c>
      <c r="Y318" s="5">
        <v>0</v>
      </c>
      <c r="Z318" s="5">
        <v>0</v>
      </c>
      <c r="AA318" s="5">
        <v>0</v>
      </c>
      <c r="AB318" s="5">
        <v>0</v>
      </c>
      <c r="AC318" s="5">
        <v>0</v>
      </c>
      <c r="AD318" s="5">
        <v>0</v>
      </c>
      <c r="AE318" s="5">
        <v>0</v>
      </c>
      <c r="AF318" s="5">
        <v>0</v>
      </c>
      <c r="AG318" s="5">
        <v>0</v>
      </c>
      <c r="AH318" s="5">
        <v>0</v>
      </c>
      <c r="AI318" s="5">
        <v>0</v>
      </c>
      <c r="AJ318" s="5">
        <v>0</v>
      </c>
      <c r="AK318" s="5">
        <v>0</v>
      </c>
      <c r="AL318" s="5">
        <v>0</v>
      </c>
      <c r="AM318" s="5">
        <v>0</v>
      </c>
      <c r="AN318" s="5">
        <v>0</v>
      </c>
      <c r="AO318" s="5">
        <v>0</v>
      </c>
      <c r="AP318" s="5">
        <v>0</v>
      </c>
      <c r="AQ318" s="5">
        <v>0</v>
      </c>
      <c r="AR318" s="5">
        <v>0</v>
      </c>
      <c r="AS318" s="5">
        <v>0</v>
      </c>
      <c r="AT318" s="5">
        <v>0.14599999999999999</v>
      </c>
      <c r="AU318" s="5">
        <v>0.35799999999999998</v>
      </c>
      <c r="AV318" s="5">
        <v>0</v>
      </c>
      <c r="AW318" s="815">
        <v>0</v>
      </c>
      <c r="AX318" s="816">
        <v>0</v>
      </c>
      <c r="AY318" s="819">
        <v>0</v>
      </c>
      <c r="AZ318" s="816"/>
      <c r="BA318" s="818"/>
      <c r="BB318" s="802" t="str" cm="1">
        <f t="array" ref="BB318">INDEX(C$4:BA$4,MATCH(TRUE,INDEX(C318:BA318&lt;&gt;0,),0))</f>
        <v>2021-22</v>
      </c>
      <c r="BC318" s="803" t="str" cm="1">
        <f t="array" ref="BC318">LOOKUP(2,1/(C318:BA318&lt;&gt;0),$C$4:$BA$4)</f>
        <v>2022-23</v>
      </c>
      <c r="BD318" s="804">
        <f>COUNTIF(RDprograms[[#This Row],[1978-79]:[2028-29]], "&gt;0")</f>
        <v>2</v>
      </c>
      <c r="BE318" s="805">
        <f>SUM(C318:BA318)/RDprograms[[#This Row],[Years with &gt; $0 investment]]</f>
        <v>0.252</v>
      </c>
      <c r="BF318" s="806" t="s">
        <v>273</v>
      </c>
      <c r="BG318" s="807" t="s">
        <v>703</v>
      </c>
      <c r="BH318" s="847" t="s">
        <v>258</v>
      </c>
      <c r="BI318" s="809"/>
      <c r="BJ318" s="809"/>
      <c r="BK318" s="809"/>
      <c r="BL318" s="809"/>
      <c r="BM318" s="809"/>
      <c r="BN318" s="810"/>
      <c r="BO318" s="811" t="s">
        <v>236</v>
      </c>
      <c r="BP318" s="812" t="s">
        <v>898</v>
      </c>
      <c r="BQ318" s="812" t="s">
        <v>899</v>
      </c>
      <c r="BR318" s="812"/>
      <c r="BS318" s="812"/>
      <c r="BT318" s="812" t="s">
        <v>238</v>
      </c>
    </row>
    <row r="319" spans="1:72" ht="12.75" customHeight="1">
      <c r="A319" s="813" t="s">
        <v>832</v>
      </c>
      <c r="B319" s="820" t="s">
        <v>900</v>
      </c>
      <c r="C319" s="5">
        <v>0</v>
      </c>
      <c r="D319" s="5">
        <v>0</v>
      </c>
      <c r="E319" s="5">
        <v>0</v>
      </c>
      <c r="F319" s="5">
        <v>0</v>
      </c>
      <c r="G319" s="5">
        <v>0</v>
      </c>
      <c r="H319" s="5">
        <v>0</v>
      </c>
      <c r="I319" s="5">
        <v>0</v>
      </c>
      <c r="J319" s="5">
        <v>0</v>
      </c>
      <c r="K319" s="5">
        <v>0</v>
      </c>
      <c r="L319" s="5">
        <v>0</v>
      </c>
      <c r="M319" s="5">
        <v>0</v>
      </c>
      <c r="N319" s="5">
        <v>0</v>
      </c>
      <c r="O319" s="5">
        <v>0</v>
      </c>
      <c r="P319" s="5">
        <v>0</v>
      </c>
      <c r="Q319" s="5">
        <v>0</v>
      </c>
      <c r="R319" s="5">
        <v>0</v>
      </c>
      <c r="S319" s="5">
        <v>0</v>
      </c>
      <c r="T319" s="5">
        <v>0</v>
      </c>
      <c r="U319" s="5">
        <v>0</v>
      </c>
      <c r="V319" s="5">
        <v>0</v>
      </c>
      <c r="W319" s="5">
        <v>0</v>
      </c>
      <c r="X319" s="5">
        <v>0</v>
      </c>
      <c r="Y319" s="5">
        <v>0</v>
      </c>
      <c r="Z319" s="5">
        <v>0</v>
      </c>
      <c r="AA319" s="5">
        <v>0</v>
      </c>
      <c r="AB319" s="5">
        <v>0</v>
      </c>
      <c r="AC319" s="5">
        <v>0</v>
      </c>
      <c r="AD319" s="5">
        <v>0</v>
      </c>
      <c r="AE319" s="5">
        <v>0</v>
      </c>
      <c r="AF319" s="5">
        <v>0</v>
      </c>
      <c r="AG319" s="5">
        <v>0</v>
      </c>
      <c r="AH319" s="5">
        <v>0</v>
      </c>
      <c r="AI319" s="5">
        <v>0</v>
      </c>
      <c r="AJ319" s="5">
        <v>0</v>
      </c>
      <c r="AK319" s="5">
        <v>0</v>
      </c>
      <c r="AL319" s="5">
        <v>0</v>
      </c>
      <c r="AM319" s="5">
        <v>0</v>
      </c>
      <c r="AN319" s="5">
        <v>0</v>
      </c>
      <c r="AO319" s="5">
        <v>0</v>
      </c>
      <c r="AP319" s="816">
        <v>0.5</v>
      </c>
      <c r="AQ319" s="816">
        <v>0.5</v>
      </c>
      <c r="AR319" s="5">
        <v>0.5</v>
      </c>
      <c r="AS319" s="5">
        <v>0.5</v>
      </c>
      <c r="AT319" s="5">
        <v>0.45</v>
      </c>
      <c r="AU319" s="5">
        <v>0.45</v>
      </c>
      <c r="AV319" s="5">
        <v>0.2</v>
      </c>
      <c r="AW319" s="815">
        <v>0</v>
      </c>
      <c r="AX319" s="816">
        <v>0</v>
      </c>
      <c r="AY319" s="819">
        <v>0</v>
      </c>
      <c r="AZ319" s="816"/>
      <c r="BA319" s="818"/>
      <c r="BB319" s="802" t="str" cm="1">
        <f t="array" ref="BB319">INDEX(C$4:BA$4,MATCH(TRUE,INDEX(C319:BA319&lt;&gt;0,),0))</f>
        <v>2017-18</v>
      </c>
      <c r="BC319" s="803" t="str" cm="1">
        <f t="array" ref="BC319">LOOKUP(2,1/(C319:BA319&lt;&gt;0),$C$4:$BA$4)</f>
        <v>2023-24</v>
      </c>
      <c r="BD319" s="804">
        <f>COUNTIF(RDprograms[[#This Row],[1978-79]:[2028-29]], "&gt;0")</f>
        <v>7</v>
      </c>
      <c r="BE319" s="805">
        <f>SUM(C319:BA319)/RDprograms[[#This Row],[Years with &gt; $0 investment]]</f>
        <v>0.44285714285714295</v>
      </c>
      <c r="BF319" s="806" t="s">
        <v>273</v>
      </c>
      <c r="BG319" s="807" t="s">
        <v>703</v>
      </c>
      <c r="BH319" s="847" t="s">
        <v>834</v>
      </c>
      <c r="BI319" s="809"/>
      <c r="BJ319" s="809"/>
      <c r="BK319" s="809"/>
      <c r="BL319" s="809"/>
      <c r="BM319" s="809"/>
      <c r="BN319" s="810"/>
      <c r="BO319" s="811" t="s">
        <v>236</v>
      </c>
      <c r="BP319" s="812" t="s">
        <v>901</v>
      </c>
      <c r="BQ319" s="812"/>
      <c r="BR319" s="812" t="s">
        <v>902</v>
      </c>
      <c r="BS319" s="812"/>
      <c r="BT319" s="812" t="s">
        <v>238</v>
      </c>
    </row>
    <row r="320" spans="1:72" ht="12.75" customHeight="1">
      <c r="A320" s="813" t="s">
        <v>832</v>
      </c>
      <c r="B320" s="820" t="s">
        <v>903</v>
      </c>
      <c r="C320" s="5">
        <v>0</v>
      </c>
      <c r="D320" s="5">
        <v>0</v>
      </c>
      <c r="E320" s="5">
        <v>0</v>
      </c>
      <c r="F320" s="5">
        <v>0</v>
      </c>
      <c r="G320" s="5">
        <v>0</v>
      </c>
      <c r="H320" s="5">
        <v>0</v>
      </c>
      <c r="I320" s="5">
        <v>0</v>
      </c>
      <c r="J320" s="5">
        <v>0</v>
      </c>
      <c r="K320" s="5">
        <v>0</v>
      </c>
      <c r="L320" s="5">
        <v>0</v>
      </c>
      <c r="M320" s="5">
        <v>0</v>
      </c>
      <c r="N320" s="5">
        <v>0</v>
      </c>
      <c r="O320" s="5">
        <v>0</v>
      </c>
      <c r="P320" s="5">
        <v>0</v>
      </c>
      <c r="Q320" s="5">
        <v>0</v>
      </c>
      <c r="R320" s="5">
        <v>0</v>
      </c>
      <c r="S320" s="5">
        <v>0</v>
      </c>
      <c r="T320" s="5">
        <v>0</v>
      </c>
      <c r="U320" s="5">
        <v>0</v>
      </c>
      <c r="V320" s="5">
        <v>0</v>
      </c>
      <c r="W320" s="5">
        <v>0</v>
      </c>
      <c r="X320" s="5">
        <v>0</v>
      </c>
      <c r="Y320" s="5">
        <v>0</v>
      </c>
      <c r="Z320" s="5">
        <v>0</v>
      </c>
      <c r="AA320" s="5">
        <v>0</v>
      </c>
      <c r="AB320" s="5">
        <v>0</v>
      </c>
      <c r="AC320" s="5">
        <v>0</v>
      </c>
      <c r="AD320" s="5">
        <v>0</v>
      </c>
      <c r="AE320" s="5">
        <v>0</v>
      </c>
      <c r="AF320" s="5">
        <v>0</v>
      </c>
      <c r="AG320" s="5">
        <v>0</v>
      </c>
      <c r="AH320" s="5">
        <v>0</v>
      </c>
      <c r="AI320" s="5">
        <v>0</v>
      </c>
      <c r="AJ320" s="5">
        <v>0</v>
      </c>
      <c r="AK320" s="5">
        <v>0</v>
      </c>
      <c r="AL320" s="5">
        <v>0</v>
      </c>
      <c r="AM320" s="5">
        <v>0</v>
      </c>
      <c r="AN320" s="5">
        <v>0</v>
      </c>
      <c r="AO320" s="5">
        <v>0</v>
      </c>
      <c r="AP320" s="816">
        <v>1</v>
      </c>
      <c r="AQ320" s="816">
        <v>1</v>
      </c>
      <c r="AR320" s="5">
        <v>1</v>
      </c>
      <c r="AS320" s="5">
        <v>1</v>
      </c>
      <c r="AT320" s="5">
        <v>1.05</v>
      </c>
      <c r="AU320" s="5">
        <v>1.05</v>
      </c>
      <c r="AV320" s="5">
        <v>1.05</v>
      </c>
      <c r="AW320" s="815">
        <v>0</v>
      </c>
      <c r="AX320" s="816">
        <v>0</v>
      </c>
      <c r="AY320" s="819">
        <v>0</v>
      </c>
      <c r="AZ320" s="816"/>
      <c r="BA320" s="818"/>
      <c r="BB320" s="802" t="str" cm="1">
        <f t="array" ref="BB320">INDEX(C$4:BA$4,MATCH(TRUE,INDEX(C320:BA320&lt;&gt;0,),0))</f>
        <v>2017-18</v>
      </c>
      <c r="BC320" s="803" t="str" cm="1">
        <f t="array" ref="BC320">LOOKUP(2,1/(C320:BA320&lt;&gt;0),$C$4:$BA$4)</f>
        <v>2023-24</v>
      </c>
      <c r="BD320" s="804">
        <f>COUNTIF(RDprograms[[#This Row],[1978-79]:[2028-29]], "&gt;0")</f>
        <v>7</v>
      </c>
      <c r="BE320" s="805">
        <f>SUM(C320:BA320)/RDprograms[[#This Row],[Years with &gt; $0 investment]]</f>
        <v>1.0214285714285714</v>
      </c>
      <c r="BF320" s="806" t="s">
        <v>273</v>
      </c>
      <c r="BG320" s="807" t="s">
        <v>703</v>
      </c>
      <c r="BH320" s="847" t="s">
        <v>834</v>
      </c>
      <c r="BI320" s="809"/>
      <c r="BJ320" s="809"/>
      <c r="BK320" s="809"/>
      <c r="BL320" s="809"/>
      <c r="BM320" s="809"/>
      <c r="BN320" s="810"/>
      <c r="BO320" s="811" t="s">
        <v>236</v>
      </c>
      <c r="BP320" s="812" t="s">
        <v>904</v>
      </c>
      <c r="BQ320" s="812"/>
      <c r="BR320" s="812" t="s">
        <v>902</v>
      </c>
      <c r="BS320" s="812"/>
      <c r="BT320" s="812" t="s">
        <v>238</v>
      </c>
    </row>
    <row r="321" spans="1:72" ht="12.75" customHeight="1">
      <c r="A321" s="813" t="s">
        <v>832</v>
      </c>
      <c r="B321" s="820" t="s">
        <v>905</v>
      </c>
      <c r="C321" s="5">
        <v>0</v>
      </c>
      <c r="D321" s="5">
        <v>0</v>
      </c>
      <c r="E321" s="5">
        <v>0</v>
      </c>
      <c r="F321" s="5">
        <v>0</v>
      </c>
      <c r="G321" s="5">
        <v>0</v>
      </c>
      <c r="H321" s="5">
        <v>0</v>
      </c>
      <c r="I321" s="5">
        <v>0</v>
      </c>
      <c r="J321" s="5">
        <v>0</v>
      </c>
      <c r="K321" s="5">
        <v>0</v>
      </c>
      <c r="L321" s="5">
        <v>0</v>
      </c>
      <c r="M321" s="5">
        <v>0</v>
      </c>
      <c r="N321" s="5">
        <v>0</v>
      </c>
      <c r="O321" s="5">
        <v>0</v>
      </c>
      <c r="P321" s="5">
        <v>0</v>
      </c>
      <c r="Q321" s="5">
        <v>0</v>
      </c>
      <c r="R321" s="5">
        <v>0</v>
      </c>
      <c r="S321" s="5">
        <v>0</v>
      </c>
      <c r="T321" s="5">
        <v>0</v>
      </c>
      <c r="U321" s="5">
        <v>0</v>
      </c>
      <c r="V321" s="5">
        <v>0</v>
      </c>
      <c r="W321" s="5">
        <v>0</v>
      </c>
      <c r="X321" s="5">
        <v>0</v>
      </c>
      <c r="Y321" s="5">
        <v>0</v>
      </c>
      <c r="Z321" s="5">
        <v>0</v>
      </c>
      <c r="AA321" s="5">
        <v>0</v>
      </c>
      <c r="AB321" s="5">
        <v>0</v>
      </c>
      <c r="AC321" s="5">
        <v>0</v>
      </c>
      <c r="AD321" s="5">
        <v>0</v>
      </c>
      <c r="AE321" s="5">
        <v>0</v>
      </c>
      <c r="AF321" s="5">
        <v>0</v>
      </c>
      <c r="AG321" s="5">
        <v>0</v>
      </c>
      <c r="AH321" s="5">
        <v>0.39300000000000002</v>
      </c>
      <c r="AI321" s="5">
        <v>0.33500000000000002</v>
      </c>
      <c r="AJ321" s="5">
        <v>0.39900000000000002</v>
      </c>
      <c r="AK321" s="5">
        <v>0.40699999999999997</v>
      </c>
      <c r="AL321" s="5">
        <v>0.61199999999999999</v>
      </c>
      <c r="AM321" s="5">
        <v>0.60799999999999998</v>
      </c>
      <c r="AN321" s="5">
        <v>0.60299999999999998</v>
      </c>
      <c r="AO321" s="5">
        <v>0.59399999999999997</v>
      </c>
      <c r="AP321" s="5">
        <v>0.59631100000000004</v>
      </c>
      <c r="AQ321" s="5">
        <v>0.379</v>
      </c>
      <c r="AR321" s="5">
        <v>0.379</v>
      </c>
      <c r="AS321" s="5">
        <v>0.39</v>
      </c>
      <c r="AT321" s="5">
        <v>0.39300000000000002</v>
      </c>
      <c r="AU321" s="5">
        <v>0.39800000000000002</v>
      </c>
      <c r="AV321" s="5">
        <v>0.40300000000000002</v>
      </c>
      <c r="AW321" s="815">
        <v>0</v>
      </c>
      <c r="AX321" s="816">
        <v>0</v>
      </c>
      <c r="AY321" s="819">
        <v>0</v>
      </c>
      <c r="AZ321" s="816"/>
      <c r="BA321" s="818"/>
      <c r="BB321" s="802" t="str" cm="1">
        <f t="array" ref="BB321">INDEX(C$4:BA$4,MATCH(TRUE,INDEX(C321:BA321&lt;&gt;0,),0))</f>
        <v>2009-10</v>
      </c>
      <c r="BC321" s="803" t="str" cm="1">
        <f t="array" ref="BC321">LOOKUP(2,1/(C321:BA321&lt;&gt;0),$C$4:$BA$4)</f>
        <v>2023-24</v>
      </c>
      <c r="BD321" s="804">
        <f>COUNTIF(RDprograms[[#This Row],[1978-79]:[2028-29]], "&gt;0")</f>
        <v>15</v>
      </c>
      <c r="BE321" s="805">
        <f>SUM(C321:BA321)/RDprograms[[#This Row],[Years with &gt; $0 investment]]</f>
        <v>0.45928739999999996</v>
      </c>
      <c r="BF321" s="806" t="s">
        <v>273</v>
      </c>
      <c r="BG321" s="807" t="s">
        <v>703</v>
      </c>
      <c r="BH321" s="847" t="s">
        <v>834</v>
      </c>
      <c r="BI321" s="809"/>
      <c r="BJ321" s="809"/>
      <c r="BK321" s="809"/>
      <c r="BL321" s="809"/>
      <c r="BM321" s="809"/>
      <c r="BN321" s="810"/>
      <c r="BO321" s="811" t="s">
        <v>236</v>
      </c>
      <c r="BP321" s="812" t="s">
        <v>906</v>
      </c>
      <c r="BQ321" s="812"/>
      <c r="BR321" s="812"/>
      <c r="BS321" s="812"/>
      <c r="BT321" s="812" t="s">
        <v>238</v>
      </c>
    </row>
    <row r="322" spans="1:72" ht="12.75" customHeight="1">
      <c r="A322" s="813" t="s">
        <v>832</v>
      </c>
      <c r="B322" s="820" t="s">
        <v>907</v>
      </c>
      <c r="C322" s="5">
        <v>0</v>
      </c>
      <c r="D322" s="5">
        <v>0.1</v>
      </c>
      <c r="E322" s="5">
        <v>0.3</v>
      </c>
      <c r="F322" s="5">
        <v>1.6</v>
      </c>
      <c r="G322" s="5">
        <v>3.2</v>
      </c>
      <c r="H322" s="5">
        <v>3.5</v>
      </c>
      <c r="I322" s="5">
        <v>6.3</v>
      </c>
      <c r="J322" s="5">
        <v>2.6</v>
      </c>
      <c r="K322" s="5">
        <v>1.6</v>
      </c>
      <c r="L322" s="5">
        <v>0</v>
      </c>
      <c r="M322" s="5">
        <v>0</v>
      </c>
      <c r="N322" s="5">
        <v>0</v>
      </c>
      <c r="O322" s="5">
        <v>5</v>
      </c>
      <c r="P322" s="5">
        <v>10</v>
      </c>
      <c r="Q322" s="5">
        <v>10</v>
      </c>
      <c r="R322" s="5">
        <v>10</v>
      </c>
      <c r="S322" s="5">
        <v>13</v>
      </c>
      <c r="T322" s="5">
        <v>9.6</v>
      </c>
      <c r="U322" s="5">
        <v>2</v>
      </c>
      <c r="V322" s="5">
        <v>2.7</v>
      </c>
      <c r="W322" s="5">
        <v>5.7</v>
      </c>
      <c r="X322" s="5">
        <v>0</v>
      </c>
      <c r="Y322" s="5">
        <v>0</v>
      </c>
      <c r="Z322" s="5">
        <v>0</v>
      </c>
      <c r="AA322" s="5">
        <v>0</v>
      </c>
      <c r="AB322" s="5">
        <v>0</v>
      </c>
      <c r="AC322" s="5">
        <v>0</v>
      </c>
      <c r="AD322" s="5">
        <v>0</v>
      </c>
      <c r="AE322" s="5">
        <v>0</v>
      </c>
      <c r="AF322" s="5">
        <v>0</v>
      </c>
      <c r="AG322" s="5">
        <v>0</v>
      </c>
      <c r="AH322" s="5">
        <v>0</v>
      </c>
      <c r="AI322" s="5">
        <v>0</v>
      </c>
      <c r="AJ322" s="5">
        <v>0</v>
      </c>
      <c r="AK322" s="5">
        <v>0</v>
      </c>
      <c r="AL322" s="5">
        <v>0</v>
      </c>
      <c r="AM322" s="5">
        <v>0</v>
      </c>
      <c r="AN322" s="5">
        <v>0</v>
      </c>
      <c r="AO322" s="5">
        <v>0</v>
      </c>
      <c r="AP322" s="5">
        <v>0</v>
      </c>
      <c r="AQ322" s="5">
        <v>0</v>
      </c>
      <c r="AR322" s="5">
        <v>0</v>
      </c>
      <c r="AS322" s="5">
        <v>0</v>
      </c>
      <c r="AT322" s="5">
        <v>0</v>
      </c>
      <c r="AU322" s="5">
        <v>0</v>
      </c>
      <c r="AV322" s="5">
        <v>0</v>
      </c>
      <c r="AW322" s="815">
        <v>0</v>
      </c>
      <c r="AX322" s="816">
        <v>0</v>
      </c>
      <c r="AY322" s="819">
        <v>0</v>
      </c>
      <c r="AZ322" s="816"/>
      <c r="BA322" s="818"/>
      <c r="BB322" s="802" t="str" cm="1">
        <f t="array" ref="BB322">INDEX(C$4:BA$4,MATCH(TRUE,INDEX(C322:BA322&lt;&gt;0,),0))</f>
        <v>1979-80</v>
      </c>
      <c r="BC322" s="803" t="str" cm="1">
        <f t="array" ref="BC322">LOOKUP(2,1/(C322:BA322&lt;&gt;0),$C$4:$BA$4)</f>
        <v>1998-99</v>
      </c>
      <c r="BD322" s="804">
        <f>COUNTIF(RDprograms[[#This Row],[1978-79]:[2028-29]], "&gt;0")</f>
        <v>17</v>
      </c>
      <c r="BE322" s="805">
        <f>SUM(C322:BA322)/RDprograms[[#This Row],[Years with &gt; $0 investment]]</f>
        <v>5.1294117647058828</v>
      </c>
      <c r="BF322" s="806" t="s">
        <v>273</v>
      </c>
      <c r="BG322" s="807" t="s">
        <v>703</v>
      </c>
      <c r="BH322" s="847" t="s">
        <v>834</v>
      </c>
      <c r="BI322" s="809"/>
      <c r="BJ322" s="809"/>
      <c r="BK322" s="809"/>
      <c r="BL322" s="809"/>
      <c r="BM322" s="809"/>
      <c r="BN322" s="810"/>
      <c r="BO322" s="811" t="s">
        <v>236</v>
      </c>
      <c r="BP322" s="812"/>
      <c r="BQ322" s="812"/>
      <c r="BR322" s="812"/>
      <c r="BS322" s="812"/>
      <c r="BT322" s="812" t="s">
        <v>238</v>
      </c>
    </row>
    <row r="323" spans="1:72" ht="12.75" customHeight="1">
      <c r="A323" s="813" t="s">
        <v>832</v>
      </c>
      <c r="B323" s="820" t="s">
        <v>908</v>
      </c>
      <c r="C323" s="5">
        <v>0</v>
      </c>
      <c r="D323" s="5">
        <v>0</v>
      </c>
      <c r="E323" s="5">
        <v>0</v>
      </c>
      <c r="F323" s="5">
        <v>0</v>
      </c>
      <c r="G323" s="5">
        <v>0</v>
      </c>
      <c r="H323" s="5">
        <v>0</v>
      </c>
      <c r="I323" s="5">
        <v>0</v>
      </c>
      <c r="J323" s="5">
        <v>0</v>
      </c>
      <c r="K323" s="5">
        <v>0</v>
      </c>
      <c r="L323" s="5">
        <v>0</v>
      </c>
      <c r="M323" s="5">
        <v>0</v>
      </c>
      <c r="N323" s="5">
        <v>0</v>
      </c>
      <c r="O323" s="5">
        <v>0</v>
      </c>
      <c r="P323" s="5">
        <v>0</v>
      </c>
      <c r="Q323" s="5">
        <v>0</v>
      </c>
      <c r="R323" s="5">
        <v>0</v>
      </c>
      <c r="S323" s="5">
        <v>0</v>
      </c>
      <c r="T323" s="5">
        <v>0</v>
      </c>
      <c r="U323" s="5">
        <v>0</v>
      </c>
      <c r="V323" s="5">
        <v>0</v>
      </c>
      <c r="W323" s="5">
        <v>0</v>
      </c>
      <c r="X323" s="5">
        <v>0</v>
      </c>
      <c r="Y323" s="5">
        <v>0</v>
      </c>
      <c r="Z323" s="5">
        <v>0</v>
      </c>
      <c r="AA323" s="5">
        <v>0</v>
      </c>
      <c r="AB323" s="5">
        <v>0</v>
      </c>
      <c r="AC323" s="5">
        <v>0</v>
      </c>
      <c r="AD323" s="5">
        <v>0</v>
      </c>
      <c r="AE323" s="5">
        <v>0</v>
      </c>
      <c r="AF323" s="5">
        <v>0</v>
      </c>
      <c r="AG323" s="5">
        <v>0</v>
      </c>
      <c r="AH323" s="5">
        <v>0</v>
      </c>
      <c r="AI323" s="5">
        <v>0</v>
      </c>
      <c r="AJ323" s="5">
        <v>0</v>
      </c>
      <c r="AK323" s="5">
        <v>0</v>
      </c>
      <c r="AL323" s="5">
        <v>0</v>
      </c>
      <c r="AM323" s="5">
        <v>0</v>
      </c>
      <c r="AN323" s="5">
        <v>0</v>
      </c>
      <c r="AO323" s="5">
        <v>0</v>
      </c>
      <c r="AP323" s="5">
        <v>0</v>
      </c>
      <c r="AQ323" s="5">
        <v>0</v>
      </c>
      <c r="AR323" s="5">
        <v>0</v>
      </c>
      <c r="AS323" s="5">
        <v>0</v>
      </c>
      <c r="AT323" s="5">
        <v>0</v>
      </c>
      <c r="AU323" s="5">
        <v>0</v>
      </c>
      <c r="AV323" s="5">
        <v>0</v>
      </c>
      <c r="AW323" s="849">
        <v>2.2599999999999998</v>
      </c>
      <c r="AX323" s="5">
        <v>0.79300000000000004</v>
      </c>
      <c r="AY323" s="850">
        <v>0</v>
      </c>
      <c r="AZ323" s="5">
        <v>0</v>
      </c>
      <c r="BA323" s="821">
        <v>0</v>
      </c>
      <c r="BB323" s="822" t="str" cm="1">
        <f t="array" ref="BB323">INDEX(C$4:BA$4,MATCH(TRUE,INDEX(C323:BA323&lt;&gt;0,),0))</f>
        <v>2024-25</v>
      </c>
      <c r="BC323" s="823" t="str" cm="1">
        <f t="array" ref="BC323">LOOKUP(2,1/(C323:BA323&lt;&gt;0),$C$4:$BA$4)</f>
        <v>2025-26</v>
      </c>
      <c r="BD323" s="824">
        <f>COUNTIF(RDprograms[[#This Row],[1978-79]:[2028-29]], "&gt;0")</f>
        <v>2</v>
      </c>
      <c r="BE323" s="805">
        <f>SUM(C323:BA323)/RDprograms[[#This Row],[Years with &gt; $0 investment]]</f>
        <v>1.5265</v>
      </c>
      <c r="BF323" s="806" t="s">
        <v>273</v>
      </c>
      <c r="BG323" s="807" t="s">
        <v>703</v>
      </c>
      <c r="BH323" s="851" t="s">
        <v>834</v>
      </c>
      <c r="BI323" s="809"/>
      <c r="BJ323" s="809">
        <v>1</v>
      </c>
      <c r="BK323" s="809"/>
      <c r="BL323" s="809"/>
      <c r="BM323" s="809"/>
      <c r="BN323" s="810"/>
      <c r="BO323" s="811" t="s">
        <v>236</v>
      </c>
      <c r="BP323" s="812" t="s">
        <v>909</v>
      </c>
      <c r="BQ323" s="812"/>
      <c r="BR323" s="812"/>
      <c r="BS323" s="812"/>
      <c r="BT323" s="812"/>
    </row>
    <row r="324" spans="1:72" ht="12.75" customHeight="1">
      <c r="A324" s="813" t="s">
        <v>832</v>
      </c>
      <c r="B324" s="820" t="s">
        <v>910</v>
      </c>
      <c r="C324" s="5">
        <v>0</v>
      </c>
      <c r="D324" s="5">
        <v>0</v>
      </c>
      <c r="E324" s="5">
        <v>0</v>
      </c>
      <c r="F324" s="5">
        <v>0</v>
      </c>
      <c r="G324" s="5">
        <v>0</v>
      </c>
      <c r="H324" s="5">
        <v>0</v>
      </c>
      <c r="I324" s="5">
        <v>0</v>
      </c>
      <c r="J324" s="5">
        <v>0</v>
      </c>
      <c r="K324" s="5">
        <v>0</v>
      </c>
      <c r="L324" s="5">
        <v>0</v>
      </c>
      <c r="M324" s="5">
        <v>0</v>
      </c>
      <c r="N324" s="5">
        <v>0</v>
      </c>
      <c r="O324" s="5">
        <v>0</v>
      </c>
      <c r="P324" s="5">
        <v>0</v>
      </c>
      <c r="Q324" s="5">
        <v>0</v>
      </c>
      <c r="R324" s="5">
        <v>0</v>
      </c>
      <c r="S324" s="5">
        <v>0</v>
      </c>
      <c r="T324" s="5">
        <v>0</v>
      </c>
      <c r="U324" s="5">
        <v>0</v>
      </c>
      <c r="V324" s="5">
        <v>0</v>
      </c>
      <c r="W324" s="5">
        <v>0</v>
      </c>
      <c r="X324" s="5">
        <v>0</v>
      </c>
      <c r="Y324" s="5">
        <v>0</v>
      </c>
      <c r="Z324" s="5">
        <v>0</v>
      </c>
      <c r="AA324" s="5">
        <v>0</v>
      </c>
      <c r="AB324" s="5">
        <v>0</v>
      </c>
      <c r="AC324" s="5">
        <v>0</v>
      </c>
      <c r="AD324" s="5">
        <v>0</v>
      </c>
      <c r="AE324" s="5">
        <v>0</v>
      </c>
      <c r="AF324" s="5">
        <v>0</v>
      </c>
      <c r="AG324" s="5">
        <v>0</v>
      </c>
      <c r="AH324" s="5">
        <v>0</v>
      </c>
      <c r="AI324" s="5">
        <v>0</v>
      </c>
      <c r="AJ324" s="5">
        <v>0</v>
      </c>
      <c r="AK324" s="5">
        <v>0</v>
      </c>
      <c r="AL324" s="5">
        <v>0</v>
      </c>
      <c r="AM324" s="5">
        <v>0</v>
      </c>
      <c r="AN324" s="5">
        <v>0</v>
      </c>
      <c r="AO324" s="5">
        <v>0</v>
      </c>
      <c r="AP324" s="816">
        <v>0</v>
      </c>
      <c r="AQ324" s="816">
        <v>0</v>
      </c>
      <c r="AR324" s="5">
        <v>0</v>
      </c>
      <c r="AS324" s="5">
        <v>0</v>
      </c>
      <c r="AT324" s="5">
        <v>0</v>
      </c>
      <c r="AU324" s="5">
        <v>0</v>
      </c>
      <c r="AV324" s="5">
        <v>2.02</v>
      </c>
      <c r="AW324" s="815">
        <v>6.31</v>
      </c>
      <c r="AX324" s="816">
        <v>5.97</v>
      </c>
      <c r="AY324" s="819">
        <v>1</v>
      </c>
      <c r="AZ324" s="816">
        <v>0</v>
      </c>
      <c r="BA324" s="818"/>
      <c r="BB324" s="802" t="str" cm="1">
        <f t="array" ref="BB324">INDEX(C$4:BA$4,MATCH(TRUE,INDEX(C324:BA324&lt;&gt;0,),0))</f>
        <v>2023-24</v>
      </c>
      <c r="BC324" s="803" t="str" cm="1">
        <f t="array" ref="BC324">LOOKUP(2,1/(C324:BA324&lt;&gt;0),$C$4:$BA$4)</f>
        <v>2026-27</v>
      </c>
      <c r="BD324" s="804">
        <f>COUNTIF(RDprograms[[#This Row],[1978-79]:[2028-29]], "&gt;0")</f>
        <v>4</v>
      </c>
      <c r="BE324" s="805">
        <f>SUM(C324:BA324)/RDprograms[[#This Row],[Years with &gt; $0 investment]]</f>
        <v>3.8250000000000002</v>
      </c>
      <c r="BF324" s="806" t="s">
        <v>273</v>
      </c>
      <c r="BG324" s="807" t="s">
        <v>703</v>
      </c>
      <c r="BH324" s="847" t="s">
        <v>834</v>
      </c>
      <c r="BI324" s="809"/>
      <c r="BJ324" s="809">
        <v>1</v>
      </c>
      <c r="BK324" s="809"/>
      <c r="BL324" s="809"/>
      <c r="BM324" s="809"/>
      <c r="BN324" s="810"/>
      <c r="BO324" s="811" t="s">
        <v>236</v>
      </c>
      <c r="BP324" s="812" t="s">
        <v>911</v>
      </c>
      <c r="BQ324" s="812"/>
      <c r="BR324" s="812"/>
      <c r="BS324" s="812"/>
      <c r="BT324" s="812" t="s">
        <v>238</v>
      </c>
    </row>
    <row r="325" spans="1:72" ht="12.75" customHeight="1">
      <c r="A325" s="813" t="s">
        <v>832</v>
      </c>
      <c r="B325" s="820" t="s">
        <v>912</v>
      </c>
      <c r="C325" s="5">
        <v>0</v>
      </c>
      <c r="D325" s="5">
        <v>0</v>
      </c>
      <c r="E325" s="5">
        <v>0</v>
      </c>
      <c r="F325" s="5">
        <v>0</v>
      </c>
      <c r="G325" s="5">
        <v>0</v>
      </c>
      <c r="H325" s="5">
        <v>0</v>
      </c>
      <c r="I325" s="5">
        <v>0</v>
      </c>
      <c r="J325" s="5">
        <v>0</v>
      </c>
      <c r="K325" s="5">
        <v>0</v>
      </c>
      <c r="L325" s="5">
        <v>0</v>
      </c>
      <c r="M325" s="5">
        <v>0</v>
      </c>
      <c r="N325" s="5">
        <v>0</v>
      </c>
      <c r="O325" s="5">
        <v>0</v>
      </c>
      <c r="P325" s="5">
        <v>0</v>
      </c>
      <c r="Q325" s="5">
        <v>0</v>
      </c>
      <c r="R325" s="5">
        <v>0</v>
      </c>
      <c r="S325" s="5">
        <v>0</v>
      </c>
      <c r="T325" s="5">
        <v>0</v>
      </c>
      <c r="U325" s="5">
        <v>0</v>
      </c>
      <c r="V325" s="5">
        <v>0</v>
      </c>
      <c r="W325" s="5">
        <v>0</v>
      </c>
      <c r="X325" s="5">
        <v>0</v>
      </c>
      <c r="Y325" s="5">
        <v>0</v>
      </c>
      <c r="Z325" s="5">
        <v>0</v>
      </c>
      <c r="AA325" s="5">
        <v>0</v>
      </c>
      <c r="AB325" s="5">
        <v>0</v>
      </c>
      <c r="AC325" s="5">
        <v>0</v>
      </c>
      <c r="AD325" s="5">
        <v>0</v>
      </c>
      <c r="AE325" s="5">
        <v>5</v>
      </c>
      <c r="AF325" s="5">
        <v>5</v>
      </c>
      <c r="AG325" s="5">
        <v>5</v>
      </c>
      <c r="AH325" s="5">
        <v>5.9</v>
      </c>
      <c r="AI325" s="5">
        <v>0.85799999999999998</v>
      </c>
      <c r="AJ325" s="5">
        <v>0.77</v>
      </c>
      <c r="AK325" s="5">
        <v>0.25</v>
      </c>
      <c r="AL325" s="5">
        <v>0.25</v>
      </c>
      <c r="AM325" s="5">
        <v>0.25</v>
      </c>
      <c r="AN325" s="5">
        <v>0.25</v>
      </c>
      <c r="AO325" s="5">
        <v>0</v>
      </c>
      <c r="AP325" s="5">
        <v>0</v>
      </c>
      <c r="AQ325" s="5">
        <v>0</v>
      </c>
      <c r="AR325" s="5">
        <v>0</v>
      </c>
      <c r="AS325" s="5">
        <v>0</v>
      </c>
      <c r="AT325" s="5">
        <v>0</v>
      </c>
      <c r="AU325" s="5">
        <v>0</v>
      </c>
      <c r="AV325" s="5">
        <v>0</v>
      </c>
      <c r="AW325" s="815">
        <v>0</v>
      </c>
      <c r="AX325" s="816">
        <v>0</v>
      </c>
      <c r="AY325" s="819">
        <v>0</v>
      </c>
      <c r="AZ325" s="816"/>
      <c r="BA325" s="818"/>
      <c r="BB325" s="802" t="str" cm="1">
        <f t="array" ref="BB325">INDEX(C$4:BA$4,MATCH(TRUE,INDEX(C325:BA325&lt;&gt;0,),0))</f>
        <v>2006-07</v>
      </c>
      <c r="BC325" s="803" t="str" cm="1">
        <f t="array" ref="BC325">LOOKUP(2,1/(C325:BA325&lt;&gt;0),$C$4:$BA$4)</f>
        <v>2015-16</v>
      </c>
      <c r="BD325" s="804">
        <f>COUNTIF(RDprograms[[#This Row],[1978-79]:[2028-29]], "&gt;0")</f>
        <v>10</v>
      </c>
      <c r="BE325" s="805">
        <f>SUM(C325:BA325)/RDprograms[[#This Row],[Years with &gt; $0 investment]]</f>
        <v>2.3527999999999998</v>
      </c>
      <c r="BF325" s="806" t="s">
        <v>273</v>
      </c>
      <c r="BG325" s="807" t="s">
        <v>703</v>
      </c>
      <c r="BH325" s="847" t="s">
        <v>834</v>
      </c>
      <c r="BI325" s="809"/>
      <c r="BJ325" s="809"/>
      <c r="BK325" s="809"/>
      <c r="BL325" s="809"/>
      <c r="BM325" s="809"/>
      <c r="BN325" s="810"/>
      <c r="BO325" s="811" t="s">
        <v>236</v>
      </c>
      <c r="BP325" s="812"/>
      <c r="BQ325" s="812" t="s">
        <v>913</v>
      </c>
      <c r="BR325" s="812" t="s">
        <v>914</v>
      </c>
      <c r="BS325" s="812"/>
      <c r="BT325" s="812" t="s">
        <v>238</v>
      </c>
    </row>
    <row r="326" spans="1:72" ht="12.75" customHeight="1">
      <c r="A326" s="813" t="s">
        <v>832</v>
      </c>
      <c r="B326" s="820" t="s">
        <v>915</v>
      </c>
      <c r="C326" s="5">
        <v>0</v>
      </c>
      <c r="D326" s="5">
        <v>0</v>
      </c>
      <c r="E326" s="5">
        <v>0</v>
      </c>
      <c r="F326" s="5">
        <v>0</v>
      </c>
      <c r="G326" s="5">
        <v>0</v>
      </c>
      <c r="H326" s="5">
        <v>0</v>
      </c>
      <c r="I326" s="5">
        <v>0</v>
      </c>
      <c r="J326" s="5">
        <v>0</v>
      </c>
      <c r="K326" s="5">
        <v>0</v>
      </c>
      <c r="L326" s="5">
        <v>0</v>
      </c>
      <c r="M326" s="5">
        <v>0</v>
      </c>
      <c r="N326" s="5">
        <v>0</v>
      </c>
      <c r="O326" s="5">
        <v>0</v>
      </c>
      <c r="P326" s="5">
        <v>0</v>
      </c>
      <c r="Q326" s="5">
        <v>0</v>
      </c>
      <c r="R326" s="5">
        <v>0</v>
      </c>
      <c r="S326" s="5">
        <v>0</v>
      </c>
      <c r="T326" s="5">
        <v>0</v>
      </c>
      <c r="U326" s="5">
        <v>0</v>
      </c>
      <c r="V326" s="5">
        <v>0</v>
      </c>
      <c r="W326" s="5">
        <v>0</v>
      </c>
      <c r="X326" s="5">
        <v>0</v>
      </c>
      <c r="Y326" s="5">
        <v>0</v>
      </c>
      <c r="Z326" s="5">
        <v>0</v>
      </c>
      <c r="AA326" s="5">
        <v>0</v>
      </c>
      <c r="AB326" s="5">
        <v>0</v>
      </c>
      <c r="AC326" s="5">
        <v>0</v>
      </c>
      <c r="AD326" s="5">
        <v>0</v>
      </c>
      <c r="AE326" s="5">
        <v>0</v>
      </c>
      <c r="AF326" s="5">
        <v>0</v>
      </c>
      <c r="AG326" s="5">
        <v>0</v>
      </c>
      <c r="AH326" s="5">
        <v>0</v>
      </c>
      <c r="AI326" s="5">
        <v>0</v>
      </c>
      <c r="AJ326" s="5">
        <v>0</v>
      </c>
      <c r="AK326" s="5">
        <v>0</v>
      </c>
      <c r="AL326" s="5">
        <v>0</v>
      </c>
      <c r="AM326" s="5">
        <v>0</v>
      </c>
      <c r="AN326" s="5">
        <v>0</v>
      </c>
      <c r="AO326" s="5">
        <v>0</v>
      </c>
      <c r="AP326" s="5">
        <v>0</v>
      </c>
      <c r="AQ326" s="5">
        <v>0</v>
      </c>
      <c r="AR326" s="5">
        <v>0</v>
      </c>
      <c r="AS326" s="5">
        <v>0</v>
      </c>
      <c r="AT326" s="5">
        <v>0</v>
      </c>
      <c r="AU326" s="5">
        <v>0.432</v>
      </c>
      <c r="AV326" s="5">
        <v>4.2999999999999997E-2</v>
      </c>
      <c r="AW326" s="849">
        <v>0.56399999999999995</v>
      </c>
      <c r="AX326" s="5">
        <v>0</v>
      </c>
      <c r="AY326" s="850">
        <v>0</v>
      </c>
      <c r="AZ326" s="5">
        <v>0</v>
      </c>
      <c r="BA326" s="821">
        <v>0</v>
      </c>
      <c r="BB326" s="822" t="str" cm="1">
        <f t="array" ref="BB326">INDEX(C$4:BA$4,MATCH(TRUE,INDEX(C326:BA326&lt;&gt;0,),0))</f>
        <v>2022-23</v>
      </c>
      <c r="BC326" s="823" t="str" cm="1">
        <f t="array" ref="BC326">LOOKUP(2,1/(C326:BA326&lt;&gt;0),$C$4:$BA$4)</f>
        <v>2024-25</v>
      </c>
      <c r="BD326" s="824">
        <f>COUNTIF(RDprograms[[#This Row],[1978-79]:[2028-29]], "&gt;0")</f>
        <v>3</v>
      </c>
      <c r="BE326" s="805">
        <f>SUM(C326:BA326)/RDprograms[[#This Row],[Years with &gt; $0 investment]]</f>
        <v>0.34633333333333333</v>
      </c>
      <c r="BF326" s="806" t="s">
        <v>233</v>
      </c>
      <c r="BG326" s="807" t="s">
        <v>703</v>
      </c>
      <c r="BH326" s="851" t="s">
        <v>258</v>
      </c>
      <c r="BI326" s="809"/>
      <c r="BJ326" s="809"/>
      <c r="BK326" s="809"/>
      <c r="BL326" s="809"/>
      <c r="BM326" s="809"/>
      <c r="BN326" s="810"/>
      <c r="BO326" s="811" t="s">
        <v>236</v>
      </c>
      <c r="BP326" s="812" t="s">
        <v>916</v>
      </c>
      <c r="BQ326" s="812"/>
      <c r="BR326" s="812"/>
      <c r="BS326" s="812"/>
      <c r="BT326" s="812"/>
    </row>
    <row r="327" spans="1:72" ht="12.75" customHeight="1">
      <c r="A327" s="813" t="s">
        <v>832</v>
      </c>
      <c r="B327" s="820" t="s">
        <v>917</v>
      </c>
      <c r="C327" s="5">
        <v>0</v>
      </c>
      <c r="D327" s="5">
        <v>0</v>
      </c>
      <c r="E327" s="5">
        <v>0</v>
      </c>
      <c r="F327" s="5">
        <v>0</v>
      </c>
      <c r="G327" s="5">
        <v>0</v>
      </c>
      <c r="H327" s="5">
        <v>0</v>
      </c>
      <c r="I327" s="5">
        <v>0</v>
      </c>
      <c r="J327" s="5">
        <v>0</v>
      </c>
      <c r="K327" s="5">
        <v>0</v>
      </c>
      <c r="L327" s="5">
        <v>0</v>
      </c>
      <c r="M327" s="5">
        <v>0</v>
      </c>
      <c r="N327" s="5">
        <v>0</v>
      </c>
      <c r="O327" s="5">
        <v>0</v>
      </c>
      <c r="P327" s="5">
        <v>0</v>
      </c>
      <c r="Q327" s="5">
        <v>0</v>
      </c>
      <c r="R327" s="5">
        <v>0</v>
      </c>
      <c r="S327" s="5">
        <v>0</v>
      </c>
      <c r="T327" s="5">
        <v>0</v>
      </c>
      <c r="U327" s="5">
        <v>0</v>
      </c>
      <c r="V327" s="5">
        <v>0</v>
      </c>
      <c r="W327" s="5">
        <v>0</v>
      </c>
      <c r="X327" s="5">
        <v>0</v>
      </c>
      <c r="Y327" s="5">
        <v>0</v>
      </c>
      <c r="Z327" s="5">
        <v>0</v>
      </c>
      <c r="AA327" s="5">
        <v>0</v>
      </c>
      <c r="AB327" s="5">
        <v>0.2</v>
      </c>
      <c r="AC327" s="5">
        <v>0.2</v>
      </c>
      <c r="AD327" s="5">
        <v>0.2</v>
      </c>
      <c r="AE327" s="5">
        <v>0.2</v>
      </c>
      <c r="AF327" s="5">
        <v>0.2</v>
      </c>
      <c r="AG327" s="5">
        <v>0.2</v>
      </c>
      <c r="AH327" s="5">
        <v>0.1</v>
      </c>
      <c r="AI327" s="5">
        <v>0.2</v>
      </c>
      <c r="AJ327" s="5">
        <v>0.2</v>
      </c>
      <c r="AK327" s="5">
        <v>0.2</v>
      </c>
      <c r="AL327" s="5">
        <v>0.2</v>
      </c>
      <c r="AM327" s="5">
        <v>0</v>
      </c>
      <c r="AN327" s="5">
        <v>0</v>
      </c>
      <c r="AO327" s="5">
        <v>0</v>
      </c>
      <c r="AP327" s="5">
        <v>0</v>
      </c>
      <c r="AQ327" s="5">
        <v>0</v>
      </c>
      <c r="AR327" s="5">
        <v>0</v>
      </c>
      <c r="AS327" s="5">
        <v>0</v>
      </c>
      <c r="AT327" s="5">
        <v>0</v>
      </c>
      <c r="AU327" s="5">
        <v>0</v>
      </c>
      <c r="AV327" s="5">
        <v>0</v>
      </c>
      <c r="AW327" s="815">
        <v>0</v>
      </c>
      <c r="AX327" s="816">
        <v>0</v>
      </c>
      <c r="AY327" s="819">
        <v>0</v>
      </c>
      <c r="AZ327" s="816"/>
      <c r="BA327" s="818"/>
      <c r="BB327" s="802" t="str" cm="1">
        <f t="array" ref="BB327">INDEX(C$4:BA$4,MATCH(TRUE,INDEX(C327:BA327&lt;&gt;0,),0))</f>
        <v>2003-04</v>
      </c>
      <c r="BC327" s="803" t="str" cm="1">
        <f t="array" ref="BC327">LOOKUP(2,1/(C327:BA327&lt;&gt;0),$C$4:$BA$4)</f>
        <v>2013-14</v>
      </c>
      <c r="BD327" s="804">
        <f>COUNTIF(RDprograms[[#This Row],[1978-79]:[2028-29]], "&gt;0")</f>
        <v>11</v>
      </c>
      <c r="BE327" s="805">
        <f>SUM(C327:BA327)/RDprograms[[#This Row],[Years with &gt; $0 investment]]</f>
        <v>0.19090909090909092</v>
      </c>
      <c r="BF327" s="806" t="s">
        <v>273</v>
      </c>
      <c r="BG327" s="807" t="s">
        <v>703</v>
      </c>
      <c r="BH327" s="847" t="s">
        <v>834</v>
      </c>
      <c r="BI327" s="809"/>
      <c r="BJ327" s="809"/>
      <c r="BK327" s="809"/>
      <c r="BL327" s="809"/>
      <c r="BM327" s="809"/>
      <c r="BN327" s="810"/>
      <c r="BO327" s="811" t="s">
        <v>236</v>
      </c>
      <c r="BP327" s="812" t="s">
        <v>918</v>
      </c>
      <c r="BQ327" s="812" t="s">
        <v>919</v>
      </c>
      <c r="BR327" s="812"/>
      <c r="BS327" s="812"/>
      <c r="BT327" s="812" t="s">
        <v>238</v>
      </c>
    </row>
    <row r="328" spans="1:72" ht="12.75" customHeight="1">
      <c r="A328" s="813" t="s">
        <v>832</v>
      </c>
      <c r="B328" s="820" t="s">
        <v>920</v>
      </c>
      <c r="C328" s="5">
        <v>0</v>
      </c>
      <c r="D328" s="5">
        <v>0</v>
      </c>
      <c r="E328" s="5">
        <v>0</v>
      </c>
      <c r="F328" s="5">
        <v>0</v>
      </c>
      <c r="G328" s="5">
        <v>0</v>
      </c>
      <c r="H328" s="5">
        <v>0</v>
      </c>
      <c r="I328" s="5">
        <v>0</v>
      </c>
      <c r="J328" s="5">
        <v>0</v>
      </c>
      <c r="K328" s="5">
        <v>0</v>
      </c>
      <c r="L328" s="5">
        <v>0</v>
      </c>
      <c r="M328" s="5">
        <v>0</v>
      </c>
      <c r="N328" s="5">
        <v>0</v>
      </c>
      <c r="O328" s="5">
        <v>0</v>
      </c>
      <c r="P328" s="5">
        <v>0</v>
      </c>
      <c r="Q328" s="5">
        <v>0</v>
      </c>
      <c r="R328" s="5">
        <v>0</v>
      </c>
      <c r="S328" s="5">
        <v>0</v>
      </c>
      <c r="T328" s="5">
        <v>0</v>
      </c>
      <c r="U328" s="5">
        <v>0</v>
      </c>
      <c r="V328" s="5">
        <v>0</v>
      </c>
      <c r="W328" s="5">
        <v>0</v>
      </c>
      <c r="X328" s="5">
        <v>0</v>
      </c>
      <c r="Y328" s="5">
        <v>0</v>
      </c>
      <c r="Z328" s="5">
        <v>0</v>
      </c>
      <c r="AA328" s="5">
        <v>0</v>
      </c>
      <c r="AB328" s="5">
        <v>0</v>
      </c>
      <c r="AC328" s="5">
        <v>0</v>
      </c>
      <c r="AD328" s="5">
        <v>0</v>
      </c>
      <c r="AE328" s="5">
        <v>0</v>
      </c>
      <c r="AF328" s="5">
        <v>0</v>
      </c>
      <c r="AG328" s="5">
        <v>0</v>
      </c>
      <c r="AH328" s="5">
        <v>0</v>
      </c>
      <c r="AI328" s="5">
        <v>0</v>
      </c>
      <c r="AJ328" s="5">
        <v>0</v>
      </c>
      <c r="AK328" s="5">
        <v>0</v>
      </c>
      <c r="AL328" s="5">
        <v>0</v>
      </c>
      <c r="AM328" s="5">
        <v>0</v>
      </c>
      <c r="AN328" s="5">
        <v>0</v>
      </c>
      <c r="AO328" s="5">
        <v>2.8</v>
      </c>
      <c r="AP328" s="5">
        <v>0</v>
      </c>
      <c r="AQ328" s="5">
        <v>0</v>
      </c>
      <c r="AR328" s="5">
        <v>0</v>
      </c>
      <c r="AS328" s="5">
        <v>0</v>
      </c>
      <c r="AT328" s="5">
        <v>0</v>
      </c>
      <c r="AU328" s="5">
        <v>0</v>
      </c>
      <c r="AV328" s="5">
        <v>0</v>
      </c>
      <c r="AW328" s="815">
        <v>0</v>
      </c>
      <c r="AX328" s="816">
        <v>0</v>
      </c>
      <c r="AY328" s="819">
        <v>0</v>
      </c>
      <c r="AZ328" s="816">
        <v>0</v>
      </c>
      <c r="BA328" s="818"/>
      <c r="BB328" s="802" t="str" cm="1">
        <f t="array" ref="BB328">INDEX(C$4:BA$4,MATCH(TRUE,INDEX(C328:BA328&lt;&gt;0,),0))</f>
        <v>2016-17</v>
      </c>
      <c r="BC328" s="803" t="str" cm="1">
        <f t="array" ref="BC328">LOOKUP(2,1/(C328:BA328&lt;&gt;0),$C$4:$BA$4)</f>
        <v>2016-17</v>
      </c>
      <c r="BD328" s="804">
        <f>COUNTIF(RDprograms[[#This Row],[1978-79]:[2028-29]], "&gt;0")</f>
        <v>1</v>
      </c>
      <c r="BE328" s="805">
        <f>SUM(C328:BA328)/RDprograms[[#This Row],[Years with &gt; $0 investment]]</f>
        <v>2.8</v>
      </c>
      <c r="BF328" s="806" t="s">
        <v>273</v>
      </c>
      <c r="BG328" s="807" t="s">
        <v>703</v>
      </c>
      <c r="BH328" s="847" t="s">
        <v>834</v>
      </c>
      <c r="BI328" s="809"/>
      <c r="BJ328" s="809"/>
      <c r="BK328" s="809"/>
      <c r="BL328" s="809"/>
      <c r="BM328" s="809"/>
      <c r="BN328" s="810"/>
      <c r="BO328" s="811" t="s">
        <v>236</v>
      </c>
      <c r="BP328" s="812" t="s">
        <v>921</v>
      </c>
      <c r="BQ328" s="812" t="s">
        <v>922</v>
      </c>
      <c r="BR328" s="812"/>
      <c r="BS328" s="812"/>
      <c r="BT328" s="812" t="s">
        <v>722</v>
      </c>
    </row>
    <row r="329" spans="1:72" ht="12.75" customHeight="1">
      <c r="A329" s="813" t="s">
        <v>832</v>
      </c>
      <c r="B329" s="820" t="s">
        <v>923</v>
      </c>
      <c r="C329" s="5">
        <v>0</v>
      </c>
      <c r="D329" s="5">
        <v>0</v>
      </c>
      <c r="E329" s="5">
        <v>0</v>
      </c>
      <c r="F329" s="5">
        <v>0</v>
      </c>
      <c r="G329" s="5">
        <v>0</v>
      </c>
      <c r="H329" s="5">
        <v>0</v>
      </c>
      <c r="I329" s="5">
        <v>0</v>
      </c>
      <c r="J329" s="5">
        <v>0</v>
      </c>
      <c r="K329" s="5">
        <v>0</v>
      </c>
      <c r="L329" s="5">
        <v>0</v>
      </c>
      <c r="M329" s="5">
        <v>0</v>
      </c>
      <c r="N329" s="5">
        <v>0</v>
      </c>
      <c r="O329" s="5">
        <v>0</v>
      </c>
      <c r="P329" s="5">
        <v>0</v>
      </c>
      <c r="Q329" s="5">
        <v>0</v>
      </c>
      <c r="R329" s="5">
        <v>0</v>
      </c>
      <c r="S329" s="5">
        <v>0</v>
      </c>
      <c r="T329" s="5">
        <v>0</v>
      </c>
      <c r="U329" s="5">
        <v>0</v>
      </c>
      <c r="V329" s="5">
        <v>0</v>
      </c>
      <c r="W329" s="5">
        <v>0</v>
      </c>
      <c r="X329" s="5">
        <v>0</v>
      </c>
      <c r="Y329" s="5">
        <v>0</v>
      </c>
      <c r="Z329" s="5">
        <v>0</v>
      </c>
      <c r="AA329" s="5">
        <v>0</v>
      </c>
      <c r="AB329" s="5">
        <v>0</v>
      </c>
      <c r="AC329" s="5">
        <v>0</v>
      </c>
      <c r="AD329" s="5">
        <v>0</v>
      </c>
      <c r="AE329" s="5">
        <v>0</v>
      </c>
      <c r="AF329" s="5">
        <v>0</v>
      </c>
      <c r="AG329" s="5">
        <v>0</v>
      </c>
      <c r="AH329" s="5">
        <v>0</v>
      </c>
      <c r="AI329" s="5">
        <v>0</v>
      </c>
      <c r="AJ329" s="5">
        <v>0</v>
      </c>
      <c r="AK329" s="5">
        <v>0</v>
      </c>
      <c r="AL329" s="5">
        <v>0</v>
      </c>
      <c r="AM329" s="5">
        <v>0</v>
      </c>
      <c r="AN329" s="5">
        <v>0</v>
      </c>
      <c r="AO329" s="5">
        <v>0</v>
      </c>
      <c r="AP329" s="5">
        <v>0</v>
      </c>
      <c r="AQ329" s="5">
        <v>0</v>
      </c>
      <c r="AR329" s="5">
        <v>0</v>
      </c>
      <c r="AS329" s="5">
        <v>0</v>
      </c>
      <c r="AT329" s="5">
        <v>1</v>
      </c>
      <c r="AU329" s="5">
        <v>1</v>
      </c>
      <c r="AV329" s="5">
        <v>0</v>
      </c>
      <c r="AW329" s="849">
        <v>0</v>
      </c>
      <c r="AX329" s="5">
        <v>0</v>
      </c>
      <c r="AY329" s="819">
        <v>0</v>
      </c>
      <c r="AZ329" s="826">
        <v>0</v>
      </c>
      <c r="BA329" s="838"/>
      <c r="BB329" s="802" t="str" cm="1">
        <f t="array" ref="BB329">INDEX(C$4:BA$4,MATCH(TRUE,INDEX(C329:BA329&lt;&gt;0,),0))</f>
        <v>2021-22</v>
      </c>
      <c r="BC329" s="803" t="str" cm="1">
        <f t="array" ref="BC329">LOOKUP(2,1/(C329:BA329&lt;&gt;0),$C$4:$BA$4)</f>
        <v>2022-23</v>
      </c>
      <c r="BD329" s="839">
        <f>COUNTIF(RDprograms[[#This Row],[1978-79]:[2028-29]], "&gt;0")</f>
        <v>2</v>
      </c>
      <c r="BE329" s="805">
        <f>SUM(C329:BA329)/RDprograms[[#This Row],[Years with &gt; $0 investment]]</f>
        <v>1</v>
      </c>
      <c r="BF329" s="806" t="s">
        <v>273</v>
      </c>
      <c r="BG329" s="807" t="s">
        <v>703</v>
      </c>
      <c r="BH329" s="847" t="s">
        <v>834</v>
      </c>
      <c r="BI329" s="809"/>
      <c r="BJ329" s="809"/>
      <c r="BK329" s="809"/>
      <c r="BL329" s="809"/>
      <c r="BM329" s="809"/>
      <c r="BN329" s="810"/>
      <c r="BO329" s="811" t="s">
        <v>236</v>
      </c>
      <c r="BP329" s="812" t="s">
        <v>924</v>
      </c>
      <c r="BQ329" s="812" t="s">
        <v>925</v>
      </c>
      <c r="BR329" s="812"/>
      <c r="BS329" s="812"/>
      <c r="BT329" s="812"/>
    </row>
    <row r="330" spans="1:72" ht="12.75" customHeight="1">
      <c r="A330" s="813" t="s">
        <v>832</v>
      </c>
      <c r="B330" s="820" t="s">
        <v>926</v>
      </c>
      <c r="C330" s="5">
        <v>0</v>
      </c>
      <c r="D330" s="5">
        <v>0</v>
      </c>
      <c r="E330" s="5">
        <v>0</v>
      </c>
      <c r="F330" s="5">
        <v>0</v>
      </c>
      <c r="G330" s="5">
        <v>0</v>
      </c>
      <c r="H330" s="5">
        <v>0</v>
      </c>
      <c r="I330" s="5">
        <v>0</v>
      </c>
      <c r="J330" s="5">
        <v>0</v>
      </c>
      <c r="K330" s="5">
        <v>0</v>
      </c>
      <c r="L330" s="5">
        <v>0</v>
      </c>
      <c r="M330" s="5">
        <v>0</v>
      </c>
      <c r="N330" s="5">
        <v>0</v>
      </c>
      <c r="O330" s="5">
        <v>0</v>
      </c>
      <c r="P330" s="5">
        <v>0</v>
      </c>
      <c r="Q330" s="5">
        <v>0</v>
      </c>
      <c r="R330" s="5">
        <v>0</v>
      </c>
      <c r="S330" s="5">
        <v>0</v>
      </c>
      <c r="T330" s="5">
        <v>0</v>
      </c>
      <c r="U330" s="5">
        <v>0</v>
      </c>
      <c r="V330" s="5">
        <v>0</v>
      </c>
      <c r="W330" s="5">
        <v>0</v>
      </c>
      <c r="X330" s="5">
        <v>0</v>
      </c>
      <c r="Y330" s="5">
        <v>0</v>
      </c>
      <c r="Z330" s="5">
        <v>0</v>
      </c>
      <c r="AA330" s="5">
        <v>0</v>
      </c>
      <c r="AB330" s="5">
        <v>0</v>
      </c>
      <c r="AC330" s="5">
        <v>0</v>
      </c>
      <c r="AD330" s="5">
        <v>0</v>
      </c>
      <c r="AE330" s="5">
        <v>0</v>
      </c>
      <c r="AF330" s="5">
        <v>0</v>
      </c>
      <c r="AG330" s="5">
        <v>0</v>
      </c>
      <c r="AH330" s="5">
        <v>0</v>
      </c>
      <c r="AI330" s="5">
        <v>0</v>
      </c>
      <c r="AJ330" s="5">
        <v>0</v>
      </c>
      <c r="AK330" s="5">
        <v>1.804</v>
      </c>
      <c r="AL330" s="5">
        <v>2.028</v>
      </c>
      <c r="AM330" s="5">
        <v>0.65400000000000003</v>
      </c>
      <c r="AN330" s="5">
        <v>0</v>
      </c>
      <c r="AO330" s="5">
        <v>0</v>
      </c>
      <c r="AP330" s="816">
        <v>0</v>
      </c>
      <c r="AQ330" s="816">
        <v>0</v>
      </c>
      <c r="AR330" s="5">
        <v>0</v>
      </c>
      <c r="AS330" s="5">
        <v>0</v>
      </c>
      <c r="AT330" s="5">
        <v>0</v>
      </c>
      <c r="AU330" s="5">
        <v>0</v>
      </c>
      <c r="AV330" s="5">
        <v>0</v>
      </c>
      <c r="AW330" s="815">
        <v>0</v>
      </c>
      <c r="AX330" s="816">
        <v>0</v>
      </c>
      <c r="AY330" s="819">
        <v>0</v>
      </c>
      <c r="AZ330" s="816"/>
      <c r="BA330" s="818"/>
      <c r="BB330" s="802" t="str" cm="1">
        <f t="array" ref="BB330">INDEX(C$4:BA$4,MATCH(TRUE,INDEX(C330:BA330&lt;&gt;0,),0))</f>
        <v>2012-13</v>
      </c>
      <c r="BC330" s="803" t="str" cm="1">
        <f t="array" ref="BC330">LOOKUP(2,1/(C330:BA330&lt;&gt;0),$C$4:$BA$4)</f>
        <v>2014-15</v>
      </c>
      <c r="BD330" s="804">
        <f>COUNTIF(RDprograms[[#This Row],[1978-79]:[2028-29]], "&gt;0")</f>
        <v>3</v>
      </c>
      <c r="BE330" s="805">
        <f>SUM(C330:BA330)/RDprograms[[#This Row],[Years with &gt; $0 investment]]</f>
        <v>1.4953333333333332</v>
      </c>
      <c r="BF330" s="806" t="s">
        <v>249</v>
      </c>
      <c r="BG330" s="807" t="s">
        <v>703</v>
      </c>
      <c r="BH330" s="847" t="s">
        <v>834</v>
      </c>
      <c r="BI330" s="809"/>
      <c r="BJ330" s="809"/>
      <c r="BK330" s="809"/>
      <c r="BL330" s="809"/>
      <c r="BM330" s="809"/>
      <c r="BN330" s="810"/>
      <c r="BO330" s="811" t="s">
        <v>236</v>
      </c>
      <c r="BP330" s="812"/>
      <c r="BQ330" s="812" t="s">
        <v>835</v>
      </c>
      <c r="BR330" s="812"/>
      <c r="BS330" s="812"/>
      <c r="BT330" s="812" t="s">
        <v>238</v>
      </c>
    </row>
    <row r="331" spans="1:72" ht="12.75" customHeight="1">
      <c r="A331" s="813" t="s">
        <v>832</v>
      </c>
      <c r="B331" s="820" t="s">
        <v>927</v>
      </c>
      <c r="C331" s="5">
        <v>0</v>
      </c>
      <c r="D331" s="5">
        <v>0</v>
      </c>
      <c r="E331" s="5">
        <v>0</v>
      </c>
      <c r="F331" s="5">
        <v>0</v>
      </c>
      <c r="G331" s="5">
        <v>0</v>
      </c>
      <c r="H331" s="5">
        <v>0</v>
      </c>
      <c r="I331" s="5">
        <v>0</v>
      </c>
      <c r="J331" s="5">
        <v>0</v>
      </c>
      <c r="K331" s="5">
        <v>0</v>
      </c>
      <c r="L331" s="5">
        <v>0</v>
      </c>
      <c r="M331" s="5">
        <v>0</v>
      </c>
      <c r="N331" s="5">
        <v>0</v>
      </c>
      <c r="O331" s="5">
        <v>0</v>
      </c>
      <c r="P331" s="5">
        <v>0</v>
      </c>
      <c r="Q331" s="5">
        <v>0</v>
      </c>
      <c r="R331" s="5">
        <v>0</v>
      </c>
      <c r="S331" s="5">
        <v>0</v>
      </c>
      <c r="T331" s="5">
        <v>0</v>
      </c>
      <c r="U331" s="5">
        <v>0</v>
      </c>
      <c r="V331" s="5">
        <v>0</v>
      </c>
      <c r="W331" s="5">
        <v>0</v>
      </c>
      <c r="X331" s="5">
        <v>0</v>
      </c>
      <c r="Y331" s="5">
        <v>0</v>
      </c>
      <c r="Z331" s="5">
        <v>0</v>
      </c>
      <c r="AA331" s="5">
        <v>0</v>
      </c>
      <c r="AB331" s="5">
        <v>0</v>
      </c>
      <c r="AC331" s="5">
        <v>0.246</v>
      </c>
      <c r="AD331" s="5">
        <v>0</v>
      </c>
      <c r="AE331" s="5">
        <v>0</v>
      </c>
      <c r="AF331" s="5">
        <v>0</v>
      </c>
      <c r="AG331" s="5">
        <v>0</v>
      </c>
      <c r="AH331" s="5">
        <v>0</v>
      </c>
      <c r="AI331" s="5">
        <v>0</v>
      </c>
      <c r="AJ331" s="5">
        <v>5.8940000000000001</v>
      </c>
      <c r="AK331" s="5">
        <v>4.4649999999999999</v>
      </c>
      <c r="AL331" s="5">
        <v>9.5850000000000009</v>
      </c>
      <c r="AM331" s="5">
        <v>9.4949999999999992</v>
      </c>
      <c r="AN331" s="5">
        <v>7.8079999999999998</v>
      </c>
      <c r="AO331" s="5">
        <v>12.718</v>
      </c>
      <c r="AP331" s="816">
        <v>10.210000000000001</v>
      </c>
      <c r="AQ331" s="816">
        <v>14.132</v>
      </c>
      <c r="AR331" s="5">
        <v>14.478999999999999</v>
      </c>
      <c r="AS331" s="5">
        <v>9.6809999999999992</v>
      </c>
      <c r="AT331" s="5">
        <v>9.8000000000000007</v>
      </c>
      <c r="AU331" s="5">
        <v>10.845000000000001</v>
      </c>
      <c r="AV331" s="5">
        <v>10.88</v>
      </c>
      <c r="AW331" s="815">
        <v>10.91</v>
      </c>
      <c r="AX331" s="816">
        <v>2.093</v>
      </c>
      <c r="AY331" s="819">
        <v>0</v>
      </c>
      <c r="AZ331" s="816"/>
      <c r="BA331" s="818"/>
      <c r="BB331" s="802" t="str" cm="1">
        <f t="array" ref="BB331">INDEX(C$4:BA$4,MATCH(TRUE,INDEX(C331:BA331&lt;&gt;0,),0))</f>
        <v>2004-05</v>
      </c>
      <c r="BC331" s="803" t="str" cm="1">
        <f t="array" ref="BC331">LOOKUP(2,1/(C331:BA331&lt;&gt;0),$C$4:$BA$4)</f>
        <v>2025-26</v>
      </c>
      <c r="BD331" s="804">
        <f>COUNTIF(RDprograms[[#This Row],[1978-79]:[2028-29]], "&gt;0")</f>
        <v>16</v>
      </c>
      <c r="BE331" s="805">
        <f>SUM(C331:BA331)/RDprograms[[#This Row],[Years with &gt; $0 investment]]</f>
        <v>8.9525624999999991</v>
      </c>
      <c r="BF331" s="806" t="s">
        <v>273</v>
      </c>
      <c r="BG331" s="807" t="s">
        <v>703</v>
      </c>
      <c r="BH331" s="847" t="s">
        <v>834</v>
      </c>
      <c r="BI331" s="809"/>
      <c r="BJ331" s="809"/>
      <c r="BK331" s="809"/>
      <c r="BL331" s="809"/>
      <c r="BM331" s="809"/>
      <c r="BN331" s="810">
        <v>1</v>
      </c>
      <c r="BO331" s="811" t="s">
        <v>236</v>
      </c>
      <c r="BP331" s="812" t="s">
        <v>928</v>
      </c>
      <c r="BQ331" s="812" t="s">
        <v>929</v>
      </c>
      <c r="BR331" s="812"/>
      <c r="BS331" s="812"/>
      <c r="BT331" s="812"/>
    </row>
    <row r="332" spans="1:72" ht="12.75" customHeight="1">
      <c r="A332" s="813" t="s">
        <v>832</v>
      </c>
      <c r="B332" s="820" t="s">
        <v>930</v>
      </c>
      <c r="C332" s="5">
        <v>0</v>
      </c>
      <c r="D332" s="5">
        <v>0</v>
      </c>
      <c r="E332" s="5">
        <v>0</v>
      </c>
      <c r="F332" s="5">
        <v>0</v>
      </c>
      <c r="G332" s="5">
        <v>0</v>
      </c>
      <c r="H332" s="5">
        <v>0</v>
      </c>
      <c r="I332" s="5">
        <v>0</v>
      </c>
      <c r="J332" s="5">
        <v>0</v>
      </c>
      <c r="K332" s="5">
        <v>0</v>
      </c>
      <c r="L332" s="5">
        <v>0</v>
      </c>
      <c r="M332" s="5">
        <v>0</v>
      </c>
      <c r="N332" s="5">
        <v>0</v>
      </c>
      <c r="O332" s="5">
        <v>0</v>
      </c>
      <c r="P332" s="5">
        <v>0</v>
      </c>
      <c r="Q332" s="5">
        <v>0</v>
      </c>
      <c r="R332" s="5">
        <v>0</v>
      </c>
      <c r="S332" s="5">
        <v>0</v>
      </c>
      <c r="T332" s="5">
        <v>0</v>
      </c>
      <c r="U332" s="5">
        <v>0</v>
      </c>
      <c r="V332" s="5">
        <v>0</v>
      </c>
      <c r="W332" s="5">
        <v>0</v>
      </c>
      <c r="X332" s="5">
        <v>0</v>
      </c>
      <c r="Y332" s="5">
        <v>0</v>
      </c>
      <c r="Z332" s="5">
        <v>0</v>
      </c>
      <c r="AA332" s="5">
        <v>0</v>
      </c>
      <c r="AB332" s="5">
        <v>0</v>
      </c>
      <c r="AC332" s="5">
        <v>0</v>
      </c>
      <c r="AD332" s="5">
        <v>0</v>
      </c>
      <c r="AE332" s="5">
        <v>0</v>
      </c>
      <c r="AF332" s="5">
        <v>0</v>
      </c>
      <c r="AG332" s="5">
        <v>0</v>
      </c>
      <c r="AH332" s="5">
        <v>0</v>
      </c>
      <c r="AI332" s="5">
        <v>0</v>
      </c>
      <c r="AJ332" s="5">
        <v>0</v>
      </c>
      <c r="AK332" s="5">
        <v>0</v>
      </c>
      <c r="AL332" s="5">
        <v>0</v>
      </c>
      <c r="AM332" s="5">
        <v>0</v>
      </c>
      <c r="AN332" s="5">
        <v>0</v>
      </c>
      <c r="AO332" s="5">
        <v>0</v>
      </c>
      <c r="AP332" s="816">
        <v>0</v>
      </c>
      <c r="AQ332" s="816">
        <v>0</v>
      </c>
      <c r="AR332" s="5">
        <v>0</v>
      </c>
      <c r="AS332" s="5">
        <v>0</v>
      </c>
      <c r="AT332" s="5">
        <v>0</v>
      </c>
      <c r="AU332" s="5">
        <v>0</v>
      </c>
      <c r="AV332" s="5">
        <v>2.7</v>
      </c>
      <c r="AW332" s="815">
        <v>3.7</v>
      </c>
      <c r="AX332" s="816">
        <v>3.3</v>
      </c>
      <c r="AY332" s="819">
        <v>0</v>
      </c>
      <c r="AZ332" s="816"/>
      <c r="BA332" s="818"/>
      <c r="BB332" s="802" t="str" cm="1">
        <f t="array" ref="BB332">INDEX(C$4:BA$4,MATCH(TRUE,INDEX(C332:BA332&lt;&gt;0,),0))</f>
        <v>2023-24</v>
      </c>
      <c r="BC332" s="803" t="str" cm="1">
        <f t="array" ref="BC332">LOOKUP(2,1/(C332:BA332&lt;&gt;0),$C$4:$BA$4)</f>
        <v>2025-26</v>
      </c>
      <c r="BD332" s="804">
        <f>COUNTIF(RDprograms[[#This Row],[1978-79]:[2028-29]], "&gt;0")</f>
        <v>3</v>
      </c>
      <c r="BE332" s="805">
        <f>SUM(C332:BA332)/RDprograms[[#This Row],[Years with &gt; $0 investment]]</f>
        <v>3.2333333333333329</v>
      </c>
      <c r="BF332" s="806" t="s">
        <v>273</v>
      </c>
      <c r="BG332" s="807" t="s">
        <v>703</v>
      </c>
      <c r="BH332" s="847" t="s">
        <v>834</v>
      </c>
      <c r="BI332" s="809"/>
      <c r="BJ332" s="809"/>
      <c r="BK332" s="809">
        <v>1</v>
      </c>
      <c r="BL332" s="809"/>
      <c r="BM332" s="809"/>
      <c r="BN332" s="810"/>
      <c r="BO332" s="811" t="s">
        <v>236</v>
      </c>
      <c r="BP332" s="812" t="s">
        <v>931</v>
      </c>
      <c r="BQ332" s="812"/>
      <c r="BR332" s="812"/>
      <c r="BS332" s="812"/>
      <c r="BT332" s="812" t="s">
        <v>238</v>
      </c>
    </row>
    <row r="333" spans="1:72" ht="12.75" customHeight="1">
      <c r="A333" s="813" t="s">
        <v>832</v>
      </c>
      <c r="B333" s="820" t="s">
        <v>932</v>
      </c>
      <c r="C333" s="5">
        <v>0</v>
      </c>
      <c r="D333" s="5">
        <v>0</v>
      </c>
      <c r="E333" s="5">
        <v>0</v>
      </c>
      <c r="F333" s="5">
        <v>0</v>
      </c>
      <c r="G333" s="5">
        <v>0</v>
      </c>
      <c r="H333" s="5">
        <v>0</v>
      </c>
      <c r="I333" s="5">
        <v>0</v>
      </c>
      <c r="J333" s="5">
        <v>0</v>
      </c>
      <c r="K333" s="5">
        <v>0</v>
      </c>
      <c r="L333" s="5">
        <v>0</v>
      </c>
      <c r="M333" s="5">
        <v>0</v>
      </c>
      <c r="N333" s="5">
        <v>0</v>
      </c>
      <c r="O333" s="5">
        <v>0</v>
      </c>
      <c r="P333" s="5">
        <v>0</v>
      </c>
      <c r="Q333" s="5">
        <v>0</v>
      </c>
      <c r="R333" s="5">
        <v>0</v>
      </c>
      <c r="S333" s="5">
        <v>0</v>
      </c>
      <c r="T333" s="5">
        <v>0</v>
      </c>
      <c r="U333" s="5">
        <v>0</v>
      </c>
      <c r="V333" s="5">
        <v>0</v>
      </c>
      <c r="W333" s="5">
        <v>0</v>
      </c>
      <c r="X333" s="5">
        <v>0</v>
      </c>
      <c r="Y333" s="5">
        <v>0</v>
      </c>
      <c r="Z333" s="5">
        <v>0</v>
      </c>
      <c r="AA333" s="5">
        <v>0</v>
      </c>
      <c r="AB333" s="5">
        <v>0</v>
      </c>
      <c r="AC333" s="5">
        <v>0</v>
      </c>
      <c r="AD333" s="5">
        <v>0</v>
      </c>
      <c r="AE333" s="5">
        <v>0</v>
      </c>
      <c r="AF333" s="5">
        <v>0</v>
      </c>
      <c r="AG333" s="5">
        <v>0</v>
      </c>
      <c r="AH333" s="5">
        <v>0</v>
      </c>
      <c r="AI333" s="5">
        <v>0</v>
      </c>
      <c r="AJ333" s="5">
        <v>0</v>
      </c>
      <c r="AK333" s="5">
        <v>0</v>
      </c>
      <c r="AL333" s="5">
        <v>0</v>
      </c>
      <c r="AM333" s="5">
        <v>0</v>
      </c>
      <c r="AN333" s="5">
        <v>0.77200000000000002</v>
      </c>
      <c r="AO333" s="5">
        <v>10.38</v>
      </c>
      <c r="AP333" s="5">
        <v>8.2409999999999997</v>
      </c>
      <c r="AQ333" s="5">
        <v>3.665</v>
      </c>
      <c r="AR333" s="5">
        <v>2.66</v>
      </c>
      <c r="AS333" s="5">
        <v>3.02</v>
      </c>
      <c r="AT333" s="5">
        <v>7.0640000000000001</v>
      </c>
      <c r="AU333" s="5">
        <v>4.5599999999999996</v>
      </c>
      <c r="AV333" s="5">
        <v>0</v>
      </c>
      <c r="AW333" s="815">
        <v>0</v>
      </c>
      <c r="AX333" s="816">
        <v>0</v>
      </c>
      <c r="AY333" s="819">
        <v>0</v>
      </c>
      <c r="AZ333" s="816"/>
      <c r="BA333" s="818"/>
      <c r="BB333" s="802" t="str" cm="1">
        <f t="array" ref="BB333">INDEX(C$4:BA$4,MATCH(TRUE,INDEX(C333:BA333&lt;&gt;0,),0))</f>
        <v>2015-16</v>
      </c>
      <c r="BC333" s="803" t="str" cm="1">
        <f t="array" ref="BC333">LOOKUP(2,1/(C333:BA333&lt;&gt;0),$C$4:$BA$4)</f>
        <v>2022-23</v>
      </c>
      <c r="BD333" s="804">
        <f>COUNTIF(RDprograms[[#This Row],[1978-79]:[2028-29]], "&gt;0")</f>
        <v>8</v>
      </c>
      <c r="BE333" s="805">
        <f>SUM(C333:BA333)/RDprograms[[#This Row],[Years with &gt; $0 investment]]</f>
        <v>5.0452500000000002</v>
      </c>
      <c r="BF333" s="806" t="s">
        <v>273</v>
      </c>
      <c r="BG333" s="807" t="s">
        <v>703</v>
      </c>
      <c r="BH333" s="847" t="s">
        <v>834</v>
      </c>
      <c r="BI333" s="809"/>
      <c r="BJ333" s="809"/>
      <c r="BK333" s="809"/>
      <c r="BL333" s="809"/>
      <c r="BM333" s="809"/>
      <c r="BN333" s="810"/>
      <c r="BO333" s="811" t="s">
        <v>236</v>
      </c>
      <c r="BP333" s="812" t="s">
        <v>933</v>
      </c>
      <c r="BQ333" s="812" t="s">
        <v>934</v>
      </c>
      <c r="BR333" s="812"/>
      <c r="BS333" s="812"/>
      <c r="BT333" s="812" t="s">
        <v>672</v>
      </c>
    </row>
    <row r="334" spans="1:72" ht="12.75" customHeight="1">
      <c r="A334" s="813" t="s">
        <v>832</v>
      </c>
      <c r="B334" s="820" t="s">
        <v>935</v>
      </c>
      <c r="C334" s="5">
        <v>0</v>
      </c>
      <c r="D334" s="5">
        <v>0</v>
      </c>
      <c r="E334" s="5">
        <v>0</v>
      </c>
      <c r="F334" s="5">
        <v>0</v>
      </c>
      <c r="G334" s="5">
        <v>0</v>
      </c>
      <c r="H334" s="5">
        <v>0</v>
      </c>
      <c r="I334" s="5">
        <v>0</v>
      </c>
      <c r="J334" s="5">
        <v>0</v>
      </c>
      <c r="K334" s="5">
        <v>0</v>
      </c>
      <c r="L334" s="5">
        <v>0</v>
      </c>
      <c r="M334" s="5">
        <v>0</v>
      </c>
      <c r="N334" s="5">
        <v>0</v>
      </c>
      <c r="O334" s="5">
        <v>0</v>
      </c>
      <c r="P334" s="5">
        <v>0</v>
      </c>
      <c r="Q334" s="5">
        <v>0</v>
      </c>
      <c r="R334" s="5">
        <v>0</v>
      </c>
      <c r="S334" s="5">
        <v>0</v>
      </c>
      <c r="T334" s="5">
        <v>0</v>
      </c>
      <c r="U334" s="5">
        <v>0</v>
      </c>
      <c r="V334" s="5">
        <v>0</v>
      </c>
      <c r="W334" s="5">
        <v>0</v>
      </c>
      <c r="X334" s="5">
        <v>0</v>
      </c>
      <c r="Y334" s="5">
        <v>0</v>
      </c>
      <c r="Z334" s="5">
        <v>0</v>
      </c>
      <c r="AA334" s="5">
        <v>0</v>
      </c>
      <c r="AB334" s="5">
        <v>0</v>
      </c>
      <c r="AC334" s="5">
        <v>0</v>
      </c>
      <c r="AD334" s="5">
        <v>0</v>
      </c>
      <c r="AE334" s="5">
        <v>0</v>
      </c>
      <c r="AF334" s="5">
        <v>0</v>
      </c>
      <c r="AG334" s="5">
        <v>46</v>
      </c>
      <c r="AH334" s="5">
        <v>24.3</v>
      </c>
      <c r="AI334" s="5">
        <v>99.7</v>
      </c>
      <c r="AJ334" s="5">
        <v>194.001</v>
      </c>
      <c r="AK334" s="5">
        <v>37.604999999999997</v>
      </c>
      <c r="AL334" s="5">
        <v>28.695</v>
      </c>
      <c r="AM334" s="5">
        <v>0</v>
      </c>
      <c r="AN334" s="5">
        <v>0</v>
      </c>
      <c r="AO334" s="5">
        <v>0</v>
      </c>
      <c r="AP334" s="816">
        <v>0</v>
      </c>
      <c r="AQ334" s="816">
        <v>0</v>
      </c>
      <c r="AR334" s="5">
        <v>0</v>
      </c>
      <c r="AS334" s="5">
        <v>0</v>
      </c>
      <c r="AT334" s="5">
        <v>0</v>
      </c>
      <c r="AU334" s="5">
        <v>0</v>
      </c>
      <c r="AV334" s="5">
        <v>0</v>
      </c>
      <c r="AW334" s="815">
        <v>0</v>
      </c>
      <c r="AX334" s="816">
        <v>0</v>
      </c>
      <c r="AY334" s="819">
        <v>0</v>
      </c>
      <c r="AZ334" s="816"/>
      <c r="BA334" s="818"/>
      <c r="BB334" s="802" t="str" cm="1">
        <f t="array" ref="BB334">INDEX(C$4:BA$4,MATCH(TRUE,INDEX(C334:BA334&lt;&gt;0,),0))</f>
        <v>2008-09</v>
      </c>
      <c r="BC334" s="803" t="str" cm="1">
        <f t="array" ref="BC334">LOOKUP(2,1/(C334:BA334&lt;&gt;0),$C$4:$BA$4)</f>
        <v>2013-14</v>
      </c>
      <c r="BD334" s="804">
        <f>COUNTIF(RDprograms[[#This Row],[1978-79]:[2028-29]], "&gt;0")</f>
        <v>6</v>
      </c>
      <c r="BE334" s="805">
        <f>SUM(C334:BA334)/RDprograms[[#This Row],[Years with &gt; $0 investment]]</f>
        <v>71.716833333333327</v>
      </c>
      <c r="BF334" s="806" t="s">
        <v>249</v>
      </c>
      <c r="BG334" s="807" t="s">
        <v>703</v>
      </c>
      <c r="BH334" s="847" t="s">
        <v>834</v>
      </c>
      <c r="BI334" s="809"/>
      <c r="BJ334" s="809"/>
      <c r="BK334" s="809"/>
      <c r="BL334" s="809"/>
      <c r="BM334" s="809"/>
      <c r="BN334" s="810"/>
      <c r="BO334" s="811" t="s">
        <v>251</v>
      </c>
      <c r="BP334" s="812"/>
      <c r="BQ334" s="812" t="s">
        <v>936</v>
      </c>
      <c r="BR334" s="812"/>
      <c r="BS334" s="812"/>
      <c r="BT334" s="812" t="s">
        <v>238</v>
      </c>
    </row>
    <row r="335" spans="1:72" ht="12.75" customHeight="1">
      <c r="A335" s="813" t="s">
        <v>832</v>
      </c>
      <c r="B335" s="820" t="s">
        <v>937</v>
      </c>
      <c r="C335" s="5">
        <v>0</v>
      </c>
      <c r="D335" s="5">
        <v>0</v>
      </c>
      <c r="E335" s="5">
        <v>0</v>
      </c>
      <c r="F335" s="5">
        <v>0</v>
      </c>
      <c r="G335" s="5">
        <v>0</v>
      </c>
      <c r="H335" s="5">
        <v>0</v>
      </c>
      <c r="I335" s="5">
        <v>0</v>
      </c>
      <c r="J335" s="5">
        <v>0</v>
      </c>
      <c r="K335" s="5">
        <v>0</v>
      </c>
      <c r="L335" s="5">
        <v>0</v>
      </c>
      <c r="M335" s="5">
        <v>0</v>
      </c>
      <c r="N335" s="5">
        <v>0</v>
      </c>
      <c r="O335" s="5">
        <v>0</v>
      </c>
      <c r="P335" s="5">
        <v>0</v>
      </c>
      <c r="Q335" s="5">
        <v>0</v>
      </c>
      <c r="R335" s="5">
        <v>0</v>
      </c>
      <c r="S335" s="5">
        <v>0</v>
      </c>
      <c r="T335" s="5">
        <v>0</v>
      </c>
      <c r="U335" s="5">
        <v>0</v>
      </c>
      <c r="V335" s="5">
        <v>0</v>
      </c>
      <c r="W335" s="5">
        <v>0</v>
      </c>
      <c r="X335" s="5">
        <v>0</v>
      </c>
      <c r="Y335" s="5">
        <v>0</v>
      </c>
      <c r="Z335" s="5">
        <v>0</v>
      </c>
      <c r="AA335" s="5">
        <v>0</v>
      </c>
      <c r="AB335" s="5">
        <v>0</v>
      </c>
      <c r="AC335" s="5">
        <v>0</v>
      </c>
      <c r="AD335" s="5">
        <v>0</v>
      </c>
      <c r="AE335" s="5">
        <v>0</v>
      </c>
      <c r="AF335" s="5">
        <v>0</v>
      </c>
      <c r="AG335" s="5">
        <v>0</v>
      </c>
      <c r="AH335" s="5">
        <v>0</v>
      </c>
      <c r="AI335" s="5">
        <v>0</v>
      </c>
      <c r="AJ335" s="5">
        <v>0</v>
      </c>
      <c r="AK335" s="5">
        <v>0</v>
      </c>
      <c r="AL335" s="5">
        <v>0</v>
      </c>
      <c r="AM335" s="5">
        <v>0</v>
      </c>
      <c r="AN335" s="5">
        <v>0</v>
      </c>
      <c r="AO335" s="5">
        <v>4.82</v>
      </c>
      <c r="AP335" s="816">
        <v>4.82</v>
      </c>
      <c r="AQ335" s="816">
        <v>4.38</v>
      </c>
      <c r="AR335" s="5">
        <v>4.38</v>
      </c>
      <c r="AS335" s="5">
        <v>4.38</v>
      </c>
      <c r="AT335" s="5">
        <v>4.38</v>
      </c>
      <c r="AU335" s="5">
        <v>4.5</v>
      </c>
      <c r="AV335" s="5">
        <v>4.5</v>
      </c>
      <c r="AW335" s="815">
        <v>4.5</v>
      </c>
      <c r="AX335" s="816">
        <v>4.5</v>
      </c>
      <c r="AY335" s="819">
        <v>0</v>
      </c>
      <c r="AZ335" s="816"/>
      <c r="BA335" s="818"/>
      <c r="BB335" s="802" t="str" cm="1">
        <f t="array" ref="BB335">INDEX(C$4:BA$4,MATCH(TRUE,INDEX(C335:BA335&lt;&gt;0,),0))</f>
        <v>2016-17</v>
      </c>
      <c r="BC335" s="803" t="str" cm="1">
        <f t="array" ref="BC335">LOOKUP(2,1/(C335:BA335&lt;&gt;0),$C$4:$BA$4)</f>
        <v>2025-26</v>
      </c>
      <c r="BD335" s="804">
        <f>COUNTIF(RDprograms[[#This Row],[1978-79]:[2028-29]], "&gt;0")</f>
        <v>10</v>
      </c>
      <c r="BE335" s="805">
        <f>SUM(C335:BA335)/RDprograms[[#This Row],[Years with &gt; $0 investment]]</f>
        <v>4.516</v>
      </c>
      <c r="BF335" s="806" t="s">
        <v>273</v>
      </c>
      <c r="BG335" s="807" t="s">
        <v>703</v>
      </c>
      <c r="BH335" s="847" t="s">
        <v>834</v>
      </c>
      <c r="BI335" s="809"/>
      <c r="BJ335" s="809">
        <v>1</v>
      </c>
      <c r="BK335" s="809"/>
      <c r="BL335" s="809"/>
      <c r="BM335" s="809"/>
      <c r="BN335" s="810"/>
      <c r="BO335" s="811" t="s">
        <v>236</v>
      </c>
      <c r="BP335" s="812" t="s">
        <v>938</v>
      </c>
      <c r="BQ335" s="812" t="s">
        <v>939</v>
      </c>
      <c r="BR335" s="812"/>
      <c r="BS335" s="812"/>
      <c r="BT335" s="812" t="s">
        <v>238</v>
      </c>
    </row>
    <row r="336" spans="1:72" ht="12.75" customHeight="1">
      <c r="A336" s="813" t="s">
        <v>832</v>
      </c>
      <c r="B336" s="820" t="s">
        <v>940</v>
      </c>
      <c r="C336" s="5">
        <v>0</v>
      </c>
      <c r="D336" s="5">
        <v>0</v>
      </c>
      <c r="E336" s="5">
        <v>0</v>
      </c>
      <c r="F336" s="5">
        <v>0</v>
      </c>
      <c r="G336" s="5">
        <v>0</v>
      </c>
      <c r="H336" s="5">
        <v>0</v>
      </c>
      <c r="I336" s="5">
        <v>0</v>
      </c>
      <c r="J336" s="5">
        <v>0</v>
      </c>
      <c r="K336" s="5">
        <v>0</v>
      </c>
      <c r="L336" s="5">
        <v>0</v>
      </c>
      <c r="M336" s="5">
        <v>0</v>
      </c>
      <c r="N336" s="5">
        <v>0</v>
      </c>
      <c r="O336" s="5">
        <v>0</v>
      </c>
      <c r="P336" s="5">
        <v>0</v>
      </c>
      <c r="Q336" s="5">
        <v>0</v>
      </c>
      <c r="R336" s="5">
        <v>0</v>
      </c>
      <c r="S336" s="5">
        <v>0</v>
      </c>
      <c r="T336" s="5">
        <v>0</v>
      </c>
      <c r="U336" s="5">
        <v>0</v>
      </c>
      <c r="V336" s="5">
        <v>0</v>
      </c>
      <c r="W336" s="5">
        <v>0</v>
      </c>
      <c r="X336" s="5">
        <v>0</v>
      </c>
      <c r="Y336" s="5">
        <v>0</v>
      </c>
      <c r="Z336" s="5">
        <v>0</v>
      </c>
      <c r="AA336" s="5">
        <v>0</v>
      </c>
      <c r="AB336" s="5">
        <v>0</v>
      </c>
      <c r="AC336" s="5">
        <v>0</v>
      </c>
      <c r="AD336" s="5">
        <v>0</v>
      </c>
      <c r="AE336" s="5">
        <v>0</v>
      </c>
      <c r="AF336" s="5">
        <v>0</v>
      </c>
      <c r="AG336" s="5">
        <v>0</v>
      </c>
      <c r="AH336" s="5">
        <v>0</v>
      </c>
      <c r="AI336" s="5">
        <v>0</v>
      </c>
      <c r="AJ336" s="5">
        <v>0</v>
      </c>
      <c r="AK336" s="5">
        <v>0</v>
      </c>
      <c r="AL336" s="5">
        <v>0</v>
      </c>
      <c r="AM336" s="5">
        <v>0</v>
      </c>
      <c r="AN336" s="5">
        <v>0</v>
      </c>
      <c r="AO336" s="5">
        <v>0.25</v>
      </c>
      <c r="AP336" s="816">
        <v>0.25</v>
      </c>
      <c r="AQ336" s="816">
        <v>0.25</v>
      </c>
      <c r="AR336" s="5">
        <v>0</v>
      </c>
      <c r="AS336" s="5">
        <v>0</v>
      </c>
      <c r="AT336" s="5">
        <v>0</v>
      </c>
      <c r="AU336" s="5">
        <v>0</v>
      </c>
      <c r="AV336" s="5">
        <v>0</v>
      </c>
      <c r="AW336" s="815">
        <v>0</v>
      </c>
      <c r="AX336" s="816">
        <v>0</v>
      </c>
      <c r="AY336" s="819">
        <v>0</v>
      </c>
      <c r="AZ336" s="816"/>
      <c r="BA336" s="818"/>
      <c r="BB336" s="802" t="str" cm="1">
        <f t="array" ref="BB336">INDEX(C$4:BA$4,MATCH(TRUE,INDEX(C336:BA336&lt;&gt;0,),0))</f>
        <v>2016-17</v>
      </c>
      <c r="BC336" s="803" t="str" cm="1">
        <f t="array" ref="BC336">LOOKUP(2,1/(C336:BA336&lt;&gt;0),$C$4:$BA$4)</f>
        <v>2018-19</v>
      </c>
      <c r="BD336" s="804">
        <f>COUNTIF(RDprograms[[#This Row],[1978-79]:[2028-29]], "&gt;0")</f>
        <v>3</v>
      </c>
      <c r="BE336" s="805">
        <f>SUM(C336:BA336)/RDprograms[[#This Row],[Years with &gt; $0 investment]]</f>
        <v>0.25</v>
      </c>
      <c r="BF336" s="806" t="s">
        <v>273</v>
      </c>
      <c r="BG336" s="807" t="s">
        <v>703</v>
      </c>
      <c r="BH336" s="847" t="s">
        <v>834</v>
      </c>
      <c r="BI336" s="809"/>
      <c r="BJ336" s="809"/>
      <c r="BK336" s="809"/>
      <c r="BL336" s="809"/>
      <c r="BM336" s="809"/>
      <c r="BN336" s="810"/>
      <c r="BO336" s="811" t="s">
        <v>236</v>
      </c>
      <c r="BP336" s="812" t="s">
        <v>941</v>
      </c>
      <c r="BQ336" s="812" t="s">
        <v>942</v>
      </c>
      <c r="BR336" s="812"/>
      <c r="BS336" s="812"/>
      <c r="BT336" s="812" t="s">
        <v>238</v>
      </c>
    </row>
    <row r="337" spans="1:72" ht="12.75" customHeight="1">
      <c r="A337" s="813" t="s">
        <v>832</v>
      </c>
      <c r="B337" s="820" t="s">
        <v>943</v>
      </c>
      <c r="C337" s="5">
        <v>0</v>
      </c>
      <c r="D337" s="5">
        <v>0</v>
      </c>
      <c r="E337" s="5">
        <v>0</v>
      </c>
      <c r="F337" s="5">
        <v>0</v>
      </c>
      <c r="G337" s="5">
        <v>0</v>
      </c>
      <c r="H337" s="5">
        <v>0</v>
      </c>
      <c r="I337" s="5">
        <v>0</v>
      </c>
      <c r="J337" s="5">
        <v>0</v>
      </c>
      <c r="K337" s="5">
        <v>0</v>
      </c>
      <c r="L337" s="5">
        <v>0</v>
      </c>
      <c r="M337" s="5">
        <v>0</v>
      </c>
      <c r="N337" s="5">
        <v>0</v>
      </c>
      <c r="O337" s="5">
        <v>0</v>
      </c>
      <c r="P337" s="5">
        <v>0</v>
      </c>
      <c r="Q337" s="5">
        <v>0</v>
      </c>
      <c r="R337" s="5">
        <v>0</v>
      </c>
      <c r="S337" s="5">
        <v>0</v>
      </c>
      <c r="T337" s="5">
        <v>0</v>
      </c>
      <c r="U337" s="5">
        <v>0</v>
      </c>
      <c r="V337" s="5">
        <v>0</v>
      </c>
      <c r="W337" s="5">
        <v>0</v>
      </c>
      <c r="X337" s="5">
        <v>0</v>
      </c>
      <c r="Y337" s="5">
        <v>0</v>
      </c>
      <c r="Z337" s="5">
        <v>0</v>
      </c>
      <c r="AA337" s="5">
        <v>0</v>
      </c>
      <c r="AB337" s="5">
        <v>0</v>
      </c>
      <c r="AC337" s="5">
        <v>0</v>
      </c>
      <c r="AD337" s="5">
        <v>0</v>
      </c>
      <c r="AE337" s="5">
        <v>0</v>
      </c>
      <c r="AF337" s="5">
        <v>0</v>
      </c>
      <c r="AG337" s="5">
        <v>0</v>
      </c>
      <c r="AH337" s="5">
        <v>0</v>
      </c>
      <c r="AI337" s="5">
        <v>0</v>
      </c>
      <c r="AJ337" s="5">
        <v>0</v>
      </c>
      <c r="AK337" s="5">
        <v>0</v>
      </c>
      <c r="AL337" s="5">
        <v>0</v>
      </c>
      <c r="AM337" s="5">
        <v>0</v>
      </c>
      <c r="AN337" s="5">
        <v>0</v>
      </c>
      <c r="AO337" s="5">
        <v>1.5</v>
      </c>
      <c r="AP337" s="5">
        <v>1.5</v>
      </c>
      <c r="AQ337" s="5">
        <v>1.5</v>
      </c>
      <c r="AR337" s="5">
        <v>0</v>
      </c>
      <c r="AS337" s="5">
        <v>0</v>
      </c>
      <c r="AT337" s="5">
        <v>0</v>
      </c>
      <c r="AU337" s="5">
        <v>0</v>
      </c>
      <c r="AV337" s="5">
        <v>0</v>
      </c>
      <c r="AW337" s="815">
        <v>0</v>
      </c>
      <c r="AX337" s="816">
        <v>0</v>
      </c>
      <c r="AY337" s="819">
        <v>0</v>
      </c>
      <c r="AZ337" s="816"/>
      <c r="BA337" s="818"/>
      <c r="BB337" s="802" t="str" cm="1">
        <f t="array" ref="BB337">INDEX(C$4:BA$4,MATCH(TRUE,INDEX(C337:BA337&lt;&gt;0,),0))</f>
        <v>2016-17</v>
      </c>
      <c r="BC337" s="803" t="str" cm="1">
        <f t="array" ref="BC337">LOOKUP(2,1/(C337:BA337&lt;&gt;0),$C$4:$BA$4)</f>
        <v>2018-19</v>
      </c>
      <c r="BD337" s="804">
        <f>COUNTIF(RDprograms[[#This Row],[1978-79]:[2028-29]], "&gt;0")</f>
        <v>3</v>
      </c>
      <c r="BE337" s="805">
        <f>SUM(C337:BA337)/RDprograms[[#This Row],[Years with &gt; $0 investment]]</f>
        <v>1.5</v>
      </c>
      <c r="BF337" s="806" t="s">
        <v>273</v>
      </c>
      <c r="BG337" s="807" t="s">
        <v>703</v>
      </c>
      <c r="BH337" s="847" t="s">
        <v>834</v>
      </c>
      <c r="BI337" s="809"/>
      <c r="BJ337" s="809"/>
      <c r="BK337" s="809"/>
      <c r="BL337" s="809"/>
      <c r="BM337" s="809"/>
      <c r="BN337" s="810"/>
      <c r="BO337" s="811" t="s">
        <v>236</v>
      </c>
      <c r="BP337" s="812" t="s">
        <v>944</v>
      </c>
      <c r="BQ337" s="812" t="s">
        <v>945</v>
      </c>
      <c r="BR337" s="812"/>
      <c r="BS337" s="812"/>
      <c r="BT337" s="812" t="s">
        <v>672</v>
      </c>
    </row>
    <row r="338" spans="1:72" ht="12.75" customHeight="1">
      <c r="A338" s="813" t="s">
        <v>832</v>
      </c>
      <c r="B338" s="820" t="s">
        <v>946</v>
      </c>
      <c r="C338" s="5">
        <v>0</v>
      </c>
      <c r="D338" s="5">
        <v>0</v>
      </c>
      <c r="E338" s="5">
        <v>0</v>
      </c>
      <c r="F338" s="5">
        <v>0</v>
      </c>
      <c r="G338" s="5">
        <v>0</v>
      </c>
      <c r="H338" s="5">
        <v>0</v>
      </c>
      <c r="I338" s="5">
        <v>0</v>
      </c>
      <c r="J338" s="5">
        <v>0</v>
      </c>
      <c r="K338" s="5">
        <v>0</v>
      </c>
      <c r="L338" s="5">
        <v>0</v>
      </c>
      <c r="M338" s="5">
        <v>0</v>
      </c>
      <c r="N338" s="5">
        <v>0</v>
      </c>
      <c r="O338" s="5">
        <v>0</v>
      </c>
      <c r="P338" s="5">
        <v>0</v>
      </c>
      <c r="Q338" s="5">
        <v>0</v>
      </c>
      <c r="R338" s="5">
        <v>0</v>
      </c>
      <c r="S338" s="5">
        <v>0</v>
      </c>
      <c r="T338" s="5">
        <v>0</v>
      </c>
      <c r="U338" s="5">
        <v>0</v>
      </c>
      <c r="V338" s="5">
        <v>0</v>
      </c>
      <c r="W338" s="5">
        <v>0</v>
      </c>
      <c r="X338" s="5">
        <v>0</v>
      </c>
      <c r="Y338" s="5">
        <v>0</v>
      </c>
      <c r="Z338" s="5">
        <v>0</v>
      </c>
      <c r="AA338" s="5">
        <v>0</v>
      </c>
      <c r="AB338" s="5">
        <v>0</v>
      </c>
      <c r="AC338" s="5">
        <v>0</v>
      </c>
      <c r="AD338" s="5">
        <v>0</v>
      </c>
      <c r="AE338" s="5">
        <v>0</v>
      </c>
      <c r="AF338" s="5">
        <v>0</v>
      </c>
      <c r="AG338" s="5">
        <v>0</v>
      </c>
      <c r="AH338" s="5">
        <v>0</v>
      </c>
      <c r="AI338" s="5">
        <v>0</v>
      </c>
      <c r="AJ338" s="5">
        <v>0</v>
      </c>
      <c r="AK338" s="5">
        <v>0</v>
      </c>
      <c r="AL338" s="5">
        <v>0</v>
      </c>
      <c r="AM338" s="5">
        <v>0</v>
      </c>
      <c r="AN338" s="5">
        <v>0</v>
      </c>
      <c r="AO338" s="5">
        <v>3.98</v>
      </c>
      <c r="AP338" s="5">
        <v>3.98</v>
      </c>
      <c r="AQ338" s="5">
        <v>3.98</v>
      </c>
      <c r="AR338" s="5">
        <v>3.56</v>
      </c>
      <c r="AS338" s="5">
        <v>3.56</v>
      </c>
      <c r="AT338" s="5">
        <v>3.56</v>
      </c>
      <c r="AU338" s="5">
        <v>3.56</v>
      </c>
      <c r="AV338" s="5">
        <v>0</v>
      </c>
      <c r="AW338" s="815">
        <v>0</v>
      </c>
      <c r="AX338" s="816">
        <v>0</v>
      </c>
      <c r="AY338" s="819">
        <v>0</v>
      </c>
      <c r="AZ338" s="816"/>
      <c r="BA338" s="818"/>
      <c r="BB338" s="802" t="str" cm="1">
        <f t="array" ref="BB338">INDEX(C$4:BA$4,MATCH(TRUE,INDEX(C338:BA338&lt;&gt;0,),0))</f>
        <v>2016-17</v>
      </c>
      <c r="BC338" s="803" t="str" cm="1">
        <f t="array" ref="BC338">LOOKUP(2,1/(C338:BA338&lt;&gt;0),$C$4:$BA$4)</f>
        <v>2022-23</v>
      </c>
      <c r="BD338" s="804">
        <f>COUNTIF(RDprograms[[#This Row],[1978-79]:[2028-29]], "&gt;0")</f>
        <v>7</v>
      </c>
      <c r="BE338" s="805">
        <f>SUM(C338:BA338)/RDprograms[[#This Row],[Years with &gt; $0 investment]]</f>
        <v>3.7399999999999993</v>
      </c>
      <c r="BF338" s="806" t="s">
        <v>273</v>
      </c>
      <c r="BG338" s="807" t="s">
        <v>703</v>
      </c>
      <c r="BH338" s="847" t="s">
        <v>834</v>
      </c>
      <c r="BI338" s="809"/>
      <c r="BJ338" s="809"/>
      <c r="BK338" s="809"/>
      <c r="BL338" s="809"/>
      <c r="BM338" s="809"/>
      <c r="BN338" s="810"/>
      <c r="BO338" s="811" t="s">
        <v>236</v>
      </c>
      <c r="BP338" s="812" t="s">
        <v>947</v>
      </c>
      <c r="BQ338" s="812" t="s">
        <v>948</v>
      </c>
      <c r="BR338" s="812"/>
      <c r="BS338" s="812"/>
      <c r="BT338" s="812" t="s">
        <v>238</v>
      </c>
    </row>
    <row r="339" spans="1:72" ht="12.75" customHeight="1">
      <c r="A339" s="813" t="s">
        <v>832</v>
      </c>
      <c r="B339" s="820" t="s">
        <v>949</v>
      </c>
      <c r="C339" s="5">
        <v>0</v>
      </c>
      <c r="D339" s="5">
        <v>0</v>
      </c>
      <c r="E339" s="5">
        <v>0</v>
      </c>
      <c r="F339" s="5">
        <v>0</v>
      </c>
      <c r="G339" s="5">
        <v>0</v>
      </c>
      <c r="H339" s="5">
        <v>0</v>
      </c>
      <c r="I339" s="5">
        <v>0</v>
      </c>
      <c r="J339" s="5">
        <v>0</v>
      </c>
      <c r="K339" s="5">
        <v>0</v>
      </c>
      <c r="L339" s="5">
        <v>0</v>
      </c>
      <c r="M339" s="5">
        <v>0</v>
      </c>
      <c r="N339" s="5">
        <v>0</v>
      </c>
      <c r="O339" s="5">
        <v>0</v>
      </c>
      <c r="P339" s="5">
        <v>0</v>
      </c>
      <c r="Q339" s="5">
        <v>0</v>
      </c>
      <c r="R339" s="5">
        <v>0</v>
      </c>
      <c r="S339" s="5">
        <v>0</v>
      </c>
      <c r="T339" s="5">
        <v>0</v>
      </c>
      <c r="U339" s="5">
        <v>0</v>
      </c>
      <c r="V339" s="5">
        <v>0</v>
      </c>
      <c r="W339" s="5">
        <v>0</v>
      </c>
      <c r="X339" s="5">
        <v>0</v>
      </c>
      <c r="Y339" s="5">
        <v>0</v>
      </c>
      <c r="Z339" s="5">
        <v>0</v>
      </c>
      <c r="AA339" s="5">
        <v>0</v>
      </c>
      <c r="AB339" s="5">
        <v>0</v>
      </c>
      <c r="AC339" s="5">
        <v>0</v>
      </c>
      <c r="AD339" s="5">
        <v>8.2010000000000005</v>
      </c>
      <c r="AE339" s="5">
        <v>8.2289999999999992</v>
      </c>
      <c r="AF339" s="5">
        <v>8.5250000000000004</v>
      </c>
      <c r="AG339" s="5">
        <v>8.8279999999999994</v>
      </c>
      <c r="AH339" s="5">
        <v>9.0220000000000002</v>
      </c>
      <c r="AI339" s="5">
        <v>9.1750000000000007</v>
      </c>
      <c r="AJ339" s="5">
        <v>9.3309999999999995</v>
      </c>
      <c r="AK339" s="5">
        <v>9.5</v>
      </c>
      <c r="AL339" s="5">
        <v>9.4700000000000006</v>
      </c>
      <c r="AM339" s="5">
        <v>9.7249999999999996</v>
      </c>
      <c r="AN339" s="5">
        <v>9.5050000000000008</v>
      </c>
      <c r="AO339" s="5">
        <v>0</v>
      </c>
      <c r="AP339" s="5">
        <v>0</v>
      </c>
      <c r="AQ339" s="5">
        <v>0</v>
      </c>
      <c r="AR339" s="5">
        <v>0</v>
      </c>
      <c r="AS339" s="5">
        <v>0</v>
      </c>
      <c r="AT339" s="5">
        <v>0</v>
      </c>
      <c r="AU339" s="5">
        <v>0</v>
      </c>
      <c r="AV339" s="5">
        <v>0</v>
      </c>
      <c r="AW339" s="815">
        <v>0</v>
      </c>
      <c r="AX339" s="816">
        <v>0</v>
      </c>
      <c r="AY339" s="819">
        <v>0</v>
      </c>
      <c r="AZ339" s="816"/>
      <c r="BA339" s="818"/>
      <c r="BB339" s="802" t="str" cm="1">
        <f t="array" ref="BB339">INDEX(C$4:BA$4,MATCH(TRUE,INDEX(C339:BA339&lt;&gt;0,),0))</f>
        <v>2005-06</v>
      </c>
      <c r="BC339" s="803" t="str" cm="1">
        <f t="array" ref="BC339">LOOKUP(2,1/(C339:BA339&lt;&gt;0),$C$4:$BA$4)</f>
        <v>2015-16</v>
      </c>
      <c r="BD339" s="804">
        <f>COUNTIF(RDprograms[[#This Row],[1978-79]:[2028-29]], "&gt;0")</f>
        <v>11</v>
      </c>
      <c r="BE339" s="805">
        <f>SUM(C339:BA339)/RDprograms[[#This Row],[Years with &gt; $0 investment]]</f>
        <v>9.0464545454545444</v>
      </c>
      <c r="BF339" s="806" t="s">
        <v>273</v>
      </c>
      <c r="BG339" s="807" t="s">
        <v>703</v>
      </c>
      <c r="BH339" s="847" t="s">
        <v>834</v>
      </c>
      <c r="BI339" s="809"/>
      <c r="BJ339" s="809"/>
      <c r="BK339" s="809"/>
      <c r="BL339" s="809"/>
      <c r="BM339" s="809"/>
      <c r="BN339" s="810"/>
      <c r="BO339" s="811" t="s">
        <v>236</v>
      </c>
      <c r="BP339" s="812" t="s">
        <v>950</v>
      </c>
      <c r="BQ339" s="812" t="s">
        <v>951</v>
      </c>
      <c r="BR339" s="812"/>
      <c r="BS339" s="812"/>
      <c r="BT339" s="812" t="s">
        <v>238</v>
      </c>
    </row>
    <row r="340" spans="1:72" ht="12.75" customHeight="1">
      <c r="A340" s="813" t="s">
        <v>832</v>
      </c>
      <c r="B340" s="820" t="s">
        <v>952</v>
      </c>
      <c r="C340" s="5">
        <v>0</v>
      </c>
      <c r="D340" s="5">
        <v>0</v>
      </c>
      <c r="E340" s="5">
        <v>0</v>
      </c>
      <c r="F340" s="5">
        <v>0</v>
      </c>
      <c r="G340" s="5">
        <v>0</v>
      </c>
      <c r="H340" s="5">
        <v>0</v>
      </c>
      <c r="I340" s="5">
        <v>0</v>
      </c>
      <c r="J340" s="5">
        <v>0</v>
      </c>
      <c r="K340" s="5">
        <v>0</v>
      </c>
      <c r="L340" s="5">
        <v>0</v>
      </c>
      <c r="M340" s="5">
        <v>0</v>
      </c>
      <c r="N340" s="5">
        <v>0</v>
      </c>
      <c r="O340" s="5">
        <v>0</v>
      </c>
      <c r="P340" s="5">
        <v>0</v>
      </c>
      <c r="Q340" s="5">
        <v>0</v>
      </c>
      <c r="R340" s="5">
        <v>0</v>
      </c>
      <c r="S340" s="5">
        <v>0</v>
      </c>
      <c r="T340" s="5">
        <v>0</v>
      </c>
      <c r="U340" s="5">
        <v>0</v>
      </c>
      <c r="V340" s="5">
        <v>0</v>
      </c>
      <c r="W340" s="5">
        <v>0</v>
      </c>
      <c r="X340" s="5">
        <v>0</v>
      </c>
      <c r="Y340" s="5">
        <v>0</v>
      </c>
      <c r="Z340" s="5">
        <v>0</v>
      </c>
      <c r="AA340" s="5">
        <v>0</v>
      </c>
      <c r="AB340" s="5">
        <v>0</v>
      </c>
      <c r="AC340" s="5">
        <v>0</v>
      </c>
      <c r="AD340" s="5">
        <v>0</v>
      </c>
      <c r="AE340" s="5">
        <v>0</v>
      </c>
      <c r="AF340" s="5">
        <v>0</v>
      </c>
      <c r="AG340" s="5">
        <v>0</v>
      </c>
      <c r="AH340" s="5">
        <v>0</v>
      </c>
      <c r="AI340" s="5">
        <v>0.54700000000000004</v>
      </c>
      <c r="AJ340" s="5">
        <v>0.29699999999999999</v>
      </c>
      <c r="AK340" s="5">
        <v>0</v>
      </c>
      <c r="AL340" s="5">
        <v>0.45200000000000001</v>
      </c>
      <c r="AM340" s="5">
        <v>0.22</v>
      </c>
      <c r="AN340" s="5">
        <v>0.53900000000000003</v>
      </c>
      <c r="AO340" s="5">
        <v>0.84</v>
      </c>
      <c r="AP340" s="816">
        <v>0.56399999999999995</v>
      </c>
      <c r="AQ340" s="816">
        <v>0.6</v>
      </c>
      <c r="AR340" s="5">
        <v>0.6</v>
      </c>
      <c r="AS340" s="5">
        <v>0.6</v>
      </c>
      <c r="AT340" s="5">
        <v>0.6</v>
      </c>
      <c r="AU340" s="5">
        <v>0.6</v>
      </c>
      <c r="AV340" s="5">
        <v>0.6</v>
      </c>
      <c r="AW340" s="815">
        <v>0</v>
      </c>
      <c r="AX340" s="816">
        <v>0</v>
      </c>
      <c r="AY340" s="819">
        <v>0</v>
      </c>
      <c r="AZ340" s="816"/>
      <c r="BA340" s="818"/>
      <c r="BB340" s="802" t="str" cm="1">
        <f t="array" ref="BB340">INDEX(C$4:BA$4,MATCH(TRUE,INDEX(C340:BA340&lt;&gt;0,),0))</f>
        <v>2010-11</v>
      </c>
      <c r="BC340" s="803" t="str" cm="1">
        <f t="array" ref="BC340">LOOKUP(2,1/(C340:BA340&lt;&gt;0),$C$4:$BA$4)</f>
        <v>2023-24</v>
      </c>
      <c r="BD340" s="804">
        <f>COUNTIF(RDprograms[[#This Row],[1978-79]:[2028-29]], "&gt;0")</f>
        <v>13</v>
      </c>
      <c r="BE340" s="805">
        <f>SUM(C340:BA340)/RDprograms[[#This Row],[Years with &gt; $0 investment]]</f>
        <v>0.54299999999999993</v>
      </c>
      <c r="BF340" s="806" t="s">
        <v>233</v>
      </c>
      <c r="BG340" s="807" t="s">
        <v>703</v>
      </c>
      <c r="BH340" s="847" t="s">
        <v>834</v>
      </c>
      <c r="BI340" s="809"/>
      <c r="BJ340" s="809"/>
      <c r="BK340" s="809"/>
      <c r="BL340" s="809"/>
      <c r="BM340" s="809"/>
      <c r="BN340" s="810"/>
      <c r="BO340" s="811" t="s">
        <v>236</v>
      </c>
      <c r="BP340" s="812" t="s">
        <v>953</v>
      </c>
      <c r="BQ340" s="812" t="s">
        <v>954</v>
      </c>
      <c r="BR340" s="812" t="s">
        <v>902</v>
      </c>
      <c r="BS340" s="812"/>
      <c r="BT340" s="812" t="s">
        <v>238</v>
      </c>
    </row>
    <row r="341" spans="1:72" ht="12.75" customHeight="1">
      <c r="A341" s="813" t="s">
        <v>832</v>
      </c>
      <c r="B341" s="820" t="s">
        <v>955</v>
      </c>
      <c r="C341" s="5">
        <v>0</v>
      </c>
      <c r="D341" s="5">
        <v>0</v>
      </c>
      <c r="E341" s="5">
        <v>0</v>
      </c>
      <c r="F341" s="5">
        <v>0</v>
      </c>
      <c r="G341" s="5">
        <v>0</v>
      </c>
      <c r="H341" s="5">
        <v>0</v>
      </c>
      <c r="I341" s="5">
        <v>0</v>
      </c>
      <c r="J341" s="5">
        <v>0</v>
      </c>
      <c r="K341" s="5">
        <v>0</v>
      </c>
      <c r="L341" s="5">
        <v>0</v>
      </c>
      <c r="M341" s="5">
        <v>0</v>
      </c>
      <c r="N341" s="5">
        <v>0</v>
      </c>
      <c r="O341" s="5">
        <v>0</v>
      </c>
      <c r="P341" s="5">
        <v>0</v>
      </c>
      <c r="Q341" s="5">
        <v>0</v>
      </c>
      <c r="R341" s="5">
        <v>0</v>
      </c>
      <c r="S341" s="5">
        <v>0</v>
      </c>
      <c r="T341" s="5">
        <v>0</v>
      </c>
      <c r="U341" s="5">
        <v>0</v>
      </c>
      <c r="V341" s="5">
        <v>0</v>
      </c>
      <c r="W341" s="5">
        <v>0</v>
      </c>
      <c r="X341" s="5">
        <v>0</v>
      </c>
      <c r="Y341" s="5">
        <v>0</v>
      </c>
      <c r="Z341" s="5">
        <v>0</v>
      </c>
      <c r="AA341" s="5">
        <v>0</v>
      </c>
      <c r="AB341" s="5">
        <v>0</v>
      </c>
      <c r="AC341" s="5">
        <v>0.46200000000000002</v>
      </c>
      <c r="AD341" s="5">
        <v>0.47</v>
      </c>
      <c r="AE341" s="5">
        <v>0.48</v>
      </c>
      <c r="AF341" s="5">
        <v>0.49</v>
      </c>
      <c r="AG341" s="5">
        <v>0.5</v>
      </c>
      <c r="AH341" s="5">
        <v>0.56699999999999995</v>
      </c>
      <c r="AI341" s="5">
        <v>0.48499999999999999</v>
      </c>
      <c r="AJ341" s="5">
        <v>0.505</v>
      </c>
      <c r="AK341" s="5">
        <v>0.26700000000000002</v>
      </c>
      <c r="AL341" s="5">
        <v>0</v>
      </c>
      <c r="AM341" s="5">
        <v>0</v>
      </c>
      <c r="AN341" s="5">
        <v>0</v>
      </c>
      <c r="AO341" s="5">
        <v>0</v>
      </c>
      <c r="AP341" s="5">
        <v>0</v>
      </c>
      <c r="AQ341" s="5">
        <v>0</v>
      </c>
      <c r="AR341" s="5">
        <v>0</v>
      </c>
      <c r="AS341" s="5">
        <v>0</v>
      </c>
      <c r="AT341" s="5">
        <v>0</v>
      </c>
      <c r="AU341" s="5">
        <v>0</v>
      </c>
      <c r="AV341" s="5">
        <v>0</v>
      </c>
      <c r="AW341" s="815">
        <v>0</v>
      </c>
      <c r="AX341" s="816">
        <v>0</v>
      </c>
      <c r="AY341" s="819">
        <v>0</v>
      </c>
      <c r="AZ341" s="816"/>
      <c r="BA341" s="818"/>
      <c r="BB341" s="802" t="str" cm="1">
        <f t="array" ref="BB341">INDEX(C$4:BA$4,MATCH(TRUE,INDEX(C341:BA341&lt;&gt;0,),0))</f>
        <v>2004-05</v>
      </c>
      <c r="BC341" s="803" t="str" cm="1">
        <f t="array" ref="BC341">LOOKUP(2,1/(C341:BA341&lt;&gt;0),$C$4:$BA$4)</f>
        <v>2012-13</v>
      </c>
      <c r="BD341" s="804">
        <f>COUNTIF(RDprograms[[#This Row],[1978-79]:[2028-29]], "&gt;0")</f>
        <v>9</v>
      </c>
      <c r="BE341" s="805">
        <f>SUM(C341:BA341)/RDprograms[[#This Row],[Years with &gt; $0 investment]]</f>
        <v>0.46955555555555556</v>
      </c>
      <c r="BF341" s="806" t="s">
        <v>273</v>
      </c>
      <c r="BG341" s="807" t="s">
        <v>703</v>
      </c>
      <c r="BH341" s="847" t="s">
        <v>834</v>
      </c>
      <c r="BI341" s="809"/>
      <c r="BJ341" s="809"/>
      <c r="BK341" s="809"/>
      <c r="BL341" s="809"/>
      <c r="BM341" s="809"/>
      <c r="BN341" s="810"/>
      <c r="BO341" s="811" t="s">
        <v>236</v>
      </c>
      <c r="BP341" s="812"/>
      <c r="BQ341" s="812" t="s">
        <v>956</v>
      </c>
      <c r="BR341" s="812"/>
      <c r="BS341" s="812"/>
      <c r="BT341" s="812" t="s">
        <v>238</v>
      </c>
    </row>
    <row r="342" spans="1:72" ht="12.75" customHeight="1">
      <c r="A342" s="813" t="s">
        <v>832</v>
      </c>
      <c r="B342" s="820" t="s">
        <v>957</v>
      </c>
      <c r="C342" s="5">
        <v>0</v>
      </c>
      <c r="D342" s="5">
        <v>0</v>
      </c>
      <c r="E342" s="5">
        <v>0</v>
      </c>
      <c r="F342" s="5">
        <v>0</v>
      </c>
      <c r="G342" s="5">
        <v>0</v>
      </c>
      <c r="H342" s="5">
        <v>0</v>
      </c>
      <c r="I342" s="5">
        <v>0</v>
      </c>
      <c r="J342" s="5">
        <v>0</v>
      </c>
      <c r="K342" s="5">
        <v>0</v>
      </c>
      <c r="L342" s="5">
        <v>0</v>
      </c>
      <c r="M342" s="5">
        <v>0</v>
      </c>
      <c r="N342" s="5">
        <v>0</v>
      </c>
      <c r="O342" s="5">
        <v>0</v>
      </c>
      <c r="P342" s="5">
        <v>0</v>
      </c>
      <c r="Q342" s="5">
        <v>0</v>
      </c>
      <c r="R342" s="5">
        <v>0</v>
      </c>
      <c r="S342" s="5">
        <v>0</v>
      </c>
      <c r="T342" s="5">
        <v>0</v>
      </c>
      <c r="U342" s="5">
        <v>0</v>
      </c>
      <c r="V342" s="5">
        <v>0</v>
      </c>
      <c r="W342" s="5">
        <v>0</v>
      </c>
      <c r="X342" s="5">
        <v>0</v>
      </c>
      <c r="Y342" s="5">
        <v>0</v>
      </c>
      <c r="Z342" s="5">
        <v>0</v>
      </c>
      <c r="AA342" s="5">
        <v>0</v>
      </c>
      <c r="AB342" s="5">
        <v>0</v>
      </c>
      <c r="AC342" s="5">
        <v>0</v>
      </c>
      <c r="AD342" s="5">
        <v>0</v>
      </c>
      <c r="AE342" s="5">
        <v>0</v>
      </c>
      <c r="AF342" s="5">
        <v>0</v>
      </c>
      <c r="AG342" s="5">
        <v>0</v>
      </c>
      <c r="AH342" s="5">
        <v>0</v>
      </c>
      <c r="AI342" s="5">
        <v>0</v>
      </c>
      <c r="AJ342" s="5">
        <v>0</v>
      </c>
      <c r="AK342" s="5">
        <v>0</v>
      </c>
      <c r="AL342" s="5">
        <v>0</v>
      </c>
      <c r="AM342" s="5">
        <v>0</v>
      </c>
      <c r="AN342" s="5">
        <v>0</v>
      </c>
      <c r="AO342" s="5">
        <v>0</v>
      </c>
      <c r="AP342" s="816">
        <v>0</v>
      </c>
      <c r="AQ342" s="816">
        <v>0</v>
      </c>
      <c r="AR342" s="5">
        <v>2.2999999999999998</v>
      </c>
      <c r="AS342" s="5">
        <v>20.8</v>
      </c>
      <c r="AT342" s="5">
        <v>31.8</v>
      </c>
      <c r="AU342" s="5">
        <v>34.6</v>
      </c>
      <c r="AV342" s="5">
        <v>0</v>
      </c>
      <c r="AW342" s="815">
        <v>0</v>
      </c>
      <c r="AX342" s="816">
        <v>0</v>
      </c>
      <c r="AY342" s="819">
        <v>0</v>
      </c>
      <c r="AZ342" s="816"/>
      <c r="BA342" s="818"/>
      <c r="BB342" s="802" t="str" cm="1">
        <f t="array" ref="BB342">INDEX(C$4:BA$4,MATCH(TRUE,INDEX(C342:BA342&lt;&gt;0,),0))</f>
        <v>2019-20</v>
      </c>
      <c r="BC342" s="803" t="str" cm="1">
        <f t="array" ref="BC342">LOOKUP(2,1/(C342:BA342&lt;&gt;0),$C$4:$BA$4)</f>
        <v>2022-23</v>
      </c>
      <c r="BD342" s="804">
        <f>COUNTIF(RDprograms[[#This Row],[1978-79]:[2028-29]], "&gt;0")</f>
        <v>4</v>
      </c>
      <c r="BE342" s="805">
        <f>SUM(C342:BA342)/RDprograms[[#This Row],[Years with &gt; $0 investment]]</f>
        <v>22.375</v>
      </c>
      <c r="BF342" s="806" t="s">
        <v>273</v>
      </c>
      <c r="BG342" s="807" t="s">
        <v>703</v>
      </c>
      <c r="BH342" s="847" t="s">
        <v>834</v>
      </c>
      <c r="BI342" s="809"/>
      <c r="BJ342" s="809"/>
      <c r="BK342" s="809"/>
      <c r="BL342" s="809"/>
      <c r="BM342" s="809"/>
      <c r="BN342" s="810"/>
      <c r="BO342" s="811" t="s">
        <v>236</v>
      </c>
      <c r="BP342" s="812" t="s">
        <v>958</v>
      </c>
      <c r="BQ342" s="812" t="s">
        <v>835</v>
      </c>
      <c r="BR342" s="812"/>
      <c r="BS342" s="812"/>
      <c r="BT342" s="812" t="s">
        <v>722</v>
      </c>
    </row>
    <row r="343" spans="1:72" ht="12.75" customHeight="1">
      <c r="A343" s="813" t="s">
        <v>832</v>
      </c>
      <c r="B343" s="820" t="s">
        <v>959</v>
      </c>
      <c r="C343" s="5">
        <v>0</v>
      </c>
      <c r="D343" s="5">
        <v>0</v>
      </c>
      <c r="E343" s="5">
        <v>0</v>
      </c>
      <c r="F343" s="5">
        <v>0</v>
      </c>
      <c r="G343" s="5">
        <v>0</v>
      </c>
      <c r="H343" s="5">
        <v>0</v>
      </c>
      <c r="I343" s="5">
        <v>0</v>
      </c>
      <c r="J343" s="5">
        <v>0</v>
      </c>
      <c r="K343" s="5">
        <v>0</v>
      </c>
      <c r="L343" s="5">
        <v>0</v>
      </c>
      <c r="M343" s="5">
        <v>0</v>
      </c>
      <c r="N343" s="5">
        <v>0</v>
      </c>
      <c r="O343" s="5">
        <v>0</v>
      </c>
      <c r="P343" s="5">
        <v>0</v>
      </c>
      <c r="Q343" s="5">
        <v>0</v>
      </c>
      <c r="R343" s="5">
        <v>0</v>
      </c>
      <c r="S343" s="5">
        <v>0</v>
      </c>
      <c r="T343" s="5">
        <v>0</v>
      </c>
      <c r="U343" s="5">
        <v>0</v>
      </c>
      <c r="V343" s="5">
        <v>0</v>
      </c>
      <c r="W343" s="5">
        <v>0</v>
      </c>
      <c r="X343" s="5">
        <v>0</v>
      </c>
      <c r="Y343" s="5">
        <v>0</v>
      </c>
      <c r="Z343" s="5">
        <v>0</v>
      </c>
      <c r="AA343" s="5">
        <v>0</v>
      </c>
      <c r="AB343" s="5">
        <v>0</v>
      </c>
      <c r="AC343" s="5">
        <v>0</v>
      </c>
      <c r="AD343" s="5">
        <v>0</v>
      </c>
      <c r="AE343" s="5">
        <v>0</v>
      </c>
      <c r="AF343" s="5">
        <v>0.45400000000000001</v>
      </c>
      <c r="AG343" s="5">
        <v>1.0880000000000001</v>
      </c>
      <c r="AH343" s="5">
        <v>2.964</v>
      </c>
      <c r="AI343" s="5">
        <v>1.1319999999999999</v>
      </c>
      <c r="AJ343" s="5">
        <v>0.313</v>
      </c>
      <c r="AK343" s="5">
        <v>0.115</v>
      </c>
      <c r="AL343" s="5">
        <v>0</v>
      </c>
      <c r="AM343" s="5">
        <v>0</v>
      </c>
      <c r="AN343" s="5">
        <v>0</v>
      </c>
      <c r="AO343" s="5">
        <v>0</v>
      </c>
      <c r="AP343" s="5">
        <v>0</v>
      </c>
      <c r="AQ343" s="5">
        <v>0</v>
      </c>
      <c r="AR343" s="5">
        <v>0</v>
      </c>
      <c r="AS343" s="5">
        <v>7.2770000000000001</v>
      </c>
      <c r="AT343" s="5">
        <v>0</v>
      </c>
      <c r="AU343" s="5">
        <v>0</v>
      </c>
      <c r="AV343" s="5">
        <v>0</v>
      </c>
      <c r="AW343" s="815">
        <v>0</v>
      </c>
      <c r="AX343" s="816">
        <v>0</v>
      </c>
      <c r="AY343" s="819">
        <v>0</v>
      </c>
      <c r="AZ343" s="816"/>
      <c r="BA343" s="818"/>
      <c r="BB343" s="802" t="str" cm="1">
        <f t="array" ref="BB343">INDEX(C$4:BA$4,MATCH(TRUE,INDEX(C343:BA343&lt;&gt;0,),0))</f>
        <v>2007-08</v>
      </c>
      <c r="BC343" s="803" t="str" cm="1">
        <f t="array" ref="BC343">LOOKUP(2,1/(C343:BA343&lt;&gt;0),$C$4:$BA$4)</f>
        <v>2020-21</v>
      </c>
      <c r="BD343" s="804">
        <f>COUNTIF(RDprograms[[#This Row],[1978-79]:[2028-29]], "&gt;0")</f>
        <v>7</v>
      </c>
      <c r="BE343" s="805">
        <f>SUM(C343:BA343)/RDprograms[[#This Row],[Years with &gt; $0 investment]]</f>
        <v>1.9061428571428571</v>
      </c>
      <c r="BF343" s="806" t="s">
        <v>233</v>
      </c>
      <c r="BG343" s="807" t="s">
        <v>703</v>
      </c>
      <c r="BH343" s="847" t="s">
        <v>834</v>
      </c>
      <c r="BI343" s="809"/>
      <c r="BJ343" s="809"/>
      <c r="BK343" s="809"/>
      <c r="BL343" s="809"/>
      <c r="BM343" s="809"/>
      <c r="BN343" s="810"/>
      <c r="BO343" s="811" t="s">
        <v>236</v>
      </c>
      <c r="BP343" s="812" t="s">
        <v>960</v>
      </c>
      <c r="BQ343" s="812" t="s">
        <v>961</v>
      </c>
      <c r="BR343" s="812" t="s">
        <v>962</v>
      </c>
      <c r="BS343" s="812"/>
      <c r="BT343" s="812" t="s">
        <v>238</v>
      </c>
    </row>
    <row r="344" spans="1:72" ht="12.75" customHeight="1">
      <c r="A344" s="813" t="s">
        <v>832</v>
      </c>
      <c r="B344" s="820" t="s">
        <v>963</v>
      </c>
      <c r="C344" s="5">
        <v>0</v>
      </c>
      <c r="D344" s="5">
        <v>0</v>
      </c>
      <c r="E344" s="5">
        <v>0</v>
      </c>
      <c r="F344" s="5">
        <v>0</v>
      </c>
      <c r="G344" s="5">
        <v>0</v>
      </c>
      <c r="H344" s="5">
        <v>0</v>
      </c>
      <c r="I344" s="5">
        <v>0</v>
      </c>
      <c r="J344" s="5">
        <v>0</v>
      </c>
      <c r="K344" s="5">
        <v>0</v>
      </c>
      <c r="L344" s="5">
        <v>0</v>
      </c>
      <c r="M344" s="5">
        <v>0</v>
      </c>
      <c r="N344" s="5">
        <v>0</v>
      </c>
      <c r="O344" s="5">
        <v>0</v>
      </c>
      <c r="P344" s="5">
        <v>0</v>
      </c>
      <c r="Q344" s="5">
        <v>0</v>
      </c>
      <c r="R344" s="5">
        <v>0</v>
      </c>
      <c r="S344" s="5">
        <v>0</v>
      </c>
      <c r="T344" s="5">
        <v>0</v>
      </c>
      <c r="U344" s="5">
        <v>0</v>
      </c>
      <c r="V344" s="5">
        <v>0</v>
      </c>
      <c r="W344" s="5">
        <v>0</v>
      </c>
      <c r="X344" s="5">
        <v>0</v>
      </c>
      <c r="Y344" s="5">
        <v>0</v>
      </c>
      <c r="Z344" s="5">
        <v>0</v>
      </c>
      <c r="AA344" s="5">
        <v>0</v>
      </c>
      <c r="AB344" s="5">
        <v>0</v>
      </c>
      <c r="AC344" s="5">
        <v>0</v>
      </c>
      <c r="AD344" s="5">
        <v>0</v>
      </c>
      <c r="AE344" s="5">
        <v>0</v>
      </c>
      <c r="AF344" s="5">
        <v>0</v>
      </c>
      <c r="AG344" s="5">
        <v>0</v>
      </c>
      <c r="AH344" s="5">
        <v>0</v>
      </c>
      <c r="AI344" s="5">
        <v>0</v>
      </c>
      <c r="AJ344" s="5">
        <v>0</v>
      </c>
      <c r="AK344" s="5">
        <v>0</v>
      </c>
      <c r="AL344" s="5">
        <v>0</v>
      </c>
      <c r="AM344" s="5">
        <v>0</v>
      </c>
      <c r="AN344" s="5">
        <v>0</v>
      </c>
      <c r="AO344" s="5">
        <v>0</v>
      </c>
      <c r="AP344" s="816">
        <v>2.1859999999999999</v>
      </c>
      <c r="AQ344" s="816">
        <v>2.0859999999999999</v>
      </c>
      <c r="AR344" s="5">
        <v>0.25</v>
      </c>
      <c r="AS344" s="5">
        <v>0.25</v>
      </c>
      <c r="AT344" s="5">
        <v>0</v>
      </c>
      <c r="AU344" s="5">
        <v>0</v>
      </c>
      <c r="AV344" s="5">
        <v>0</v>
      </c>
      <c r="AW344" s="815">
        <v>0</v>
      </c>
      <c r="AX344" s="816">
        <v>0</v>
      </c>
      <c r="AY344" s="819">
        <v>0</v>
      </c>
      <c r="AZ344" s="816"/>
      <c r="BA344" s="818"/>
      <c r="BB344" s="802" t="str" cm="1">
        <f t="array" ref="BB344">INDEX(C$4:BA$4,MATCH(TRUE,INDEX(C344:BA344&lt;&gt;0,),0))</f>
        <v>2017-18</v>
      </c>
      <c r="BC344" s="803" t="str" cm="1">
        <f t="array" ref="BC344">LOOKUP(2,1/(C344:BA344&lt;&gt;0),$C$4:$BA$4)</f>
        <v>2020-21</v>
      </c>
      <c r="BD344" s="804">
        <f>COUNTIF(RDprograms[[#This Row],[1978-79]:[2028-29]], "&gt;0")</f>
        <v>4</v>
      </c>
      <c r="BE344" s="805">
        <f>SUM(C344:BA344)/RDprograms[[#This Row],[Years with &gt; $0 investment]]</f>
        <v>1.1930000000000001</v>
      </c>
      <c r="BF344" s="806" t="s">
        <v>240</v>
      </c>
      <c r="BG344" s="807" t="s">
        <v>703</v>
      </c>
      <c r="BH344" s="847" t="s">
        <v>834</v>
      </c>
      <c r="BI344" s="809"/>
      <c r="BJ344" s="809"/>
      <c r="BK344" s="809"/>
      <c r="BL344" s="809"/>
      <c r="BM344" s="809"/>
      <c r="BN344" s="810"/>
      <c r="BO344" s="811" t="s">
        <v>236</v>
      </c>
      <c r="BP344" s="812" t="s">
        <v>964</v>
      </c>
      <c r="BQ344" s="812"/>
      <c r="BR344" s="812"/>
      <c r="BS344" s="812"/>
      <c r="BT344" s="812" t="s">
        <v>238</v>
      </c>
    </row>
    <row r="345" spans="1:72" ht="12.75" customHeight="1">
      <c r="A345" s="813" t="s">
        <v>832</v>
      </c>
      <c r="B345" s="820" t="s">
        <v>965</v>
      </c>
      <c r="C345" s="5">
        <v>0</v>
      </c>
      <c r="D345" s="5">
        <v>0</v>
      </c>
      <c r="E345" s="5">
        <v>0</v>
      </c>
      <c r="F345" s="5">
        <v>0</v>
      </c>
      <c r="G345" s="5">
        <v>0</v>
      </c>
      <c r="H345" s="5">
        <v>0</v>
      </c>
      <c r="I345" s="5">
        <v>0</v>
      </c>
      <c r="J345" s="5">
        <v>0</v>
      </c>
      <c r="K345" s="5">
        <v>0</v>
      </c>
      <c r="L345" s="5">
        <v>0</v>
      </c>
      <c r="M345" s="5">
        <v>0</v>
      </c>
      <c r="N345" s="5">
        <v>0</v>
      </c>
      <c r="O345" s="5">
        <v>0</v>
      </c>
      <c r="P345" s="5">
        <v>0</v>
      </c>
      <c r="Q345" s="5">
        <v>0</v>
      </c>
      <c r="R345" s="5">
        <v>0</v>
      </c>
      <c r="S345" s="5">
        <v>0</v>
      </c>
      <c r="T345" s="5">
        <v>0</v>
      </c>
      <c r="U345" s="5">
        <v>0</v>
      </c>
      <c r="V345" s="5">
        <v>0</v>
      </c>
      <c r="W345" s="5">
        <v>0</v>
      </c>
      <c r="X345" s="5">
        <v>0</v>
      </c>
      <c r="Y345" s="5">
        <v>0</v>
      </c>
      <c r="Z345" s="5">
        <v>0</v>
      </c>
      <c r="AA345" s="5">
        <v>0</v>
      </c>
      <c r="AB345" s="5">
        <v>0</v>
      </c>
      <c r="AC345" s="5">
        <v>0</v>
      </c>
      <c r="AD345" s="5">
        <v>0</v>
      </c>
      <c r="AE345" s="5">
        <v>0</v>
      </c>
      <c r="AF345" s="5">
        <v>0</v>
      </c>
      <c r="AG345" s="5">
        <v>0</v>
      </c>
      <c r="AH345" s="5">
        <v>0</v>
      </c>
      <c r="AI345" s="5">
        <v>1.25</v>
      </c>
      <c r="AJ345" s="5">
        <v>1.25</v>
      </c>
      <c r="AK345" s="5">
        <v>1.25</v>
      </c>
      <c r="AL345" s="5">
        <v>1.25</v>
      </c>
      <c r="AM345" s="5">
        <v>0</v>
      </c>
      <c r="AN345" s="5">
        <v>0</v>
      </c>
      <c r="AO345" s="5">
        <v>0</v>
      </c>
      <c r="AP345" s="5">
        <v>0</v>
      </c>
      <c r="AQ345" s="5">
        <v>0</v>
      </c>
      <c r="AR345" s="5">
        <v>0</v>
      </c>
      <c r="AS345" s="5">
        <v>0</v>
      </c>
      <c r="AT345" s="5">
        <v>0</v>
      </c>
      <c r="AU345" s="5">
        <v>0</v>
      </c>
      <c r="AV345" s="5">
        <v>0</v>
      </c>
      <c r="AW345" s="815">
        <v>0</v>
      </c>
      <c r="AX345" s="816">
        <v>0</v>
      </c>
      <c r="AY345" s="819">
        <v>0</v>
      </c>
      <c r="AZ345" s="816"/>
      <c r="BA345" s="818"/>
      <c r="BB345" s="802" t="str" cm="1">
        <f t="array" ref="BB345">INDEX(C$4:BA$4,MATCH(TRUE,INDEX(C345:BA345&lt;&gt;0,),0))</f>
        <v>2010-11</v>
      </c>
      <c r="BC345" s="803" t="str" cm="1">
        <f t="array" ref="BC345">LOOKUP(2,1/(C345:BA345&lt;&gt;0),$C$4:$BA$4)</f>
        <v>2013-14</v>
      </c>
      <c r="BD345" s="804">
        <f>COUNTIF(RDprograms[[#This Row],[1978-79]:[2028-29]], "&gt;0")</f>
        <v>4</v>
      </c>
      <c r="BE345" s="805">
        <f>SUM(C345:BA345)/RDprograms[[#This Row],[Years with &gt; $0 investment]]</f>
        <v>1.25</v>
      </c>
      <c r="BF345" s="806" t="s">
        <v>273</v>
      </c>
      <c r="BG345" s="807" t="s">
        <v>703</v>
      </c>
      <c r="BH345" s="847" t="s">
        <v>834</v>
      </c>
      <c r="BI345" s="809"/>
      <c r="BJ345" s="809"/>
      <c r="BK345" s="809"/>
      <c r="BL345" s="809"/>
      <c r="BM345" s="809"/>
      <c r="BN345" s="810"/>
      <c r="BO345" s="811" t="s">
        <v>236</v>
      </c>
      <c r="BP345" s="812"/>
      <c r="BQ345" s="812"/>
      <c r="BR345" s="812"/>
      <c r="BS345" s="812"/>
      <c r="BT345" s="812" t="s">
        <v>672</v>
      </c>
    </row>
    <row r="346" spans="1:72" ht="12.75" customHeight="1">
      <c r="A346" s="813" t="s">
        <v>832</v>
      </c>
      <c r="B346" s="820" t="s">
        <v>966</v>
      </c>
      <c r="C346" s="5">
        <v>0</v>
      </c>
      <c r="D346" s="5">
        <v>0</v>
      </c>
      <c r="E346" s="5">
        <v>0</v>
      </c>
      <c r="F346" s="5">
        <v>0</v>
      </c>
      <c r="G346" s="5">
        <v>0</v>
      </c>
      <c r="H346" s="5">
        <v>0</v>
      </c>
      <c r="I346" s="5">
        <v>0</v>
      </c>
      <c r="J346" s="5">
        <v>0</v>
      </c>
      <c r="K346" s="5">
        <v>0</v>
      </c>
      <c r="L346" s="5">
        <v>0</v>
      </c>
      <c r="M346" s="5">
        <v>0</v>
      </c>
      <c r="N346" s="5">
        <v>0</v>
      </c>
      <c r="O346" s="5">
        <v>0</v>
      </c>
      <c r="P346" s="5">
        <v>0</v>
      </c>
      <c r="Q346" s="5">
        <v>0</v>
      </c>
      <c r="R346" s="5">
        <v>0</v>
      </c>
      <c r="S346" s="5">
        <v>0</v>
      </c>
      <c r="T346" s="5">
        <v>0</v>
      </c>
      <c r="U346" s="5">
        <v>0</v>
      </c>
      <c r="V346" s="5">
        <v>0</v>
      </c>
      <c r="W346" s="5">
        <v>0</v>
      </c>
      <c r="X346" s="5">
        <v>0</v>
      </c>
      <c r="Y346" s="5">
        <v>0</v>
      </c>
      <c r="Z346" s="5">
        <v>0</v>
      </c>
      <c r="AA346" s="5">
        <v>0</v>
      </c>
      <c r="AB346" s="5">
        <v>0</v>
      </c>
      <c r="AC346" s="5">
        <v>0</v>
      </c>
      <c r="AD346" s="5">
        <v>0</v>
      </c>
      <c r="AE346" s="5">
        <v>0</v>
      </c>
      <c r="AF346" s="5">
        <v>0</v>
      </c>
      <c r="AG346" s="5">
        <v>0</v>
      </c>
      <c r="AH346" s="5">
        <v>0</v>
      </c>
      <c r="AI346" s="5">
        <v>5</v>
      </c>
      <c r="AJ346" s="5">
        <v>0</v>
      </c>
      <c r="AK346" s="5">
        <v>0</v>
      </c>
      <c r="AL346" s="5">
        <v>0</v>
      </c>
      <c r="AM346" s="5">
        <v>0</v>
      </c>
      <c r="AN346" s="5">
        <v>0</v>
      </c>
      <c r="AO346" s="5">
        <v>0</v>
      </c>
      <c r="AP346" s="816">
        <v>0</v>
      </c>
      <c r="AQ346" s="816">
        <v>0</v>
      </c>
      <c r="AR346" s="5">
        <v>1.5</v>
      </c>
      <c r="AS346" s="5">
        <v>1.5</v>
      </c>
      <c r="AT346" s="5">
        <v>1.5</v>
      </c>
      <c r="AU346" s="5">
        <v>1.5</v>
      </c>
      <c r="AV346" s="5">
        <v>0</v>
      </c>
      <c r="AW346" s="815">
        <v>1.5</v>
      </c>
      <c r="AX346" s="816">
        <v>0</v>
      </c>
      <c r="AY346" s="819">
        <v>0</v>
      </c>
      <c r="AZ346" s="816"/>
      <c r="BA346" s="818"/>
      <c r="BB346" s="802" t="str" cm="1">
        <f t="array" ref="BB346">INDEX(C$4:BA$4,MATCH(TRUE,INDEX(C346:BA346&lt;&gt;0,),0))</f>
        <v>2010-11</v>
      </c>
      <c r="BC346" s="803" t="str" cm="1">
        <f t="array" ref="BC346">LOOKUP(2,1/(C346:BA346&lt;&gt;0),$C$4:$BA$4)</f>
        <v>2024-25</v>
      </c>
      <c r="BD346" s="804">
        <f>COUNTIF(RDprograms[[#This Row],[1978-79]:[2028-29]], "&gt;0")</f>
        <v>6</v>
      </c>
      <c r="BE346" s="805">
        <f>SUM(C346:BA346)/RDprograms[[#This Row],[Years with &gt; $0 investment]]</f>
        <v>2.0833333333333335</v>
      </c>
      <c r="BF346" s="806" t="s">
        <v>273</v>
      </c>
      <c r="BG346" s="807" t="s">
        <v>703</v>
      </c>
      <c r="BH346" s="847" t="s">
        <v>834</v>
      </c>
      <c r="BI346" s="809"/>
      <c r="BJ346" s="809"/>
      <c r="BK346" s="809"/>
      <c r="BL346" s="809"/>
      <c r="BM346" s="809"/>
      <c r="BN346" s="810"/>
      <c r="BO346" s="811" t="s">
        <v>236</v>
      </c>
      <c r="BP346" s="812" t="s">
        <v>967</v>
      </c>
      <c r="BQ346" s="812" t="s">
        <v>968</v>
      </c>
      <c r="BR346" s="812"/>
      <c r="BS346" s="812"/>
      <c r="BT346" s="812" t="s">
        <v>238</v>
      </c>
    </row>
    <row r="347" spans="1:72" ht="12.75" customHeight="1">
      <c r="A347" s="813" t="s">
        <v>832</v>
      </c>
      <c r="B347" s="820" t="s">
        <v>969</v>
      </c>
      <c r="C347" s="5">
        <v>0</v>
      </c>
      <c r="D347" s="5">
        <v>0</v>
      </c>
      <c r="E347" s="5">
        <v>0</v>
      </c>
      <c r="F347" s="5">
        <v>0</v>
      </c>
      <c r="G347" s="5">
        <v>0</v>
      </c>
      <c r="H347" s="5">
        <v>0</v>
      </c>
      <c r="I347" s="5">
        <v>0</v>
      </c>
      <c r="J347" s="5">
        <v>0</v>
      </c>
      <c r="K347" s="5">
        <v>0</v>
      </c>
      <c r="L347" s="5">
        <v>0</v>
      </c>
      <c r="M347" s="5">
        <v>0</v>
      </c>
      <c r="N347" s="5">
        <v>0</v>
      </c>
      <c r="O347" s="5">
        <v>0</v>
      </c>
      <c r="P347" s="5">
        <v>0</v>
      </c>
      <c r="Q347" s="5">
        <v>0</v>
      </c>
      <c r="R347" s="5">
        <v>0</v>
      </c>
      <c r="S347" s="5">
        <v>0</v>
      </c>
      <c r="T347" s="5">
        <v>0</v>
      </c>
      <c r="U347" s="5">
        <v>0</v>
      </c>
      <c r="V347" s="5">
        <v>0</v>
      </c>
      <c r="W347" s="5">
        <v>0</v>
      </c>
      <c r="X347" s="5">
        <v>0</v>
      </c>
      <c r="Y347" s="5">
        <v>0</v>
      </c>
      <c r="Z347" s="5">
        <v>0</v>
      </c>
      <c r="AA347" s="5">
        <v>0</v>
      </c>
      <c r="AB347" s="5">
        <v>0</v>
      </c>
      <c r="AC347" s="5">
        <v>0</v>
      </c>
      <c r="AD347" s="5">
        <v>0</v>
      </c>
      <c r="AE347" s="5">
        <v>0</v>
      </c>
      <c r="AF347" s="5">
        <v>0</v>
      </c>
      <c r="AG347" s="5">
        <v>0</v>
      </c>
      <c r="AH347" s="5">
        <v>0</v>
      </c>
      <c r="AI347" s="5">
        <v>0</v>
      </c>
      <c r="AJ347" s="5">
        <v>0</v>
      </c>
      <c r="AK347" s="5">
        <v>0</v>
      </c>
      <c r="AL347" s="5">
        <v>0</v>
      </c>
      <c r="AM347" s="5">
        <v>0</v>
      </c>
      <c r="AN347" s="5">
        <v>0</v>
      </c>
      <c r="AO347" s="5">
        <v>0</v>
      </c>
      <c r="AP347" s="5">
        <v>0</v>
      </c>
      <c r="AQ347" s="5">
        <v>0</v>
      </c>
      <c r="AR347" s="5">
        <v>0</v>
      </c>
      <c r="AS347" s="5">
        <v>0</v>
      </c>
      <c r="AT347" s="5">
        <v>0</v>
      </c>
      <c r="AU347" s="5">
        <v>0</v>
      </c>
      <c r="AV347" s="5">
        <v>2.09</v>
      </c>
      <c r="AW347" s="849">
        <v>2.09</v>
      </c>
      <c r="AX347" s="5">
        <v>0</v>
      </c>
      <c r="AY347" s="850">
        <v>0</v>
      </c>
      <c r="AZ347" s="5">
        <v>0</v>
      </c>
      <c r="BA347" s="821">
        <v>0</v>
      </c>
      <c r="BB347" s="822" t="str" cm="1">
        <f t="array" ref="BB347">INDEX(C$4:BA$4,MATCH(TRUE,INDEX(C347:BA347&lt;&gt;0,),0))</f>
        <v>2023-24</v>
      </c>
      <c r="BC347" s="823" t="str" cm="1">
        <f t="array" ref="BC347">LOOKUP(2,1/(C347:BA347&lt;&gt;0),$C$4:$BA$4)</f>
        <v>2024-25</v>
      </c>
      <c r="BD347" s="824">
        <f>COUNTIF(RDprograms[[#This Row],[1978-79]:[2028-29]], "&gt;0")</f>
        <v>2</v>
      </c>
      <c r="BE347" s="805">
        <f>SUM(C347:BA347)/RDprograms[[#This Row],[Years with &gt; $0 investment]]</f>
        <v>2.09</v>
      </c>
      <c r="BF347" s="806" t="s">
        <v>273</v>
      </c>
      <c r="BG347" s="807" t="s">
        <v>703</v>
      </c>
      <c r="BH347" s="847" t="s">
        <v>834</v>
      </c>
      <c r="BI347" s="809"/>
      <c r="BJ347" s="809"/>
      <c r="BK347" s="809"/>
      <c r="BL347" s="809"/>
      <c r="BM347" s="809"/>
      <c r="BN347" s="810"/>
      <c r="BO347" s="811" t="s">
        <v>236</v>
      </c>
      <c r="BP347" s="812" t="s">
        <v>970</v>
      </c>
      <c r="BQ347" s="812"/>
      <c r="BR347" s="812"/>
      <c r="BS347" s="812"/>
      <c r="BT347" s="812"/>
    </row>
    <row r="348" spans="1:72" ht="12.75" customHeight="1">
      <c r="A348" s="813" t="s">
        <v>832</v>
      </c>
      <c r="B348" s="820" t="s">
        <v>971</v>
      </c>
      <c r="C348" s="5">
        <v>0</v>
      </c>
      <c r="D348" s="5">
        <v>0</v>
      </c>
      <c r="E348" s="5">
        <v>0</v>
      </c>
      <c r="F348" s="5">
        <v>0</v>
      </c>
      <c r="G348" s="5">
        <v>0</v>
      </c>
      <c r="H348" s="5">
        <v>0</v>
      </c>
      <c r="I348" s="5">
        <v>0</v>
      </c>
      <c r="J348" s="5">
        <v>0</v>
      </c>
      <c r="K348" s="5">
        <v>0</v>
      </c>
      <c r="L348" s="5">
        <v>0</v>
      </c>
      <c r="M348" s="5">
        <v>0</v>
      </c>
      <c r="N348" s="5">
        <v>0</v>
      </c>
      <c r="O348" s="5">
        <v>0</v>
      </c>
      <c r="P348" s="5">
        <v>0</v>
      </c>
      <c r="Q348" s="5">
        <v>0</v>
      </c>
      <c r="R348" s="5">
        <v>0</v>
      </c>
      <c r="S348" s="5">
        <v>0</v>
      </c>
      <c r="T348" s="5">
        <v>0</v>
      </c>
      <c r="U348" s="5">
        <v>0</v>
      </c>
      <c r="V348" s="5">
        <v>0</v>
      </c>
      <c r="W348" s="5">
        <v>0</v>
      </c>
      <c r="X348" s="5">
        <v>0</v>
      </c>
      <c r="Y348" s="5">
        <v>0</v>
      </c>
      <c r="Z348" s="5">
        <v>0</v>
      </c>
      <c r="AA348" s="5">
        <v>0</v>
      </c>
      <c r="AB348" s="5">
        <v>0</v>
      </c>
      <c r="AC348" s="5">
        <v>0</v>
      </c>
      <c r="AD348" s="5">
        <v>0</v>
      </c>
      <c r="AE348" s="5">
        <v>0</v>
      </c>
      <c r="AF348" s="5">
        <v>0</v>
      </c>
      <c r="AG348" s="5">
        <v>0</v>
      </c>
      <c r="AH348" s="5">
        <v>0</v>
      </c>
      <c r="AI348" s="5">
        <v>0</v>
      </c>
      <c r="AJ348" s="5">
        <v>0</v>
      </c>
      <c r="AK348" s="5">
        <v>0</v>
      </c>
      <c r="AL348" s="5">
        <v>0</v>
      </c>
      <c r="AM348" s="5">
        <v>0</v>
      </c>
      <c r="AN348" s="5">
        <v>0</v>
      </c>
      <c r="AO348" s="5">
        <v>0</v>
      </c>
      <c r="AP348" s="5">
        <v>0</v>
      </c>
      <c r="AQ348" s="5">
        <v>0</v>
      </c>
      <c r="AR348" s="5">
        <v>1.54</v>
      </c>
      <c r="AS348" s="5">
        <v>4</v>
      </c>
      <c r="AT348" s="5">
        <v>4.46</v>
      </c>
      <c r="AU348" s="5">
        <v>4.5</v>
      </c>
      <c r="AV348" s="5">
        <v>4.5</v>
      </c>
      <c r="AW348" s="815">
        <v>4.6529999999999996</v>
      </c>
      <c r="AX348" s="816">
        <v>4.5</v>
      </c>
      <c r="AY348" s="819">
        <v>4.5</v>
      </c>
      <c r="AZ348" s="816"/>
      <c r="BA348" s="818"/>
      <c r="BB348" s="802" t="str" cm="1">
        <f t="array" ref="BB348">INDEX(C$4:BA$4,MATCH(TRUE,INDEX(C348:BA348&lt;&gt;0,),0))</f>
        <v>2019-20</v>
      </c>
      <c r="BC348" s="803" t="str" cm="1">
        <f t="array" ref="BC348">LOOKUP(2,1/(C348:BA348&lt;&gt;0),$C$4:$BA$4)</f>
        <v>2026-27</v>
      </c>
      <c r="BD348" s="804">
        <f>COUNTIF(RDprograms[[#This Row],[1978-79]:[2028-29]], "&gt;0")</f>
        <v>8</v>
      </c>
      <c r="BE348" s="805">
        <f>SUM(C348:BA348)/RDprograms[[#This Row],[Years with &gt; $0 investment]]</f>
        <v>4.0816249999999998</v>
      </c>
      <c r="BF348" s="806" t="s">
        <v>273</v>
      </c>
      <c r="BG348" s="807" t="s">
        <v>703</v>
      </c>
      <c r="BH348" s="851" t="s">
        <v>834</v>
      </c>
      <c r="BI348" s="809"/>
      <c r="BJ348" s="809"/>
      <c r="BK348" s="809">
        <v>1</v>
      </c>
      <c r="BL348" s="809"/>
      <c r="BM348" s="809"/>
      <c r="BN348" s="810"/>
      <c r="BO348" s="811" t="s">
        <v>236</v>
      </c>
      <c r="BP348" s="812" t="s">
        <v>972</v>
      </c>
      <c r="BQ348" s="812" t="s">
        <v>842</v>
      </c>
      <c r="BR348" s="812"/>
      <c r="BS348" s="812"/>
      <c r="BT348" s="812" t="s">
        <v>238</v>
      </c>
    </row>
    <row r="349" spans="1:72" ht="12.75" customHeight="1">
      <c r="A349" s="813" t="s">
        <v>832</v>
      </c>
      <c r="B349" s="820" t="s">
        <v>973</v>
      </c>
      <c r="C349" s="5">
        <v>0</v>
      </c>
      <c r="D349" s="5">
        <v>0</v>
      </c>
      <c r="E349" s="5">
        <v>0</v>
      </c>
      <c r="F349" s="5">
        <v>0</v>
      </c>
      <c r="G349" s="5">
        <v>0</v>
      </c>
      <c r="H349" s="5">
        <v>0</v>
      </c>
      <c r="I349" s="5">
        <v>0</v>
      </c>
      <c r="J349" s="5">
        <v>0</v>
      </c>
      <c r="K349" s="5">
        <v>0</v>
      </c>
      <c r="L349" s="5">
        <v>0</v>
      </c>
      <c r="M349" s="5">
        <v>0</v>
      </c>
      <c r="N349" s="5">
        <v>0</v>
      </c>
      <c r="O349" s="5">
        <v>0</v>
      </c>
      <c r="P349" s="5">
        <v>0</v>
      </c>
      <c r="Q349" s="5">
        <v>0</v>
      </c>
      <c r="R349" s="5">
        <v>0</v>
      </c>
      <c r="S349" s="5">
        <v>0</v>
      </c>
      <c r="T349" s="5">
        <v>0</v>
      </c>
      <c r="U349" s="5">
        <v>0</v>
      </c>
      <c r="V349" s="5">
        <v>0</v>
      </c>
      <c r="W349" s="5">
        <v>0</v>
      </c>
      <c r="X349" s="5">
        <v>0</v>
      </c>
      <c r="Y349" s="5">
        <v>0</v>
      </c>
      <c r="Z349" s="5">
        <v>0</v>
      </c>
      <c r="AA349" s="5">
        <v>0</v>
      </c>
      <c r="AB349" s="5">
        <v>0</v>
      </c>
      <c r="AC349" s="5">
        <v>0</v>
      </c>
      <c r="AD349" s="5">
        <v>0</v>
      </c>
      <c r="AE349" s="5">
        <v>0</v>
      </c>
      <c r="AF349" s="5">
        <v>0</v>
      </c>
      <c r="AG349" s="5">
        <v>0</v>
      </c>
      <c r="AH349" s="5">
        <v>0</v>
      </c>
      <c r="AI349" s="5">
        <v>0</v>
      </c>
      <c r="AJ349" s="5">
        <v>0</v>
      </c>
      <c r="AK349" s="5">
        <v>0</v>
      </c>
      <c r="AL349" s="5">
        <v>1.556</v>
      </c>
      <c r="AM349" s="5">
        <v>1.1399999999999999</v>
      </c>
      <c r="AN349" s="5">
        <v>1.153</v>
      </c>
      <c r="AO349" s="5">
        <v>1.042</v>
      </c>
      <c r="AP349" s="5">
        <v>0.6</v>
      </c>
      <c r="AQ349" s="5">
        <v>0.6</v>
      </c>
      <c r="AR349" s="5">
        <v>0.6</v>
      </c>
      <c r="AS349" s="5">
        <v>0.6</v>
      </c>
      <c r="AT349" s="5">
        <v>0.6</v>
      </c>
      <c r="AU349" s="5">
        <v>0</v>
      </c>
      <c r="AV349" s="5">
        <v>0</v>
      </c>
      <c r="AW349" s="815">
        <v>0</v>
      </c>
      <c r="AX349" s="816">
        <v>0</v>
      </c>
      <c r="AY349" s="819">
        <v>0</v>
      </c>
      <c r="AZ349" s="816"/>
      <c r="BA349" s="818"/>
      <c r="BB349" s="802" t="str" cm="1">
        <f t="array" ref="BB349">INDEX(C$4:BA$4,MATCH(TRUE,INDEX(C349:BA349&lt;&gt;0,),0))</f>
        <v>2013-14</v>
      </c>
      <c r="BC349" s="803" t="str" cm="1">
        <f t="array" ref="BC349">LOOKUP(2,1/(C349:BA349&lt;&gt;0),$C$4:$BA$4)</f>
        <v>2021-22</v>
      </c>
      <c r="BD349" s="804">
        <f>COUNTIF(RDprograms[[#This Row],[1978-79]:[2028-29]], "&gt;0")</f>
        <v>9</v>
      </c>
      <c r="BE349" s="805">
        <f>SUM(C349:BA349)/RDprograms[[#This Row],[Years with &gt; $0 investment]]</f>
        <v>0.87677777777777754</v>
      </c>
      <c r="BF349" s="806" t="s">
        <v>233</v>
      </c>
      <c r="BG349" s="807" t="s">
        <v>703</v>
      </c>
      <c r="BH349" s="847" t="s">
        <v>834</v>
      </c>
      <c r="BI349" s="809"/>
      <c r="BJ349" s="809"/>
      <c r="BK349" s="809"/>
      <c r="BL349" s="809"/>
      <c r="BM349" s="809"/>
      <c r="BN349" s="810"/>
      <c r="BO349" s="811" t="s">
        <v>236</v>
      </c>
      <c r="BP349" s="812" t="s">
        <v>974</v>
      </c>
      <c r="BQ349" s="812" t="s">
        <v>975</v>
      </c>
      <c r="BR349" s="812" t="s">
        <v>902</v>
      </c>
      <c r="BS349" s="812"/>
      <c r="BT349" s="812" t="s">
        <v>238</v>
      </c>
    </row>
    <row r="350" spans="1:72" ht="12.75" customHeight="1">
      <c r="A350" s="813" t="s">
        <v>832</v>
      </c>
      <c r="B350" s="820" t="s">
        <v>976</v>
      </c>
      <c r="C350" s="5">
        <v>0</v>
      </c>
      <c r="D350" s="5">
        <v>0</v>
      </c>
      <c r="E350" s="5">
        <v>0</v>
      </c>
      <c r="F350" s="5">
        <v>0</v>
      </c>
      <c r="G350" s="5">
        <v>0</v>
      </c>
      <c r="H350" s="5">
        <v>0</v>
      </c>
      <c r="I350" s="5">
        <v>0</v>
      </c>
      <c r="J350" s="5">
        <v>0</v>
      </c>
      <c r="K350" s="5">
        <v>0</v>
      </c>
      <c r="L350" s="5">
        <v>0</v>
      </c>
      <c r="M350" s="5">
        <v>0</v>
      </c>
      <c r="N350" s="5">
        <v>0</v>
      </c>
      <c r="O350" s="5">
        <v>0</v>
      </c>
      <c r="P350" s="5">
        <v>0</v>
      </c>
      <c r="Q350" s="5">
        <v>0</v>
      </c>
      <c r="R350" s="5">
        <v>0</v>
      </c>
      <c r="S350" s="5">
        <v>0</v>
      </c>
      <c r="T350" s="5">
        <v>0</v>
      </c>
      <c r="U350" s="5">
        <v>0</v>
      </c>
      <c r="V350" s="5">
        <v>0</v>
      </c>
      <c r="W350" s="5">
        <v>0</v>
      </c>
      <c r="X350" s="5">
        <v>0</v>
      </c>
      <c r="Y350" s="5">
        <v>0</v>
      </c>
      <c r="Z350" s="5">
        <v>0</v>
      </c>
      <c r="AA350" s="5">
        <v>0</v>
      </c>
      <c r="AB350" s="5">
        <v>0</v>
      </c>
      <c r="AC350" s="5">
        <v>0</v>
      </c>
      <c r="AD350" s="5">
        <v>0</v>
      </c>
      <c r="AE350" s="5">
        <v>0</v>
      </c>
      <c r="AF350" s="5">
        <v>0</v>
      </c>
      <c r="AG350" s="5">
        <v>0</v>
      </c>
      <c r="AH350" s="5">
        <v>0</v>
      </c>
      <c r="AI350" s="5">
        <v>0</v>
      </c>
      <c r="AJ350" s="5">
        <v>0</v>
      </c>
      <c r="AK350" s="5">
        <v>0</v>
      </c>
      <c r="AL350" s="5">
        <v>0</v>
      </c>
      <c r="AM350" s="5">
        <v>0</v>
      </c>
      <c r="AN350" s="5">
        <v>0</v>
      </c>
      <c r="AO350" s="5">
        <v>17.96</v>
      </c>
      <c r="AP350" s="5">
        <v>30.1</v>
      </c>
      <c r="AQ350" s="5">
        <v>206.36500000000001</v>
      </c>
      <c r="AR350" s="5">
        <v>375.524</v>
      </c>
      <c r="AS350" s="5">
        <v>597.93499999999995</v>
      </c>
      <c r="AT350" s="5">
        <v>454.89499999999998</v>
      </c>
      <c r="AU350" s="5">
        <v>598</v>
      </c>
      <c r="AV350" s="5">
        <v>650</v>
      </c>
      <c r="AW350" s="815">
        <v>650</v>
      </c>
      <c r="AX350" s="816">
        <v>650</v>
      </c>
      <c r="AY350" s="819">
        <v>650</v>
      </c>
      <c r="AZ350" s="816">
        <v>650</v>
      </c>
      <c r="BA350" s="818">
        <v>650</v>
      </c>
      <c r="BB350" s="802" t="str" cm="1">
        <f t="array" ref="BB350">INDEX(C$4:BA$4,MATCH(TRUE,INDEX(C350:BA350&lt;&gt;0,),0))</f>
        <v>2016-17</v>
      </c>
      <c r="BC350" s="803" t="str" cm="1">
        <f t="array" ref="BC350">LOOKUP(2,1/(C350:BA350&lt;&gt;0),$C$4:$BA$4)</f>
        <v>2028-29</v>
      </c>
      <c r="BD350" s="804">
        <f>COUNTIF(RDprograms[[#This Row],[1978-79]:[2028-29]], "&gt;0")</f>
        <v>13</v>
      </c>
      <c r="BE350" s="805">
        <f>SUM(C350:BA350)/RDprograms[[#This Row],[Years with &gt; $0 investment]]</f>
        <v>475.44453846153851</v>
      </c>
      <c r="BF350" s="806" t="s">
        <v>240</v>
      </c>
      <c r="BG350" s="807" t="s">
        <v>703</v>
      </c>
      <c r="BH350" s="847" t="s">
        <v>834</v>
      </c>
      <c r="BI350" s="809"/>
      <c r="BJ350" s="809">
        <v>1</v>
      </c>
      <c r="BK350" s="809"/>
      <c r="BL350" s="809"/>
      <c r="BM350" s="809"/>
      <c r="BN350" s="810"/>
      <c r="BO350" s="811" t="s">
        <v>977</v>
      </c>
      <c r="BP350" s="812" t="s">
        <v>978</v>
      </c>
      <c r="BQ350" s="812" t="s">
        <v>979</v>
      </c>
      <c r="BR350" s="812"/>
      <c r="BS350" s="812" t="s">
        <v>280</v>
      </c>
      <c r="BT350" s="812" t="s">
        <v>238</v>
      </c>
    </row>
    <row r="351" spans="1:72" ht="12.75" customHeight="1">
      <c r="A351" s="813" t="s">
        <v>832</v>
      </c>
      <c r="B351" s="820" t="s">
        <v>980</v>
      </c>
      <c r="C351" s="5">
        <v>0</v>
      </c>
      <c r="D351" s="5">
        <v>0</v>
      </c>
      <c r="E351" s="5">
        <v>0</v>
      </c>
      <c r="F351" s="5">
        <v>0</v>
      </c>
      <c r="G351" s="5">
        <v>0</v>
      </c>
      <c r="H351" s="5">
        <v>0</v>
      </c>
      <c r="I351" s="5">
        <v>0</v>
      </c>
      <c r="J351" s="5">
        <v>0</v>
      </c>
      <c r="K351" s="5">
        <v>0</v>
      </c>
      <c r="L351" s="5">
        <v>0</v>
      </c>
      <c r="M351" s="5">
        <v>0</v>
      </c>
      <c r="N351" s="5">
        <v>0</v>
      </c>
      <c r="O351" s="5">
        <v>0</v>
      </c>
      <c r="P351" s="5">
        <v>0</v>
      </c>
      <c r="Q351" s="5">
        <v>0</v>
      </c>
      <c r="R351" s="5">
        <v>0</v>
      </c>
      <c r="S351" s="5">
        <v>0</v>
      </c>
      <c r="T351" s="5">
        <v>0</v>
      </c>
      <c r="U351" s="5">
        <v>0</v>
      </c>
      <c r="V351" s="5">
        <v>0</v>
      </c>
      <c r="W351" s="5">
        <v>0</v>
      </c>
      <c r="X351" s="5">
        <v>0</v>
      </c>
      <c r="Y351" s="5">
        <v>0</v>
      </c>
      <c r="Z351" s="5">
        <v>0</v>
      </c>
      <c r="AA351" s="5">
        <v>0</v>
      </c>
      <c r="AB351" s="5">
        <v>0</v>
      </c>
      <c r="AC351" s="5">
        <v>0</v>
      </c>
      <c r="AD351" s="5">
        <v>0</v>
      </c>
      <c r="AE351" s="5">
        <v>0</v>
      </c>
      <c r="AF351" s="5">
        <v>0</v>
      </c>
      <c r="AG351" s="5">
        <v>0</v>
      </c>
      <c r="AH351" s="5">
        <v>0</v>
      </c>
      <c r="AI351" s="5">
        <v>0</v>
      </c>
      <c r="AJ351" s="5">
        <v>0</v>
      </c>
      <c r="AK351" s="5">
        <v>0</v>
      </c>
      <c r="AL351" s="5">
        <v>0</v>
      </c>
      <c r="AM351" s="5">
        <v>0</v>
      </c>
      <c r="AN351" s="5">
        <v>0</v>
      </c>
      <c r="AO351" s="5">
        <v>0</v>
      </c>
      <c r="AP351" s="5">
        <v>0</v>
      </c>
      <c r="AQ351" s="5">
        <v>0</v>
      </c>
      <c r="AR351" s="5">
        <v>0</v>
      </c>
      <c r="AS351" s="5">
        <v>0</v>
      </c>
      <c r="AT351" s="5">
        <v>172.47499999999999</v>
      </c>
      <c r="AU351" s="5">
        <v>52</v>
      </c>
      <c r="AV351" s="5">
        <v>0</v>
      </c>
      <c r="AW351" s="815">
        <v>0</v>
      </c>
      <c r="AX351" s="816">
        <v>0</v>
      </c>
      <c r="AY351" s="819">
        <v>0</v>
      </c>
      <c r="AZ351" s="816">
        <v>0</v>
      </c>
      <c r="BA351" s="818"/>
      <c r="BB351" s="802" t="str" cm="1">
        <f t="array" ref="BB351">INDEX(C$4:BA$4,MATCH(TRUE,INDEX(C351:BA351&lt;&gt;0,),0))</f>
        <v>2021-22</v>
      </c>
      <c r="BC351" s="803" t="str" cm="1">
        <f t="array" ref="BC351">LOOKUP(2,1/(C351:BA351&lt;&gt;0),$C$4:$BA$4)</f>
        <v>2022-23</v>
      </c>
      <c r="BD351" s="804">
        <f>COUNTIF(RDprograms[[#This Row],[1978-79]:[2028-29]], "&gt;0")</f>
        <v>2</v>
      </c>
      <c r="BE351" s="805">
        <f>SUM(C351:BA351)/RDprograms[[#This Row],[Years with &gt; $0 investment]]</f>
        <v>112.2375</v>
      </c>
      <c r="BF351" s="806" t="s">
        <v>249</v>
      </c>
      <c r="BG351" s="807" t="s">
        <v>703</v>
      </c>
      <c r="BH351" s="847" t="s">
        <v>834</v>
      </c>
      <c r="BI351" s="809"/>
      <c r="BJ351" s="809"/>
      <c r="BK351" s="809"/>
      <c r="BL351" s="809"/>
      <c r="BM351" s="809"/>
      <c r="BN351" s="810"/>
      <c r="BO351" s="811" t="s">
        <v>251</v>
      </c>
      <c r="BP351" s="812" t="s">
        <v>981</v>
      </c>
      <c r="BQ351" s="812" t="s">
        <v>979</v>
      </c>
      <c r="BR351" s="812"/>
      <c r="BS351" s="812" t="s">
        <v>280</v>
      </c>
      <c r="BT351" s="812" t="s">
        <v>238</v>
      </c>
    </row>
    <row r="352" spans="1:72" ht="12.75" customHeight="1">
      <c r="A352" s="813" t="s">
        <v>832</v>
      </c>
      <c r="B352" s="820" t="s">
        <v>982</v>
      </c>
      <c r="C352" s="5">
        <v>0</v>
      </c>
      <c r="D352" s="5">
        <v>0</v>
      </c>
      <c r="E352" s="5">
        <v>0</v>
      </c>
      <c r="F352" s="5">
        <v>0</v>
      </c>
      <c r="G352" s="5">
        <v>0</v>
      </c>
      <c r="H352" s="5">
        <v>0</v>
      </c>
      <c r="I352" s="5">
        <v>0</v>
      </c>
      <c r="J352" s="5">
        <v>0</v>
      </c>
      <c r="K352" s="5">
        <v>0</v>
      </c>
      <c r="L352" s="5">
        <v>0</v>
      </c>
      <c r="M352" s="5">
        <v>0</v>
      </c>
      <c r="N352" s="5">
        <v>0</v>
      </c>
      <c r="O352" s="5">
        <v>0</v>
      </c>
      <c r="P352" s="5">
        <v>0</v>
      </c>
      <c r="Q352" s="5">
        <v>0</v>
      </c>
      <c r="R352" s="5">
        <v>0</v>
      </c>
      <c r="S352" s="5">
        <v>0</v>
      </c>
      <c r="T352" s="5">
        <v>0</v>
      </c>
      <c r="U352" s="5">
        <v>0</v>
      </c>
      <c r="V352" s="5">
        <v>0</v>
      </c>
      <c r="W352" s="5">
        <v>0</v>
      </c>
      <c r="X352" s="5">
        <v>0</v>
      </c>
      <c r="Y352" s="5">
        <v>0</v>
      </c>
      <c r="Z352" s="5">
        <v>0</v>
      </c>
      <c r="AA352" s="5">
        <v>0</v>
      </c>
      <c r="AB352" s="5">
        <v>31.24</v>
      </c>
      <c r="AC352" s="5">
        <v>0</v>
      </c>
      <c r="AD352" s="5">
        <v>215</v>
      </c>
      <c r="AE352" s="5">
        <v>435.8</v>
      </c>
      <c r="AF352" s="5">
        <v>0</v>
      </c>
      <c r="AG352" s="5">
        <v>0</v>
      </c>
      <c r="AH352" s="5">
        <v>0</v>
      </c>
      <c r="AI352" s="5">
        <v>0</v>
      </c>
      <c r="AJ352" s="5">
        <v>0</v>
      </c>
      <c r="AK352" s="5">
        <v>0</v>
      </c>
      <c r="AL352" s="5">
        <v>0</v>
      </c>
      <c r="AM352" s="5">
        <v>0</v>
      </c>
      <c r="AN352" s="5">
        <v>0</v>
      </c>
      <c r="AO352" s="5">
        <v>0</v>
      </c>
      <c r="AP352" s="5">
        <v>0</v>
      </c>
      <c r="AQ352" s="5">
        <v>0</v>
      </c>
      <c r="AR352" s="5">
        <v>0</v>
      </c>
      <c r="AS352" s="5">
        <v>0</v>
      </c>
      <c r="AT352" s="5">
        <v>0</v>
      </c>
      <c r="AU352" s="5">
        <v>0</v>
      </c>
      <c r="AV352" s="5">
        <v>0</v>
      </c>
      <c r="AW352" s="815">
        <v>0</v>
      </c>
      <c r="AX352" s="816">
        <v>0</v>
      </c>
      <c r="AY352" s="819">
        <v>0</v>
      </c>
      <c r="AZ352" s="816"/>
      <c r="BA352" s="818"/>
      <c r="BB352" s="802" t="str" cm="1">
        <f t="array" ref="BB352">INDEX(C$4:BA$4,MATCH(TRUE,INDEX(C352:BA352&lt;&gt;0,),0))</f>
        <v>2003-04</v>
      </c>
      <c r="BC352" s="803" t="str" cm="1">
        <f t="array" ref="BC352">LOOKUP(2,1/(C352:BA352&lt;&gt;0),$C$4:$BA$4)</f>
        <v>2006-07</v>
      </c>
      <c r="BD352" s="804">
        <f>COUNTIF(RDprograms[[#This Row],[1978-79]:[2028-29]], "&gt;0")</f>
        <v>3</v>
      </c>
      <c r="BE352" s="805">
        <f>SUM(C352:BA352)/RDprograms[[#This Row],[Years with &gt; $0 investment]]</f>
        <v>227.34666666666666</v>
      </c>
      <c r="BF352" s="806" t="s">
        <v>249</v>
      </c>
      <c r="BG352" s="807" t="s">
        <v>703</v>
      </c>
      <c r="BH352" s="847" t="s">
        <v>834</v>
      </c>
      <c r="BI352" s="809"/>
      <c r="BJ352" s="809"/>
      <c r="BK352" s="809"/>
      <c r="BL352" s="809"/>
      <c r="BM352" s="809"/>
      <c r="BN352" s="810"/>
      <c r="BO352" s="811" t="s">
        <v>236</v>
      </c>
      <c r="BP352" s="812"/>
      <c r="BQ352" s="812"/>
      <c r="BR352" s="812"/>
      <c r="BS352" s="812"/>
      <c r="BT352" s="812" t="s">
        <v>238</v>
      </c>
    </row>
    <row r="353" spans="1:72" ht="12.75" customHeight="1">
      <c r="A353" s="813" t="s">
        <v>832</v>
      </c>
      <c r="B353" s="820" t="s">
        <v>983</v>
      </c>
      <c r="C353" s="5">
        <v>0</v>
      </c>
      <c r="D353" s="5">
        <v>0</v>
      </c>
      <c r="E353" s="5">
        <v>0</v>
      </c>
      <c r="F353" s="5">
        <v>0</v>
      </c>
      <c r="G353" s="5">
        <v>0</v>
      </c>
      <c r="H353" s="5">
        <v>0</v>
      </c>
      <c r="I353" s="5">
        <v>0</v>
      </c>
      <c r="J353" s="5">
        <v>0</v>
      </c>
      <c r="K353" s="5">
        <v>0</v>
      </c>
      <c r="L353" s="5">
        <v>0</v>
      </c>
      <c r="M353" s="5">
        <v>0</v>
      </c>
      <c r="N353" s="5">
        <v>0</v>
      </c>
      <c r="O353" s="5">
        <v>0</v>
      </c>
      <c r="P353" s="5">
        <v>0</v>
      </c>
      <c r="Q353" s="5">
        <v>0</v>
      </c>
      <c r="R353" s="5">
        <v>0</v>
      </c>
      <c r="S353" s="5">
        <v>0</v>
      </c>
      <c r="T353" s="5">
        <v>0</v>
      </c>
      <c r="U353" s="5">
        <v>0</v>
      </c>
      <c r="V353" s="5">
        <v>0</v>
      </c>
      <c r="W353" s="5">
        <v>0</v>
      </c>
      <c r="X353" s="5">
        <v>0</v>
      </c>
      <c r="Y353" s="5">
        <v>0</v>
      </c>
      <c r="Z353" s="5">
        <v>0</v>
      </c>
      <c r="AA353" s="5">
        <v>0</v>
      </c>
      <c r="AB353" s="5">
        <v>0</v>
      </c>
      <c r="AC353" s="5">
        <v>0</v>
      </c>
      <c r="AD353" s="5">
        <v>0</v>
      </c>
      <c r="AE353" s="5">
        <v>0</v>
      </c>
      <c r="AF353" s="5">
        <v>0</v>
      </c>
      <c r="AG353" s="5">
        <v>0</v>
      </c>
      <c r="AH353" s="5">
        <v>0</v>
      </c>
      <c r="AI353" s="5">
        <v>0</v>
      </c>
      <c r="AJ353" s="5">
        <v>0</v>
      </c>
      <c r="AK353" s="5">
        <v>0</v>
      </c>
      <c r="AL353" s="5">
        <v>0</v>
      </c>
      <c r="AM353" s="5">
        <v>0</v>
      </c>
      <c r="AN353" s="5">
        <v>7.0000000000000007E-2</v>
      </c>
      <c r="AO353" s="5">
        <v>0.04</v>
      </c>
      <c r="AP353" s="816">
        <v>0</v>
      </c>
      <c r="AQ353" s="816">
        <v>0</v>
      </c>
      <c r="AR353" s="5">
        <v>0</v>
      </c>
      <c r="AS353" s="5">
        <v>0</v>
      </c>
      <c r="AT353" s="5">
        <v>0</v>
      </c>
      <c r="AU353" s="5">
        <v>0</v>
      </c>
      <c r="AV353" s="5">
        <v>0</v>
      </c>
      <c r="AW353" s="815">
        <v>0</v>
      </c>
      <c r="AX353" s="816">
        <v>0</v>
      </c>
      <c r="AY353" s="819">
        <v>0</v>
      </c>
      <c r="AZ353" s="816"/>
      <c r="BA353" s="818"/>
      <c r="BB353" s="802" t="str" cm="1">
        <f t="array" ref="BB353">INDEX(C$4:BA$4,MATCH(TRUE,INDEX(C353:BA353&lt;&gt;0,),0))</f>
        <v>2015-16</v>
      </c>
      <c r="BC353" s="803" t="str" cm="1">
        <f t="array" ref="BC353">LOOKUP(2,1/(C353:BA353&lt;&gt;0),$C$4:$BA$4)</f>
        <v>2016-17</v>
      </c>
      <c r="BD353" s="804">
        <f>COUNTIF(RDprograms[[#This Row],[1978-79]:[2028-29]], "&gt;0")</f>
        <v>2</v>
      </c>
      <c r="BE353" s="805">
        <f>SUM(C353:BA353)/RDprograms[[#This Row],[Years with &gt; $0 investment]]</f>
        <v>5.5000000000000007E-2</v>
      </c>
      <c r="BF353" s="806" t="s">
        <v>273</v>
      </c>
      <c r="BG353" s="807" t="s">
        <v>703</v>
      </c>
      <c r="BH353" s="847" t="s">
        <v>258</v>
      </c>
      <c r="BI353" s="809"/>
      <c r="BJ353" s="809"/>
      <c r="BK353" s="809"/>
      <c r="BL353" s="809"/>
      <c r="BM353" s="809"/>
      <c r="BN353" s="810"/>
      <c r="BO353" s="811" t="s">
        <v>251</v>
      </c>
      <c r="BP353" s="812" t="s">
        <v>984</v>
      </c>
      <c r="BQ353" s="812" t="s">
        <v>985</v>
      </c>
      <c r="BR353" s="812"/>
      <c r="BS353" s="812"/>
      <c r="BT353" s="812" t="s">
        <v>238</v>
      </c>
    </row>
    <row r="354" spans="1:72" ht="12.75" customHeight="1">
      <c r="A354" s="813" t="s">
        <v>832</v>
      </c>
      <c r="B354" s="820" t="s">
        <v>986</v>
      </c>
      <c r="C354" s="5">
        <v>0</v>
      </c>
      <c r="D354" s="5">
        <v>0</v>
      </c>
      <c r="E354" s="5">
        <v>0</v>
      </c>
      <c r="F354" s="5">
        <v>0</v>
      </c>
      <c r="G354" s="5">
        <v>0</v>
      </c>
      <c r="H354" s="5">
        <v>0</v>
      </c>
      <c r="I354" s="5">
        <v>0</v>
      </c>
      <c r="J354" s="5">
        <v>0</v>
      </c>
      <c r="K354" s="5">
        <v>0</v>
      </c>
      <c r="L354" s="5">
        <v>0</v>
      </c>
      <c r="M354" s="5">
        <v>0</v>
      </c>
      <c r="N354" s="5">
        <v>0</v>
      </c>
      <c r="O354" s="5">
        <v>0</v>
      </c>
      <c r="P354" s="5">
        <v>0</v>
      </c>
      <c r="Q354" s="5">
        <v>0</v>
      </c>
      <c r="R354" s="5">
        <v>0</v>
      </c>
      <c r="S354" s="5">
        <v>0</v>
      </c>
      <c r="T354" s="5">
        <v>0</v>
      </c>
      <c r="U354" s="5">
        <v>0</v>
      </c>
      <c r="V354" s="5">
        <v>0</v>
      </c>
      <c r="W354" s="5">
        <v>0</v>
      </c>
      <c r="X354" s="5">
        <v>0</v>
      </c>
      <c r="Y354" s="5">
        <v>0</v>
      </c>
      <c r="Z354" s="5">
        <v>0</v>
      </c>
      <c r="AA354" s="5">
        <v>0</v>
      </c>
      <c r="AB354" s="5">
        <v>0</v>
      </c>
      <c r="AC354" s="5">
        <v>0</v>
      </c>
      <c r="AD354" s="5">
        <v>0</v>
      </c>
      <c r="AE354" s="5">
        <v>0</v>
      </c>
      <c r="AF354" s="5">
        <v>0</v>
      </c>
      <c r="AG354" s="5">
        <v>0</v>
      </c>
      <c r="AH354" s="5">
        <v>0</v>
      </c>
      <c r="AI354" s="5">
        <v>0</v>
      </c>
      <c r="AJ354" s="5">
        <v>0</v>
      </c>
      <c r="AK354" s="5">
        <v>0</v>
      </c>
      <c r="AL354" s="5">
        <v>0</v>
      </c>
      <c r="AM354" s="5">
        <v>0</v>
      </c>
      <c r="AN354" s="5">
        <v>0</v>
      </c>
      <c r="AO354" s="5">
        <v>0</v>
      </c>
      <c r="AP354" s="5">
        <v>0</v>
      </c>
      <c r="AQ354" s="5">
        <v>0</v>
      </c>
      <c r="AR354" s="5">
        <v>0</v>
      </c>
      <c r="AS354" s="5">
        <v>1.88</v>
      </c>
      <c r="AT354" s="5">
        <v>2.3109999999999999</v>
      </c>
      <c r="AU354" s="5">
        <v>2</v>
      </c>
      <c r="AV354" s="5">
        <v>1.9</v>
      </c>
      <c r="AW354" s="815">
        <v>1.9</v>
      </c>
      <c r="AX354" s="816">
        <v>1.9</v>
      </c>
      <c r="AY354" s="819">
        <v>0</v>
      </c>
      <c r="AZ354" s="816"/>
      <c r="BA354" s="818"/>
      <c r="BB354" s="802" t="str" cm="1">
        <f t="array" ref="BB354">INDEX(C$4:BA$4,MATCH(TRUE,INDEX(C354:BA354&lt;&gt;0,),0))</f>
        <v>2020-21</v>
      </c>
      <c r="BC354" s="803" t="str" cm="1">
        <f t="array" ref="BC354">LOOKUP(2,1/(C354:BA354&lt;&gt;0),$C$4:$BA$4)</f>
        <v>2025-26</v>
      </c>
      <c r="BD354" s="804">
        <f>COUNTIF(RDprograms[[#This Row],[1978-79]:[2028-29]], "&gt;0")</f>
        <v>6</v>
      </c>
      <c r="BE354" s="805">
        <f>SUM(C354:BA354)/RDprograms[[#This Row],[Years with &gt; $0 investment]]</f>
        <v>1.9818333333333333</v>
      </c>
      <c r="BF354" s="806" t="s">
        <v>273</v>
      </c>
      <c r="BG354" s="807" t="s">
        <v>703</v>
      </c>
      <c r="BH354" s="847" t="s">
        <v>834</v>
      </c>
      <c r="BI354" s="809"/>
      <c r="BJ354" s="809">
        <v>1</v>
      </c>
      <c r="BK354" s="809"/>
      <c r="BL354" s="809"/>
      <c r="BM354" s="809"/>
      <c r="BN354" s="810"/>
      <c r="BO354" s="811" t="s">
        <v>236</v>
      </c>
      <c r="BP354" s="812" t="s">
        <v>987</v>
      </c>
      <c r="BQ354" s="812"/>
      <c r="BR354" s="812"/>
      <c r="BS354" s="812"/>
      <c r="BT354" s="812" t="s">
        <v>672</v>
      </c>
    </row>
    <row r="355" spans="1:72" ht="12.75" customHeight="1">
      <c r="A355" s="813" t="s">
        <v>832</v>
      </c>
      <c r="B355" s="820" t="s">
        <v>988</v>
      </c>
      <c r="C355" s="5">
        <v>0</v>
      </c>
      <c r="D355" s="5">
        <v>0</v>
      </c>
      <c r="E355" s="5">
        <v>0</v>
      </c>
      <c r="F355" s="5">
        <v>0</v>
      </c>
      <c r="G355" s="5">
        <v>0</v>
      </c>
      <c r="H355" s="5">
        <v>0</v>
      </c>
      <c r="I355" s="5">
        <v>0</v>
      </c>
      <c r="J355" s="5">
        <v>0</v>
      </c>
      <c r="K355" s="5">
        <v>0</v>
      </c>
      <c r="L355" s="5">
        <v>0</v>
      </c>
      <c r="M355" s="5">
        <v>0</v>
      </c>
      <c r="N355" s="5">
        <v>0</v>
      </c>
      <c r="O355" s="5">
        <v>0</v>
      </c>
      <c r="P355" s="5">
        <v>0</v>
      </c>
      <c r="Q355" s="5">
        <v>0</v>
      </c>
      <c r="R355" s="5">
        <v>0</v>
      </c>
      <c r="S355" s="5">
        <v>0</v>
      </c>
      <c r="T355" s="5">
        <v>0</v>
      </c>
      <c r="U355" s="5">
        <v>0</v>
      </c>
      <c r="V355" s="5">
        <v>0</v>
      </c>
      <c r="W355" s="5">
        <v>0</v>
      </c>
      <c r="X355" s="5">
        <v>0</v>
      </c>
      <c r="Y355" s="5">
        <v>0</v>
      </c>
      <c r="Z355" s="5">
        <v>0</v>
      </c>
      <c r="AA355" s="5">
        <v>0</v>
      </c>
      <c r="AB355" s="5">
        <v>0</v>
      </c>
      <c r="AC355" s="5">
        <v>0</v>
      </c>
      <c r="AD355" s="5">
        <v>0</v>
      </c>
      <c r="AE355" s="5">
        <v>0</v>
      </c>
      <c r="AF355" s="5">
        <v>0</v>
      </c>
      <c r="AG355" s="5">
        <v>0</v>
      </c>
      <c r="AH355" s="5">
        <v>0</v>
      </c>
      <c r="AI355" s="5">
        <v>0</v>
      </c>
      <c r="AJ355" s="5">
        <v>0</v>
      </c>
      <c r="AK355" s="5">
        <v>0</v>
      </c>
      <c r="AL355" s="5">
        <v>0</v>
      </c>
      <c r="AM355" s="5">
        <v>0</v>
      </c>
      <c r="AN355" s="5">
        <v>0</v>
      </c>
      <c r="AO355" s="5">
        <v>0</v>
      </c>
      <c r="AP355" s="5">
        <v>0</v>
      </c>
      <c r="AQ355" s="5">
        <v>0</v>
      </c>
      <c r="AR355" s="5">
        <v>3</v>
      </c>
      <c r="AS355" s="5">
        <v>0</v>
      </c>
      <c r="AT355" s="5">
        <v>0</v>
      </c>
      <c r="AU355" s="5">
        <v>0</v>
      </c>
      <c r="AV355" s="5">
        <v>0</v>
      </c>
      <c r="AW355" s="849">
        <v>0</v>
      </c>
      <c r="AX355" s="5">
        <v>0</v>
      </c>
      <c r="AY355" s="819">
        <v>0</v>
      </c>
      <c r="AZ355" s="826">
        <v>0</v>
      </c>
      <c r="BA355" s="838"/>
      <c r="BB355" s="802" t="str" cm="1">
        <f t="array" ref="BB355">INDEX(C$4:BA$4,MATCH(TRUE,INDEX(C355:BA355&lt;&gt;0,),0))</f>
        <v>2019-20</v>
      </c>
      <c r="BC355" s="803" t="str" cm="1">
        <f t="array" ref="BC355">LOOKUP(2,1/(C355:BA355&lt;&gt;0),$C$4:$BA$4)</f>
        <v>2019-20</v>
      </c>
      <c r="BD355" s="839">
        <f>COUNTIF(RDprograms[[#This Row],[1978-79]:[2028-29]], "&gt;0")</f>
        <v>1</v>
      </c>
      <c r="BE355" s="805">
        <f>SUM(C355:BA355)/RDprograms[[#This Row],[Years with &gt; $0 investment]]</f>
        <v>3</v>
      </c>
      <c r="BF355" s="806" t="s">
        <v>273</v>
      </c>
      <c r="BG355" s="807" t="s">
        <v>703</v>
      </c>
      <c r="BH355" s="847" t="s">
        <v>834</v>
      </c>
      <c r="BI355" s="809"/>
      <c r="BJ355" s="809"/>
      <c r="BK355" s="809"/>
      <c r="BL355" s="809"/>
      <c r="BM355" s="809"/>
      <c r="BN355" s="810"/>
      <c r="BO355" s="811" t="s">
        <v>236</v>
      </c>
      <c r="BP355" s="812" t="s">
        <v>989</v>
      </c>
      <c r="BQ355" s="812"/>
      <c r="BR355" s="812"/>
      <c r="BS355" s="812"/>
      <c r="BT355" s="812"/>
    </row>
    <row r="356" spans="1:72" ht="12.75" customHeight="1">
      <c r="A356" s="813" t="s">
        <v>832</v>
      </c>
      <c r="B356" s="820" t="s">
        <v>990</v>
      </c>
      <c r="C356" s="5">
        <v>0</v>
      </c>
      <c r="D356" s="5">
        <v>0</v>
      </c>
      <c r="E356" s="5">
        <v>0</v>
      </c>
      <c r="F356" s="5">
        <v>0</v>
      </c>
      <c r="G356" s="5">
        <v>0</v>
      </c>
      <c r="H356" s="5">
        <v>0</v>
      </c>
      <c r="I356" s="5">
        <v>0</v>
      </c>
      <c r="J356" s="5">
        <v>0</v>
      </c>
      <c r="K356" s="5">
        <v>0</v>
      </c>
      <c r="L356" s="5">
        <v>0</v>
      </c>
      <c r="M356" s="5">
        <v>0</v>
      </c>
      <c r="N356" s="5">
        <v>0</v>
      </c>
      <c r="O356" s="5">
        <v>0</v>
      </c>
      <c r="P356" s="5">
        <v>0</v>
      </c>
      <c r="Q356" s="5">
        <v>0</v>
      </c>
      <c r="R356" s="5">
        <v>0</v>
      </c>
      <c r="S356" s="5">
        <v>0</v>
      </c>
      <c r="T356" s="5">
        <v>0</v>
      </c>
      <c r="U356" s="5">
        <v>0</v>
      </c>
      <c r="V356" s="5">
        <v>0</v>
      </c>
      <c r="W356" s="5">
        <v>0</v>
      </c>
      <c r="X356" s="5">
        <v>0</v>
      </c>
      <c r="Y356" s="5">
        <v>0</v>
      </c>
      <c r="Z356" s="5">
        <v>0</v>
      </c>
      <c r="AA356" s="5">
        <v>0</v>
      </c>
      <c r="AB356" s="5">
        <v>0</v>
      </c>
      <c r="AC356" s="5">
        <v>0</v>
      </c>
      <c r="AD356" s="5">
        <v>0</v>
      </c>
      <c r="AE356" s="5">
        <v>0</v>
      </c>
      <c r="AF356" s="5">
        <v>0</v>
      </c>
      <c r="AG356" s="5">
        <v>0</v>
      </c>
      <c r="AH356" s="5">
        <v>0</v>
      </c>
      <c r="AI356" s="5">
        <v>3.968</v>
      </c>
      <c r="AJ356" s="5">
        <v>4.0359999999999996</v>
      </c>
      <c r="AK356" s="5">
        <v>4.0990000000000002</v>
      </c>
      <c r="AL356" s="5">
        <v>4.2300000000000004</v>
      </c>
      <c r="AM356" s="5">
        <v>4.2699999999999996</v>
      </c>
      <c r="AN356" s="5">
        <v>4.3339999999999996</v>
      </c>
      <c r="AO356" s="5">
        <v>5.577</v>
      </c>
      <c r="AP356" s="5">
        <v>4.6920000000000002</v>
      </c>
      <c r="AQ356" s="5">
        <v>4.5819999999999999</v>
      </c>
      <c r="AR356" s="5">
        <v>10.358000000000001</v>
      </c>
      <c r="AS356" s="5">
        <v>4.7110000000000003</v>
      </c>
      <c r="AT356" s="5">
        <v>7.6180000000000003</v>
      </c>
      <c r="AU356" s="5">
        <v>4.8440000000000003</v>
      </c>
      <c r="AV356" s="5">
        <v>4.9889999999999999</v>
      </c>
      <c r="AW356" s="815">
        <v>5.1790000000000003</v>
      </c>
      <c r="AX356" s="816">
        <v>5.3940000000000001</v>
      </c>
      <c r="AY356" s="819">
        <v>5.5179999999999998</v>
      </c>
      <c r="AZ356" s="816">
        <v>5.6449999999999996</v>
      </c>
      <c r="BA356" s="818">
        <v>5.8010000000000002</v>
      </c>
      <c r="BB356" s="802" t="str" cm="1">
        <f t="array" ref="BB356">INDEX(C$4:BA$4,MATCH(TRUE,INDEX(C356:BA356&lt;&gt;0,),0))</f>
        <v>2010-11</v>
      </c>
      <c r="BC356" s="803" t="str" cm="1">
        <f t="array" ref="BC356">LOOKUP(2,1/(C356:BA356&lt;&gt;0),$C$4:$BA$4)</f>
        <v>2028-29</v>
      </c>
      <c r="BD356" s="804">
        <f>COUNTIF(RDprograms[[#This Row],[1978-79]:[2028-29]], "&gt;0")</f>
        <v>19</v>
      </c>
      <c r="BE356" s="805">
        <f>SUM(C356:BA356)/RDprograms[[#This Row],[Years with &gt; $0 investment]]</f>
        <v>5.2550000000000008</v>
      </c>
      <c r="BF356" s="806" t="s">
        <v>249</v>
      </c>
      <c r="BG356" s="807" t="s">
        <v>703</v>
      </c>
      <c r="BH356" s="847" t="s">
        <v>258</v>
      </c>
      <c r="BI356" s="809"/>
      <c r="BJ356" s="809">
        <v>1</v>
      </c>
      <c r="BK356" s="809"/>
      <c r="BL356" s="809"/>
      <c r="BM356" s="809"/>
      <c r="BN356" s="810"/>
      <c r="BO356" s="811" t="s">
        <v>236</v>
      </c>
      <c r="BP356" s="812" t="s">
        <v>991</v>
      </c>
      <c r="BQ356" s="812" t="s">
        <v>992</v>
      </c>
      <c r="BR356" s="812" t="s">
        <v>993</v>
      </c>
      <c r="BS356" s="812"/>
      <c r="BT356" s="812" t="s">
        <v>238</v>
      </c>
    </row>
    <row r="357" spans="1:72" ht="12.75" customHeight="1">
      <c r="A357" s="813" t="s">
        <v>832</v>
      </c>
      <c r="B357" s="820" t="s">
        <v>994</v>
      </c>
      <c r="C357" s="5">
        <v>0</v>
      </c>
      <c r="D357" s="5">
        <v>0</v>
      </c>
      <c r="E357" s="5">
        <v>0</v>
      </c>
      <c r="F357" s="5">
        <v>0</v>
      </c>
      <c r="G357" s="5">
        <v>0</v>
      </c>
      <c r="H357" s="5">
        <v>0</v>
      </c>
      <c r="I357" s="5">
        <v>0</v>
      </c>
      <c r="J357" s="5">
        <v>0</v>
      </c>
      <c r="K357" s="5">
        <v>0</v>
      </c>
      <c r="L357" s="5">
        <v>0</v>
      </c>
      <c r="M357" s="5">
        <v>0</v>
      </c>
      <c r="N357" s="5">
        <v>0</v>
      </c>
      <c r="O357" s="5">
        <v>0</v>
      </c>
      <c r="P357" s="5">
        <v>0</v>
      </c>
      <c r="Q357" s="5">
        <v>0</v>
      </c>
      <c r="R357" s="5">
        <v>0</v>
      </c>
      <c r="S357" s="5">
        <v>0</v>
      </c>
      <c r="T357" s="5">
        <v>0</v>
      </c>
      <c r="U357" s="5">
        <v>0</v>
      </c>
      <c r="V357" s="5">
        <v>0</v>
      </c>
      <c r="W357" s="5">
        <v>0</v>
      </c>
      <c r="X357" s="5">
        <v>0</v>
      </c>
      <c r="Y357" s="5">
        <v>0</v>
      </c>
      <c r="Z357" s="5">
        <v>0</v>
      </c>
      <c r="AA357" s="5">
        <v>0</v>
      </c>
      <c r="AB357" s="5">
        <v>0</v>
      </c>
      <c r="AC357" s="5">
        <v>0</v>
      </c>
      <c r="AD357" s="5">
        <v>0</v>
      </c>
      <c r="AE357" s="5">
        <v>0</v>
      </c>
      <c r="AF357" s="5">
        <v>0</v>
      </c>
      <c r="AG357" s="5">
        <v>0.45</v>
      </c>
      <c r="AH357" s="5">
        <v>0.55000000000000004</v>
      </c>
      <c r="AI357" s="5">
        <v>0.5</v>
      </c>
      <c r="AJ357" s="5">
        <v>0.5</v>
      </c>
      <c r="AK357" s="5">
        <v>0.5</v>
      </c>
      <c r="AL357" s="5">
        <v>0</v>
      </c>
      <c r="AM357" s="5">
        <v>0</v>
      </c>
      <c r="AN357" s="5">
        <v>0</v>
      </c>
      <c r="AO357" s="5">
        <v>0</v>
      </c>
      <c r="AP357" s="816">
        <v>0</v>
      </c>
      <c r="AQ357" s="816">
        <v>0</v>
      </c>
      <c r="AR357" s="5">
        <v>0</v>
      </c>
      <c r="AS357" s="5">
        <v>0</v>
      </c>
      <c r="AT357" s="5">
        <v>0</v>
      </c>
      <c r="AU357" s="5">
        <v>0</v>
      </c>
      <c r="AV357" s="5">
        <v>0</v>
      </c>
      <c r="AW357" s="815">
        <v>0</v>
      </c>
      <c r="AX357" s="816">
        <v>0</v>
      </c>
      <c r="AY357" s="819">
        <v>0</v>
      </c>
      <c r="AZ357" s="816"/>
      <c r="BA357" s="818"/>
      <c r="BB357" s="802" t="str" cm="1">
        <f t="array" ref="BB357">INDEX(C$4:BA$4,MATCH(TRUE,INDEX(C357:BA357&lt;&gt;0,),0))</f>
        <v>2008-09</v>
      </c>
      <c r="BC357" s="803" t="str" cm="1">
        <f t="array" ref="BC357">LOOKUP(2,1/(C357:BA357&lt;&gt;0),$C$4:$BA$4)</f>
        <v>2012-13</v>
      </c>
      <c r="BD357" s="804">
        <f>COUNTIF(RDprograms[[#This Row],[1978-79]:[2028-29]], "&gt;0")</f>
        <v>5</v>
      </c>
      <c r="BE357" s="805">
        <f>SUM(C357:BA357)/RDprograms[[#This Row],[Years with &gt; $0 investment]]</f>
        <v>0.5</v>
      </c>
      <c r="BF357" s="806" t="s">
        <v>273</v>
      </c>
      <c r="BG357" s="807" t="s">
        <v>703</v>
      </c>
      <c r="BH357" s="847" t="s">
        <v>834</v>
      </c>
      <c r="BI357" s="809"/>
      <c r="BJ357" s="809"/>
      <c r="BK357" s="809"/>
      <c r="BL357" s="809"/>
      <c r="BM357" s="809"/>
      <c r="BN357" s="810"/>
      <c r="BO357" s="811" t="s">
        <v>236</v>
      </c>
      <c r="BP357" s="812"/>
      <c r="BQ357" s="812"/>
      <c r="BR357" s="812"/>
      <c r="BS357" s="812"/>
      <c r="BT357" s="812" t="s">
        <v>386</v>
      </c>
    </row>
    <row r="358" spans="1:72" ht="12.75" customHeight="1">
      <c r="A358" s="813" t="s">
        <v>832</v>
      </c>
      <c r="B358" s="820" t="s">
        <v>995</v>
      </c>
      <c r="C358" s="5">
        <v>0</v>
      </c>
      <c r="D358" s="5">
        <v>0</v>
      </c>
      <c r="E358" s="5">
        <v>0</v>
      </c>
      <c r="F358" s="5">
        <v>0</v>
      </c>
      <c r="G358" s="5">
        <v>0</v>
      </c>
      <c r="H358" s="5">
        <v>0</v>
      </c>
      <c r="I358" s="5">
        <v>0</v>
      </c>
      <c r="J358" s="5">
        <v>0</v>
      </c>
      <c r="K358" s="5">
        <v>0</v>
      </c>
      <c r="L358" s="5">
        <v>0</v>
      </c>
      <c r="M358" s="5">
        <v>0</v>
      </c>
      <c r="N358" s="5">
        <v>0</v>
      </c>
      <c r="O358" s="5">
        <v>0</v>
      </c>
      <c r="P358" s="5">
        <v>0</v>
      </c>
      <c r="Q358" s="5">
        <v>0</v>
      </c>
      <c r="R358" s="5">
        <v>0</v>
      </c>
      <c r="S358" s="5">
        <v>0</v>
      </c>
      <c r="T358" s="5">
        <v>0</v>
      </c>
      <c r="U358" s="5">
        <v>0</v>
      </c>
      <c r="V358" s="5">
        <v>0</v>
      </c>
      <c r="W358" s="5">
        <v>0</v>
      </c>
      <c r="X358" s="5">
        <v>0</v>
      </c>
      <c r="Y358" s="5">
        <v>0</v>
      </c>
      <c r="Z358" s="5">
        <v>0</v>
      </c>
      <c r="AA358" s="5">
        <v>0</v>
      </c>
      <c r="AB358" s="5">
        <v>0</v>
      </c>
      <c r="AC358" s="5">
        <v>0</v>
      </c>
      <c r="AD358" s="5">
        <v>0</v>
      </c>
      <c r="AE358" s="5">
        <v>0</v>
      </c>
      <c r="AF358" s="5">
        <v>0</v>
      </c>
      <c r="AG358" s="5">
        <v>5</v>
      </c>
      <c r="AH358" s="5">
        <v>5.157</v>
      </c>
      <c r="AI358" s="5">
        <v>4.9850000000000003</v>
      </c>
      <c r="AJ358" s="5">
        <v>0</v>
      </c>
      <c r="AK358" s="5">
        <v>0</v>
      </c>
      <c r="AL358" s="5">
        <v>0</v>
      </c>
      <c r="AM358" s="5">
        <v>0</v>
      </c>
      <c r="AN358" s="5">
        <v>0</v>
      </c>
      <c r="AO358" s="5">
        <v>0</v>
      </c>
      <c r="AP358" s="5">
        <v>0</v>
      </c>
      <c r="AQ358" s="5">
        <v>0</v>
      </c>
      <c r="AR358" s="5">
        <v>0</v>
      </c>
      <c r="AS358" s="5">
        <v>0</v>
      </c>
      <c r="AT358" s="5">
        <v>0</v>
      </c>
      <c r="AU358" s="5">
        <v>0</v>
      </c>
      <c r="AV358" s="5">
        <v>0</v>
      </c>
      <c r="AW358" s="815">
        <v>0</v>
      </c>
      <c r="AX358" s="816">
        <v>0</v>
      </c>
      <c r="AY358" s="819">
        <v>0</v>
      </c>
      <c r="AZ358" s="816"/>
      <c r="BA358" s="818"/>
      <c r="BB358" s="802" t="str" cm="1">
        <f t="array" ref="BB358">INDEX(C$4:BA$4,MATCH(TRUE,INDEX(C358:BA358&lt;&gt;0,),0))</f>
        <v>2008-09</v>
      </c>
      <c r="BC358" s="803" t="str" cm="1">
        <f t="array" ref="BC358">LOOKUP(2,1/(C358:BA358&lt;&gt;0),$C$4:$BA$4)</f>
        <v>2010-11</v>
      </c>
      <c r="BD358" s="804">
        <f>COUNTIF(RDprograms[[#This Row],[1978-79]:[2028-29]], "&gt;0")</f>
        <v>3</v>
      </c>
      <c r="BE358" s="805">
        <f>SUM(C358:BA358)/RDprograms[[#This Row],[Years with &gt; $0 investment]]</f>
        <v>5.0473333333333334</v>
      </c>
      <c r="BF358" s="806" t="s">
        <v>273</v>
      </c>
      <c r="BG358" s="807" t="s">
        <v>703</v>
      </c>
      <c r="BH358" s="847" t="s">
        <v>834</v>
      </c>
      <c r="BI358" s="809"/>
      <c r="BJ358" s="809"/>
      <c r="BK358" s="809"/>
      <c r="BL358" s="809"/>
      <c r="BM358" s="809"/>
      <c r="BN358" s="810"/>
      <c r="BO358" s="811" t="s">
        <v>236</v>
      </c>
      <c r="BP358" s="812"/>
      <c r="BQ358" s="812"/>
      <c r="BR358" s="812"/>
      <c r="BS358" s="812"/>
      <c r="BT358" s="812" t="s">
        <v>722</v>
      </c>
    </row>
    <row r="359" spans="1:72" ht="12.75" customHeight="1">
      <c r="A359" s="813" t="s">
        <v>832</v>
      </c>
      <c r="B359" s="820" t="s">
        <v>996</v>
      </c>
      <c r="C359" s="5">
        <v>0</v>
      </c>
      <c r="D359" s="5">
        <v>0</v>
      </c>
      <c r="E359" s="5">
        <v>0</v>
      </c>
      <c r="F359" s="5">
        <v>0</v>
      </c>
      <c r="G359" s="5">
        <v>0</v>
      </c>
      <c r="H359" s="5">
        <v>0</v>
      </c>
      <c r="I359" s="5">
        <v>0</v>
      </c>
      <c r="J359" s="5">
        <v>0</v>
      </c>
      <c r="K359" s="5">
        <v>0</v>
      </c>
      <c r="L359" s="5">
        <v>0</v>
      </c>
      <c r="M359" s="5">
        <v>0</v>
      </c>
      <c r="N359" s="5">
        <v>0</v>
      </c>
      <c r="O359" s="5">
        <v>0</v>
      </c>
      <c r="P359" s="5">
        <v>0</v>
      </c>
      <c r="Q359" s="5">
        <v>0</v>
      </c>
      <c r="R359" s="5">
        <v>0</v>
      </c>
      <c r="S359" s="5">
        <v>0</v>
      </c>
      <c r="T359" s="5">
        <v>0</v>
      </c>
      <c r="U359" s="5">
        <v>0</v>
      </c>
      <c r="V359" s="5">
        <v>0</v>
      </c>
      <c r="W359" s="5">
        <v>0</v>
      </c>
      <c r="X359" s="5">
        <v>0</v>
      </c>
      <c r="Y359" s="5">
        <v>0</v>
      </c>
      <c r="Z359" s="5">
        <v>0</v>
      </c>
      <c r="AA359" s="5">
        <v>0</v>
      </c>
      <c r="AB359" s="5">
        <v>0</v>
      </c>
      <c r="AC359" s="5">
        <v>0</v>
      </c>
      <c r="AD359" s="5">
        <v>0</v>
      </c>
      <c r="AE359" s="5">
        <v>0</v>
      </c>
      <c r="AF359" s="5">
        <v>0</v>
      </c>
      <c r="AG359" s="5">
        <v>0</v>
      </c>
      <c r="AH359" s="5">
        <v>0</v>
      </c>
      <c r="AI359" s="5">
        <v>0</v>
      </c>
      <c r="AJ359" s="5">
        <v>0</v>
      </c>
      <c r="AK359" s="5">
        <v>0</v>
      </c>
      <c r="AL359" s="5">
        <v>0</v>
      </c>
      <c r="AM359" s="5">
        <v>0</v>
      </c>
      <c r="AN359" s="5">
        <v>0</v>
      </c>
      <c r="AO359" s="5">
        <v>0</v>
      </c>
      <c r="AP359" s="816">
        <v>0</v>
      </c>
      <c r="AQ359" s="816">
        <v>0</v>
      </c>
      <c r="AR359" s="5">
        <v>0.46</v>
      </c>
      <c r="AS359" s="5">
        <v>0.02</v>
      </c>
      <c r="AT359" s="5">
        <v>0</v>
      </c>
      <c r="AU359" s="5">
        <v>0</v>
      </c>
      <c r="AV359" s="5">
        <v>0</v>
      </c>
      <c r="AW359" s="815">
        <v>0</v>
      </c>
      <c r="AX359" s="816">
        <v>0</v>
      </c>
      <c r="AY359" s="819">
        <v>0</v>
      </c>
      <c r="AZ359" s="816"/>
      <c r="BA359" s="818"/>
      <c r="BB359" s="802" t="str" cm="1">
        <f t="array" ref="BB359">INDEX(C$4:BA$4,MATCH(TRUE,INDEX(C359:BA359&lt;&gt;0,),0))</f>
        <v>2019-20</v>
      </c>
      <c r="BC359" s="803" t="str" cm="1">
        <f t="array" ref="BC359">LOOKUP(2,1/(C359:BA359&lt;&gt;0),$C$4:$BA$4)</f>
        <v>2020-21</v>
      </c>
      <c r="BD359" s="804">
        <f>COUNTIF(RDprograms[[#This Row],[1978-79]:[2028-29]], "&gt;0")</f>
        <v>2</v>
      </c>
      <c r="BE359" s="805">
        <f>SUM(C359:BA359)/RDprograms[[#This Row],[Years with &gt; $0 investment]]</f>
        <v>0.24000000000000002</v>
      </c>
      <c r="BF359" s="806" t="s">
        <v>233</v>
      </c>
      <c r="BG359" s="807" t="s">
        <v>703</v>
      </c>
      <c r="BH359" s="847" t="s">
        <v>834</v>
      </c>
      <c r="BI359" s="809"/>
      <c r="BJ359" s="809"/>
      <c r="BK359" s="809"/>
      <c r="BL359" s="809"/>
      <c r="BM359" s="809"/>
      <c r="BN359" s="810"/>
      <c r="BO359" s="811" t="s">
        <v>236</v>
      </c>
      <c r="BP359" s="812" t="s">
        <v>997</v>
      </c>
      <c r="BQ359" s="812" t="s">
        <v>861</v>
      </c>
      <c r="BR359" s="812"/>
      <c r="BS359" s="812"/>
      <c r="BT359" s="812" t="s">
        <v>672</v>
      </c>
    </row>
    <row r="360" spans="1:72" ht="12.75" customHeight="1">
      <c r="A360" s="813" t="s">
        <v>832</v>
      </c>
      <c r="B360" s="820" t="s">
        <v>998</v>
      </c>
      <c r="C360" s="5">
        <v>0</v>
      </c>
      <c r="D360" s="5">
        <v>0</v>
      </c>
      <c r="E360" s="5">
        <v>0</v>
      </c>
      <c r="F360" s="5">
        <v>0</v>
      </c>
      <c r="G360" s="5">
        <v>0</v>
      </c>
      <c r="H360" s="5">
        <v>0</v>
      </c>
      <c r="I360" s="5">
        <v>0</v>
      </c>
      <c r="J360" s="5">
        <v>0</v>
      </c>
      <c r="K360" s="5">
        <v>0</v>
      </c>
      <c r="L360" s="5">
        <v>0</v>
      </c>
      <c r="M360" s="5">
        <v>0</v>
      </c>
      <c r="N360" s="5">
        <v>0</v>
      </c>
      <c r="O360" s="5">
        <v>0</v>
      </c>
      <c r="P360" s="5">
        <v>0</v>
      </c>
      <c r="Q360" s="5">
        <v>0</v>
      </c>
      <c r="R360" s="5">
        <v>0</v>
      </c>
      <c r="S360" s="5">
        <v>0</v>
      </c>
      <c r="T360" s="5">
        <v>0</v>
      </c>
      <c r="U360" s="5">
        <v>0</v>
      </c>
      <c r="V360" s="5">
        <v>0</v>
      </c>
      <c r="W360" s="5">
        <v>0</v>
      </c>
      <c r="X360" s="5">
        <v>0</v>
      </c>
      <c r="Y360" s="5">
        <v>0</v>
      </c>
      <c r="Z360" s="5">
        <v>0</v>
      </c>
      <c r="AA360" s="5">
        <v>0</v>
      </c>
      <c r="AB360" s="5">
        <v>0</v>
      </c>
      <c r="AC360" s="5">
        <v>0</v>
      </c>
      <c r="AD360" s="5">
        <v>0</v>
      </c>
      <c r="AE360" s="5">
        <v>0</v>
      </c>
      <c r="AF360" s="5">
        <v>0</v>
      </c>
      <c r="AG360" s="5">
        <v>0</v>
      </c>
      <c r="AH360" s="5">
        <v>0</v>
      </c>
      <c r="AI360" s="5">
        <v>0</v>
      </c>
      <c r="AJ360" s="5">
        <v>0</v>
      </c>
      <c r="AK360" s="5">
        <v>0</v>
      </c>
      <c r="AL360" s="5">
        <v>0</v>
      </c>
      <c r="AM360" s="5">
        <v>0</v>
      </c>
      <c r="AN360" s="5">
        <v>0</v>
      </c>
      <c r="AO360" s="5">
        <v>0</v>
      </c>
      <c r="AP360" s="816">
        <v>0</v>
      </c>
      <c r="AQ360" s="816">
        <v>0</v>
      </c>
      <c r="AR360" s="5">
        <v>0.48</v>
      </c>
      <c r="AS360" s="5">
        <v>0.02</v>
      </c>
      <c r="AT360" s="5">
        <v>0</v>
      </c>
      <c r="AU360" s="5">
        <v>0</v>
      </c>
      <c r="AV360" s="5">
        <v>0</v>
      </c>
      <c r="AW360" s="815">
        <v>0</v>
      </c>
      <c r="AX360" s="816">
        <v>0</v>
      </c>
      <c r="AY360" s="819">
        <v>0</v>
      </c>
      <c r="AZ360" s="816"/>
      <c r="BA360" s="818"/>
      <c r="BB360" s="802" t="str" cm="1">
        <f t="array" ref="BB360">INDEX(C$4:BA$4,MATCH(TRUE,INDEX(C360:BA360&lt;&gt;0,),0))</f>
        <v>2019-20</v>
      </c>
      <c r="BC360" s="803" t="str" cm="1">
        <f t="array" ref="BC360">LOOKUP(2,1/(C360:BA360&lt;&gt;0),$C$4:$BA$4)</f>
        <v>2020-21</v>
      </c>
      <c r="BD360" s="804">
        <f>COUNTIF(RDprograms[[#This Row],[1978-79]:[2028-29]], "&gt;0")</f>
        <v>2</v>
      </c>
      <c r="BE360" s="805">
        <f>SUM(C360:BA360)/RDprograms[[#This Row],[Years with &gt; $0 investment]]</f>
        <v>0.25</v>
      </c>
      <c r="BF360" s="806" t="s">
        <v>233</v>
      </c>
      <c r="BG360" s="807" t="s">
        <v>703</v>
      </c>
      <c r="BH360" s="847" t="s">
        <v>834</v>
      </c>
      <c r="BI360" s="809"/>
      <c r="BJ360" s="809"/>
      <c r="BK360" s="809"/>
      <c r="BL360" s="809"/>
      <c r="BM360" s="809"/>
      <c r="BN360" s="810"/>
      <c r="BO360" s="811" t="s">
        <v>236</v>
      </c>
      <c r="BP360" s="812" t="s">
        <v>999</v>
      </c>
      <c r="BQ360" s="812" t="s">
        <v>861</v>
      </c>
      <c r="BR360" s="812"/>
      <c r="BS360" s="812"/>
      <c r="BT360" s="812" t="s">
        <v>238</v>
      </c>
    </row>
    <row r="361" spans="1:72" ht="12.75" customHeight="1">
      <c r="A361" s="813" t="s">
        <v>832</v>
      </c>
      <c r="B361" s="820" t="s">
        <v>1000</v>
      </c>
      <c r="C361" s="5">
        <v>0</v>
      </c>
      <c r="D361" s="5">
        <v>0</v>
      </c>
      <c r="E361" s="5">
        <v>0</v>
      </c>
      <c r="F361" s="5">
        <v>0</v>
      </c>
      <c r="G361" s="5">
        <v>0</v>
      </c>
      <c r="H361" s="5">
        <v>0</v>
      </c>
      <c r="I361" s="5">
        <v>0</v>
      </c>
      <c r="J361" s="5">
        <v>0</v>
      </c>
      <c r="K361" s="5">
        <v>0</v>
      </c>
      <c r="L361" s="5">
        <v>0</v>
      </c>
      <c r="M361" s="5">
        <v>0</v>
      </c>
      <c r="N361" s="5">
        <v>0</v>
      </c>
      <c r="O361" s="5">
        <v>0</v>
      </c>
      <c r="P361" s="5">
        <v>0</v>
      </c>
      <c r="Q361" s="5">
        <v>0</v>
      </c>
      <c r="R361" s="5">
        <v>0</v>
      </c>
      <c r="S361" s="5">
        <v>0</v>
      </c>
      <c r="T361" s="5">
        <v>0</v>
      </c>
      <c r="U361" s="5">
        <v>0</v>
      </c>
      <c r="V361" s="5">
        <v>0</v>
      </c>
      <c r="W361" s="5">
        <v>0</v>
      </c>
      <c r="X361" s="5">
        <v>0</v>
      </c>
      <c r="Y361" s="5">
        <v>0</v>
      </c>
      <c r="Z361" s="5">
        <v>0</v>
      </c>
      <c r="AA361" s="5">
        <v>0.17499999999999999</v>
      </c>
      <c r="AB361" s="5">
        <v>0.17499999999999999</v>
      </c>
      <c r="AC361" s="5">
        <v>0.17499999999999999</v>
      </c>
      <c r="AD361" s="5">
        <v>0.33</v>
      </c>
      <c r="AE361" s="5">
        <v>0.33</v>
      </c>
      <c r="AF361" s="5">
        <v>0.33</v>
      </c>
      <c r="AG361" s="5">
        <v>0.72499999999999998</v>
      </c>
      <c r="AH361" s="5">
        <v>0.72499999999999998</v>
      </c>
      <c r="AI361" s="5">
        <v>0.752</v>
      </c>
      <c r="AJ361" s="5">
        <v>0.77</v>
      </c>
      <c r="AK361" s="5">
        <v>0.79</v>
      </c>
      <c r="AL361" s="5">
        <v>0.81</v>
      </c>
      <c r="AM361" s="5">
        <v>0.84199999999999997</v>
      </c>
      <c r="AN361" s="5">
        <v>0.90200000000000002</v>
      </c>
      <c r="AO361" s="5">
        <v>0.96499999999999997</v>
      </c>
      <c r="AP361" s="5">
        <v>0</v>
      </c>
      <c r="AQ361" s="5">
        <v>0</v>
      </c>
      <c r="AR361" s="5">
        <v>0</v>
      </c>
      <c r="AS361" s="5">
        <v>0.997</v>
      </c>
      <c r="AT361" s="5">
        <v>1.03</v>
      </c>
      <c r="AU361" s="5">
        <v>0</v>
      </c>
      <c r="AV361" s="5">
        <v>0</v>
      </c>
      <c r="AW361" s="815">
        <v>0</v>
      </c>
      <c r="AX361" s="816">
        <v>0</v>
      </c>
      <c r="AY361" s="819">
        <v>0</v>
      </c>
      <c r="AZ361" s="816"/>
      <c r="BA361" s="818"/>
      <c r="BB361" s="802" t="str" cm="1">
        <f t="array" ref="BB361">INDEX(C$4:BA$4,MATCH(TRUE,INDEX(C361:BA361&lt;&gt;0,),0))</f>
        <v>2002-03</v>
      </c>
      <c r="BC361" s="803" t="str" cm="1">
        <f t="array" ref="BC361">LOOKUP(2,1/(C361:BA361&lt;&gt;0),$C$4:$BA$4)</f>
        <v>2021-22</v>
      </c>
      <c r="BD361" s="804">
        <f>COUNTIF(RDprograms[[#This Row],[1978-79]:[2028-29]], "&gt;0")</f>
        <v>17</v>
      </c>
      <c r="BE361" s="805">
        <f>SUM(C361:BA361)/RDprograms[[#This Row],[Years with &gt; $0 investment]]</f>
        <v>0.63664705882352934</v>
      </c>
      <c r="BF361" s="806" t="s">
        <v>273</v>
      </c>
      <c r="BG361" s="807" t="s">
        <v>703</v>
      </c>
      <c r="BH361" s="847" t="s">
        <v>834</v>
      </c>
      <c r="BI361" s="809"/>
      <c r="BJ361" s="809"/>
      <c r="BK361" s="809"/>
      <c r="BL361" s="809"/>
      <c r="BM361" s="809"/>
      <c r="BN361" s="810"/>
      <c r="BO361" s="811" t="s">
        <v>236</v>
      </c>
      <c r="BP361" s="812" t="s">
        <v>1001</v>
      </c>
      <c r="BQ361" s="812" t="s">
        <v>1002</v>
      </c>
      <c r="BR361" s="812"/>
      <c r="BS361" s="812"/>
      <c r="BT361" s="812" t="s">
        <v>238</v>
      </c>
    </row>
    <row r="362" spans="1:72" ht="12.75" customHeight="1">
      <c r="A362" s="813" t="s">
        <v>832</v>
      </c>
      <c r="B362" s="820" t="s">
        <v>1003</v>
      </c>
      <c r="C362" s="5">
        <v>0</v>
      </c>
      <c r="D362" s="5">
        <v>0</v>
      </c>
      <c r="E362" s="5">
        <v>0</v>
      </c>
      <c r="F362" s="5">
        <v>0</v>
      </c>
      <c r="G362" s="5">
        <v>0</v>
      </c>
      <c r="H362" s="5">
        <v>0</v>
      </c>
      <c r="I362" s="5">
        <v>0</v>
      </c>
      <c r="J362" s="5">
        <v>0</v>
      </c>
      <c r="K362" s="5">
        <v>0</v>
      </c>
      <c r="L362" s="5">
        <v>0</v>
      </c>
      <c r="M362" s="5">
        <v>0</v>
      </c>
      <c r="N362" s="5">
        <v>0</v>
      </c>
      <c r="O362" s="5">
        <v>0</v>
      </c>
      <c r="P362" s="5">
        <v>0</v>
      </c>
      <c r="Q362" s="5">
        <v>0</v>
      </c>
      <c r="R362" s="5">
        <v>0</v>
      </c>
      <c r="S362" s="5">
        <v>0</v>
      </c>
      <c r="T362" s="5">
        <v>0</v>
      </c>
      <c r="U362" s="5">
        <v>0</v>
      </c>
      <c r="V362" s="5">
        <v>0</v>
      </c>
      <c r="W362" s="5">
        <v>0</v>
      </c>
      <c r="X362" s="5">
        <v>0</v>
      </c>
      <c r="Y362" s="5">
        <v>0</v>
      </c>
      <c r="Z362" s="5">
        <v>0</v>
      </c>
      <c r="AA362" s="5">
        <v>0</v>
      </c>
      <c r="AB362" s="5">
        <v>0</v>
      </c>
      <c r="AC362" s="5">
        <v>0</v>
      </c>
      <c r="AD362" s="5">
        <v>0</v>
      </c>
      <c r="AE362" s="5">
        <v>0</v>
      </c>
      <c r="AF362" s="5">
        <v>0</v>
      </c>
      <c r="AG362" s="5">
        <v>0</v>
      </c>
      <c r="AH362" s="5">
        <v>0</v>
      </c>
      <c r="AI362" s="5">
        <v>0</v>
      </c>
      <c r="AJ362" s="5">
        <v>0</v>
      </c>
      <c r="AK362" s="5">
        <v>0</v>
      </c>
      <c r="AL362" s="5">
        <v>0</v>
      </c>
      <c r="AM362" s="5">
        <v>0</v>
      </c>
      <c r="AN362" s="5">
        <v>0</v>
      </c>
      <c r="AO362" s="5">
        <v>0</v>
      </c>
      <c r="AP362" s="816">
        <v>0</v>
      </c>
      <c r="AQ362" s="816">
        <v>0</v>
      </c>
      <c r="AR362" s="5">
        <v>0</v>
      </c>
      <c r="AS362" s="5">
        <v>0</v>
      </c>
      <c r="AT362" s="5">
        <v>1</v>
      </c>
      <c r="AU362" s="5">
        <v>4</v>
      </c>
      <c r="AV362" s="5">
        <v>4</v>
      </c>
      <c r="AW362" s="815">
        <v>4</v>
      </c>
      <c r="AX362" s="816">
        <v>0</v>
      </c>
      <c r="AY362" s="819">
        <v>0</v>
      </c>
      <c r="AZ362" s="816"/>
      <c r="BA362" s="818"/>
      <c r="BB362" s="802" t="str" cm="1">
        <f t="array" ref="BB362">INDEX(C$4:BA$4,MATCH(TRUE,INDEX(C362:BA362&lt;&gt;0,),0))</f>
        <v>2021-22</v>
      </c>
      <c r="BC362" s="803" t="str" cm="1">
        <f t="array" ref="BC362">LOOKUP(2,1/(C362:BA362&lt;&gt;0),$C$4:$BA$4)</f>
        <v>2024-25</v>
      </c>
      <c r="BD362" s="804">
        <f>COUNTIF(RDprograms[[#This Row],[1978-79]:[2028-29]], "&gt;0")</f>
        <v>4</v>
      </c>
      <c r="BE362" s="805">
        <f>SUM(C362:BA362)/RDprograms[[#This Row],[Years with &gt; $0 investment]]</f>
        <v>3.25</v>
      </c>
      <c r="BF362" s="806" t="s">
        <v>233</v>
      </c>
      <c r="BG362" s="807" t="s">
        <v>703</v>
      </c>
      <c r="BH362" s="847" t="s">
        <v>269</v>
      </c>
      <c r="BI362" s="33"/>
      <c r="BJ362" s="33"/>
      <c r="BK362" s="33"/>
      <c r="BL362" s="33"/>
      <c r="BM362" s="33"/>
      <c r="BN362" s="842"/>
      <c r="BO362" s="811" t="s">
        <v>236</v>
      </c>
      <c r="BP362" s="843" t="s">
        <v>1004</v>
      </c>
      <c r="BQ362" s="812"/>
      <c r="BR362" s="812"/>
      <c r="BS362" s="812"/>
      <c r="BT362" s="812" t="s">
        <v>672</v>
      </c>
    </row>
    <row r="363" spans="1:72" ht="12.75" customHeight="1">
      <c r="A363" s="813" t="s">
        <v>832</v>
      </c>
      <c r="B363" s="820" t="s">
        <v>1005</v>
      </c>
      <c r="C363" s="5">
        <v>0</v>
      </c>
      <c r="D363" s="5">
        <v>0</v>
      </c>
      <c r="E363" s="5">
        <v>0</v>
      </c>
      <c r="F363" s="5">
        <v>0</v>
      </c>
      <c r="G363" s="5">
        <v>0</v>
      </c>
      <c r="H363" s="5">
        <v>0</v>
      </c>
      <c r="I363" s="5">
        <v>0</v>
      </c>
      <c r="J363" s="5">
        <v>0</v>
      </c>
      <c r="K363" s="5">
        <v>0</v>
      </c>
      <c r="L363" s="5">
        <v>0</v>
      </c>
      <c r="M363" s="5">
        <v>0</v>
      </c>
      <c r="N363" s="5">
        <v>0</v>
      </c>
      <c r="O363" s="5">
        <v>0</v>
      </c>
      <c r="P363" s="5">
        <v>0</v>
      </c>
      <c r="Q363" s="5">
        <v>0</v>
      </c>
      <c r="R363" s="5">
        <v>0</v>
      </c>
      <c r="S363" s="5">
        <v>0</v>
      </c>
      <c r="T363" s="5">
        <v>0</v>
      </c>
      <c r="U363" s="5">
        <v>0</v>
      </c>
      <c r="V363" s="5">
        <v>0</v>
      </c>
      <c r="W363" s="5">
        <v>0</v>
      </c>
      <c r="X363" s="5">
        <v>0</v>
      </c>
      <c r="Y363" s="5">
        <v>0</v>
      </c>
      <c r="Z363" s="5">
        <v>0</v>
      </c>
      <c r="AA363" s="5">
        <v>0</v>
      </c>
      <c r="AB363" s="5">
        <v>0</v>
      </c>
      <c r="AC363" s="5">
        <v>0</v>
      </c>
      <c r="AD363" s="5">
        <v>0</v>
      </c>
      <c r="AE363" s="5">
        <v>0</v>
      </c>
      <c r="AF363" s="5">
        <v>0</v>
      </c>
      <c r="AG363" s="5">
        <v>0</v>
      </c>
      <c r="AH363" s="5">
        <v>0</v>
      </c>
      <c r="AI363" s="5">
        <v>0</v>
      </c>
      <c r="AJ363" s="5">
        <v>0</v>
      </c>
      <c r="AK363" s="5">
        <v>0</v>
      </c>
      <c r="AL363" s="5">
        <v>0</v>
      </c>
      <c r="AM363" s="5">
        <v>0</v>
      </c>
      <c r="AN363" s="5">
        <v>0</v>
      </c>
      <c r="AO363" s="5">
        <v>1.4</v>
      </c>
      <c r="AP363" s="816">
        <v>0</v>
      </c>
      <c r="AQ363" s="816">
        <v>0</v>
      </c>
      <c r="AR363" s="5">
        <v>0</v>
      </c>
      <c r="AS363" s="5">
        <v>0</v>
      </c>
      <c r="AT363" s="5">
        <v>0</v>
      </c>
      <c r="AU363" s="5">
        <v>0</v>
      </c>
      <c r="AV363" s="5">
        <v>0</v>
      </c>
      <c r="AW363" s="815">
        <v>0</v>
      </c>
      <c r="AX363" s="816">
        <v>0</v>
      </c>
      <c r="AY363" s="819">
        <v>0</v>
      </c>
      <c r="AZ363" s="816"/>
      <c r="BA363" s="818"/>
      <c r="BB363" s="802" t="str" cm="1">
        <f t="array" ref="BB363">INDEX(C$4:BA$4,MATCH(TRUE,INDEX(C363:BA363&lt;&gt;0,),0))</f>
        <v>2016-17</v>
      </c>
      <c r="BC363" s="803" t="str" cm="1">
        <f t="array" ref="BC363">LOOKUP(2,1/(C363:BA363&lt;&gt;0),$C$4:$BA$4)</f>
        <v>2016-17</v>
      </c>
      <c r="BD363" s="804">
        <f>COUNTIF(RDprograms[[#This Row],[1978-79]:[2028-29]], "&gt;0")</f>
        <v>1</v>
      </c>
      <c r="BE363" s="805">
        <f>SUM(C363:BA363)/RDprograms[[#This Row],[Years with &gt; $0 investment]]</f>
        <v>1.4</v>
      </c>
      <c r="BF363" s="806" t="s">
        <v>273</v>
      </c>
      <c r="BG363" s="807" t="s">
        <v>703</v>
      </c>
      <c r="BH363" s="847" t="s">
        <v>834</v>
      </c>
      <c r="BI363" s="809"/>
      <c r="BJ363" s="809"/>
      <c r="BK363" s="809"/>
      <c r="BL363" s="809"/>
      <c r="BM363" s="809"/>
      <c r="BN363" s="810"/>
      <c r="BO363" s="811" t="s">
        <v>251</v>
      </c>
      <c r="BP363" s="812" t="s">
        <v>1006</v>
      </c>
      <c r="BQ363" s="812"/>
      <c r="BR363" s="812"/>
      <c r="BS363" s="812"/>
      <c r="BT363" s="812" t="s">
        <v>238</v>
      </c>
    </row>
    <row r="364" spans="1:72" ht="12.75" customHeight="1">
      <c r="A364" s="813" t="s">
        <v>832</v>
      </c>
      <c r="B364" s="820" t="s">
        <v>1007</v>
      </c>
      <c r="C364" s="5">
        <v>0</v>
      </c>
      <c r="D364" s="5">
        <v>0</v>
      </c>
      <c r="E364" s="5">
        <v>0</v>
      </c>
      <c r="F364" s="5">
        <v>0</v>
      </c>
      <c r="G364" s="5">
        <v>0</v>
      </c>
      <c r="H364" s="5">
        <v>0</v>
      </c>
      <c r="I364" s="5">
        <v>0</v>
      </c>
      <c r="J364" s="5">
        <v>0</v>
      </c>
      <c r="K364" s="5">
        <v>0</v>
      </c>
      <c r="L364" s="5">
        <v>0</v>
      </c>
      <c r="M364" s="5">
        <v>0</v>
      </c>
      <c r="N364" s="5">
        <v>0</v>
      </c>
      <c r="O364" s="5">
        <v>0</v>
      </c>
      <c r="P364" s="5">
        <v>0</v>
      </c>
      <c r="Q364" s="5">
        <v>0</v>
      </c>
      <c r="R364" s="5">
        <v>0</v>
      </c>
      <c r="S364" s="5">
        <v>0</v>
      </c>
      <c r="T364" s="5">
        <v>0</v>
      </c>
      <c r="U364" s="5">
        <v>0</v>
      </c>
      <c r="V364" s="5">
        <v>0</v>
      </c>
      <c r="W364" s="5">
        <v>0</v>
      </c>
      <c r="X364" s="5">
        <v>0</v>
      </c>
      <c r="Y364" s="5">
        <v>0</v>
      </c>
      <c r="Z364" s="5">
        <v>0</v>
      </c>
      <c r="AA364" s="5">
        <v>0</v>
      </c>
      <c r="AB364" s="5">
        <v>0</v>
      </c>
      <c r="AC364" s="5">
        <v>0</v>
      </c>
      <c r="AD364" s="5">
        <v>0</v>
      </c>
      <c r="AE364" s="5">
        <v>0</v>
      </c>
      <c r="AF364" s="5">
        <v>0</v>
      </c>
      <c r="AG364" s="5">
        <v>0</v>
      </c>
      <c r="AH364" s="5">
        <v>0</v>
      </c>
      <c r="AI364" s="5">
        <v>0</v>
      </c>
      <c r="AJ364" s="5">
        <v>0</v>
      </c>
      <c r="AK364" s="5">
        <v>1.496</v>
      </c>
      <c r="AL364" s="5">
        <v>1.534</v>
      </c>
      <c r="AM364" s="5">
        <v>1.56</v>
      </c>
      <c r="AN364" s="5">
        <v>1.605</v>
      </c>
      <c r="AO364" s="5">
        <v>1.6</v>
      </c>
      <c r="AP364" s="5">
        <v>1.3</v>
      </c>
      <c r="AQ364" s="5">
        <v>1.3</v>
      </c>
      <c r="AR364" s="5">
        <v>3.2</v>
      </c>
      <c r="AS364" s="5">
        <v>0.5</v>
      </c>
      <c r="AT364" s="5">
        <v>1.8</v>
      </c>
      <c r="AU364" s="5">
        <v>1.8</v>
      </c>
      <c r="AV364" s="5">
        <v>1.8</v>
      </c>
      <c r="AW364" s="815">
        <v>1.8</v>
      </c>
      <c r="AX364" s="816">
        <v>0</v>
      </c>
      <c r="AY364" s="819">
        <v>0</v>
      </c>
      <c r="AZ364" s="816"/>
      <c r="BA364" s="818"/>
      <c r="BB364" s="802" t="str" cm="1">
        <f t="array" ref="BB364">INDEX(C$4:BA$4,MATCH(TRUE,INDEX(C364:BA364&lt;&gt;0,),0))</f>
        <v>2012-13</v>
      </c>
      <c r="BC364" s="803" t="str" cm="1">
        <f t="array" ref="BC364">LOOKUP(2,1/(C364:BA364&lt;&gt;0),$C$4:$BA$4)</f>
        <v>2024-25</v>
      </c>
      <c r="BD364" s="804">
        <f>COUNTIF(RDprograms[[#This Row],[1978-79]:[2028-29]], "&gt;0")</f>
        <v>13</v>
      </c>
      <c r="BE364" s="805">
        <f>SUM(C364:BA364)/RDprograms[[#This Row],[Years with &gt; $0 investment]]</f>
        <v>1.6380769230769234</v>
      </c>
      <c r="BF364" s="806" t="s">
        <v>273</v>
      </c>
      <c r="BG364" s="807" t="s">
        <v>703</v>
      </c>
      <c r="BH364" s="847" t="s">
        <v>834</v>
      </c>
      <c r="BI364" s="809"/>
      <c r="BJ364" s="809"/>
      <c r="BK364" s="809"/>
      <c r="BL364" s="809"/>
      <c r="BM364" s="809"/>
      <c r="BN364" s="810"/>
      <c r="BO364" s="811" t="s">
        <v>236</v>
      </c>
      <c r="BP364" s="812" t="s">
        <v>1008</v>
      </c>
      <c r="BQ364" s="812" t="s">
        <v>835</v>
      </c>
      <c r="BR364" s="812"/>
      <c r="BS364" s="812"/>
      <c r="BT364" s="812" t="s">
        <v>238</v>
      </c>
    </row>
    <row r="365" spans="1:72" ht="12.75" customHeight="1">
      <c r="A365" s="813" t="s">
        <v>832</v>
      </c>
      <c r="B365" s="820" t="s">
        <v>1009</v>
      </c>
      <c r="C365" s="5">
        <v>0</v>
      </c>
      <c r="D365" s="5">
        <v>0</v>
      </c>
      <c r="E365" s="5">
        <v>0</v>
      </c>
      <c r="F365" s="5">
        <v>0</v>
      </c>
      <c r="G365" s="5">
        <v>0</v>
      </c>
      <c r="H365" s="5">
        <v>0</v>
      </c>
      <c r="I365" s="5">
        <v>0</v>
      </c>
      <c r="J365" s="5">
        <v>0</v>
      </c>
      <c r="K365" s="5">
        <v>0</v>
      </c>
      <c r="L365" s="5">
        <v>0</v>
      </c>
      <c r="M365" s="5">
        <v>0</v>
      </c>
      <c r="N365" s="5">
        <v>0</v>
      </c>
      <c r="O365" s="5">
        <v>0</v>
      </c>
      <c r="P365" s="5">
        <v>0</v>
      </c>
      <c r="Q365" s="5">
        <v>0</v>
      </c>
      <c r="R365" s="5">
        <v>0</v>
      </c>
      <c r="S365" s="5">
        <v>0</v>
      </c>
      <c r="T365" s="5">
        <v>0</v>
      </c>
      <c r="U365" s="5">
        <v>0</v>
      </c>
      <c r="V365" s="5">
        <v>0</v>
      </c>
      <c r="W365" s="5">
        <v>0</v>
      </c>
      <c r="X365" s="5">
        <v>0</v>
      </c>
      <c r="Y365" s="5">
        <v>0</v>
      </c>
      <c r="Z365" s="5">
        <v>0</v>
      </c>
      <c r="AA365" s="5">
        <v>0</v>
      </c>
      <c r="AB365" s="5">
        <v>0</v>
      </c>
      <c r="AC365" s="5">
        <v>0</v>
      </c>
      <c r="AD365" s="5">
        <v>0</v>
      </c>
      <c r="AE365" s="5">
        <v>0</v>
      </c>
      <c r="AF365" s="5">
        <v>0</v>
      </c>
      <c r="AG365" s="5">
        <v>0</v>
      </c>
      <c r="AH365" s="5">
        <v>0</v>
      </c>
      <c r="AI365" s="5">
        <v>0</v>
      </c>
      <c r="AJ365" s="5">
        <v>0</v>
      </c>
      <c r="AK365" s="5">
        <v>0</v>
      </c>
      <c r="AL365" s="5">
        <v>0</v>
      </c>
      <c r="AM365" s="5">
        <v>0</v>
      </c>
      <c r="AN365" s="5">
        <v>0</v>
      </c>
      <c r="AO365" s="5">
        <v>0.3</v>
      </c>
      <c r="AP365" s="5">
        <v>0.6</v>
      </c>
      <c r="AQ365" s="5">
        <v>0.6</v>
      </c>
      <c r="AR365" s="5">
        <v>0.6</v>
      </c>
      <c r="AS365" s="5">
        <v>0.6</v>
      </c>
      <c r="AT365" s="5">
        <v>0.6</v>
      </c>
      <c r="AU365" s="5">
        <v>0.86699999999999999</v>
      </c>
      <c r="AV365" s="5">
        <v>0.872</v>
      </c>
      <c r="AW365" s="815">
        <v>0.88400000000000001</v>
      </c>
      <c r="AX365" s="816">
        <v>0</v>
      </c>
      <c r="AY365" s="819">
        <v>0</v>
      </c>
      <c r="AZ365" s="816"/>
      <c r="BA365" s="818"/>
      <c r="BB365" s="802" t="str" cm="1">
        <f t="array" ref="BB365">INDEX(C$4:BA$4,MATCH(TRUE,INDEX(C365:BA365&lt;&gt;0,),0))</f>
        <v>2016-17</v>
      </c>
      <c r="BC365" s="803" t="str" cm="1">
        <f t="array" ref="BC365">LOOKUP(2,1/(C365:BA365&lt;&gt;0),$C$4:$BA$4)</f>
        <v>2024-25</v>
      </c>
      <c r="BD365" s="804">
        <f>COUNTIF(RDprograms[[#This Row],[1978-79]:[2028-29]], "&gt;0")</f>
        <v>9</v>
      </c>
      <c r="BE365" s="805">
        <f>SUM(C365:BA365)/RDprograms[[#This Row],[Years with &gt; $0 investment]]</f>
        <v>0.65811111111111109</v>
      </c>
      <c r="BF365" s="806" t="s">
        <v>233</v>
      </c>
      <c r="BG365" s="807" t="s">
        <v>703</v>
      </c>
      <c r="BH365" s="847" t="s">
        <v>834</v>
      </c>
      <c r="BI365" s="809"/>
      <c r="BJ365" s="809"/>
      <c r="BK365" s="809"/>
      <c r="BL365" s="809"/>
      <c r="BM365" s="809"/>
      <c r="BN365" s="810"/>
      <c r="BO365" s="811" t="s">
        <v>236</v>
      </c>
      <c r="BP365" s="812" t="s">
        <v>1010</v>
      </c>
      <c r="BQ365" s="812" t="s">
        <v>1011</v>
      </c>
      <c r="BR365" s="812"/>
      <c r="BS365" s="812"/>
      <c r="BT365" s="812" t="s">
        <v>238</v>
      </c>
    </row>
    <row r="366" spans="1:72" ht="12.75" customHeight="1">
      <c r="A366" s="813" t="s">
        <v>832</v>
      </c>
      <c r="B366" s="820" t="s">
        <v>1012</v>
      </c>
      <c r="C366" s="5">
        <v>0</v>
      </c>
      <c r="D366" s="5">
        <v>0</v>
      </c>
      <c r="E366" s="5">
        <v>0</v>
      </c>
      <c r="F366" s="5">
        <v>0</v>
      </c>
      <c r="G366" s="5">
        <v>0</v>
      </c>
      <c r="H366" s="5">
        <v>0</v>
      </c>
      <c r="I366" s="5">
        <v>0</v>
      </c>
      <c r="J366" s="5">
        <v>0</v>
      </c>
      <c r="K366" s="5">
        <v>0</v>
      </c>
      <c r="L366" s="5">
        <v>0</v>
      </c>
      <c r="M366" s="5">
        <v>0</v>
      </c>
      <c r="N366" s="5">
        <v>0</v>
      </c>
      <c r="O366" s="5">
        <v>0</v>
      </c>
      <c r="P366" s="5">
        <v>0</v>
      </c>
      <c r="Q366" s="5">
        <v>0</v>
      </c>
      <c r="R366" s="5">
        <v>0</v>
      </c>
      <c r="S366" s="5">
        <v>0</v>
      </c>
      <c r="T366" s="5">
        <v>0</v>
      </c>
      <c r="U366" s="5">
        <v>0</v>
      </c>
      <c r="V366" s="5">
        <v>0</v>
      </c>
      <c r="W366" s="5">
        <v>0</v>
      </c>
      <c r="X366" s="5">
        <v>0</v>
      </c>
      <c r="Y366" s="5">
        <v>0</v>
      </c>
      <c r="Z366" s="5">
        <v>0</v>
      </c>
      <c r="AA366" s="5">
        <v>0</v>
      </c>
      <c r="AB366" s="5">
        <v>0</v>
      </c>
      <c r="AC366" s="5">
        <v>0</v>
      </c>
      <c r="AD366" s="5">
        <v>0</v>
      </c>
      <c r="AE366" s="5">
        <v>0</v>
      </c>
      <c r="AF366" s="5">
        <v>0</v>
      </c>
      <c r="AG366" s="5">
        <v>0</v>
      </c>
      <c r="AH366" s="5">
        <v>0</v>
      </c>
      <c r="AI366" s="5">
        <v>0</v>
      </c>
      <c r="AJ366" s="5">
        <v>0</v>
      </c>
      <c r="AK366" s="5">
        <v>0</v>
      </c>
      <c r="AL366" s="5">
        <v>0</v>
      </c>
      <c r="AM366" s="5">
        <v>0</v>
      </c>
      <c r="AN366" s="5">
        <v>0</v>
      </c>
      <c r="AO366" s="5">
        <v>0</v>
      </c>
      <c r="AP366" s="816">
        <v>1.0049999999999999</v>
      </c>
      <c r="AQ366" s="816">
        <v>1.0049999999999999</v>
      </c>
      <c r="AR366" s="5">
        <v>1.0169999999999999</v>
      </c>
      <c r="AS366" s="5">
        <v>1.2410000000000001</v>
      </c>
      <c r="AT366" s="5">
        <v>1.2410000000000001</v>
      </c>
      <c r="AU366" s="5">
        <v>1.2410000000000001</v>
      </c>
      <c r="AV366" s="5">
        <v>3.2</v>
      </c>
      <c r="AW366" s="815">
        <v>3.2669999999999999</v>
      </c>
      <c r="AX366" s="816">
        <v>3.323</v>
      </c>
      <c r="AY366" s="819">
        <v>0</v>
      </c>
      <c r="AZ366" s="816"/>
      <c r="BA366" s="818"/>
      <c r="BB366" s="802" t="str" cm="1">
        <f t="array" ref="BB366">INDEX(C$4:BA$4,MATCH(TRUE,INDEX(C366:BA366&lt;&gt;0,),0))</f>
        <v>2017-18</v>
      </c>
      <c r="BC366" s="803" t="str" cm="1">
        <f t="array" ref="BC366">LOOKUP(2,1/(C366:BA366&lt;&gt;0),$C$4:$BA$4)</f>
        <v>2025-26</v>
      </c>
      <c r="BD366" s="804">
        <f>COUNTIF(RDprograms[[#This Row],[1978-79]:[2028-29]], "&gt;0")</f>
        <v>9</v>
      </c>
      <c r="BE366" s="805">
        <f>SUM(C366:BA366)/RDprograms[[#This Row],[Years with &gt; $0 investment]]</f>
        <v>1.8377777777777777</v>
      </c>
      <c r="BF366" s="806" t="s">
        <v>273</v>
      </c>
      <c r="BG366" s="807" t="s">
        <v>703</v>
      </c>
      <c r="BH366" s="847" t="s">
        <v>834</v>
      </c>
      <c r="BI366" s="809"/>
      <c r="BJ366" s="809">
        <v>1</v>
      </c>
      <c r="BK366" s="809"/>
      <c r="BL366" s="809"/>
      <c r="BM366" s="809"/>
      <c r="BN366" s="810"/>
      <c r="BO366" s="811" t="s">
        <v>236</v>
      </c>
      <c r="BP366" s="812" t="s">
        <v>1013</v>
      </c>
      <c r="BQ366" s="812" t="s">
        <v>1014</v>
      </c>
      <c r="BR366" s="812"/>
      <c r="BS366" s="812"/>
      <c r="BT366" s="812" t="s">
        <v>672</v>
      </c>
    </row>
    <row r="367" spans="1:72" ht="12.75" customHeight="1">
      <c r="A367" s="813" t="s">
        <v>832</v>
      </c>
      <c r="B367" s="820" t="s">
        <v>1015</v>
      </c>
      <c r="C367" s="5">
        <v>0</v>
      </c>
      <c r="D367" s="5">
        <v>0</v>
      </c>
      <c r="E367" s="5">
        <v>0</v>
      </c>
      <c r="F367" s="5">
        <v>0</v>
      </c>
      <c r="G367" s="5">
        <v>0</v>
      </c>
      <c r="H367" s="5">
        <v>0</v>
      </c>
      <c r="I367" s="5">
        <v>0</v>
      </c>
      <c r="J367" s="5">
        <v>0</v>
      </c>
      <c r="K367" s="5">
        <v>0</v>
      </c>
      <c r="L367" s="5">
        <v>0</v>
      </c>
      <c r="M367" s="5">
        <v>0</v>
      </c>
      <c r="N367" s="5">
        <v>0</v>
      </c>
      <c r="O367" s="5">
        <v>0</v>
      </c>
      <c r="P367" s="5">
        <v>0</v>
      </c>
      <c r="Q367" s="5">
        <v>0</v>
      </c>
      <c r="R367" s="5">
        <v>0</v>
      </c>
      <c r="S367" s="5">
        <v>0</v>
      </c>
      <c r="T367" s="5">
        <v>0</v>
      </c>
      <c r="U367" s="5">
        <v>0</v>
      </c>
      <c r="V367" s="5">
        <v>0</v>
      </c>
      <c r="W367" s="5">
        <v>0</v>
      </c>
      <c r="X367" s="5">
        <v>0</v>
      </c>
      <c r="Y367" s="5">
        <v>0</v>
      </c>
      <c r="Z367" s="5">
        <v>0</v>
      </c>
      <c r="AA367" s="5">
        <v>0</v>
      </c>
      <c r="AB367" s="5">
        <v>0</v>
      </c>
      <c r="AC367" s="5">
        <v>0</v>
      </c>
      <c r="AD367" s="5">
        <v>0</v>
      </c>
      <c r="AE367" s="5">
        <v>0</v>
      </c>
      <c r="AF367" s="5">
        <v>0</v>
      </c>
      <c r="AG367" s="5">
        <v>0</v>
      </c>
      <c r="AH367" s="5">
        <v>0</v>
      </c>
      <c r="AI367" s="5">
        <v>0</v>
      </c>
      <c r="AJ367" s="5">
        <v>0</v>
      </c>
      <c r="AK367" s="5">
        <v>0</v>
      </c>
      <c r="AL367" s="5">
        <v>0</v>
      </c>
      <c r="AM367" s="5">
        <v>0</v>
      </c>
      <c r="AN367" s="5">
        <v>0</v>
      </c>
      <c r="AO367" s="5">
        <v>0</v>
      </c>
      <c r="AP367" s="816">
        <v>1.2849999999999999</v>
      </c>
      <c r="AQ367" s="816">
        <v>0.79900000000000004</v>
      </c>
      <c r="AR367" s="5">
        <v>0.66800000000000004</v>
      </c>
      <c r="AS367" s="5">
        <v>0.434</v>
      </c>
      <c r="AT367" s="5">
        <v>1.77</v>
      </c>
      <c r="AU367" s="5">
        <v>1.69</v>
      </c>
      <c r="AV367" s="5">
        <v>1.98</v>
      </c>
      <c r="AW367" s="815">
        <v>1.87</v>
      </c>
      <c r="AX367" s="816">
        <v>1.87</v>
      </c>
      <c r="AY367" s="819">
        <v>0</v>
      </c>
      <c r="AZ367" s="816"/>
      <c r="BA367" s="818"/>
      <c r="BB367" s="802" t="str" cm="1">
        <f t="array" ref="BB367">INDEX(C$4:BA$4,MATCH(TRUE,INDEX(C367:BA367&lt;&gt;0,),0))</f>
        <v>2017-18</v>
      </c>
      <c r="BC367" s="803" t="str" cm="1">
        <f t="array" ref="BC367">LOOKUP(2,1/(C367:BA367&lt;&gt;0),$C$4:$BA$4)</f>
        <v>2025-26</v>
      </c>
      <c r="BD367" s="804">
        <f>COUNTIF(RDprograms[[#This Row],[1978-79]:[2028-29]], "&gt;0")</f>
        <v>9</v>
      </c>
      <c r="BE367" s="805">
        <f>SUM(C367:BA367)/RDprograms[[#This Row],[Years with &gt; $0 investment]]</f>
        <v>1.3740000000000003</v>
      </c>
      <c r="BF367" s="806" t="s">
        <v>273</v>
      </c>
      <c r="BG367" s="807" t="s">
        <v>703</v>
      </c>
      <c r="BH367" s="847" t="s">
        <v>834</v>
      </c>
      <c r="BI367" s="809"/>
      <c r="BJ367" s="809">
        <v>1</v>
      </c>
      <c r="BK367" s="809"/>
      <c r="BL367" s="809"/>
      <c r="BM367" s="809"/>
      <c r="BN367" s="810"/>
      <c r="BO367" s="811" t="s">
        <v>236</v>
      </c>
      <c r="BP367" s="812" t="s">
        <v>1016</v>
      </c>
      <c r="BQ367" s="812" t="s">
        <v>1017</v>
      </c>
      <c r="BR367" s="812"/>
      <c r="BS367" s="812"/>
      <c r="BT367" s="812" t="s">
        <v>238</v>
      </c>
    </row>
    <row r="368" spans="1:72" ht="12.75" customHeight="1">
      <c r="A368" s="813" t="s">
        <v>832</v>
      </c>
      <c r="B368" s="820" t="s">
        <v>1018</v>
      </c>
      <c r="C368" s="5">
        <v>0</v>
      </c>
      <c r="D368" s="5">
        <v>0</v>
      </c>
      <c r="E368" s="5">
        <v>0</v>
      </c>
      <c r="F368" s="5">
        <v>0</v>
      </c>
      <c r="G368" s="5">
        <v>0</v>
      </c>
      <c r="H368" s="5">
        <v>0</v>
      </c>
      <c r="I368" s="5">
        <v>0</v>
      </c>
      <c r="J368" s="5">
        <v>0</v>
      </c>
      <c r="K368" s="5">
        <v>0</v>
      </c>
      <c r="L368" s="5">
        <v>0</v>
      </c>
      <c r="M368" s="5">
        <v>0</v>
      </c>
      <c r="N368" s="5">
        <v>0</v>
      </c>
      <c r="O368" s="5">
        <v>0</v>
      </c>
      <c r="P368" s="5">
        <v>0</v>
      </c>
      <c r="Q368" s="5">
        <v>0</v>
      </c>
      <c r="R368" s="5">
        <v>0</v>
      </c>
      <c r="S368" s="5">
        <v>0</v>
      </c>
      <c r="T368" s="5">
        <v>0</v>
      </c>
      <c r="U368" s="5">
        <v>0</v>
      </c>
      <c r="V368" s="5">
        <v>0</v>
      </c>
      <c r="W368" s="5">
        <v>0</v>
      </c>
      <c r="X368" s="5">
        <v>0</v>
      </c>
      <c r="Y368" s="5">
        <v>0</v>
      </c>
      <c r="Z368" s="5">
        <v>0</v>
      </c>
      <c r="AA368" s="5">
        <v>0</v>
      </c>
      <c r="AB368" s="5">
        <v>0</v>
      </c>
      <c r="AC368" s="5">
        <v>0</v>
      </c>
      <c r="AD368" s="5">
        <v>0</v>
      </c>
      <c r="AE368" s="5">
        <v>0</v>
      </c>
      <c r="AF368" s="5">
        <v>0</v>
      </c>
      <c r="AG368" s="5">
        <v>0</v>
      </c>
      <c r="AH368" s="5">
        <v>0</v>
      </c>
      <c r="AI368" s="5">
        <v>0</v>
      </c>
      <c r="AJ368" s="5">
        <v>0</v>
      </c>
      <c r="AK368" s="5">
        <v>0</v>
      </c>
      <c r="AL368" s="5">
        <v>0</v>
      </c>
      <c r="AM368" s="5">
        <v>0</v>
      </c>
      <c r="AN368" s="5">
        <v>0</v>
      </c>
      <c r="AO368" s="5">
        <v>0</v>
      </c>
      <c r="AP368" s="5">
        <v>0</v>
      </c>
      <c r="AQ368" s="5">
        <v>0</v>
      </c>
      <c r="AR368" s="5">
        <v>0</v>
      </c>
      <c r="AS368" s="5">
        <v>0.20200000000000001</v>
      </c>
      <c r="AT368" s="5">
        <v>0.155</v>
      </c>
      <c r="AU368" s="5">
        <v>0.11</v>
      </c>
      <c r="AV368" s="5">
        <v>0.05</v>
      </c>
      <c r="AW368" s="849">
        <v>0</v>
      </c>
      <c r="AX368" s="5">
        <v>0</v>
      </c>
      <c r="AY368" s="819">
        <v>0</v>
      </c>
      <c r="AZ368" s="826"/>
      <c r="BA368" s="838"/>
      <c r="BB368" s="802" t="str" cm="1">
        <f t="array" ref="BB368">INDEX(C$4:BA$4,MATCH(TRUE,INDEX(C368:BA368&lt;&gt;0,),0))</f>
        <v>2020-21</v>
      </c>
      <c r="BC368" s="803" t="str" cm="1">
        <f t="array" ref="BC368">LOOKUP(2,1/(C368:BA368&lt;&gt;0),$C$4:$BA$4)</f>
        <v>2023-24</v>
      </c>
      <c r="BD368" s="839">
        <f>COUNTIF(RDprograms[[#This Row],[1978-79]:[2028-29]], "&gt;0")</f>
        <v>4</v>
      </c>
      <c r="BE368" s="805">
        <f>SUM(C368:BA368)/RDprograms[[#This Row],[Years with &gt; $0 investment]]</f>
        <v>0.12925</v>
      </c>
      <c r="BF368" s="806" t="s">
        <v>273</v>
      </c>
      <c r="BG368" s="807" t="s">
        <v>703</v>
      </c>
      <c r="BH368" s="847" t="s">
        <v>834</v>
      </c>
      <c r="BI368" s="809"/>
      <c r="BJ368" s="809"/>
      <c r="BK368" s="809"/>
      <c r="BL368" s="809"/>
      <c r="BM368" s="809"/>
      <c r="BN368" s="810"/>
      <c r="BO368" s="811" t="s">
        <v>236</v>
      </c>
      <c r="BP368" s="812" t="s">
        <v>1019</v>
      </c>
      <c r="BQ368" s="853" t="s">
        <v>1020</v>
      </c>
      <c r="BR368" s="812"/>
      <c r="BS368" s="812"/>
      <c r="BT368" s="812"/>
    </row>
    <row r="369" spans="1:72" ht="12.75" customHeight="1">
      <c r="A369" s="813" t="s">
        <v>832</v>
      </c>
      <c r="B369" s="820" t="s">
        <v>1021</v>
      </c>
      <c r="C369" s="5">
        <v>0</v>
      </c>
      <c r="D369" s="5">
        <v>0</v>
      </c>
      <c r="E369" s="5">
        <v>0</v>
      </c>
      <c r="F369" s="5">
        <v>0</v>
      </c>
      <c r="G369" s="5">
        <v>0</v>
      </c>
      <c r="H369" s="5">
        <v>0</v>
      </c>
      <c r="I369" s="5">
        <v>0</v>
      </c>
      <c r="J369" s="5">
        <v>0</v>
      </c>
      <c r="K369" s="5">
        <v>0</v>
      </c>
      <c r="L369" s="5">
        <v>0</v>
      </c>
      <c r="M369" s="5">
        <v>0</v>
      </c>
      <c r="N369" s="5">
        <v>0</v>
      </c>
      <c r="O369" s="5">
        <v>0</v>
      </c>
      <c r="P369" s="5">
        <v>0</v>
      </c>
      <c r="Q369" s="5">
        <v>0</v>
      </c>
      <c r="R369" s="5">
        <v>0</v>
      </c>
      <c r="S369" s="5">
        <v>0</v>
      </c>
      <c r="T369" s="5">
        <v>0</v>
      </c>
      <c r="U369" s="5">
        <v>0</v>
      </c>
      <c r="V369" s="5">
        <v>0</v>
      </c>
      <c r="W369" s="5">
        <v>0</v>
      </c>
      <c r="X369" s="5">
        <v>0</v>
      </c>
      <c r="Y369" s="5">
        <v>0</v>
      </c>
      <c r="Z369" s="5">
        <v>0</v>
      </c>
      <c r="AA369" s="5">
        <v>0</v>
      </c>
      <c r="AB369" s="5">
        <v>0</v>
      </c>
      <c r="AC369" s="5">
        <v>0</v>
      </c>
      <c r="AD369" s="5">
        <v>0</v>
      </c>
      <c r="AE369" s="5">
        <v>0</v>
      </c>
      <c r="AF369" s="5">
        <v>0</v>
      </c>
      <c r="AG369" s="5">
        <v>0</v>
      </c>
      <c r="AH369" s="5">
        <v>0</v>
      </c>
      <c r="AI369" s="5">
        <v>0</v>
      </c>
      <c r="AJ369" s="5">
        <v>0</v>
      </c>
      <c r="AK369" s="5">
        <v>0</v>
      </c>
      <c r="AL369" s="5">
        <v>0</v>
      </c>
      <c r="AM369" s="5">
        <v>0</v>
      </c>
      <c r="AN369" s="5">
        <v>0</v>
      </c>
      <c r="AO369" s="5">
        <v>0</v>
      </c>
      <c r="AP369" s="5">
        <v>0</v>
      </c>
      <c r="AQ369" s="5">
        <v>0</v>
      </c>
      <c r="AR369" s="5">
        <v>0</v>
      </c>
      <c r="AS369" s="5">
        <v>0</v>
      </c>
      <c r="AT369" s="5">
        <v>4.335</v>
      </c>
      <c r="AU369" s="5">
        <v>4.4080000000000004</v>
      </c>
      <c r="AV369" s="5">
        <v>4.4660000000000002</v>
      </c>
      <c r="AW369" s="849">
        <v>2.1320000000000001</v>
      </c>
      <c r="AX369" s="5">
        <v>3.1970000000000001</v>
      </c>
      <c r="AY369" s="819">
        <v>0</v>
      </c>
      <c r="AZ369" s="826">
        <v>0</v>
      </c>
      <c r="BA369" s="838"/>
      <c r="BB369" s="802" t="str" cm="1">
        <f t="array" ref="BB369">INDEX(C$4:BA$4,MATCH(TRUE,INDEX(C369:BA369&lt;&gt;0,),0))</f>
        <v>2021-22</v>
      </c>
      <c r="BC369" s="803" t="str" cm="1">
        <f t="array" ref="BC369">LOOKUP(2,1/(C369:BA369&lt;&gt;0),$C$4:$BA$4)</f>
        <v>2025-26</v>
      </c>
      <c r="BD369" s="839">
        <f>COUNTIF(RDprograms[[#This Row],[1978-79]:[2028-29]], "&gt;0")</f>
        <v>5</v>
      </c>
      <c r="BE369" s="805">
        <f>SUM(C369:BA369)/RDprograms[[#This Row],[Years with &gt; $0 investment]]</f>
        <v>3.7076000000000002</v>
      </c>
      <c r="BF369" s="806" t="s">
        <v>240</v>
      </c>
      <c r="BG369" s="807" t="s">
        <v>703</v>
      </c>
      <c r="BH369" s="847" t="s">
        <v>834</v>
      </c>
      <c r="BI369" s="809"/>
      <c r="BJ369" s="809">
        <v>1</v>
      </c>
      <c r="BK369" s="809"/>
      <c r="BL369" s="809"/>
      <c r="BM369" s="809"/>
      <c r="BN369" s="810"/>
      <c r="BO369" s="811" t="s">
        <v>236</v>
      </c>
      <c r="BP369" s="812" t="s">
        <v>1022</v>
      </c>
      <c r="BQ369" s="812" t="s">
        <v>1023</v>
      </c>
      <c r="BR369" s="812"/>
      <c r="BS369" s="812"/>
      <c r="BT369" s="812"/>
    </row>
    <row r="370" spans="1:72" ht="12.75" customHeight="1">
      <c r="A370" s="813" t="s">
        <v>832</v>
      </c>
      <c r="B370" s="820" t="s">
        <v>1024</v>
      </c>
      <c r="C370" s="5">
        <v>0</v>
      </c>
      <c r="D370" s="5">
        <v>0</v>
      </c>
      <c r="E370" s="5">
        <v>0</v>
      </c>
      <c r="F370" s="5">
        <v>0</v>
      </c>
      <c r="G370" s="5">
        <v>0</v>
      </c>
      <c r="H370" s="5">
        <v>0</v>
      </c>
      <c r="I370" s="5">
        <v>0</v>
      </c>
      <c r="J370" s="5">
        <v>0</v>
      </c>
      <c r="K370" s="5">
        <v>0</v>
      </c>
      <c r="L370" s="5">
        <v>0</v>
      </c>
      <c r="M370" s="5">
        <v>0</v>
      </c>
      <c r="N370" s="5">
        <v>0</v>
      </c>
      <c r="O370" s="5">
        <v>0</v>
      </c>
      <c r="P370" s="5">
        <v>0</v>
      </c>
      <c r="Q370" s="5">
        <v>0</v>
      </c>
      <c r="R370" s="5">
        <v>0</v>
      </c>
      <c r="S370" s="5">
        <v>0</v>
      </c>
      <c r="T370" s="5">
        <v>0</v>
      </c>
      <c r="U370" s="5">
        <v>0</v>
      </c>
      <c r="V370" s="5">
        <v>0</v>
      </c>
      <c r="W370" s="5">
        <v>0</v>
      </c>
      <c r="X370" s="5">
        <v>0</v>
      </c>
      <c r="Y370" s="5">
        <v>0</v>
      </c>
      <c r="Z370" s="5">
        <v>0</v>
      </c>
      <c r="AA370" s="5">
        <v>0</v>
      </c>
      <c r="AB370" s="5">
        <v>0</v>
      </c>
      <c r="AC370" s="5">
        <v>0</v>
      </c>
      <c r="AD370" s="5">
        <v>0</v>
      </c>
      <c r="AE370" s="5">
        <v>0</v>
      </c>
      <c r="AF370" s="5">
        <v>0</v>
      </c>
      <c r="AG370" s="5">
        <v>0</v>
      </c>
      <c r="AH370" s="5">
        <v>0</v>
      </c>
      <c r="AI370" s="5">
        <v>0</v>
      </c>
      <c r="AJ370" s="5">
        <v>0</v>
      </c>
      <c r="AK370" s="5">
        <v>0</v>
      </c>
      <c r="AL370" s="5">
        <v>0</v>
      </c>
      <c r="AM370" s="5">
        <v>0</v>
      </c>
      <c r="AN370" s="5">
        <v>0</v>
      </c>
      <c r="AO370" s="5">
        <v>12</v>
      </c>
      <c r="AP370" s="816">
        <v>12</v>
      </c>
      <c r="AQ370" s="816">
        <v>12</v>
      </c>
      <c r="AR370" s="5">
        <v>12</v>
      </c>
      <c r="AS370" s="5">
        <v>12</v>
      </c>
      <c r="AT370" s="5">
        <v>12</v>
      </c>
      <c r="AU370" s="5">
        <v>0</v>
      </c>
      <c r="AV370" s="5">
        <v>0</v>
      </c>
      <c r="AW370" s="815">
        <v>0</v>
      </c>
      <c r="AX370" s="816">
        <v>0</v>
      </c>
      <c r="AY370" s="819">
        <v>0</v>
      </c>
      <c r="AZ370" s="816"/>
      <c r="BA370" s="818"/>
      <c r="BB370" s="802" t="str" cm="1">
        <f t="array" ref="BB370">INDEX(C$4:BA$4,MATCH(TRUE,INDEX(C370:BA370&lt;&gt;0,),0))</f>
        <v>2016-17</v>
      </c>
      <c r="BC370" s="803" t="str" cm="1">
        <f t="array" ref="BC370">LOOKUP(2,1/(C370:BA370&lt;&gt;0),$C$4:$BA$4)</f>
        <v>2021-22</v>
      </c>
      <c r="BD370" s="804">
        <f>COUNTIF(RDprograms[[#This Row],[1978-79]:[2028-29]], "&gt;0")</f>
        <v>6</v>
      </c>
      <c r="BE370" s="805">
        <f>SUM(C370:BA370)/RDprograms[[#This Row],[Years with &gt; $0 investment]]</f>
        <v>12</v>
      </c>
      <c r="BF370" s="806" t="s">
        <v>273</v>
      </c>
      <c r="BG370" s="807" t="s">
        <v>703</v>
      </c>
      <c r="BH370" s="847" t="s">
        <v>834</v>
      </c>
      <c r="BI370" s="809"/>
      <c r="BJ370" s="809"/>
      <c r="BK370" s="809"/>
      <c r="BL370" s="809"/>
      <c r="BM370" s="809"/>
      <c r="BN370" s="810"/>
      <c r="BO370" s="811" t="s">
        <v>236</v>
      </c>
      <c r="BP370" s="812" t="s">
        <v>1025</v>
      </c>
      <c r="BQ370" s="812" t="s">
        <v>1026</v>
      </c>
      <c r="BR370" s="812"/>
      <c r="BS370" s="812"/>
      <c r="BT370" s="812" t="s">
        <v>238</v>
      </c>
    </row>
    <row r="371" spans="1:72" ht="12.75" customHeight="1">
      <c r="A371" s="813" t="s">
        <v>832</v>
      </c>
      <c r="B371" s="820" t="s">
        <v>1027</v>
      </c>
      <c r="C371" s="5">
        <v>0</v>
      </c>
      <c r="D371" s="5">
        <v>0</v>
      </c>
      <c r="E371" s="5">
        <v>0</v>
      </c>
      <c r="F371" s="5">
        <v>0</v>
      </c>
      <c r="G371" s="5">
        <v>0</v>
      </c>
      <c r="H371" s="5">
        <v>0</v>
      </c>
      <c r="I371" s="5">
        <v>0</v>
      </c>
      <c r="J371" s="5">
        <v>0</v>
      </c>
      <c r="K371" s="5">
        <v>0</v>
      </c>
      <c r="L371" s="5">
        <v>0</v>
      </c>
      <c r="M371" s="5">
        <v>0</v>
      </c>
      <c r="N371" s="5">
        <v>0</v>
      </c>
      <c r="O371" s="5">
        <v>0</v>
      </c>
      <c r="P371" s="5">
        <v>0</v>
      </c>
      <c r="Q371" s="5">
        <v>0</v>
      </c>
      <c r="R371" s="5">
        <v>0</v>
      </c>
      <c r="S371" s="5">
        <v>0</v>
      </c>
      <c r="T371" s="5">
        <v>0</v>
      </c>
      <c r="U371" s="5">
        <v>0</v>
      </c>
      <c r="V371" s="5">
        <v>0</v>
      </c>
      <c r="W371" s="5">
        <v>0</v>
      </c>
      <c r="X371" s="5">
        <v>0</v>
      </c>
      <c r="Y371" s="5">
        <v>0</v>
      </c>
      <c r="Z371" s="5">
        <v>0</v>
      </c>
      <c r="AA371" s="5">
        <v>0</v>
      </c>
      <c r="AB371" s="5">
        <v>0</v>
      </c>
      <c r="AC371" s="5">
        <v>0</v>
      </c>
      <c r="AD371" s="5">
        <v>0</v>
      </c>
      <c r="AE371" s="5">
        <v>0</v>
      </c>
      <c r="AF371" s="5">
        <v>0</v>
      </c>
      <c r="AG371" s="5">
        <v>0</v>
      </c>
      <c r="AH371" s="5">
        <v>0</v>
      </c>
      <c r="AI371" s="5">
        <v>0</v>
      </c>
      <c r="AJ371" s="5">
        <v>0</v>
      </c>
      <c r="AK371" s="5">
        <v>0</v>
      </c>
      <c r="AL371" s="5">
        <v>0</v>
      </c>
      <c r="AM371" s="5">
        <v>0</v>
      </c>
      <c r="AN371" s="5">
        <v>0</v>
      </c>
      <c r="AO371" s="5">
        <v>0</v>
      </c>
      <c r="AP371" s="816">
        <v>0.7</v>
      </c>
      <c r="AQ371" s="816">
        <v>0.9</v>
      </c>
      <c r="AR371" s="5">
        <v>0.7</v>
      </c>
      <c r="AS371" s="5">
        <v>0.3</v>
      </c>
      <c r="AT371" s="5">
        <v>0</v>
      </c>
      <c r="AU371" s="5">
        <v>0</v>
      </c>
      <c r="AV371" s="5">
        <v>0</v>
      </c>
      <c r="AW371" s="815">
        <v>0</v>
      </c>
      <c r="AX371" s="816">
        <v>0</v>
      </c>
      <c r="AY371" s="819">
        <v>0</v>
      </c>
      <c r="AZ371" s="816"/>
      <c r="BA371" s="818"/>
      <c r="BB371" s="802" t="str" cm="1">
        <f t="array" ref="BB371">INDEX(C$4:BA$4,MATCH(TRUE,INDEX(C371:BA371&lt;&gt;0,),0))</f>
        <v>2017-18</v>
      </c>
      <c r="BC371" s="803" t="str" cm="1">
        <f t="array" ref="BC371">LOOKUP(2,1/(C371:BA371&lt;&gt;0),$C$4:$BA$4)</f>
        <v>2020-21</v>
      </c>
      <c r="BD371" s="804">
        <f>COUNTIF(RDprograms[[#This Row],[1978-79]:[2028-29]], "&gt;0")</f>
        <v>4</v>
      </c>
      <c r="BE371" s="805">
        <f>SUM(C371:BA371)/RDprograms[[#This Row],[Years with &gt; $0 investment]]</f>
        <v>0.64999999999999991</v>
      </c>
      <c r="BF371" s="806" t="s">
        <v>273</v>
      </c>
      <c r="BG371" s="807" t="s">
        <v>703</v>
      </c>
      <c r="BH371" s="847" t="s">
        <v>834</v>
      </c>
      <c r="BI371" s="809"/>
      <c r="BJ371" s="809"/>
      <c r="BK371" s="809"/>
      <c r="BL371" s="809"/>
      <c r="BM371" s="809"/>
      <c r="BN371" s="810"/>
      <c r="BO371" s="811" t="s">
        <v>236</v>
      </c>
      <c r="BP371" s="812" t="s">
        <v>1028</v>
      </c>
      <c r="BQ371" s="812" t="s">
        <v>1029</v>
      </c>
      <c r="BR371" s="812"/>
      <c r="BS371" s="812"/>
      <c r="BT371" s="812" t="s">
        <v>238</v>
      </c>
    </row>
    <row r="372" spans="1:72" ht="12.75" customHeight="1">
      <c r="A372" s="813" t="s">
        <v>832</v>
      </c>
      <c r="B372" s="820" t="s">
        <v>1030</v>
      </c>
      <c r="C372" s="5">
        <v>13.2</v>
      </c>
      <c r="D372" s="5">
        <v>14</v>
      </c>
      <c r="E372" s="5">
        <v>18.7</v>
      </c>
      <c r="F372" s="5">
        <v>25.6</v>
      </c>
      <c r="G372" s="5">
        <v>30</v>
      </c>
      <c r="H372" s="5">
        <v>38.5</v>
      </c>
      <c r="I372" s="5">
        <v>44.2</v>
      </c>
      <c r="J372" s="5">
        <v>51.2</v>
      </c>
      <c r="K372" s="5">
        <v>61.7</v>
      </c>
      <c r="L372" s="5">
        <v>66.7</v>
      </c>
      <c r="M372" s="5">
        <v>73.400000000000006</v>
      </c>
      <c r="N372" s="5">
        <v>84.9</v>
      </c>
      <c r="O372" s="5">
        <v>96.5</v>
      </c>
      <c r="P372" s="5">
        <v>105.1</v>
      </c>
      <c r="Q372" s="5">
        <v>112.2</v>
      </c>
      <c r="R372" s="5">
        <v>120.8</v>
      </c>
      <c r="S372" s="5">
        <v>126.7</v>
      </c>
      <c r="T372" s="5">
        <v>141.30000000000001</v>
      </c>
      <c r="U372" s="5">
        <v>152.4</v>
      </c>
      <c r="V372" s="5">
        <v>164.3</v>
      </c>
      <c r="W372" s="5">
        <v>177.1</v>
      </c>
      <c r="X372" s="5">
        <v>173.6</v>
      </c>
      <c r="Y372" s="5">
        <v>183.3</v>
      </c>
      <c r="Z372" s="5">
        <v>243</v>
      </c>
      <c r="AA372" s="5">
        <v>290.510379</v>
      </c>
      <c r="AB372" s="5">
        <v>332.40829400000001</v>
      </c>
      <c r="AC372" s="5">
        <v>378.22399999999999</v>
      </c>
      <c r="AD372" s="5">
        <v>424.55500000000001</v>
      </c>
      <c r="AE372" s="5">
        <v>471.69299999999998</v>
      </c>
      <c r="AF372" s="5">
        <v>560.73099999999999</v>
      </c>
      <c r="AG372" s="5">
        <v>699.25699999999995</v>
      </c>
      <c r="AH372" s="5">
        <v>707.06799999999998</v>
      </c>
      <c r="AI372" s="5">
        <v>754.18399999999997</v>
      </c>
      <c r="AJ372" s="5">
        <v>811.81100000000004</v>
      </c>
      <c r="AK372" s="5">
        <v>763.02599999999995</v>
      </c>
      <c r="AL372" s="5">
        <v>863.41700000000003</v>
      </c>
      <c r="AM372" s="5">
        <v>904.50800000000004</v>
      </c>
      <c r="AN372" s="5">
        <v>825.49</v>
      </c>
      <c r="AO372" s="5">
        <v>840.50300000000004</v>
      </c>
      <c r="AP372" s="816">
        <v>853.09100000000001</v>
      </c>
      <c r="AQ372" s="816">
        <v>846.19399999999996</v>
      </c>
      <c r="AR372" s="5">
        <v>901.447</v>
      </c>
      <c r="AS372" s="5">
        <v>891.25599999999997</v>
      </c>
      <c r="AT372" s="5">
        <v>833.31200000000001</v>
      </c>
      <c r="AU372" s="5">
        <v>898.33699999999999</v>
      </c>
      <c r="AV372" s="5">
        <v>945.88</v>
      </c>
      <c r="AW372" s="815">
        <v>984.15499999999997</v>
      </c>
      <c r="AX372" s="816">
        <v>999.61500000000001</v>
      </c>
      <c r="AY372" s="819">
        <v>999.78399999999999</v>
      </c>
      <c r="AZ372" s="816">
        <v>1030.241</v>
      </c>
      <c r="BA372" s="818">
        <v>1119.088</v>
      </c>
      <c r="BB372" s="802" t="str" cm="1">
        <f t="array" ref="BB372">INDEX(C$4:BA$4,MATCH(TRUE,INDEX(C372:BA372&lt;&gt;0,),0))</f>
        <v>1978-79</v>
      </c>
      <c r="BC372" s="803" t="str" cm="1">
        <f t="array" ref="BC372">LOOKUP(2,1/(C372:BA372&lt;&gt;0),$C$4:$BA$4)</f>
        <v>2028-29</v>
      </c>
      <c r="BD372" s="804">
        <f>COUNTIF(RDprograms[[#This Row],[1978-79]:[2028-29]], "&gt;0")</f>
        <v>51</v>
      </c>
      <c r="BE372" s="805">
        <f>SUM(C372:BA372)/RDprograms[[#This Row],[Years with &gt; $0 investment]]</f>
        <v>455.84677790196071</v>
      </c>
      <c r="BF372" s="806" t="s">
        <v>233</v>
      </c>
      <c r="BG372" s="807" t="s">
        <v>703</v>
      </c>
      <c r="BH372" s="847" t="s">
        <v>1031</v>
      </c>
      <c r="BI372" s="809"/>
      <c r="BJ372" s="809">
        <v>1</v>
      </c>
      <c r="BK372" s="809">
        <v>1</v>
      </c>
      <c r="BL372" s="809"/>
      <c r="BM372" s="809"/>
      <c r="BN372" s="810"/>
      <c r="BO372" s="811" t="s">
        <v>236</v>
      </c>
      <c r="BP372" s="812" t="s">
        <v>1032</v>
      </c>
      <c r="BQ372" s="812"/>
      <c r="BR372" s="812"/>
      <c r="BS372" s="812"/>
      <c r="BT372" s="812" t="s">
        <v>238</v>
      </c>
    </row>
    <row r="373" spans="1:72" ht="12.75" customHeight="1">
      <c r="A373" s="813" t="s">
        <v>832</v>
      </c>
      <c r="B373" s="820" t="s">
        <v>1033</v>
      </c>
      <c r="C373" s="5">
        <v>0</v>
      </c>
      <c r="D373" s="5">
        <v>0</v>
      </c>
      <c r="E373" s="5">
        <v>0</v>
      </c>
      <c r="F373" s="5">
        <v>0</v>
      </c>
      <c r="G373" s="5">
        <v>0</v>
      </c>
      <c r="H373" s="5">
        <v>0</v>
      </c>
      <c r="I373" s="5">
        <v>0</v>
      </c>
      <c r="J373" s="5">
        <v>0</v>
      </c>
      <c r="K373" s="5">
        <v>0</v>
      </c>
      <c r="L373" s="5">
        <v>0</v>
      </c>
      <c r="M373" s="5">
        <v>0</v>
      </c>
      <c r="N373" s="5">
        <v>0</v>
      </c>
      <c r="O373" s="5">
        <v>0</v>
      </c>
      <c r="P373" s="5">
        <v>0</v>
      </c>
      <c r="Q373" s="5">
        <v>0</v>
      </c>
      <c r="R373" s="5">
        <v>0</v>
      </c>
      <c r="S373" s="5">
        <v>0</v>
      </c>
      <c r="T373" s="5">
        <v>0</v>
      </c>
      <c r="U373" s="5">
        <v>0</v>
      </c>
      <c r="V373" s="5">
        <v>0</v>
      </c>
      <c r="W373" s="5">
        <v>0</v>
      </c>
      <c r="X373" s="5">
        <v>0</v>
      </c>
      <c r="Y373" s="5">
        <v>0</v>
      </c>
      <c r="Z373" s="5">
        <v>0</v>
      </c>
      <c r="AA373" s="5">
        <v>0</v>
      </c>
      <c r="AB373" s="5">
        <v>0</v>
      </c>
      <c r="AC373" s="5">
        <v>0</v>
      </c>
      <c r="AD373" s="5">
        <v>0</v>
      </c>
      <c r="AE373" s="5">
        <v>2.609</v>
      </c>
      <c r="AF373" s="5">
        <v>2.75</v>
      </c>
      <c r="AG373" s="5">
        <v>2.3199999999999998</v>
      </c>
      <c r="AH373" s="5">
        <v>2.2050000000000001</v>
      </c>
      <c r="AI373" s="5">
        <v>2.4249999999999998</v>
      </c>
      <c r="AJ373" s="5">
        <v>2.222</v>
      </c>
      <c r="AK373" s="5">
        <v>2.4750000000000001</v>
      </c>
      <c r="AL373" s="5">
        <v>2.34</v>
      </c>
      <c r="AM373" s="5">
        <v>0</v>
      </c>
      <c r="AN373" s="5">
        <v>0.85699999999999998</v>
      </c>
      <c r="AO373" s="5">
        <v>0.84099999999999997</v>
      </c>
      <c r="AP373" s="5">
        <v>0</v>
      </c>
      <c r="AQ373" s="5">
        <v>0</v>
      </c>
      <c r="AR373" s="5">
        <v>0</v>
      </c>
      <c r="AS373" s="5">
        <v>0</v>
      </c>
      <c r="AT373" s="5">
        <v>0</v>
      </c>
      <c r="AU373" s="5">
        <v>0</v>
      </c>
      <c r="AV373" s="5">
        <v>0</v>
      </c>
      <c r="AW373" s="815">
        <v>0</v>
      </c>
      <c r="AX373" s="816">
        <v>0</v>
      </c>
      <c r="AY373" s="819">
        <v>0</v>
      </c>
      <c r="AZ373" s="816"/>
      <c r="BA373" s="818"/>
      <c r="BB373" s="802" t="str" cm="1">
        <f t="array" ref="BB373">INDEX(C$4:BA$4,MATCH(TRUE,INDEX(C373:BA373&lt;&gt;0,),0))</f>
        <v>2006-07</v>
      </c>
      <c r="BC373" s="803" t="str" cm="1">
        <f t="array" ref="BC373">LOOKUP(2,1/(C373:BA373&lt;&gt;0),$C$4:$BA$4)</f>
        <v>2016-17</v>
      </c>
      <c r="BD373" s="804">
        <f>COUNTIF(RDprograms[[#This Row],[1978-79]:[2028-29]], "&gt;0")</f>
        <v>10</v>
      </c>
      <c r="BE373" s="805">
        <f>SUM(C373:BA373)/RDprograms[[#This Row],[Years with &gt; $0 investment]]</f>
        <v>2.1044</v>
      </c>
      <c r="BF373" s="806" t="s">
        <v>233</v>
      </c>
      <c r="BG373" s="807" t="s">
        <v>703</v>
      </c>
      <c r="BH373" s="847" t="s">
        <v>834</v>
      </c>
      <c r="BI373" s="809"/>
      <c r="BJ373" s="809"/>
      <c r="BK373" s="809"/>
      <c r="BL373" s="809"/>
      <c r="BM373" s="809"/>
      <c r="BN373" s="810"/>
      <c r="BO373" s="811" t="s">
        <v>236</v>
      </c>
      <c r="BP373" s="812"/>
      <c r="BQ373" s="812" t="s">
        <v>1034</v>
      </c>
      <c r="BR373" s="812"/>
      <c r="BS373" s="812"/>
      <c r="BT373" s="812" t="s">
        <v>238</v>
      </c>
    </row>
    <row r="374" spans="1:72" ht="12.75" customHeight="1">
      <c r="A374" s="813" t="s">
        <v>832</v>
      </c>
      <c r="B374" s="820" t="s">
        <v>1035</v>
      </c>
      <c r="C374" s="5">
        <v>0</v>
      </c>
      <c r="D374" s="5">
        <v>0</v>
      </c>
      <c r="E374" s="5">
        <v>0</v>
      </c>
      <c r="F374" s="5">
        <v>0</v>
      </c>
      <c r="G374" s="5">
        <v>0</v>
      </c>
      <c r="H374" s="5">
        <v>0</v>
      </c>
      <c r="I374" s="5">
        <v>0</v>
      </c>
      <c r="J374" s="5">
        <v>0</v>
      </c>
      <c r="K374" s="5">
        <v>0</v>
      </c>
      <c r="L374" s="5">
        <v>0</v>
      </c>
      <c r="M374" s="5">
        <v>0</v>
      </c>
      <c r="N374" s="5">
        <v>0</v>
      </c>
      <c r="O374" s="5">
        <v>0</v>
      </c>
      <c r="P374" s="5">
        <v>0</v>
      </c>
      <c r="Q374" s="5">
        <v>0</v>
      </c>
      <c r="R374" s="5">
        <v>0</v>
      </c>
      <c r="S374" s="5">
        <v>0</v>
      </c>
      <c r="T374" s="5">
        <v>0</v>
      </c>
      <c r="U374" s="5">
        <v>0</v>
      </c>
      <c r="V374" s="5">
        <v>0</v>
      </c>
      <c r="W374" s="5">
        <v>0</v>
      </c>
      <c r="X374" s="5">
        <v>0</v>
      </c>
      <c r="Y374" s="5">
        <v>0</v>
      </c>
      <c r="Z374" s="5">
        <v>0</v>
      </c>
      <c r="AA374" s="5">
        <v>0</v>
      </c>
      <c r="AB374" s="5">
        <v>0</v>
      </c>
      <c r="AC374" s="5">
        <v>0</v>
      </c>
      <c r="AD374" s="5">
        <v>1.972</v>
      </c>
      <c r="AE374" s="5">
        <v>2.4649999999999999</v>
      </c>
      <c r="AF374" s="5">
        <v>2.5070000000000001</v>
      </c>
      <c r="AG374" s="5">
        <v>0</v>
      </c>
      <c r="AH374" s="5">
        <v>0</v>
      </c>
      <c r="AI374" s="5">
        <v>0</v>
      </c>
      <c r="AJ374" s="5">
        <v>0</v>
      </c>
      <c r="AK374" s="5">
        <v>0</v>
      </c>
      <c r="AL374" s="5">
        <v>0</v>
      </c>
      <c r="AM374" s="5">
        <v>0</v>
      </c>
      <c r="AN374" s="5">
        <v>0</v>
      </c>
      <c r="AO374" s="5">
        <v>0</v>
      </c>
      <c r="AP374" s="816">
        <v>0</v>
      </c>
      <c r="AQ374" s="816">
        <v>0</v>
      </c>
      <c r="AR374" s="5">
        <v>0</v>
      </c>
      <c r="AS374" s="5">
        <v>0</v>
      </c>
      <c r="AT374" s="5">
        <v>0</v>
      </c>
      <c r="AU374" s="5">
        <v>0</v>
      </c>
      <c r="AV374" s="5">
        <v>0</v>
      </c>
      <c r="AW374" s="815">
        <v>0</v>
      </c>
      <c r="AX374" s="816">
        <v>0</v>
      </c>
      <c r="AY374" s="819">
        <v>0</v>
      </c>
      <c r="AZ374" s="816"/>
      <c r="BA374" s="818"/>
      <c r="BB374" s="802" t="str" cm="1">
        <f t="array" ref="BB374">INDEX(C$4:BA$4,MATCH(TRUE,INDEX(C374:BA374&lt;&gt;0,),0))</f>
        <v>2005-06</v>
      </c>
      <c r="BC374" s="803" t="str" cm="1">
        <f t="array" ref="BC374">LOOKUP(2,1/(C374:BA374&lt;&gt;0),$C$4:$BA$4)</f>
        <v>2007-08</v>
      </c>
      <c r="BD374" s="804">
        <f>COUNTIF(RDprograms[[#This Row],[1978-79]:[2028-29]], "&gt;0")</f>
        <v>3</v>
      </c>
      <c r="BE374" s="805">
        <f>SUM(C374:BA374)/RDprograms[[#This Row],[Years with &gt; $0 investment]]</f>
        <v>2.3146666666666662</v>
      </c>
      <c r="BF374" s="806" t="s">
        <v>273</v>
      </c>
      <c r="BG374" s="807" t="s">
        <v>703</v>
      </c>
      <c r="BH374" s="847" t="s">
        <v>834</v>
      </c>
      <c r="BI374" s="809"/>
      <c r="BJ374" s="809"/>
      <c r="BK374" s="809"/>
      <c r="BL374" s="809"/>
      <c r="BM374" s="809"/>
      <c r="BN374" s="810"/>
      <c r="BO374" s="811" t="s">
        <v>236</v>
      </c>
      <c r="BP374" s="812"/>
      <c r="BQ374" s="812"/>
      <c r="BR374" s="812"/>
      <c r="BS374" s="812"/>
      <c r="BT374" s="812" t="s">
        <v>238</v>
      </c>
    </row>
    <row r="375" spans="1:72" ht="12.75" customHeight="1">
      <c r="A375" s="813" t="s">
        <v>832</v>
      </c>
      <c r="B375" s="820" t="s">
        <v>1036</v>
      </c>
      <c r="C375" s="5">
        <v>0</v>
      </c>
      <c r="D375" s="5">
        <v>0</v>
      </c>
      <c r="E375" s="5">
        <v>0</v>
      </c>
      <c r="F375" s="5">
        <v>0</v>
      </c>
      <c r="G375" s="5">
        <v>0</v>
      </c>
      <c r="H375" s="5">
        <v>0</v>
      </c>
      <c r="I375" s="5">
        <v>0</v>
      </c>
      <c r="J375" s="5">
        <v>0</v>
      </c>
      <c r="K375" s="5">
        <v>0</v>
      </c>
      <c r="L375" s="5">
        <v>0</v>
      </c>
      <c r="M375" s="5">
        <v>0</v>
      </c>
      <c r="N375" s="5">
        <v>0</v>
      </c>
      <c r="O375" s="5">
        <v>0</v>
      </c>
      <c r="P375" s="5">
        <v>0</v>
      </c>
      <c r="Q375" s="5">
        <v>0</v>
      </c>
      <c r="R375" s="5">
        <v>0</v>
      </c>
      <c r="S375" s="5">
        <v>0</v>
      </c>
      <c r="T375" s="5">
        <v>0</v>
      </c>
      <c r="U375" s="5">
        <v>0</v>
      </c>
      <c r="V375" s="5">
        <v>0</v>
      </c>
      <c r="W375" s="5">
        <v>0</v>
      </c>
      <c r="X375" s="5">
        <v>0</v>
      </c>
      <c r="Y375" s="5">
        <v>0</v>
      </c>
      <c r="Z375" s="5">
        <v>0</v>
      </c>
      <c r="AA375" s="5">
        <v>0</v>
      </c>
      <c r="AB375" s="5">
        <v>0</v>
      </c>
      <c r="AC375" s="5">
        <v>0</v>
      </c>
      <c r="AD375" s="5">
        <v>0</v>
      </c>
      <c r="AE375" s="5">
        <v>0</v>
      </c>
      <c r="AF375" s="5">
        <v>0</v>
      </c>
      <c r="AG375" s="5">
        <v>0</v>
      </c>
      <c r="AH375" s="5">
        <v>0</v>
      </c>
      <c r="AI375" s="5">
        <v>0</v>
      </c>
      <c r="AJ375" s="5">
        <v>0</v>
      </c>
      <c r="AK375" s="5">
        <v>0</v>
      </c>
      <c r="AL375" s="5">
        <v>0</v>
      </c>
      <c r="AM375" s="5">
        <v>0</v>
      </c>
      <c r="AN375" s="5">
        <v>0.25</v>
      </c>
      <c r="AO375" s="5">
        <v>2.9990000000000001</v>
      </c>
      <c r="AP375" s="5">
        <v>1.5609999999999999</v>
      </c>
      <c r="AQ375" s="5">
        <v>0.874</v>
      </c>
      <c r="AR375" s="5">
        <v>0</v>
      </c>
      <c r="AS375" s="5">
        <v>0</v>
      </c>
      <c r="AT375" s="5">
        <v>0.86</v>
      </c>
      <c r="AU375" s="5">
        <v>0</v>
      </c>
      <c r="AV375" s="5">
        <v>0</v>
      </c>
      <c r="AW375" s="815">
        <v>0</v>
      </c>
      <c r="AX375" s="816">
        <v>0</v>
      </c>
      <c r="AY375" s="819">
        <v>0</v>
      </c>
      <c r="AZ375" s="816"/>
      <c r="BA375" s="818"/>
      <c r="BB375" s="802" t="str" cm="1">
        <f t="array" ref="BB375">INDEX(C$4:BA$4,MATCH(TRUE,INDEX(C375:BA375&lt;&gt;0,),0))</f>
        <v>2015-16</v>
      </c>
      <c r="BC375" s="803" t="str" cm="1">
        <f t="array" ref="BC375">LOOKUP(2,1/(C375:BA375&lt;&gt;0),$C$4:$BA$4)</f>
        <v>2021-22</v>
      </c>
      <c r="BD375" s="804">
        <f>COUNTIF(RDprograms[[#This Row],[1978-79]:[2028-29]], "&gt;0")</f>
        <v>5</v>
      </c>
      <c r="BE375" s="805">
        <f>SUM(C375:BA375)/RDprograms[[#This Row],[Years with &gt; $0 investment]]</f>
        <v>1.3088000000000002</v>
      </c>
      <c r="BF375" s="806" t="s">
        <v>273</v>
      </c>
      <c r="BG375" s="807" t="s">
        <v>703</v>
      </c>
      <c r="BH375" s="847" t="s">
        <v>834</v>
      </c>
      <c r="BI375" s="809"/>
      <c r="BJ375" s="809"/>
      <c r="BK375" s="809"/>
      <c r="BL375" s="809"/>
      <c r="BM375" s="809"/>
      <c r="BN375" s="810"/>
      <c r="BO375" s="811" t="s">
        <v>236</v>
      </c>
      <c r="BP375" s="812" t="s">
        <v>1037</v>
      </c>
      <c r="BQ375" s="812"/>
      <c r="BR375" s="812"/>
      <c r="BS375" s="812"/>
      <c r="BT375" s="812" t="s">
        <v>238</v>
      </c>
    </row>
    <row r="376" spans="1:72" ht="12.75" customHeight="1">
      <c r="A376" s="813" t="s">
        <v>832</v>
      </c>
      <c r="B376" s="820" t="s">
        <v>1038</v>
      </c>
      <c r="C376" s="5">
        <v>0</v>
      </c>
      <c r="D376" s="5">
        <v>0</v>
      </c>
      <c r="E376" s="5">
        <v>0</v>
      </c>
      <c r="F376" s="5">
        <v>0</v>
      </c>
      <c r="G376" s="5">
        <v>0</v>
      </c>
      <c r="H376" s="5">
        <v>0</v>
      </c>
      <c r="I376" s="5">
        <v>0</v>
      </c>
      <c r="J376" s="5">
        <v>0</v>
      </c>
      <c r="K376" s="5">
        <v>0</v>
      </c>
      <c r="L376" s="5">
        <v>0</v>
      </c>
      <c r="M376" s="5">
        <v>0</v>
      </c>
      <c r="N376" s="5">
        <v>0</v>
      </c>
      <c r="O376" s="5">
        <v>0</v>
      </c>
      <c r="P376" s="5">
        <v>0</v>
      </c>
      <c r="Q376" s="5">
        <v>0</v>
      </c>
      <c r="R376" s="5">
        <v>0</v>
      </c>
      <c r="S376" s="5">
        <v>0</v>
      </c>
      <c r="T376" s="5">
        <v>0</v>
      </c>
      <c r="U376" s="5">
        <v>0</v>
      </c>
      <c r="V376" s="5">
        <v>0</v>
      </c>
      <c r="W376" s="5">
        <v>0</v>
      </c>
      <c r="X376" s="5">
        <v>0</v>
      </c>
      <c r="Y376" s="5">
        <v>0</v>
      </c>
      <c r="Z376" s="5">
        <v>0</v>
      </c>
      <c r="AA376" s="5">
        <v>0</v>
      </c>
      <c r="AB376" s="5">
        <v>0</v>
      </c>
      <c r="AC376" s="5">
        <v>0</v>
      </c>
      <c r="AD376" s="5">
        <v>0</v>
      </c>
      <c r="AE376" s="5">
        <v>0</v>
      </c>
      <c r="AF376" s="5">
        <v>0</v>
      </c>
      <c r="AG376" s="5">
        <v>0</v>
      </c>
      <c r="AH376" s="5">
        <v>0</v>
      </c>
      <c r="AI376" s="5">
        <v>0</v>
      </c>
      <c r="AJ376" s="5">
        <v>0</v>
      </c>
      <c r="AK376" s="5">
        <v>0</v>
      </c>
      <c r="AL376" s="5">
        <v>0</v>
      </c>
      <c r="AM376" s="5">
        <v>0</v>
      </c>
      <c r="AN376" s="5">
        <v>1.337</v>
      </c>
      <c r="AO376" s="5">
        <v>1.355</v>
      </c>
      <c r="AP376" s="816">
        <v>7.1150000000000002</v>
      </c>
      <c r="AQ376" s="816">
        <v>16.111000000000001</v>
      </c>
      <c r="AR376" s="5">
        <v>6.7720000000000002</v>
      </c>
      <c r="AS376" s="5">
        <v>0</v>
      </c>
      <c r="AT376" s="5">
        <v>0</v>
      </c>
      <c r="AU376" s="5">
        <v>0</v>
      </c>
      <c r="AV376" s="5">
        <v>0</v>
      </c>
      <c r="AW376" s="815">
        <v>0</v>
      </c>
      <c r="AX376" s="816">
        <v>0</v>
      </c>
      <c r="AY376" s="819">
        <v>0</v>
      </c>
      <c r="AZ376" s="816"/>
      <c r="BA376" s="818"/>
      <c r="BB376" s="802" t="str" cm="1">
        <f t="array" ref="BB376">INDEX(C$4:BA$4,MATCH(TRUE,INDEX(C376:BA376&lt;&gt;0,),0))</f>
        <v>2015-16</v>
      </c>
      <c r="BC376" s="803" t="str" cm="1">
        <f t="array" ref="BC376">LOOKUP(2,1/(C376:BA376&lt;&gt;0),$C$4:$BA$4)</f>
        <v>2019-20</v>
      </c>
      <c r="BD376" s="804">
        <f>COUNTIF(RDprograms[[#This Row],[1978-79]:[2028-29]], "&gt;0")</f>
        <v>5</v>
      </c>
      <c r="BE376" s="805">
        <f>SUM(C376:BA376)/RDprograms[[#This Row],[Years with &gt; $0 investment]]</f>
        <v>6.5379999999999994</v>
      </c>
      <c r="BF376" s="806" t="s">
        <v>240</v>
      </c>
      <c r="BG376" s="807" t="s">
        <v>703</v>
      </c>
      <c r="BH376" s="847" t="s">
        <v>834</v>
      </c>
      <c r="BI376" s="809"/>
      <c r="BJ376" s="809"/>
      <c r="BK376" s="809"/>
      <c r="BL376" s="809"/>
      <c r="BM376" s="809"/>
      <c r="BN376" s="810"/>
      <c r="BO376" s="811" t="s">
        <v>236</v>
      </c>
      <c r="BP376" s="812" t="s">
        <v>1039</v>
      </c>
      <c r="BQ376" s="812" t="s">
        <v>1040</v>
      </c>
      <c r="BR376" s="812"/>
      <c r="BS376" s="812"/>
      <c r="BT376" s="812" t="s">
        <v>238</v>
      </c>
    </row>
    <row r="377" spans="1:72" ht="12.75" customHeight="1">
      <c r="A377" s="813" t="s">
        <v>832</v>
      </c>
      <c r="B377" s="820" t="s">
        <v>1041</v>
      </c>
      <c r="C377" s="5">
        <v>0</v>
      </c>
      <c r="D377" s="5">
        <v>0</v>
      </c>
      <c r="E377" s="5">
        <v>0</v>
      </c>
      <c r="F377" s="5">
        <v>0</v>
      </c>
      <c r="G377" s="5">
        <v>0</v>
      </c>
      <c r="H377" s="5">
        <v>0</v>
      </c>
      <c r="I377" s="5">
        <v>0</v>
      </c>
      <c r="J377" s="5">
        <v>0</v>
      </c>
      <c r="K377" s="5">
        <v>0</v>
      </c>
      <c r="L377" s="5">
        <v>0</v>
      </c>
      <c r="M377" s="5">
        <v>0</v>
      </c>
      <c r="N377" s="5">
        <v>0</v>
      </c>
      <c r="O377" s="5">
        <v>0</v>
      </c>
      <c r="P377" s="5">
        <v>0</v>
      </c>
      <c r="Q377" s="5">
        <v>0</v>
      </c>
      <c r="R377" s="5">
        <v>0</v>
      </c>
      <c r="S377" s="5">
        <v>0</v>
      </c>
      <c r="T377" s="5">
        <v>0</v>
      </c>
      <c r="U377" s="5">
        <v>0</v>
      </c>
      <c r="V377" s="5">
        <v>0</v>
      </c>
      <c r="W377" s="5">
        <v>0</v>
      </c>
      <c r="X377" s="5">
        <v>0</v>
      </c>
      <c r="Y377" s="5">
        <v>0</v>
      </c>
      <c r="Z377" s="5">
        <v>0</v>
      </c>
      <c r="AA377" s="5">
        <v>0</v>
      </c>
      <c r="AB377" s="5">
        <v>0</v>
      </c>
      <c r="AC377" s="5">
        <v>0</v>
      </c>
      <c r="AD377" s="5">
        <v>14.648</v>
      </c>
      <c r="AE377" s="5">
        <v>14.215</v>
      </c>
      <c r="AF377" s="5">
        <v>16.385000000000002</v>
      </c>
      <c r="AG377" s="5">
        <v>14.555999999999999</v>
      </c>
      <c r="AH377" s="5">
        <v>16.471</v>
      </c>
      <c r="AI377" s="5">
        <v>14.422000000000001</v>
      </c>
      <c r="AJ377" s="5">
        <v>14.74</v>
      </c>
      <c r="AK377" s="5">
        <v>0.12</v>
      </c>
      <c r="AL377" s="5">
        <v>0.09</v>
      </c>
      <c r="AM377" s="5">
        <v>0</v>
      </c>
      <c r="AN377" s="5">
        <v>0</v>
      </c>
      <c r="AO377" s="5">
        <v>0</v>
      </c>
      <c r="AP377" s="5">
        <v>0</v>
      </c>
      <c r="AQ377" s="5">
        <v>0</v>
      </c>
      <c r="AR377" s="5">
        <v>0</v>
      </c>
      <c r="AS377" s="5">
        <v>0</v>
      </c>
      <c r="AT377" s="5">
        <v>0</v>
      </c>
      <c r="AU377" s="5">
        <v>0</v>
      </c>
      <c r="AV377" s="5">
        <v>0</v>
      </c>
      <c r="AW377" s="815">
        <v>0</v>
      </c>
      <c r="AX377" s="816">
        <v>0</v>
      </c>
      <c r="AY377" s="819">
        <v>0</v>
      </c>
      <c r="AZ377" s="816"/>
      <c r="BA377" s="818"/>
      <c r="BB377" s="802" t="str" cm="1">
        <f t="array" ref="BB377">INDEX(C$4:BA$4,MATCH(TRUE,INDEX(C377:BA377&lt;&gt;0,),0))</f>
        <v>2005-06</v>
      </c>
      <c r="BC377" s="803" t="str" cm="1">
        <f t="array" ref="BC377">LOOKUP(2,1/(C377:BA377&lt;&gt;0),$C$4:$BA$4)</f>
        <v>2013-14</v>
      </c>
      <c r="BD377" s="804">
        <f>COUNTIF(RDprograms[[#This Row],[1978-79]:[2028-29]], "&gt;0")</f>
        <v>9</v>
      </c>
      <c r="BE377" s="805">
        <f>SUM(C377:BA377)/RDprograms[[#This Row],[Years with &gt; $0 investment]]</f>
        <v>11.738555555555557</v>
      </c>
      <c r="BF377" s="806" t="s">
        <v>273</v>
      </c>
      <c r="BG377" s="807" t="s">
        <v>703</v>
      </c>
      <c r="BH377" s="847" t="s">
        <v>834</v>
      </c>
      <c r="BI377" s="809"/>
      <c r="BJ377" s="809"/>
      <c r="BK377" s="809"/>
      <c r="BL377" s="809"/>
      <c r="BM377" s="809"/>
      <c r="BN377" s="810"/>
      <c r="BO377" s="811" t="s">
        <v>236</v>
      </c>
      <c r="BP377" s="812"/>
      <c r="BQ377" s="812"/>
      <c r="BR377" s="812"/>
      <c r="BS377" s="812"/>
      <c r="BT377" s="812" t="s">
        <v>238</v>
      </c>
    </row>
    <row r="378" spans="1:72" ht="12.75" customHeight="1">
      <c r="A378" s="813" t="s">
        <v>832</v>
      </c>
      <c r="B378" s="820" t="s">
        <v>1042</v>
      </c>
      <c r="C378" s="5">
        <v>0</v>
      </c>
      <c r="D378" s="5">
        <v>0</v>
      </c>
      <c r="E378" s="5">
        <v>0</v>
      </c>
      <c r="F378" s="5">
        <v>0</v>
      </c>
      <c r="G378" s="5">
        <v>0</v>
      </c>
      <c r="H378" s="5">
        <v>0</v>
      </c>
      <c r="I378" s="5">
        <v>0</v>
      </c>
      <c r="J378" s="5">
        <v>0</v>
      </c>
      <c r="K378" s="5">
        <v>0</v>
      </c>
      <c r="L378" s="5">
        <v>0</v>
      </c>
      <c r="M378" s="5">
        <v>0</v>
      </c>
      <c r="N378" s="5">
        <v>0</v>
      </c>
      <c r="O378" s="5">
        <v>0</v>
      </c>
      <c r="P378" s="5">
        <v>0</v>
      </c>
      <c r="Q378" s="5">
        <v>0</v>
      </c>
      <c r="R378" s="5">
        <v>0</v>
      </c>
      <c r="S378" s="5">
        <v>0</v>
      </c>
      <c r="T378" s="5">
        <v>0</v>
      </c>
      <c r="U378" s="5">
        <v>0</v>
      </c>
      <c r="V378" s="5">
        <v>0</v>
      </c>
      <c r="W378" s="5">
        <v>0</v>
      </c>
      <c r="X378" s="5">
        <v>0</v>
      </c>
      <c r="Y378" s="5">
        <v>0</v>
      </c>
      <c r="Z378" s="5">
        <v>0</v>
      </c>
      <c r="AA378" s="5">
        <v>0</v>
      </c>
      <c r="AB378" s="5">
        <v>0</v>
      </c>
      <c r="AC378" s="5">
        <v>0</v>
      </c>
      <c r="AD378" s="5">
        <v>0</v>
      </c>
      <c r="AE378" s="5">
        <v>0</v>
      </c>
      <c r="AF378" s="5">
        <v>0</v>
      </c>
      <c r="AG378" s="5">
        <v>0</v>
      </c>
      <c r="AH378" s="5">
        <v>0</v>
      </c>
      <c r="AI378" s="5">
        <v>0</v>
      </c>
      <c r="AJ378" s="5">
        <v>7.4180000000000001</v>
      </c>
      <c r="AK378" s="5">
        <v>11.1</v>
      </c>
      <c r="AL378" s="5">
        <v>10.282</v>
      </c>
      <c r="AM378" s="5">
        <v>6.7727272699999999</v>
      </c>
      <c r="AN378" s="5">
        <v>0</v>
      </c>
      <c r="AO378" s="5">
        <v>0</v>
      </c>
      <c r="AP378" s="5">
        <v>0</v>
      </c>
      <c r="AQ378" s="5">
        <v>0</v>
      </c>
      <c r="AR378" s="5">
        <v>0</v>
      </c>
      <c r="AS378" s="5">
        <v>0</v>
      </c>
      <c r="AT378" s="5">
        <v>0</v>
      </c>
      <c r="AU378" s="5">
        <v>0</v>
      </c>
      <c r="AV378" s="5">
        <v>0</v>
      </c>
      <c r="AW378" s="815">
        <v>0</v>
      </c>
      <c r="AX378" s="816">
        <v>0</v>
      </c>
      <c r="AY378" s="819">
        <v>0</v>
      </c>
      <c r="AZ378" s="816"/>
      <c r="BA378" s="818"/>
      <c r="BB378" s="802" t="str" cm="1">
        <f t="array" ref="BB378">INDEX(C$4:BA$4,MATCH(TRUE,INDEX(C378:BA378&lt;&gt;0,),0))</f>
        <v>2011-12</v>
      </c>
      <c r="BC378" s="803" t="str" cm="1">
        <f t="array" ref="BC378">LOOKUP(2,1/(C378:BA378&lt;&gt;0),$C$4:$BA$4)</f>
        <v>2014-15</v>
      </c>
      <c r="BD378" s="804">
        <f>COUNTIF(RDprograms[[#This Row],[1978-79]:[2028-29]], "&gt;0")</f>
        <v>4</v>
      </c>
      <c r="BE378" s="805">
        <f>SUM(C378:BA378)/RDprograms[[#This Row],[Years with &gt; $0 investment]]</f>
        <v>8.8931818175000004</v>
      </c>
      <c r="BF378" s="806" t="s">
        <v>273</v>
      </c>
      <c r="BG378" s="807" t="s">
        <v>703</v>
      </c>
      <c r="BH378" s="847" t="s">
        <v>834</v>
      </c>
      <c r="BI378" s="809"/>
      <c r="BJ378" s="809"/>
      <c r="BK378" s="809"/>
      <c r="BL378" s="809"/>
      <c r="BM378" s="809"/>
      <c r="BN378" s="810"/>
      <c r="BO378" s="811" t="s">
        <v>236</v>
      </c>
      <c r="BP378" s="812"/>
      <c r="BQ378" s="812"/>
      <c r="BR378" s="812"/>
      <c r="BS378" s="812"/>
      <c r="BT378" s="812" t="s">
        <v>672</v>
      </c>
    </row>
    <row r="379" spans="1:72" ht="12.75" customHeight="1">
      <c r="A379" s="813" t="s">
        <v>832</v>
      </c>
      <c r="B379" s="820" t="s">
        <v>1043</v>
      </c>
      <c r="C379" s="5">
        <v>0</v>
      </c>
      <c r="D379" s="5">
        <v>0</v>
      </c>
      <c r="E379" s="5">
        <v>0</v>
      </c>
      <c r="F379" s="5">
        <v>0</v>
      </c>
      <c r="G379" s="5">
        <v>0</v>
      </c>
      <c r="H379" s="5">
        <v>0</v>
      </c>
      <c r="I379" s="5">
        <v>0</v>
      </c>
      <c r="J379" s="5">
        <v>0</v>
      </c>
      <c r="K379" s="5">
        <v>0</v>
      </c>
      <c r="L379" s="5">
        <v>0</v>
      </c>
      <c r="M379" s="5">
        <v>0</v>
      </c>
      <c r="N379" s="5">
        <v>0</v>
      </c>
      <c r="O379" s="5">
        <v>0</v>
      </c>
      <c r="P379" s="5">
        <v>0</v>
      </c>
      <c r="Q379" s="5">
        <v>0</v>
      </c>
      <c r="R379" s="5">
        <v>0</v>
      </c>
      <c r="S379" s="5">
        <v>0</v>
      </c>
      <c r="T379" s="5">
        <v>0</v>
      </c>
      <c r="U379" s="5">
        <v>0</v>
      </c>
      <c r="V379" s="5">
        <v>0</v>
      </c>
      <c r="W379" s="5">
        <v>0</v>
      </c>
      <c r="X379" s="5">
        <v>0</v>
      </c>
      <c r="Y379" s="5">
        <v>0</v>
      </c>
      <c r="Z379" s="5">
        <v>0</v>
      </c>
      <c r="AA379" s="5">
        <v>0</v>
      </c>
      <c r="AB379" s="5">
        <v>0</v>
      </c>
      <c r="AC379" s="5">
        <v>0</v>
      </c>
      <c r="AD379" s="5">
        <v>0</v>
      </c>
      <c r="AE379" s="5">
        <v>0</v>
      </c>
      <c r="AF379" s="5">
        <v>0</v>
      </c>
      <c r="AG379" s="5">
        <v>0</v>
      </c>
      <c r="AH379" s="5">
        <v>0</v>
      </c>
      <c r="AI379" s="5">
        <v>0</v>
      </c>
      <c r="AJ379" s="5">
        <v>1.8640000000000001</v>
      </c>
      <c r="AK379" s="5">
        <v>1.7729999999999999</v>
      </c>
      <c r="AL379" s="5">
        <v>1.3640000000000001</v>
      </c>
      <c r="AM379" s="5">
        <v>1.3640000000000001</v>
      </c>
      <c r="AN379" s="5">
        <v>0.6</v>
      </c>
      <c r="AO379" s="5">
        <v>0.5</v>
      </c>
      <c r="AP379" s="5">
        <v>0</v>
      </c>
      <c r="AQ379" s="5">
        <v>0</v>
      </c>
      <c r="AR379" s="5">
        <v>0</v>
      </c>
      <c r="AS379" s="5">
        <v>0</v>
      </c>
      <c r="AT379" s="5">
        <v>0</v>
      </c>
      <c r="AU379" s="5">
        <v>0</v>
      </c>
      <c r="AV379" s="5">
        <v>0</v>
      </c>
      <c r="AW379" s="815">
        <v>0</v>
      </c>
      <c r="AX379" s="816">
        <v>0</v>
      </c>
      <c r="AY379" s="819">
        <v>0</v>
      </c>
      <c r="AZ379" s="816"/>
      <c r="BA379" s="818"/>
      <c r="BB379" s="802" t="str" cm="1">
        <f t="array" ref="BB379">INDEX(C$4:BA$4,MATCH(TRUE,INDEX(C379:BA379&lt;&gt;0,),0))</f>
        <v>2011-12</v>
      </c>
      <c r="BC379" s="803" t="str" cm="1">
        <f t="array" ref="BC379">LOOKUP(2,1/(C379:BA379&lt;&gt;0),$C$4:$BA$4)</f>
        <v>2016-17</v>
      </c>
      <c r="BD379" s="804">
        <f>COUNTIF(RDprograms[[#This Row],[1978-79]:[2028-29]], "&gt;0")</f>
        <v>6</v>
      </c>
      <c r="BE379" s="805">
        <f>SUM(C379:BA379)/RDprograms[[#This Row],[Years with &gt; $0 investment]]</f>
        <v>1.2441666666666666</v>
      </c>
      <c r="BF379" s="806" t="s">
        <v>273</v>
      </c>
      <c r="BG379" s="807" t="s">
        <v>703</v>
      </c>
      <c r="BH379" s="847" t="s">
        <v>834</v>
      </c>
      <c r="BI379" s="809"/>
      <c r="BJ379" s="809"/>
      <c r="BK379" s="809"/>
      <c r="BL379" s="809"/>
      <c r="BM379" s="809"/>
      <c r="BN379" s="810"/>
      <c r="BO379" s="811" t="s">
        <v>236</v>
      </c>
      <c r="BP379" s="812" t="s">
        <v>1044</v>
      </c>
      <c r="BQ379" s="812" t="s">
        <v>1045</v>
      </c>
      <c r="BR379" s="812"/>
      <c r="BS379" s="812"/>
      <c r="BT379" s="812" t="s">
        <v>238</v>
      </c>
    </row>
    <row r="380" spans="1:72" ht="12.75" customHeight="1">
      <c r="A380" s="813" t="s">
        <v>832</v>
      </c>
      <c r="B380" s="820" t="s">
        <v>1046</v>
      </c>
      <c r="C380" s="5">
        <v>0</v>
      </c>
      <c r="D380" s="5">
        <v>0</v>
      </c>
      <c r="E380" s="5">
        <v>0</v>
      </c>
      <c r="F380" s="5">
        <v>0</v>
      </c>
      <c r="G380" s="5">
        <v>0</v>
      </c>
      <c r="H380" s="5">
        <v>0</v>
      </c>
      <c r="I380" s="5">
        <v>0</v>
      </c>
      <c r="J380" s="5">
        <v>0</v>
      </c>
      <c r="K380" s="5">
        <v>0</v>
      </c>
      <c r="L380" s="5">
        <v>0</v>
      </c>
      <c r="M380" s="5">
        <v>0</v>
      </c>
      <c r="N380" s="5">
        <v>0</v>
      </c>
      <c r="O380" s="5">
        <v>0</v>
      </c>
      <c r="P380" s="5">
        <v>0</v>
      </c>
      <c r="Q380" s="5">
        <v>0</v>
      </c>
      <c r="R380" s="5">
        <v>0</v>
      </c>
      <c r="S380" s="5">
        <v>0</v>
      </c>
      <c r="T380" s="5">
        <v>0</v>
      </c>
      <c r="U380" s="5">
        <v>0</v>
      </c>
      <c r="V380" s="5">
        <v>0</v>
      </c>
      <c r="W380" s="5">
        <v>0</v>
      </c>
      <c r="X380" s="5">
        <v>0</v>
      </c>
      <c r="Y380" s="5">
        <v>0</v>
      </c>
      <c r="Z380" s="5">
        <v>0</v>
      </c>
      <c r="AA380" s="5">
        <v>0</v>
      </c>
      <c r="AB380" s="5">
        <v>0</v>
      </c>
      <c r="AC380" s="5">
        <v>0</v>
      </c>
      <c r="AD380" s="5">
        <v>0</v>
      </c>
      <c r="AE380" s="5">
        <v>0</v>
      </c>
      <c r="AF380" s="5">
        <v>0</v>
      </c>
      <c r="AG380" s="5">
        <v>0</v>
      </c>
      <c r="AH380" s="5">
        <v>0</v>
      </c>
      <c r="AI380" s="5">
        <v>0</v>
      </c>
      <c r="AJ380" s="5">
        <v>0</v>
      </c>
      <c r="AK380" s="5">
        <v>0</v>
      </c>
      <c r="AL380" s="5">
        <v>0</v>
      </c>
      <c r="AM380" s="5">
        <v>0</v>
      </c>
      <c r="AN380" s="5">
        <v>0</v>
      </c>
      <c r="AO380" s="5">
        <v>1.3</v>
      </c>
      <c r="AP380" s="816">
        <v>0.97299999999999998</v>
      </c>
      <c r="AQ380" s="816">
        <v>1.649</v>
      </c>
      <c r="AR380" s="5">
        <v>1.3</v>
      </c>
      <c r="AS380" s="5">
        <v>0.449961</v>
      </c>
      <c r="AT380" s="5">
        <v>0</v>
      </c>
      <c r="AU380" s="5">
        <v>0</v>
      </c>
      <c r="AV380" s="5">
        <v>0</v>
      </c>
      <c r="AW380" s="815">
        <v>0</v>
      </c>
      <c r="AX380" s="816">
        <v>0</v>
      </c>
      <c r="AY380" s="819">
        <v>0</v>
      </c>
      <c r="AZ380" s="816"/>
      <c r="BA380" s="818"/>
      <c r="BB380" s="802" t="str" cm="1">
        <f t="array" ref="BB380">INDEX(C$4:BA$4,MATCH(TRUE,INDEX(C380:BA380&lt;&gt;0,),0))</f>
        <v>2016-17</v>
      </c>
      <c r="BC380" s="803" t="str" cm="1">
        <f t="array" ref="BC380">LOOKUP(2,1/(C380:BA380&lt;&gt;0),$C$4:$BA$4)</f>
        <v>2020-21</v>
      </c>
      <c r="BD380" s="804">
        <f>COUNTIF(RDprograms[[#This Row],[1978-79]:[2028-29]], "&gt;0")</f>
        <v>5</v>
      </c>
      <c r="BE380" s="805">
        <f>SUM(C380:BA380)/RDprograms[[#This Row],[Years with &gt; $0 investment]]</f>
        <v>1.1343922000000002</v>
      </c>
      <c r="BF380" s="806" t="s">
        <v>273</v>
      </c>
      <c r="BG380" s="807" t="s">
        <v>703</v>
      </c>
      <c r="BH380" s="847" t="s">
        <v>258</v>
      </c>
      <c r="BI380" s="809"/>
      <c r="BJ380" s="809"/>
      <c r="BK380" s="809"/>
      <c r="BL380" s="809"/>
      <c r="BM380" s="809"/>
      <c r="BN380" s="810"/>
      <c r="BO380" s="811" t="s">
        <v>236</v>
      </c>
      <c r="BP380" s="812" t="s">
        <v>1047</v>
      </c>
      <c r="BQ380" s="812"/>
      <c r="BR380" s="812"/>
      <c r="BS380" s="812"/>
      <c r="BT380" s="812" t="s">
        <v>238</v>
      </c>
    </row>
    <row r="381" spans="1:72" ht="12.75" customHeight="1">
      <c r="A381" s="813" t="s">
        <v>832</v>
      </c>
      <c r="B381" s="820" t="s">
        <v>1048</v>
      </c>
      <c r="C381" s="5">
        <v>0</v>
      </c>
      <c r="D381" s="5">
        <v>0</v>
      </c>
      <c r="E381" s="5">
        <v>0</v>
      </c>
      <c r="F381" s="5">
        <v>0</v>
      </c>
      <c r="G381" s="5">
        <v>0</v>
      </c>
      <c r="H381" s="5">
        <v>0</v>
      </c>
      <c r="I381" s="5">
        <v>0</v>
      </c>
      <c r="J381" s="5">
        <v>0</v>
      </c>
      <c r="K381" s="5">
        <v>0</v>
      </c>
      <c r="L381" s="5">
        <v>0</v>
      </c>
      <c r="M381" s="5">
        <v>0</v>
      </c>
      <c r="N381" s="5">
        <v>0</v>
      </c>
      <c r="O381" s="5">
        <v>0</v>
      </c>
      <c r="P381" s="5">
        <v>0</v>
      </c>
      <c r="Q381" s="5">
        <v>0</v>
      </c>
      <c r="R381" s="5">
        <v>0</v>
      </c>
      <c r="S381" s="5">
        <v>0</v>
      </c>
      <c r="T381" s="5">
        <v>0</v>
      </c>
      <c r="U381" s="5">
        <v>0</v>
      </c>
      <c r="V381" s="5">
        <v>0</v>
      </c>
      <c r="W381" s="5">
        <v>0</v>
      </c>
      <c r="X381" s="5">
        <v>0</v>
      </c>
      <c r="Y381" s="5">
        <v>0</v>
      </c>
      <c r="Z381" s="5">
        <v>0</v>
      </c>
      <c r="AA381" s="5">
        <v>0</v>
      </c>
      <c r="AB381" s="5">
        <v>0</v>
      </c>
      <c r="AC381" s="5">
        <v>0</v>
      </c>
      <c r="AD381" s="5">
        <v>0</v>
      </c>
      <c r="AE381" s="5">
        <v>0</v>
      </c>
      <c r="AF381" s="5">
        <v>0</v>
      </c>
      <c r="AG381" s="5">
        <v>0</v>
      </c>
      <c r="AH381" s="5">
        <v>0</v>
      </c>
      <c r="AI381" s="5">
        <v>0</v>
      </c>
      <c r="AJ381" s="5">
        <v>0</v>
      </c>
      <c r="AK381" s="5">
        <v>0</v>
      </c>
      <c r="AL381" s="5">
        <v>0</v>
      </c>
      <c r="AM381" s="5">
        <v>0</v>
      </c>
      <c r="AN381" s="5">
        <v>0</v>
      </c>
      <c r="AO381" s="5">
        <v>0</v>
      </c>
      <c r="AP381" s="5">
        <v>7.5</v>
      </c>
      <c r="AQ381" s="5">
        <v>7.3</v>
      </c>
      <c r="AR381" s="5">
        <v>6.9</v>
      </c>
      <c r="AS381" s="5">
        <v>4.4000000000000004</v>
      </c>
      <c r="AT381" s="5">
        <v>4.5</v>
      </c>
      <c r="AU381" s="5">
        <v>5.8</v>
      </c>
      <c r="AV381" s="5">
        <v>5.9</v>
      </c>
      <c r="AW381" s="815">
        <v>6</v>
      </c>
      <c r="AX381" s="816">
        <v>0</v>
      </c>
      <c r="AY381" s="819">
        <v>0</v>
      </c>
      <c r="AZ381" s="816"/>
      <c r="BA381" s="818"/>
      <c r="BB381" s="802" t="str" cm="1">
        <f t="array" ref="BB381">INDEX(C$4:BA$4,MATCH(TRUE,INDEX(C381:BA381&lt;&gt;0,),0))</f>
        <v>2017-18</v>
      </c>
      <c r="BC381" s="803" t="str" cm="1">
        <f t="array" ref="BC381">LOOKUP(2,1/(C381:BA381&lt;&gt;0),$C$4:$BA$4)</f>
        <v>2024-25</v>
      </c>
      <c r="BD381" s="804">
        <f>COUNTIF(RDprograms[[#This Row],[1978-79]:[2028-29]], "&gt;0")</f>
        <v>8</v>
      </c>
      <c r="BE381" s="805">
        <f>SUM(C381:BA381)/RDprograms[[#This Row],[Years with &gt; $0 investment]]</f>
        <v>6.0374999999999996</v>
      </c>
      <c r="BF381" s="806" t="s">
        <v>273</v>
      </c>
      <c r="BG381" s="807" t="s">
        <v>703</v>
      </c>
      <c r="BH381" s="847" t="s">
        <v>269</v>
      </c>
      <c r="BI381" s="809"/>
      <c r="BJ381" s="809"/>
      <c r="BK381" s="809"/>
      <c r="BL381" s="809"/>
      <c r="BM381" s="809"/>
      <c r="BN381" s="810"/>
      <c r="BO381" s="811" t="s">
        <v>236</v>
      </c>
      <c r="BP381" s="812" t="s">
        <v>1049</v>
      </c>
      <c r="BQ381" s="812" t="s">
        <v>1050</v>
      </c>
      <c r="BR381" s="812"/>
      <c r="BS381" s="812"/>
      <c r="BT381" s="812" t="s">
        <v>238</v>
      </c>
    </row>
    <row r="382" spans="1:72" ht="12.75" customHeight="1">
      <c r="A382" s="813" t="s">
        <v>832</v>
      </c>
      <c r="B382" s="820" t="s">
        <v>1051</v>
      </c>
      <c r="C382" s="5">
        <v>0</v>
      </c>
      <c r="D382" s="5">
        <v>0</v>
      </c>
      <c r="E382" s="5">
        <v>0</v>
      </c>
      <c r="F382" s="5">
        <v>0</v>
      </c>
      <c r="G382" s="5">
        <v>0</v>
      </c>
      <c r="H382" s="5">
        <v>0</v>
      </c>
      <c r="I382" s="5">
        <v>0</v>
      </c>
      <c r="J382" s="5">
        <v>0</v>
      </c>
      <c r="K382" s="5">
        <v>0</v>
      </c>
      <c r="L382" s="5">
        <v>0</v>
      </c>
      <c r="M382" s="5">
        <v>0</v>
      </c>
      <c r="N382" s="5">
        <v>0</v>
      </c>
      <c r="O382" s="5">
        <v>0</v>
      </c>
      <c r="P382" s="5">
        <v>0</v>
      </c>
      <c r="Q382" s="5">
        <v>0</v>
      </c>
      <c r="R382" s="5">
        <v>0</v>
      </c>
      <c r="S382" s="5">
        <v>0</v>
      </c>
      <c r="T382" s="5">
        <v>0</v>
      </c>
      <c r="U382" s="5">
        <v>0</v>
      </c>
      <c r="V382" s="5">
        <v>0</v>
      </c>
      <c r="W382" s="5">
        <v>0</v>
      </c>
      <c r="X382" s="5">
        <v>0</v>
      </c>
      <c r="Y382" s="5">
        <v>0</v>
      </c>
      <c r="Z382" s="5">
        <v>0</v>
      </c>
      <c r="AA382" s="5">
        <v>0</v>
      </c>
      <c r="AB382" s="5">
        <v>0</v>
      </c>
      <c r="AC382" s="5">
        <v>0</v>
      </c>
      <c r="AD382" s="5">
        <v>3</v>
      </c>
      <c r="AE382" s="5">
        <v>5.0839999999999996</v>
      </c>
      <c r="AF382" s="5">
        <v>5.673</v>
      </c>
      <c r="AG382" s="5">
        <v>5.8789999999999996</v>
      </c>
      <c r="AH382" s="5">
        <v>4.43</v>
      </c>
      <c r="AI382" s="5">
        <v>4.4189999999999996</v>
      </c>
      <c r="AJ382" s="5">
        <v>4.4039999999999999</v>
      </c>
      <c r="AK382" s="5">
        <v>4.5</v>
      </c>
      <c r="AL382" s="5">
        <v>6.51</v>
      </c>
      <c r="AM382" s="5">
        <v>5.2</v>
      </c>
      <c r="AN382" s="5">
        <v>4.79</v>
      </c>
      <c r="AO382" s="5">
        <v>5.68</v>
      </c>
      <c r="AP382" s="5">
        <v>4.9969999999999999</v>
      </c>
      <c r="AQ382" s="5">
        <v>5.5069999999999997</v>
      </c>
      <c r="AR382" s="5">
        <v>4.468</v>
      </c>
      <c r="AS382" s="5">
        <v>5.1275139999999997</v>
      </c>
      <c r="AT382" s="5">
        <v>5.1630000000000003</v>
      </c>
      <c r="AU382" s="5">
        <v>5.2249999999999996</v>
      </c>
      <c r="AV382" s="5">
        <v>5.2990000000000004</v>
      </c>
      <c r="AW382" s="815">
        <v>0</v>
      </c>
      <c r="AX382" s="816">
        <v>0</v>
      </c>
      <c r="AY382" s="819">
        <v>0</v>
      </c>
      <c r="AZ382" s="816"/>
      <c r="BA382" s="818"/>
      <c r="BB382" s="802" t="str" cm="1">
        <f t="array" ref="BB382">INDEX(C$4:BA$4,MATCH(TRUE,INDEX(C382:BA382&lt;&gt;0,),0))</f>
        <v>2005-06</v>
      </c>
      <c r="BC382" s="803" t="str" cm="1">
        <f t="array" ref="BC382">LOOKUP(2,1/(C382:BA382&lt;&gt;0),$C$4:$BA$4)</f>
        <v>2023-24</v>
      </c>
      <c r="BD382" s="804">
        <f>COUNTIF(RDprograms[[#This Row],[1978-79]:[2028-29]], "&gt;0")</f>
        <v>19</v>
      </c>
      <c r="BE382" s="805">
        <f>SUM(C382:BA382)/RDprograms[[#This Row],[Years with &gt; $0 investment]]</f>
        <v>5.0187112631578952</v>
      </c>
      <c r="BF382" s="806" t="s">
        <v>240</v>
      </c>
      <c r="BG382" s="807" t="s">
        <v>703</v>
      </c>
      <c r="BH382" s="847" t="s">
        <v>834</v>
      </c>
      <c r="BI382" s="809"/>
      <c r="BJ382" s="809"/>
      <c r="BK382" s="809"/>
      <c r="BL382" s="809"/>
      <c r="BM382" s="809"/>
      <c r="BN382" s="810"/>
      <c r="BO382" s="811" t="s">
        <v>236</v>
      </c>
      <c r="BP382" s="812" t="s">
        <v>1052</v>
      </c>
      <c r="BQ382" s="812" t="s">
        <v>1053</v>
      </c>
      <c r="BR382" s="812" t="s">
        <v>902</v>
      </c>
      <c r="BS382" s="812"/>
      <c r="BT382" s="812" t="s">
        <v>238</v>
      </c>
    </row>
    <row r="383" spans="1:72" ht="12.75" customHeight="1">
      <c r="A383" s="813" t="s">
        <v>832</v>
      </c>
      <c r="B383" s="820" t="s">
        <v>1054</v>
      </c>
      <c r="C383" s="5">
        <v>0</v>
      </c>
      <c r="D383" s="5">
        <v>0</v>
      </c>
      <c r="E383" s="5">
        <v>0</v>
      </c>
      <c r="F383" s="5">
        <v>0</v>
      </c>
      <c r="G383" s="5">
        <v>0</v>
      </c>
      <c r="H383" s="5">
        <v>0</v>
      </c>
      <c r="I383" s="5">
        <v>0</v>
      </c>
      <c r="J383" s="5">
        <v>0</v>
      </c>
      <c r="K383" s="5">
        <v>0</v>
      </c>
      <c r="L383" s="5">
        <v>0</v>
      </c>
      <c r="M383" s="5">
        <v>0</v>
      </c>
      <c r="N383" s="5">
        <v>0</v>
      </c>
      <c r="O383" s="5">
        <v>0</v>
      </c>
      <c r="P383" s="5">
        <v>0</v>
      </c>
      <c r="Q383" s="5">
        <v>0</v>
      </c>
      <c r="R383" s="5">
        <v>0</v>
      </c>
      <c r="S383" s="5">
        <v>0</v>
      </c>
      <c r="T383" s="5">
        <v>0</v>
      </c>
      <c r="U383" s="5">
        <v>0</v>
      </c>
      <c r="V383" s="5">
        <v>0</v>
      </c>
      <c r="W383" s="5">
        <v>0</v>
      </c>
      <c r="X383" s="5">
        <v>0</v>
      </c>
      <c r="Y383" s="5">
        <v>0</v>
      </c>
      <c r="Z383" s="5">
        <v>0</v>
      </c>
      <c r="AA383" s="5">
        <v>0</v>
      </c>
      <c r="AB383" s="5">
        <v>0</v>
      </c>
      <c r="AC383" s="5">
        <v>0</v>
      </c>
      <c r="AD383" s="5">
        <v>0</v>
      </c>
      <c r="AE383" s="5">
        <v>0</v>
      </c>
      <c r="AF383" s="5">
        <v>0</v>
      </c>
      <c r="AG383" s="5">
        <v>0</v>
      </c>
      <c r="AH383" s="5">
        <v>0</v>
      </c>
      <c r="AI383" s="5">
        <v>0</v>
      </c>
      <c r="AJ383" s="5">
        <v>0</v>
      </c>
      <c r="AK383" s="5">
        <v>0</v>
      </c>
      <c r="AL383" s="5">
        <v>0</v>
      </c>
      <c r="AM383" s="5">
        <v>0</v>
      </c>
      <c r="AN383" s="5">
        <v>0</v>
      </c>
      <c r="AO383" s="5">
        <v>0</v>
      </c>
      <c r="AP383" s="5">
        <v>0</v>
      </c>
      <c r="AQ383" s="5">
        <v>0</v>
      </c>
      <c r="AR383" s="5">
        <v>0</v>
      </c>
      <c r="AS383" s="5">
        <v>0</v>
      </c>
      <c r="AT383" s="5">
        <v>0</v>
      </c>
      <c r="AU383" s="5">
        <v>0.47499999999999998</v>
      </c>
      <c r="AV383" s="5">
        <v>0.66</v>
      </c>
      <c r="AW383" s="849">
        <v>0.2</v>
      </c>
      <c r="AX383" s="5">
        <v>0</v>
      </c>
      <c r="AY383" s="819">
        <v>0</v>
      </c>
      <c r="AZ383" s="826">
        <v>0</v>
      </c>
      <c r="BA383" s="838"/>
      <c r="BB383" s="802" t="str" cm="1">
        <f t="array" ref="BB383">INDEX(C$4:BA$4,MATCH(TRUE,INDEX(C383:BA383&lt;&gt;0,),0))</f>
        <v>2022-23</v>
      </c>
      <c r="BC383" s="803" t="str" cm="1">
        <f t="array" ref="BC383">LOOKUP(2,1/(C383:BA383&lt;&gt;0),$C$4:$BA$4)</f>
        <v>2024-25</v>
      </c>
      <c r="BD383" s="839">
        <f>COUNTIF(RDprograms[[#This Row],[1978-79]:[2028-29]], "&gt;0")</f>
        <v>3</v>
      </c>
      <c r="BE383" s="805">
        <f>SUM(C383:BA383)/RDprograms[[#This Row],[Years with &gt; $0 investment]]</f>
        <v>0.44500000000000001</v>
      </c>
      <c r="BF383" s="806" t="s">
        <v>273</v>
      </c>
      <c r="BG383" s="807" t="s">
        <v>703</v>
      </c>
      <c r="BH383" s="847" t="s">
        <v>269</v>
      </c>
      <c r="BI383" s="809"/>
      <c r="BJ383" s="809"/>
      <c r="BK383" s="809"/>
      <c r="BL383" s="809"/>
      <c r="BM383" s="809"/>
      <c r="BN383" s="810"/>
      <c r="BO383" s="811" t="s">
        <v>236</v>
      </c>
      <c r="BP383" s="812" t="s">
        <v>1055</v>
      </c>
      <c r="BQ383" s="812"/>
      <c r="BR383" s="812"/>
      <c r="BS383" s="812"/>
      <c r="BT383" s="812"/>
    </row>
    <row r="384" spans="1:72" ht="12.75" customHeight="1">
      <c r="A384" s="813" t="s">
        <v>832</v>
      </c>
      <c r="B384" s="820" t="s">
        <v>1056</v>
      </c>
      <c r="C384" s="5">
        <v>0</v>
      </c>
      <c r="D384" s="5">
        <v>0</v>
      </c>
      <c r="E384" s="5">
        <v>0</v>
      </c>
      <c r="F384" s="5">
        <v>0</v>
      </c>
      <c r="G384" s="5">
        <v>0</v>
      </c>
      <c r="H384" s="5">
        <v>0</v>
      </c>
      <c r="I384" s="5">
        <v>0</v>
      </c>
      <c r="J384" s="5">
        <v>0</v>
      </c>
      <c r="K384" s="5">
        <v>0</v>
      </c>
      <c r="L384" s="5">
        <v>0</v>
      </c>
      <c r="M384" s="5">
        <v>0</v>
      </c>
      <c r="N384" s="5">
        <v>0</v>
      </c>
      <c r="O384" s="5">
        <v>0</v>
      </c>
      <c r="P384" s="5">
        <v>0</v>
      </c>
      <c r="Q384" s="5">
        <v>0</v>
      </c>
      <c r="R384" s="5">
        <v>0</v>
      </c>
      <c r="S384" s="5">
        <v>0</v>
      </c>
      <c r="T384" s="5">
        <v>0</v>
      </c>
      <c r="U384" s="5">
        <v>0</v>
      </c>
      <c r="V384" s="5">
        <v>0</v>
      </c>
      <c r="W384" s="5">
        <v>0</v>
      </c>
      <c r="X384" s="5">
        <v>0</v>
      </c>
      <c r="Y384" s="5">
        <v>0</v>
      </c>
      <c r="Z384" s="5">
        <v>0</v>
      </c>
      <c r="AA384" s="5">
        <v>0</v>
      </c>
      <c r="AB384" s="5">
        <v>0</v>
      </c>
      <c r="AC384" s="5">
        <v>0</v>
      </c>
      <c r="AD384" s="5">
        <v>0</v>
      </c>
      <c r="AE384" s="5">
        <v>0</v>
      </c>
      <c r="AF384" s="5">
        <v>0</v>
      </c>
      <c r="AG384" s="5">
        <v>0</v>
      </c>
      <c r="AH384" s="5">
        <v>0</v>
      </c>
      <c r="AI384" s="5">
        <v>0</v>
      </c>
      <c r="AJ384" s="5">
        <v>0</v>
      </c>
      <c r="AK384" s="5">
        <v>0</v>
      </c>
      <c r="AL384" s="5">
        <v>0</v>
      </c>
      <c r="AM384" s="5">
        <v>0</v>
      </c>
      <c r="AN384" s="5">
        <v>0</v>
      </c>
      <c r="AO384" s="5">
        <v>0</v>
      </c>
      <c r="AP384" s="5">
        <v>0</v>
      </c>
      <c r="AQ384" s="5">
        <v>0</v>
      </c>
      <c r="AR384" s="5">
        <v>0</v>
      </c>
      <c r="AS384" s="5">
        <v>0</v>
      </c>
      <c r="AT384" s="5">
        <v>0</v>
      </c>
      <c r="AU384" s="5">
        <v>2.738</v>
      </c>
      <c r="AV384" s="5">
        <v>2.4249999999999998</v>
      </c>
      <c r="AW384" s="815">
        <v>2.488</v>
      </c>
      <c r="AX384" s="816">
        <v>2.552</v>
      </c>
      <c r="AY384" s="819">
        <v>0</v>
      </c>
      <c r="AZ384" s="816"/>
      <c r="BA384" s="818"/>
      <c r="BB384" s="802" t="str" cm="1">
        <f t="array" ref="BB384">INDEX(C$4:BA$4,MATCH(TRUE,INDEX(C384:BA384&lt;&gt;0,),0))</f>
        <v>2022-23</v>
      </c>
      <c r="BC384" s="803" t="str" cm="1">
        <f t="array" ref="BC384">LOOKUP(2,1/(C384:BA384&lt;&gt;0),$C$4:$BA$4)</f>
        <v>2025-26</v>
      </c>
      <c r="BD384" s="804">
        <f>COUNTIF(RDprograms[[#This Row],[1978-79]:[2028-29]], "&gt;0")</f>
        <v>4</v>
      </c>
      <c r="BE384" s="805">
        <f>SUM(C384:BA384)/RDprograms[[#This Row],[Years with &gt; $0 investment]]</f>
        <v>2.5507499999999999</v>
      </c>
      <c r="BF384" s="806" t="s">
        <v>273</v>
      </c>
      <c r="BG384" s="807" t="s">
        <v>703</v>
      </c>
      <c r="BH384" s="847" t="s">
        <v>834</v>
      </c>
      <c r="BI384" s="809"/>
      <c r="BJ384" s="809">
        <v>1</v>
      </c>
      <c r="BK384" s="809"/>
      <c r="BL384" s="809"/>
      <c r="BM384" s="809"/>
      <c r="BN384" s="810"/>
      <c r="BO384" s="811" t="s">
        <v>236</v>
      </c>
      <c r="BP384" s="812" t="s">
        <v>1057</v>
      </c>
      <c r="BQ384" s="812" t="s">
        <v>1058</v>
      </c>
      <c r="BR384" s="812"/>
      <c r="BS384" s="812"/>
      <c r="BT384" s="812" t="s">
        <v>238</v>
      </c>
    </row>
    <row r="385" spans="1:72" ht="12.75" customHeight="1">
      <c r="A385" s="813" t="s">
        <v>832</v>
      </c>
      <c r="B385" s="820" t="s">
        <v>1059</v>
      </c>
      <c r="C385" s="5">
        <v>0</v>
      </c>
      <c r="D385" s="5">
        <v>0</v>
      </c>
      <c r="E385" s="5">
        <v>0</v>
      </c>
      <c r="F385" s="5">
        <v>0</v>
      </c>
      <c r="G385" s="5">
        <v>0</v>
      </c>
      <c r="H385" s="5">
        <v>0</v>
      </c>
      <c r="I385" s="5">
        <v>0</v>
      </c>
      <c r="J385" s="5">
        <v>0</v>
      </c>
      <c r="K385" s="5">
        <v>0</v>
      </c>
      <c r="L385" s="5">
        <v>0</v>
      </c>
      <c r="M385" s="5">
        <v>0</v>
      </c>
      <c r="N385" s="5">
        <v>0</v>
      </c>
      <c r="O385" s="5">
        <v>0</v>
      </c>
      <c r="P385" s="5">
        <v>0</v>
      </c>
      <c r="Q385" s="5">
        <v>0</v>
      </c>
      <c r="R385" s="5">
        <v>0</v>
      </c>
      <c r="S385" s="5">
        <v>0</v>
      </c>
      <c r="T385" s="5">
        <v>0</v>
      </c>
      <c r="U385" s="5">
        <v>0</v>
      </c>
      <c r="V385" s="5">
        <v>0</v>
      </c>
      <c r="W385" s="5">
        <v>0</v>
      </c>
      <c r="X385" s="5">
        <v>0</v>
      </c>
      <c r="Y385" s="5">
        <v>0</v>
      </c>
      <c r="Z385" s="5">
        <v>0</v>
      </c>
      <c r="AA385" s="5">
        <v>0</v>
      </c>
      <c r="AB385" s="5">
        <v>0</v>
      </c>
      <c r="AC385" s="5">
        <v>0</v>
      </c>
      <c r="AD385" s="5">
        <v>0</v>
      </c>
      <c r="AE385" s="5">
        <v>0</v>
      </c>
      <c r="AF385" s="5">
        <v>0</v>
      </c>
      <c r="AG385" s="5">
        <v>0</v>
      </c>
      <c r="AH385" s="5">
        <v>0</v>
      </c>
      <c r="AI385" s="5">
        <v>0</v>
      </c>
      <c r="AJ385" s="5">
        <v>0</v>
      </c>
      <c r="AK385" s="5">
        <v>0</v>
      </c>
      <c r="AL385" s="5">
        <v>0</v>
      </c>
      <c r="AM385" s="5">
        <v>0</v>
      </c>
      <c r="AN385" s="5">
        <v>0</v>
      </c>
      <c r="AO385" s="5">
        <v>1.379</v>
      </c>
      <c r="AP385" s="5">
        <v>0</v>
      </c>
      <c r="AQ385" s="5">
        <v>0</v>
      </c>
      <c r="AR385" s="5">
        <v>0</v>
      </c>
      <c r="AS385" s="5">
        <v>0</v>
      </c>
      <c r="AT385" s="5">
        <v>0</v>
      </c>
      <c r="AU385" s="5">
        <v>0</v>
      </c>
      <c r="AV385" s="5">
        <v>0</v>
      </c>
      <c r="AW385" s="815">
        <v>0</v>
      </c>
      <c r="AX385" s="816">
        <v>0</v>
      </c>
      <c r="AY385" s="819">
        <v>0</v>
      </c>
      <c r="AZ385" s="816"/>
      <c r="BA385" s="818"/>
      <c r="BB385" s="802" t="str" cm="1">
        <f t="array" ref="BB385">INDEX(C$4:BA$4,MATCH(TRUE,INDEX(C385:BA385&lt;&gt;0,),0))</f>
        <v>2016-17</v>
      </c>
      <c r="BC385" s="803" t="str" cm="1">
        <f t="array" ref="BC385">LOOKUP(2,1/(C385:BA385&lt;&gt;0),$C$4:$BA$4)</f>
        <v>2016-17</v>
      </c>
      <c r="BD385" s="804">
        <f>COUNTIF(RDprograms[[#This Row],[1978-79]:[2028-29]], "&gt;0")</f>
        <v>1</v>
      </c>
      <c r="BE385" s="805">
        <f>SUM(C385:BA385)/RDprograms[[#This Row],[Years with &gt; $0 investment]]</f>
        <v>1.379</v>
      </c>
      <c r="BF385" s="806" t="s">
        <v>273</v>
      </c>
      <c r="BG385" s="807" t="s">
        <v>703</v>
      </c>
      <c r="BH385" s="847" t="s">
        <v>834</v>
      </c>
      <c r="BI385" s="809"/>
      <c r="BJ385" s="809"/>
      <c r="BK385" s="809"/>
      <c r="BL385" s="809"/>
      <c r="BM385" s="809"/>
      <c r="BN385" s="810"/>
      <c r="BO385" s="811" t="s">
        <v>251</v>
      </c>
      <c r="BP385" s="812" t="s">
        <v>1060</v>
      </c>
      <c r="BQ385" s="812" t="s">
        <v>1061</v>
      </c>
      <c r="BR385" s="812" t="s">
        <v>1062</v>
      </c>
      <c r="BS385" s="812"/>
      <c r="BT385" s="812" t="s">
        <v>238</v>
      </c>
    </row>
    <row r="386" spans="1:72" ht="12.75" customHeight="1">
      <c r="A386" s="813" t="s">
        <v>832</v>
      </c>
      <c r="B386" s="820" t="s">
        <v>1063</v>
      </c>
      <c r="C386" s="5">
        <v>0</v>
      </c>
      <c r="D386" s="5">
        <v>0</v>
      </c>
      <c r="E386" s="5">
        <v>0</v>
      </c>
      <c r="F386" s="5">
        <v>0</v>
      </c>
      <c r="G386" s="5">
        <v>0</v>
      </c>
      <c r="H386" s="5">
        <v>0</v>
      </c>
      <c r="I386" s="5">
        <v>0</v>
      </c>
      <c r="J386" s="5">
        <v>0</v>
      </c>
      <c r="K386" s="5">
        <v>0</v>
      </c>
      <c r="L386" s="5">
        <v>0</v>
      </c>
      <c r="M386" s="5">
        <v>0</v>
      </c>
      <c r="N386" s="5">
        <v>0</v>
      </c>
      <c r="O386" s="5">
        <v>0</v>
      </c>
      <c r="P386" s="5">
        <v>0</v>
      </c>
      <c r="Q386" s="5">
        <v>0</v>
      </c>
      <c r="R386" s="5">
        <v>0</v>
      </c>
      <c r="S386" s="5">
        <v>0</v>
      </c>
      <c r="T386" s="5">
        <v>0</v>
      </c>
      <c r="U386" s="5">
        <v>0</v>
      </c>
      <c r="V386" s="5">
        <v>0</v>
      </c>
      <c r="W386" s="5">
        <v>0</v>
      </c>
      <c r="X386" s="5">
        <v>0</v>
      </c>
      <c r="Y386" s="5">
        <v>0</v>
      </c>
      <c r="Z386" s="5">
        <v>0</v>
      </c>
      <c r="AA386" s="5">
        <v>0</v>
      </c>
      <c r="AB386" s="5">
        <v>0</v>
      </c>
      <c r="AC386" s="5">
        <v>0</v>
      </c>
      <c r="AD386" s="5">
        <v>0</v>
      </c>
      <c r="AE386" s="5">
        <v>0</v>
      </c>
      <c r="AF386" s="5">
        <v>0</v>
      </c>
      <c r="AG386" s="5">
        <v>0</v>
      </c>
      <c r="AH386" s="5">
        <v>0</v>
      </c>
      <c r="AI386" s="5">
        <v>0</v>
      </c>
      <c r="AJ386" s="5">
        <v>0</v>
      </c>
      <c r="AK386" s="5">
        <v>0.158</v>
      </c>
      <c r="AL386" s="5">
        <v>0.23200000000000001</v>
      </c>
      <c r="AM386" s="5">
        <v>0.17599999999999999</v>
      </c>
      <c r="AN386" s="5">
        <v>0</v>
      </c>
      <c r="AO386" s="5">
        <v>1.7999999999999999E-2</v>
      </c>
      <c r="AP386" s="5">
        <v>0.26800000000000002</v>
      </c>
      <c r="AQ386" s="5">
        <v>0.21</v>
      </c>
      <c r="AR386" s="5">
        <v>0.28000000000000003</v>
      </c>
      <c r="AS386" s="5">
        <v>0.18</v>
      </c>
      <c r="AT386" s="5">
        <v>0</v>
      </c>
      <c r="AU386" s="5">
        <v>0</v>
      </c>
      <c r="AV386" s="5">
        <v>0</v>
      </c>
      <c r="AW386" s="815">
        <v>0.1</v>
      </c>
      <c r="AX386" s="816">
        <v>0.2</v>
      </c>
      <c r="AY386" s="819">
        <v>0.1</v>
      </c>
      <c r="AZ386" s="816"/>
      <c r="BA386" s="818"/>
      <c r="BB386" s="802" t="str" cm="1">
        <f t="array" ref="BB386">INDEX(C$4:BA$4,MATCH(TRUE,INDEX(C386:BA386&lt;&gt;0,),0))</f>
        <v>2012-13</v>
      </c>
      <c r="BC386" s="803" t="str" cm="1">
        <f t="array" ref="BC386">LOOKUP(2,1/(C386:BA386&lt;&gt;0),$C$4:$BA$4)</f>
        <v>2026-27</v>
      </c>
      <c r="BD386" s="804">
        <f>COUNTIF(RDprograms[[#This Row],[1978-79]:[2028-29]], "&gt;0")</f>
        <v>11</v>
      </c>
      <c r="BE386" s="805">
        <f>SUM(C386:BA386)/RDprograms[[#This Row],[Years with &gt; $0 investment]]</f>
        <v>0.17472727272727273</v>
      </c>
      <c r="BF386" s="806" t="s">
        <v>273</v>
      </c>
      <c r="BG386" s="807" t="s">
        <v>703</v>
      </c>
      <c r="BH386" s="847" t="s">
        <v>834</v>
      </c>
      <c r="BI386" s="809"/>
      <c r="BJ386" s="809">
        <v>1</v>
      </c>
      <c r="BK386" s="809"/>
      <c r="BL386" s="809"/>
      <c r="BM386" s="809"/>
      <c r="BN386" s="810"/>
      <c r="BO386" s="811" t="s">
        <v>236</v>
      </c>
      <c r="BP386" s="812" t="s">
        <v>1064</v>
      </c>
      <c r="BQ386" s="812" t="s">
        <v>1065</v>
      </c>
      <c r="BR386" s="812"/>
      <c r="BS386" s="812"/>
      <c r="BT386" s="812" t="s">
        <v>672</v>
      </c>
    </row>
    <row r="387" spans="1:72" ht="12.75" customHeight="1">
      <c r="A387" s="813" t="s">
        <v>832</v>
      </c>
      <c r="B387" s="820" t="s">
        <v>1066</v>
      </c>
      <c r="C387" s="5">
        <v>0</v>
      </c>
      <c r="D387" s="5">
        <v>0</v>
      </c>
      <c r="E387" s="5">
        <v>0</v>
      </c>
      <c r="F387" s="5">
        <v>0</v>
      </c>
      <c r="G387" s="5">
        <v>0</v>
      </c>
      <c r="H387" s="5">
        <v>0</v>
      </c>
      <c r="I387" s="5">
        <v>0</v>
      </c>
      <c r="J387" s="5">
        <v>0</v>
      </c>
      <c r="K387" s="5">
        <v>0</v>
      </c>
      <c r="L387" s="5">
        <v>0</v>
      </c>
      <c r="M387" s="5">
        <v>0</v>
      </c>
      <c r="N387" s="5">
        <v>0</v>
      </c>
      <c r="O387" s="5">
        <v>0</v>
      </c>
      <c r="P387" s="5">
        <v>0</v>
      </c>
      <c r="Q387" s="5">
        <v>0</v>
      </c>
      <c r="R387" s="5">
        <v>0</v>
      </c>
      <c r="S387" s="5">
        <v>0</v>
      </c>
      <c r="T387" s="5">
        <v>0</v>
      </c>
      <c r="U387" s="5">
        <v>0</v>
      </c>
      <c r="V387" s="5">
        <v>0</v>
      </c>
      <c r="W387" s="5">
        <v>0</v>
      </c>
      <c r="X387" s="5">
        <v>0</v>
      </c>
      <c r="Y387" s="5">
        <v>0</v>
      </c>
      <c r="Z387" s="5">
        <v>0</v>
      </c>
      <c r="AA387" s="5">
        <v>0</v>
      </c>
      <c r="AB387" s="5">
        <v>0</v>
      </c>
      <c r="AC387" s="5">
        <v>0</v>
      </c>
      <c r="AD387" s="5">
        <v>0</v>
      </c>
      <c r="AE387" s="5">
        <v>0</v>
      </c>
      <c r="AF387" s="5">
        <v>0</v>
      </c>
      <c r="AG387" s="5">
        <v>0</v>
      </c>
      <c r="AH387" s="5">
        <v>0</v>
      </c>
      <c r="AI387" s="5">
        <v>0</v>
      </c>
      <c r="AJ387" s="5">
        <v>0</v>
      </c>
      <c r="AK387" s="5">
        <v>6.6000000000000003E-2</v>
      </c>
      <c r="AL387" s="5">
        <v>0</v>
      </c>
      <c r="AM387" s="5">
        <v>0</v>
      </c>
      <c r="AN387" s="5">
        <v>0</v>
      </c>
      <c r="AO387" s="5">
        <v>0</v>
      </c>
      <c r="AP387" s="816">
        <v>0</v>
      </c>
      <c r="AQ387" s="816">
        <v>0</v>
      </c>
      <c r="AR387" s="5">
        <v>2.5</v>
      </c>
      <c r="AS387" s="5">
        <v>0</v>
      </c>
      <c r="AT387" s="5">
        <v>0</v>
      </c>
      <c r="AU387" s="5">
        <v>0</v>
      </c>
      <c r="AV387" s="5">
        <v>1.75</v>
      </c>
      <c r="AW387" s="815">
        <v>0</v>
      </c>
      <c r="AX387" s="816">
        <v>0</v>
      </c>
      <c r="AY387" s="819">
        <v>0</v>
      </c>
      <c r="AZ387" s="816"/>
      <c r="BA387" s="818"/>
      <c r="BB387" s="802" t="str" cm="1">
        <f t="array" ref="BB387">INDEX(C$4:BA$4,MATCH(TRUE,INDEX(C387:BA387&lt;&gt;0,),0))</f>
        <v>2012-13</v>
      </c>
      <c r="BC387" s="803" t="str" cm="1">
        <f t="array" ref="BC387">LOOKUP(2,1/(C387:BA387&lt;&gt;0),$C$4:$BA$4)</f>
        <v>2023-24</v>
      </c>
      <c r="BD387" s="804">
        <f>COUNTIF(RDprograms[[#This Row],[1978-79]:[2028-29]], "&gt;0")</f>
        <v>3</v>
      </c>
      <c r="BE387" s="805">
        <f>SUM(C387:BA387)/RDprograms[[#This Row],[Years with &gt; $0 investment]]</f>
        <v>1.4386666666666665</v>
      </c>
      <c r="BF387" s="806" t="s">
        <v>273</v>
      </c>
      <c r="BG387" s="807" t="s">
        <v>703</v>
      </c>
      <c r="BH387" s="847" t="s">
        <v>834</v>
      </c>
      <c r="BI387" s="809"/>
      <c r="BJ387" s="809"/>
      <c r="BK387" s="809"/>
      <c r="BL387" s="809"/>
      <c r="BM387" s="809"/>
      <c r="BN387" s="810"/>
      <c r="BO387" s="811" t="s">
        <v>236</v>
      </c>
      <c r="BP387" s="812" t="s">
        <v>1067</v>
      </c>
      <c r="BQ387" s="812" t="s">
        <v>1058</v>
      </c>
      <c r="BR387" s="812"/>
      <c r="BS387" s="812"/>
      <c r="BT387" s="812" t="s">
        <v>238</v>
      </c>
    </row>
    <row r="388" spans="1:72" ht="12.75" customHeight="1">
      <c r="A388" s="813" t="s">
        <v>832</v>
      </c>
      <c r="B388" s="820" t="s">
        <v>1068</v>
      </c>
      <c r="C388" s="5">
        <v>0</v>
      </c>
      <c r="D388" s="5">
        <v>0</v>
      </c>
      <c r="E388" s="5">
        <v>0</v>
      </c>
      <c r="F388" s="5">
        <v>0</v>
      </c>
      <c r="G388" s="5">
        <v>0</v>
      </c>
      <c r="H388" s="5">
        <v>0</v>
      </c>
      <c r="I388" s="5">
        <v>0</v>
      </c>
      <c r="J388" s="5">
        <v>0</v>
      </c>
      <c r="K388" s="5">
        <v>0</v>
      </c>
      <c r="L388" s="5">
        <v>0</v>
      </c>
      <c r="M388" s="5">
        <v>0</v>
      </c>
      <c r="N388" s="5">
        <v>0</v>
      </c>
      <c r="O388" s="5">
        <v>0</v>
      </c>
      <c r="P388" s="5">
        <v>0</v>
      </c>
      <c r="Q388" s="5">
        <v>0</v>
      </c>
      <c r="R388" s="5">
        <v>0</v>
      </c>
      <c r="S388" s="5">
        <v>0</v>
      </c>
      <c r="T388" s="5">
        <v>0</v>
      </c>
      <c r="U388" s="5">
        <v>0</v>
      </c>
      <c r="V388" s="5">
        <v>0</v>
      </c>
      <c r="W388" s="5">
        <v>0</v>
      </c>
      <c r="X388" s="5">
        <v>0</v>
      </c>
      <c r="Y388" s="5">
        <v>0</v>
      </c>
      <c r="Z388" s="5">
        <v>0</v>
      </c>
      <c r="AA388" s="5">
        <v>0</v>
      </c>
      <c r="AB388" s="5">
        <v>0</v>
      </c>
      <c r="AC388" s="5">
        <v>0</v>
      </c>
      <c r="AD388" s="5">
        <v>0</v>
      </c>
      <c r="AE388" s="5">
        <v>0</v>
      </c>
      <c r="AF388" s="5">
        <v>0</v>
      </c>
      <c r="AG388" s="5">
        <v>0</v>
      </c>
      <c r="AH388" s="5">
        <v>0</v>
      </c>
      <c r="AI388" s="5">
        <v>0</v>
      </c>
      <c r="AJ388" s="5">
        <v>0.22700000000000001</v>
      </c>
      <c r="AK388" s="5">
        <v>0</v>
      </c>
      <c r="AL388" s="5">
        <v>0</v>
      </c>
      <c r="AM388" s="5">
        <v>0</v>
      </c>
      <c r="AN388" s="5">
        <v>0</v>
      </c>
      <c r="AO388" s="5">
        <v>0</v>
      </c>
      <c r="AP388" s="816">
        <v>0</v>
      </c>
      <c r="AQ388" s="816">
        <v>0</v>
      </c>
      <c r="AR388" s="5">
        <v>0</v>
      </c>
      <c r="AS388" s="5">
        <v>0</v>
      </c>
      <c r="AT388" s="5">
        <v>0</v>
      </c>
      <c r="AU388" s="5">
        <v>0</v>
      </c>
      <c r="AV388" s="5">
        <v>0</v>
      </c>
      <c r="AW388" s="815">
        <v>0</v>
      </c>
      <c r="AX388" s="816">
        <v>0</v>
      </c>
      <c r="AY388" s="819">
        <v>0</v>
      </c>
      <c r="AZ388" s="816"/>
      <c r="BA388" s="818"/>
      <c r="BB388" s="802" t="str" cm="1">
        <f t="array" ref="BB388">INDEX(C$4:BA$4,MATCH(TRUE,INDEX(C388:BA388&lt;&gt;0,),0))</f>
        <v>2011-12</v>
      </c>
      <c r="BC388" s="803" t="str" cm="1">
        <f t="array" ref="BC388">LOOKUP(2,1/(C388:BA388&lt;&gt;0),$C$4:$BA$4)</f>
        <v>2011-12</v>
      </c>
      <c r="BD388" s="804">
        <f>COUNTIF(RDprograms[[#This Row],[1978-79]:[2028-29]], "&gt;0")</f>
        <v>1</v>
      </c>
      <c r="BE388" s="805">
        <f>SUM(C388:BA388)/RDprograms[[#This Row],[Years with &gt; $0 investment]]</f>
        <v>0.22700000000000001</v>
      </c>
      <c r="BF388" s="806" t="s">
        <v>273</v>
      </c>
      <c r="BG388" s="807" t="s">
        <v>703</v>
      </c>
      <c r="BH388" s="847" t="s">
        <v>834</v>
      </c>
      <c r="BI388" s="809"/>
      <c r="BJ388" s="809"/>
      <c r="BK388" s="809"/>
      <c r="BL388" s="809"/>
      <c r="BM388" s="809"/>
      <c r="BN388" s="810"/>
      <c r="BO388" s="811" t="s">
        <v>236</v>
      </c>
      <c r="BP388" s="812"/>
      <c r="BQ388" s="812"/>
      <c r="BR388" s="812"/>
      <c r="BS388" s="812"/>
      <c r="BT388" s="812" t="s">
        <v>238</v>
      </c>
    </row>
    <row r="389" spans="1:72" ht="12.75" customHeight="1">
      <c r="A389" s="813" t="s">
        <v>832</v>
      </c>
      <c r="B389" s="820" t="s">
        <v>1069</v>
      </c>
      <c r="C389" s="5">
        <v>0</v>
      </c>
      <c r="D389" s="5">
        <v>0</v>
      </c>
      <c r="E389" s="5">
        <v>0</v>
      </c>
      <c r="F389" s="5">
        <v>0</v>
      </c>
      <c r="G389" s="5">
        <v>0</v>
      </c>
      <c r="H389" s="5">
        <v>0</v>
      </c>
      <c r="I389" s="5">
        <v>0</v>
      </c>
      <c r="J389" s="5">
        <v>0</v>
      </c>
      <c r="K389" s="5">
        <v>0</v>
      </c>
      <c r="L389" s="5">
        <v>0</v>
      </c>
      <c r="M389" s="5">
        <v>0</v>
      </c>
      <c r="N389" s="5">
        <v>0</v>
      </c>
      <c r="O389" s="5">
        <v>0</v>
      </c>
      <c r="P389" s="5">
        <v>0</v>
      </c>
      <c r="Q389" s="5">
        <v>0</v>
      </c>
      <c r="R389" s="5">
        <v>0</v>
      </c>
      <c r="S389" s="5">
        <v>0</v>
      </c>
      <c r="T389" s="5">
        <v>0</v>
      </c>
      <c r="U389" s="5">
        <v>0</v>
      </c>
      <c r="V389" s="5">
        <v>0</v>
      </c>
      <c r="W389" s="5">
        <v>0</v>
      </c>
      <c r="X389" s="5">
        <v>0</v>
      </c>
      <c r="Y389" s="5">
        <v>0</v>
      </c>
      <c r="Z389" s="5">
        <v>0</v>
      </c>
      <c r="AA389" s="5">
        <v>0</v>
      </c>
      <c r="AB389" s="5">
        <v>0</v>
      </c>
      <c r="AC389" s="5">
        <v>0</v>
      </c>
      <c r="AD389" s="5">
        <v>0</v>
      </c>
      <c r="AE389" s="5">
        <v>0</v>
      </c>
      <c r="AF389" s="5">
        <v>0</v>
      </c>
      <c r="AG389" s="5">
        <v>0</v>
      </c>
      <c r="AH389" s="5">
        <v>0</v>
      </c>
      <c r="AI389" s="5">
        <v>0</v>
      </c>
      <c r="AJ389" s="5">
        <v>0</v>
      </c>
      <c r="AK389" s="5">
        <v>0</v>
      </c>
      <c r="AL389" s="5">
        <v>0.11600000000000001</v>
      </c>
      <c r="AM389" s="5">
        <v>0.11232399999999999</v>
      </c>
      <c r="AN389" s="5">
        <v>6.9599999999999995E-2</v>
      </c>
      <c r="AO389" s="5">
        <v>7.3349999999999999E-2</v>
      </c>
      <c r="AP389" s="816">
        <v>0</v>
      </c>
      <c r="AQ389" s="816">
        <v>0</v>
      </c>
      <c r="AR389" s="5">
        <v>0</v>
      </c>
      <c r="AS389" s="5">
        <v>0</v>
      </c>
      <c r="AT389" s="5">
        <v>0</v>
      </c>
      <c r="AU389" s="5">
        <v>0</v>
      </c>
      <c r="AV389" s="5">
        <v>0</v>
      </c>
      <c r="AW389" s="815">
        <v>0</v>
      </c>
      <c r="AX389" s="816">
        <v>0</v>
      </c>
      <c r="AY389" s="819">
        <v>0</v>
      </c>
      <c r="AZ389" s="816"/>
      <c r="BA389" s="818"/>
      <c r="BB389" s="802" t="str" cm="1">
        <f t="array" ref="BB389">INDEX(C$4:BA$4,MATCH(TRUE,INDEX(C389:BA389&lt;&gt;0,),0))</f>
        <v>2013-14</v>
      </c>
      <c r="BC389" s="803" t="str" cm="1">
        <f t="array" ref="BC389">LOOKUP(2,1/(C389:BA389&lt;&gt;0),$C$4:$BA$4)</f>
        <v>2016-17</v>
      </c>
      <c r="BD389" s="804">
        <f>COUNTIF(RDprograms[[#This Row],[1978-79]:[2028-29]], "&gt;0")</f>
        <v>4</v>
      </c>
      <c r="BE389" s="805">
        <f>SUM(C389:BA389)/RDprograms[[#This Row],[Years with &gt; $0 investment]]</f>
        <v>9.2818499999999998E-2</v>
      </c>
      <c r="BF389" s="806" t="s">
        <v>273</v>
      </c>
      <c r="BG389" s="807" t="s">
        <v>703</v>
      </c>
      <c r="BH389" s="847" t="s">
        <v>834</v>
      </c>
      <c r="BI389" s="809"/>
      <c r="BJ389" s="809"/>
      <c r="BK389" s="809"/>
      <c r="BL389" s="809"/>
      <c r="BM389" s="809"/>
      <c r="BN389" s="810"/>
      <c r="BO389" s="811" t="s">
        <v>251</v>
      </c>
      <c r="BP389" s="812" t="s">
        <v>1070</v>
      </c>
      <c r="BQ389" s="812" t="s">
        <v>1071</v>
      </c>
      <c r="BR389" s="812"/>
      <c r="BS389" s="812"/>
      <c r="BT389" s="812" t="s">
        <v>238</v>
      </c>
    </row>
    <row r="390" spans="1:72" ht="12.75" customHeight="1">
      <c r="A390" s="813" t="s">
        <v>832</v>
      </c>
      <c r="B390" s="820" t="s">
        <v>1072</v>
      </c>
      <c r="C390" s="5">
        <v>0</v>
      </c>
      <c r="D390" s="5">
        <v>0</v>
      </c>
      <c r="E390" s="5">
        <v>0</v>
      </c>
      <c r="F390" s="5">
        <v>0</v>
      </c>
      <c r="G390" s="5">
        <v>0</v>
      </c>
      <c r="H390" s="5">
        <v>0</v>
      </c>
      <c r="I390" s="5">
        <v>0</v>
      </c>
      <c r="J390" s="5">
        <v>0</v>
      </c>
      <c r="K390" s="5">
        <v>0</v>
      </c>
      <c r="L390" s="5">
        <v>0</v>
      </c>
      <c r="M390" s="5">
        <v>0</v>
      </c>
      <c r="N390" s="5">
        <v>0</v>
      </c>
      <c r="O390" s="5">
        <v>0</v>
      </c>
      <c r="P390" s="5">
        <v>0</v>
      </c>
      <c r="Q390" s="5">
        <v>0</v>
      </c>
      <c r="R390" s="5">
        <v>0</v>
      </c>
      <c r="S390" s="5">
        <v>0</v>
      </c>
      <c r="T390" s="5">
        <v>0</v>
      </c>
      <c r="U390" s="5">
        <v>0</v>
      </c>
      <c r="V390" s="5">
        <v>0</v>
      </c>
      <c r="W390" s="5">
        <v>0</v>
      </c>
      <c r="X390" s="5">
        <v>0</v>
      </c>
      <c r="Y390" s="5">
        <v>0</v>
      </c>
      <c r="Z390" s="5">
        <v>0</v>
      </c>
      <c r="AA390" s="5">
        <v>0</v>
      </c>
      <c r="AB390" s="5">
        <v>0</v>
      </c>
      <c r="AC390" s="5">
        <v>0</v>
      </c>
      <c r="AD390" s="5">
        <v>0</v>
      </c>
      <c r="AE390" s="5">
        <v>0</v>
      </c>
      <c r="AF390" s="5">
        <v>0</v>
      </c>
      <c r="AG390" s="5">
        <v>0</v>
      </c>
      <c r="AH390" s="5">
        <v>0</v>
      </c>
      <c r="AI390" s="5">
        <v>0</v>
      </c>
      <c r="AJ390" s="5">
        <v>0</v>
      </c>
      <c r="AK390" s="5">
        <v>0</v>
      </c>
      <c r="AL390" s="5">
        <v>0</v>
      </c>
      <c r="AM390" s="5">
        <v>0</v>
      </c>
      <c r="AN390" s="5">
        <v>0</v>
      </c>
      <c r="AO390" s="5">
        <v>0</v>
      </c>
      <c r="AP390" s="5">
        <v>0</v>
      </c>
      <c r="AQ390" s="5">
        <v>1.9E-2</v>
      </c>
      <c r="AR390" s="5">
        <v>3.7999999999999999E-2</v>
      </c>
      <c r="AS390" s="5">
        <v>5.6000000000000001E-2</v>
      </c>
      <c r="AT390" s="5">
        <v>0.06</v>
      </c>
      <c r="AU390" s="5">
        <v>0</v>
      </c>
      <c r="AV390" s="5">
        <v>0.115</v>
      </c>
      <c r="AW390" s="815">
        <v>0.42199999999999999</v>
      </c>
      <c r="AX390" s="816">
        <v>0.45</v>
      </c>
      <c r="AY390" s="819">
        <v>0.45</v>
      </c>
      <c r="AZ390" s="816">
        <v>0.45</v>
      </c>
      <c r="BA390" s="818">
        <v>0.45</v>
      </c>
      <c r="BB390" s="802" t="str" cm="1">
        <f t="array" ref="BB390">INDEX(C$4:BA$4,MATCH(TRUE,INDEX(C390:BA390&lt;&gt;0,),0))</f>
        <v>2018-19</v>
      </c>
      <c r="BC390" s="803" t="str" cm="1">
        <f t="array" ref="BC390">LOOKUP(2,1/(C390:BA390&lt;&gt;0),$C$4:$BA$4)</f>
        <v>2028-29</v>
      </c>
      <c r="BD390" s="804">
        <f>COUNTIF(RDprograms[[#This Row],[1978-79]:[2028-29]], "&gt;0")</f>
        <v>10</v>
      </c>
      <c r="BE390" s="805">
        <f>SUM(C390:BA390)/RDprograms[[#This Row],[Years with &gt; $0 investment]]</f>
        <v>0.251</v>
      </c>
      <c r="BF390" s="806" t="s">
        <v>273</v>
      </c>
      <c r="BG390" s="807" t="s">
        <v>703</v>
      </c>
      <c r="BH390" s="847" t="s">
        <v>834</v>
      </c>
      <c r="BI390" s="809"/>
      <c r="BJ390" s="809"/>
      <c r="BK390" s="809"/>
      <c r="BL390" s="809"/>
      <c r="BM390" s="809"/>
      <c r="BN390" s="810">
        <v>1</v>
      </c>
      <c r="BO390" s="811" t="s">
        <v>236</v>
      </c>
      <c r="BP390" s="812" t="s">
        <v>1073</v>
      </c>
      <c r="BQ390" s="812" t="s">
        <v>1074</v>
      </c>
      <c r="BR390" s="812"/>
      <c r="BS390" s="812"/>
      <c r="BT390" s="812" t="s">
        <v>238</v>
      </c>
    </row>
    <row r="391" spans="1:72" ht="12.75" customHeight="1">
      <c r="A391" s="813" t="s">
        <v>832</v>
      </c>
      <c r="B391" s="820" t="s">
        <v>1075</v>
      </c>
      <c r="C391" s="5">
        <v>0</v>
      </c>
      <c r="D391" s="5">
        <v>0</v>
      </c>
      <c r="E391" s="5">
        <v>0</v>
      </c>
      <c r="F391" s="5">
        <v>0</v>
      </c>
      <c r="G391" s="5">
        <v>0</v>
      </c>
      <c r="H391" s="5">
        <v>0</v>
      </c>
      <c r="I391" s="5">
        <v>0</v>
      </c>
      <c r="J391" s="5">
        <v>0</v>
      </c>
      <c r="K391" s="5">
        <v>0</v>
      </c>
      <c r="L391" s="5">
        <v>0</v>
      </c>
      <c r="M391" s="5">
        <v>0</v>
      </c>
      <c r="N391" s="5">
        <v>0</v>
      </c>
      <c r="O391" s="5">
        <v>0</v>
      </c>
      <c r="P391" s="5">
        <v>0</v>
      </c>
      <c r="Q391" s="5">
        <v>0</v>
      </c>
      <c r="R391" s="5">
        <v>0</v>
      </c>
      <c r="S391" s="5">
        <v>0</v>
      </c>
      <c r="T391" s="5">
        <v>0</v>
      </c>
      <c r="U391" s="5">
        <v>0</v>
      </c>
      <c r="V391" s="5">
        <v>0</v>
      </c>
      <c r="W391" s="5">
        <v>0</v>
      </c>
      <c r="X391" s="5">
        <v>0</v>
      </c>
      <c r="Y391" s="5">
        <v>0</v>
      </c>
      <c r="Z391" s="5">
        <v>0</v>
      </c>
      <c r="AA391" s="5">
        <v>0</v>
      </c>
      <c r="AB391" s="5">
        <v>0</v>
      </c>
      <c r="AC391" s="5">
        <v>0</v>
      </c>
      <c r="AD391" s="5">
        <v>0</v>
      </c>
      <c r="AE391" s="5">
        <v>0</v>
      </c>
      <c r="AF391" s="5">
        <v>0</v>
      </c>
      <c r="AG391" s="5">
        <v>0</v>
      </c>
      <c r="AH391" s="5">
        <v>0</v>
      </c>
      <c r="AI391" s="5">
        <v>0</v>
      </c>
      <c r="AJ391" s="5">
        <v>0</v>
      </c>
      <c r="AK391" s="5">
        <v>0</v>
      </c>
      <c r="AL391" s="5">
        <v>0</v>
      </c>
      <c r="AM391" s="5">
        <v>0</v>
      </c>
      <c r="AN391" s="5">
        <v>0</v>
      </c>
      <c r="AO391" s="5">
        <v>4</v>
      </c>
      <c r="AP391" s="816">
        <v>0</v>
      </c>
      <c r="AQ391" s="816">
        <v>0</v>
      </c>
      <c r="AR391" s="5">
        <v>0</v>
      </c>
      <c r="AS391" s="5">
        <v>0</v>
      </c>
      <c r="AT391" s="5">
        <v>0</v>
      </c>
      <c r="AU391" s="5">
        <v>0</v>
      </c>
      <c r="AV391" s="5">
        <v>0</v>
      </c>
      <c r="AW391" s="815">
        <v>0</v>
      </c>
      <c r="AX391" s="816">
        <v>0</v>
      </c>
      <c r="AY391" s="819">
        <v>0</v>
      </c>
      <c r="AZ391" s="816">
        <v>0</v>
      </c>
      <c r="BA391" s="818"/>
      <c r="BB391" s="802" t="str" cm="1">
        <f t="array" ref="BB391">INDEX(C$4:BA$4,MATCH(TRUE,INDEX(C391:BA391&lt;&gt;0,),0))</f>
        <v>2016-17</v>
      </c>
      <c r="BC391" s="803" t="str" cm="1">
        <f t="array" ref="BC391">LOOKUP(2,1/(C391:BA391&lt;&gt;0),$C$4:$BA$4)</f>
        <v>2016-17</v>
      </c>
      <c r="BD391" s="804">
        <f>COUNTIF(RDprograms[[#This Row],[1978-79]:[2028-29]], "&gt;0")</f>
        <v>1</v>
      </c>
      <c r="BE391" s="805">
        <f>SUM(C391:BA391)/RDprograms[[#This Row],[Years with &gt; $0 investment]]</f>
        <v>4</v>
      </c>
      <c r="BF391" s="806" t="s">
        <v>273</v>
      </c>
      <c r="BG391" s="807" t="s">
        <v>703</v>
      </c>
      <c r="BH391" s="847" t="s">
        <v>834</v>
      </c>
      <c r="BI391" s="809"/>
      <c r="BJ391" s="809"/>
      <c r="BK391" s="809"/>
      <c r="BL391" s="809"/>
      <c r="BM391" s="809"/>
      <c r="BN391" s="810"/>
      <c r="BO391" s="811" t="s">
        <v>236</v>
      </c>
      <c r="BP391" s="812" t="s">
        <v>1076</v>
      </c>
      <c r="BQ391" s="812" t="s">
        <v>1077</v>
      </c>
      <c r="BR391" s="812"/>
      <c r="BS391" s="812"/>
      <c r="BT391" s="812" t="s">
        <v>238</v>
      </c>
    </row>
    <row r="392" spans="1:72" ht="12.75" customHeight="1">
      <c r="A392" s="813" t="s">
        <v>832</v>
      </c>
      <c r="B392" s="820" t="s">
        <v>1078</v>
      </c>
      <c r="C392" s="5">
        <v>0</v>
      </c>
      <c r="D392" s="5">
        <v>0</v>
      </c>
      <c r="E392" s="5">
        <v>0</v>
      </c>
      <c r="F392" s="5">
        <v>0</v>
      </c>
      <c r="G392" s="5">
        <v>0</v>
      </c>
      <c r="H392" s="5">
        <v>0</v>
      </c>
      <c r="I392" s="5">
        <v>0</v>
      </c>
      <c r="J392" s="5">
        <v>0</v>
      </c>
      <c r="K392" s="5">
        <v>0</v>
      </c>
      <c r="L392" s="5">
        <v>0</v>
      </c>
      <c r="M392" s="5">
        <v>0</v>
      </c>
      <c r="N392" s="5">
        <v>0</v>
      </c>
      <c r="O392" s="5">
        <v>0</v>
      </c>
      <c r="P392" s="5">
        <v>0</v>
      </c>
      <c r="Q392" s="5">
        <v>0</v>
      </c>
      <c r="R392" s="5">
        <v>0</v>
      </c>
      <c r="S392" s="5">
        <v>0</v>
      </c>
      <c r="T392" s="5">
        <v>0</v>
      </c>
      <c r="U392" s="5">
        <v>0</v>
      </c>
      <c r="V392" s="5">
        <v>0</v>
      </c>
      <c r="W392" s="5">
        <v>0</v>
      </c>
      <c r="X392" s="5">
        <v>0</v>
      </c>
      <c r="Y392" s="5">
        <v>0</v>
      </c>
      <c r="Z392" s="5">
        <v>0</v>
      </c>
      <c r="AA392" s="5">
        <v>0</v>
      </c>
      <c r="AB392" s="5">
        <v>0</v>
      </c>
      <c r="AC392" s="5">
        <v>0</v>
      </c>
      <c r="AD392" s="5">
        <v>0</v>
      </c>
      <c r="AE392" s="5">
        <v>0</v>
      </c>
      <c r="AF392" s="5">
        <v>0</v>
      </c>
      <c r="AG392" s="5">
        <v>0</v>
      </c>
      <c r="AH392" s="5">
        <v>0</v>
      </c>
      <c r="AI392" s="5">
        <v>0</v>
      </c>
      <c r="AJ392" s="5">
        <v>0</v>
      </c>
      <c r="AK392" s="5">
        <v>0</v>
      </c>
      <c r="AL392" s="5">
        <v>0</v>
      </c>
      <c r="AM392" s="5">
        <v>0</v>
      </c>
      <c r="AN392" s="5">
        <v>0</v>
      </c>
      <c r="AO392" s="5">
        <v>0</v>
      </c>
      <c r="AP392" s="5">
        <v>0</v>
      </c>
      <c r="AQ392" s="5">
        <v>0</v>
      </c>
      <c r="AR392" s="5">
        <v>0</v>
      </c>
      <c r="AS392" s="5">
        <v>0</v>
      </c>
      <c r="AT392" s="5">
        <v>5</v>
      </c>
      <c r="AU392" s="5">
        <v>0</v>
      </c>
      <c r="AV392" s="5">
        <v>0</v>
      </c>
      <c r="AW392" s="815">
        <v>0</v>
      </c>
      <c r="AX392" s="816">
        <v>0</v>
      </c>
      <c r="AY392" s="819">
        <v>0</v>
      </c>
      <c r="AZ392" s="816"/>
      <c r="BA392" s="818"/>
      <c r="BB392" s="802" t="str" cm="1">
        <f t="array" ref="BB392">INDEX(C$4:BA$4,MATCH(TRUE,INDEX(C392:BA392&lt;&gt;0,),0))</f>
        <v>2021-22</v>
      </c>
      <c r="BC392" s="803" t="str" cm="1">
        <f t="array" ref="BC392">LOOKUP(2,1/(C392:BA392&lt;&gt;0),$C$4:$BA$4)</f>
        <v>2021-22</v>
      </c>
      <c r="BD392" s="804">
        <f>COUNTIF(RDprograms[[#This Row],[1978-79]:[2028-29]], "&gt;0")</f>
        <v>1</v>
      </c>
      <c r="BE392" s="805">
        <f>SUM(C392:BA392)/RDprograms[[#This Row],[Years with &gt; $0 investment]]</f>
        <v>5</v>
      </c>
      <c r="BF392" s="806" t="s">
        <v>273</v>
      </c>
      <c r="BG392" s="807" t="s">
        <v>703</v>
      </c>
      <c r="BH392" s="847" t="s">
        <v>269</v>
      </c>
      <c r="BI392" s="809"/>
      <c r="BJ392" s="809"/>
      <c r="BK392" s="809"/>
      <c r="BL392" s="809"/>
      <c r="BM392" s="809"/>
      <c r="BN392" s="810"/>
      <c r="BO392" s="811" t="s">
        <v>1079</v>
      </c>
      <c r="BP392" s="812" t="s">
        <v>1080</v>
      </c>
      <c r="BQ392" s="812"/>
      <c r="BR392" s="812"/>
      <c r="BS392" s="812"/>
      <c r="BT392" s="812" t="s">
        <v>238</v>
      </c>
    </row>
    <row r="393" spans="1:72" ht="12.75" customHeight="1">
      <c r="A393" s="813" t="s">
        <v>832</v>
      </c>
      <c r="B393" s="820" t="s">
        <v>1081</v>
      </c>
      <c r="C393" s="5">
        <v>0</v>
      </c>
      <c r="D393" s="5">
        <v>0</v>
      </c>
      <c r="E393" s="5">
        <v>0</v>
      </c>
      <c r="F393" s="5">
        <v>0</v>
      </c>
      <c r="G393" s="5">
        <v>0</v>
      </c>
      <c r="H393" s="5">
        <v>0</v>
      </c>
      <c r="I393" s="5">
        <v>0</v>
      </c>
      <c r="J393" s="5">
        <v>0</v>
      </c>
      <c r="K393" s="5">
        <v>0</v>
      </c>
      <c r="L393" s="5">
        <v>0</v>
      </c>
      <c r="M393" s="5">
        <v>0</v>
      </c>
      <c r="N393" s="5">
        <v>0</v>
      </c>
      <c r="O393" s="5">
        <v>0</v>
      </c>
      <c r="P393" s="5">
        <v>0</v>
      </c>
      <c r="Q393" s="5">
        <v>0</v>
      </c>
      <c r="R393" s="5">
        <v>0</v>
      </c>
      <c r="S393" s="5">
        <v>0</v>
      </c>
      <c r="T393" s="5">
        <v>0</v>
      </c>
      <c r="U393" s="5">
        <v>0</v>
      </c>
      <c r="V393" s="5">
        <v>0</v>
      </c>
      <c r="W393" s="5">
        <v>0</v>
      </c>
      <c r="X393" s="5">
        <v>0</v>
      </c>
      <c r="Y393" s="5">
        <v>0</v>
      </c>
      <c r="Z393" s="5">
        <v>0</v>
      </c>
      <c r="AA393" s="5">
        <v>0</v>
      </c>
      <c r="AB393" s="5">
        <v>0</v>
      </c>
      <c r="AC393" s="5">
        <v>0</v>
      </c>
      <c r="AD393" s="5">
        <v>0</v>
      </c>
      <c r="AE393" s="5">
        <v>0</v>
      </c>
      <c r="AF393" s="5">
        <v>0</v>
      </c>
      <c r="AG393" s="5">
        <v>0</v>
      </c>
      <c r="AH393" s="5">
        <v>0</v>
      </c>
      <c r="AI393" s="5">
        <v>0</v>
      </c>
      <c r="AJ393" s="5">
        <v>0</v>
      </c>
      <c r="AK393" s="5">
        <v>0</v>
      </c>
      <c r="AL393" s="5">
        <v>0</v>
      </c>
      <c r="AM393" s="5">
        <v>0</v>
      </c>
      <c r="AN393" s="5">
        <v>0</v>
      </c>
      <c r="AO393" s="5">
        <v>1</v>
      </c>
      <c r="AP393" s="5">
        <v>3</v>
      </c>
      <c r="AQ393" s="5">
        <v>4.1100000000000003</v>
      </c>
      <c r="AR393" s="5">
        <v>4.22</v>
      </c>
      <c r="AS393" s="5">
        <v>4.2</v>
      </c>
      <c r="AT393" s="5">
        <v>0</v>
      </c>
      <c r="AU393" s="5">
        <v>2</v>
      </c>
      <c r="AV393" s="5">
        <v>2</v>
      </c>
      <c r="AW393" s="815">
        <v>0</v>
      </c>
      <c r="AX393" s="816">
        <v>0</v>
      </c>
      <c r="AY393" s="819">
        <v>0</v>
      </c>
      <c r="AZ393" s="816"/>
      <c r="BA393" s="818"/>
      <c r="BB393" s="802" t="str" cm="1">
        <f t="array" ref="BB393">INDEX(C$4:BA$4,MATCH(TRUE,INDEX(C393:BA393&lt;&gt;0,),0))</f>
        <v>2016-17</v>
      </c>
      <c r="BC393" s="803" t="str" cm="1">
        <f t="array" ref="BC393">LOOKUP(2,1/(C393:BA393&lt;&gt;0),$C$4:$BA$4)</f>
        <v>2023-24</v>
      </c>
      <c r="BD393" s="804">
        <f>COUNTIF(RDprograms[[#This Row],[1978-79]:[2028-29]], "&gt;0")</f>
        <v>7</v>
      </c>
      <c r="BE393" s="805">
        <f>SUM(C393:BA393)/RDprograms[[#This Row],[Years with &gt; $0 investment]]</f>
        <v>2.9328571428571424</v>
      </c>
      <c r="BF393" s="806" t="s">
        <v>233</v>
      </c>
      <c r="BG393" s="807" t="s">
        <v>703</v>
      </c>
      <c r="BH393" s="847" t="s">
        <v>834</v>
      </c>
      <c r="BI393" s="809"/>
      <c r="BJ393" s="809"/>
      <c r="BK393" s="809"/>
      <c r="BL393" s="809"/>
      <c r="BM393" s="809"/>
      <c r="BN393" s="810"/>
      <c r="BO393" s="811" t="s">
        <v>236</v>
      </c>
      <c r="BP393" s="812" t="s">
        <v>1082</v>
      </c>
      <c r="BQ393" s="812" t="s">
        <v>1083</v>
      </c>
      <c r="BR393" s="812"/>
      <c r="BS393" s="812"/>
      <c r="BT393" s="812" t="s">
        <v>238</v>
      </c>
    </row>
    <row r="394" spans="1:72" ht="12.75" customHeight="1">
      <c r="A394" s="813" t="s">
        <v>832</v>
      </c>
      <c r="B394" s="820" t="s">
        <v>1084</v>
      </c>
      <c r="C394" s="5">
        <v>0</v>
      </c>
      <c r="D394" s="5">
        <v>0</v>
      </c>
      <c r="E394" s="5">
        <v>0</v>
      </c>
      <c r="F394" s="5">
        <v>0</v>
      </c>
      <c r="G394" s="5">
        <v>0</v>
      </c>
      <c r="H394" s="5">
        <v>0</v>
      </c>
      <c r="I394" s="5">
        <v>0</v>
      </c>
      <c r="J394" s="5">
        <v>0</v>
      </c>
      <c r="K394" s="5">
        <v>0</v>
      </c>
      <c r="L394" s="5">
        <v>0</v>
      </c>
      <c r="M394" s="5">
        <v>0</v>
      </c>
      <c r="N394" s="5">
        <v>0</v>
      </c>
      <c r="O394" s="5">
        <v>0</v>
      </c>
      <c r="P394" s="5">
        <v>0</v>
      </c>
      <c r="Q394" s="5">
        <v>0</v>
      </c>
      <c r="R394" s="5">
        <v>0</v>
      </c>
      <c r="S394" s="5">
        <v>0</v>
      </c>
      <c r="T394" s="5">
        <v>0</v>
      </c>
      <c r="U394" s="5">
        <v>0</v>
      </c>
      <c r="V394" s="5">
        <v>0</v>
      </c>
      <c r="W394" s="5">
        <v>0</v>
      </c>
      <c r="X394" s="5">
        <v>0</v>
      </c>
      <c r="Y394" s="5">
        <v>0</v>
      </c>
      <c r="Z394" s="5">
        <v>0</v>
      </c>
      <c r="AA394" s="5">
        <v>0</v>
      </c>
      <c r="AB394" s="5">
        <v>0</v>
      </c>
      <c r="AC394" s="5">
        <v>0</v>
      </c>
      <c r="AD394" s="5">
        <v>0</v>
      </c>
      <c r="AE394" s="5">
        <v>5.1050000000000004</v>
      </c>
      <c r="AF394" s="5">
        <v>5.2119999999999997</v>
      </c>
      <c r="AG394" s="5">
        <v>5.4290000000000003</v>
      </c>
      <c r="AH394" s="5">
        <v>5.5380000000000003</v>
      </c>
      <c r="AI394" s="5">
        <v>5.5259999999999998</v>
      </c>
      <c r="AJ394" s="5">
        <v>5.4050000000000002</v>
      </c>
      <c r="AK394" s="5">
        <v>5.56</v>
      </c>
      <c r="AL394" s="5">
        <v>5.9109999999999996</v>
      </c>
      <c r="AM394" s="5">
        <v>6.97</v>
      </c>
      <c r="AN394" s="5">
        <v>6.97</v>
      </c>
      <c r="AO394" s="5">
        <v>7.0449999999999999</v>
      </c>
      <c r="AP394" s="5">
        <v>5.9829999999999997</v>
      </c>
      <c r="AQ394" s="5">
        <v>6.2088340000000004</v>
      </c>
      <c r="AR394" s="5">
        <v>6.2949999999999999</v>
      </c>
      <c r="AS394" s="5">
        <v>6.3903480000000004</v>
      </c>
      <c r="AT394" s="5">
        <v>6.4349999999999996</v>
      </c>
      <c r="AU394" s="5">
        <v>6.5119999999999996</v>
      </c>
      <c r="AV394" s="5">
        <v>6.6040000000000001</v>
      </c>
      <c r="AW394" s="815">
        <v>0</v>
      </c>
      <c r="AX394" s="816">
        <v>0</v>
      </c>
      <c r="AY394" s="819">
        <v>0</v>
      </c>
      <c r="AZ394" s="816"/>
      <c r="BA394" s="818"/>
      <c r="BB394" s="802" t="str" cm="1">
        <f t="array" ref="BB394">INDEX(C$4:BA$4,MATCH(TRUE,INDEX(C394:BA394&lt;&gt;0,),0))</f>
        <v>2006-07</v>
      </c>
      <c r="BC394" s="803" t="str" cm="1">
        <f t="array" ref="BC394">LOOKUP(2,1/(C394:BA394&lt;&gt;0),$C$4:$BA$4)</f>
        <v>2023-24</v>
      </c>
      <c r="BD394" s="804">
        <f>COUNTIF(RDprograms[[#This Row],[1978-79]:[2028-29]], "&gt;0")</f>
        <v>18</v>
      </c>
      <c r="BE394" s="805">
        <f>SUM(C394:BA394)/RDprograms[[#This Row],[Years with &gt; $0 investment]]</f>
        <v>6.0610656666666669</v>
      </c>
      <c r="BF394" s="806" t="s">
        <v>233</v>
      </c>
      <c r="BG394" s="807" t="s">
        <v>703</v>
      </c>
      <c r="BH394" s="847" t="s">
        <v>834</v>
      </c>
      <c r="BI394" s="809"/>
      <c r="BJ394" s="809"/>
      <c r="BK394" s="809"/>
      <c r="BL394" s="809"/>
      <c r="BM394" s="809"/>
      <c r="BN394" s="810"/>
      <c r="BO394" s="811" t="s">
        <v>236</v>
      </c>
      <c r="BP394" s="812" t="s">
        <v>1085</v>
      </c>
      <c r="BQ394" s="812" t="s">
        <v>1086</v>
      </c>
      <c r="BR394" s="812" t="s">
        <v>902</v>
      </c>
      <c r="BS394" s="812"/>
      <c r="BT394" s="812" t="s">
        <v>238</v>
      </c>
    </row>
    <row r="395" spans="1:72" ht="12.75" customHeight="1">
      <c r="A395" s="813" t="s">
        <v>832</v>
      </c>
      <c r="B395" s="820" t="s">
        <v>1087</v>
      </c>
      <c r="C395" s="5">
        <v>0</v>
      </c>
      <c r="D395" s="5">
        <v>0</v>
      </c>
      <c r="E395" s="5">
        <v>0</v>
      </c>
      <c r="F395" s="5">
        <v>0</v>
      </c>
      <c r="G395" s="5">
        <v>0</v>
      </c>
      <c r="H395" s="5">
        <v>0</v>
      </c>
      <c r="I395" s="5">
        <v>0</v>
      </c>
      <c r="J395" s="5">
        <v>0</v>
      </c>
      <c r="K395" s="5">
        <v>0</v>
      </c>
      <c r="L395" s="5">
        <v>0</v>
      </c>
      <c r="M395" s="5">
        <v>0</v>
      </c>
      <c r="N395" s="5">
        <v>0</v>
      </c>
      <c r="O395" s="5">
        <v>0</v>
      </c>
      <c r="P395" s="5">
        <v>0</v>
      </c>
      <c r="Q395" s="5">
        <v>0</v>
      </c>
      <c r="R395" s="5">
        <v>0</v>
      </c>
      <c r="S395" s="5">
        <v>0</v>
      </c>
      <c r="T395" s="5">
        <v>0</v>
      </c>
      <c r="U395" s="5">
        <v>0</v>
      </c>
      <c r="V395" s="5">
        <v>0</v>
      </c>
      <c r="W395" s="5">
        <v>0</v>
      </c>
      <c r="X395" s="5">
        <v>0</v>
      </c>
      <c r="Y395" s="5">
        <v>0</v>
      </c>
      <c r="Z395" s="5">
        <v>0</v>
      </c>
      <c r="AA395" s="5">
        <v>0</v>
      </c>
      <c r="AB395" s="5">
        <v>0</v>
      </c>
      <c r="AC395" s="5">
        <v>0.2</v>
      </c>
      <c r="AD395" s="5">
        <v>4.8899999999999997</v>
      </c>
      <c r="AE395" s="5">
        <v>6.8319999999999999</v>
      </c>
      <c r="AF395" s="5">
        <v>6.016</v>
      </c>
      <c r="AG395" s="5">
        <v>9.7940000000000005</v>
      </c>
      <c r="AH395" s="5">
        <v>4.3639999999999999</v>
      </c>
      <c r="AI395" s="5">
        <v>0</v>
      </c>
      <c r="AJ395" s="5">
        <v>0</v>
      </c>
      <c r="AK395" s="5">
        <v>0</v>
      </c>
      <c r="AL395" s="5">
        <v>0</v>
      </c>
      <c r="AM395" s="5">
        <v>0</v>
      </c>
      <c r="AN395" s="5">
        <v>0</v>
      </c>
      <c r="AO395" s="5">
        <v>0</v>
      </c>
      <c r="AP395" s="816">
        <v>0</v>
      </c>
      <c r="AQ395" s="816">
        <v>0</v>
      </c>
      <c r="AR395" s="5">
        <v>0</v>
      </c>
      <c r="AS395" s="5">
        <v>0</v>
      </c>
      <c r="AT395" s="5">
        <v>0</v>
      </c>
      <c r="AU395" s="5">
        <v>0</v>
      </c>
      <c r="AV395" s="5">
        <v>0</v>
      </c>
      <c r="AW395" s="815">
        <v>0</v>
      </c>
      <c r="AX395" s="816">
        <v>0</v>
      </c>
      <c r="AY395" s="819">
        <v>0</v>
      </c>
      <c r="AZ395" s="816"/>
      <c r="BA395" s="818"/>
      <c r="BB395" s="802" t="str" cm="1">
        <f t="array" ref="BB395">INDEX(C$4:BA$4,MATCH(TRUE,INDEX(C395:BA395&lt;&gt;0,),0))</f>
        <v>2004-05</v>
      </c>
      <c r="BC395" s="803" t="str" cm="1">
        <f t="array" ref="BC395">LOOKUP(2,1/(C395:BA395&lt;&gt;0),$C$4:$BA$4)</f>
        <v>2009-10</v>
      </c>
      <c r="BD395" s="804">
        <f>COUNTIF(RDprograms[[#This Row],[1978-79]:[2028-29]], "&gt;0")</f>
        <v>6</v>
      </c>
      <c r="BE395" s="805">
        <f>SUM(C395:BA395)/RDprograms[[#This Row],[Years with &gt; $0 investment]]</f>
        <v>5.3493333333333339</v>
      </c>
      <c r="BF395" s="806" t="s">
        <v>273</v>
      </c>
      <c r="BG395" s="807" t="s">
        <v>703</v>
      </c>
      <c r="BH395" s="847" t="s">
        <v>834</v>
      </c>
      <c r="BI395" s="809"/>
      <c r="BJ395" s="809"/>
      <c r="BK395" s="809"/>
      <c r="BL395" s="809"/>
      <c r="BM395" s="809"/>
      <c r="BN395" s="810"/>
      <c r="BO395" s="811" t="s">
        <v>236</v>
      </c>
      <c r="BP395" s="812"/>
      <c r="BQ395" s="812"/>
      <c r="BR395" s="812"/>
      <c r="BS395" s="812"/>
      <c r="BT395" s="812" t="s">
        <v>238</v>
      </c>
    </row>
    <row r="396" spans="1:72" ht="12.75" customHeight="1">
      <c r="A396" s="813" t="s">
        <v>832</v>
      </c>
      <c r="B396" s="820" t="s">
        <v>1088</v>
      </c>
      <c r="C396" s="5">
        <v>0</v>
      </c>
      <c r="D396" s="5">
        <v>0</v>
      </c>
      <c r="E396" s="5">
        <v>0</v>
      </c>
      <c r="F396" s="5">
        <v>0</v>
      </c>
      <c r="G396" s="5">
        <v>0</v>
      </c>
      <c r="H396" s="5">
        <v>0</v>
      </c>
      <c r="I396" s="5">
        <v>0</v>
      </c>
      <c r="J396" s="5">
        <v>0</v>
      </c>
      <c r="K396" s="5">
        <v>0</v>
      </c>
      <c r="L396" s="5">
        <v>0</v>
      </c>
      <c r="M396" s="5">
        <v>0</v>
      </c>
      <c r="N396" s="5">
        <v>0</v>
      </c>
      <c r="O396" s="5">
        <v>0</v>
      </c>
      <c r="P396" s="5">
        <v>0</v>
      </c>
      <c r="Q396" s="5">
        <v>0</v>
      </c>
      <c r="R396" s="5">
        <v>0</v>
      </c>
      <c r="S396" s="5">
        <v>0</v>
      </c>
      <c r="T396" s="5">
        <v>0</v>
      </c>
      <c r="U396" s="5">
        <v>0</v>
      </c>
      <c r="V396" s="5">
        <v>0</v>
      </c>
      <c r="W396" s="5">
        <v>0</v>
      </c>
      <c r="X396" s="5">
        <v>0</v>
      </c>
      <c r="Y396" s="5">
        <v>0</v>
      </c>
      <c r="Z396" s="5">
        <v>0</v>
      </c>
      <c r="AA396" s="5">
        <v>0</v>
      </c>
      <c r="AB396" s="5">
        <v>0</v>
      </c>
      <c r="AC396" s="5">
        <v>0</v>
      </c>
      <c r="AD396" s="5">
        <v>0</v>
      </c>
      <c r="AE396" s="5">
        <v>0</v>
      </c>
      <c r="AF396" s="5">
        <v>0</v>
      </c>
      <c r="AG396" s="5">
        <v>0</v>
      </c>
      <c r="AH396" s="5">
        <v>0</v>
      </c>
      <c r="AI396" s="5">
        <v>0</v>
      </c>
      <c r="AJ396" s="5">
        <v>0</v>
      </c>
      <c r="AK396" s="5">
        <v>0</v>
      </c>
      <c r="AL396" s="5">
        <v>0</v>
      </c>
      <c r="AM396" s="5">
        <v>0</v>
      </c>
      <c r="AN396" s="5">
        <v>0</v>
      </c>
      <c r="AO396" s="5">
        <v>0.17499999999999999</v>
      </c>
      <c r="AP396" s="816">
        <v>0</v>
      </c>
      <c r="AQ396" s="816">
        <v>0</v>
      </c>
      <c r="AR396" s="5">
        <v>0</v>
      </c>
      <c r="AS396" s="5">
        <v>0</v>
      </c>
      <c r="AT396" s="5">
        <v>0</v>
      </c>
      <c r="AU396" s="5">
        <v>0</v>
      </c>
      <c r="AV396" s="5">
        <v>0</v>
      </c>
      <c r="AW396" s="815">
        <v>0</v>
      </c>
      <c r="AX396" s="816">
        <v>0</v>
      </c>
      <c r="AY396" s="819">
        <v>0</v>
      </c>
      <c r="AZ396" s="816"/>
      <c r="BA396" s="818"/>
      <c r="BB396" s="802" t="str" cm="1">
        <f t="array" ref="BB396">INDEX(C$4:BA$4,MATCH(TRUE,INDEX(C396:BA396&lt;&gt;0,),0))</f>
        <v>2016-17</v>
      </c>
      <c r="BC396" s="803" t="str" cm="1">
        <f t="array" ref="BC396">LOOKUP(2,1/(C396:BA396&lt;&gt;0),$C$4:$BA$4)</f>
        <v>2016-17</v>
      </c>
      <c r="BD396" s="804">
        <f>COUNTIF(RDprograms[[#This Row],[1978-79]:[2028-29]], "&gt;0")</f>
        <v>1</v>
      </c>
      <c r="BE396" s="805">
        <f>SUM(C396:BA396)/RDprograms[[#This Row],[Years with &gt; $0 investment]]</f>
        <v>0.17499999999999999</v>
      </c>
      <c r="BF396" s="806" t="s">
        <v>273</v>
      </c>
      <c r="BG396" s="807" t="s">
        <v>703</v>
      </c>
      <c r="BH396" s="847" t="s">
        <v>834</v>
      </c>
      <c r="BI396" s="809"/>
      <c r="BJ396" s="809"/>
      <c r="BK396" s="809"/>
      <c r="BL396" s="809"/>
      <c r="BM396" s="809"/>
      <c r="BN396" s="810"/>
      <c r="BO396" s="811" t="s">
        <v>236</v>
      </c>
      <c r="BP396" s="812" t="s">
        <v>1089</v>
      </c>
      <c r="BQ396" s="812"/>
      <c r="BR396" s="812"/>
      <c r="BS396" s="812"/>
      <c r="BT396" s="812" t="s">
        <v>238</v>
      </c>
    </row>
    <row r="397" spans="1:72" ht="12.75" customHeight="1">
      <c r="A397" s="813" t="s">
        <v>832</v>
      </c>
      <c r="B397" s="820" t="s">
        <v>1090</v>
      </c>
      <c r="C397" s="5">
        <v>0</v>
      </c>
      <c r="D397" s="5">
        <v>0</v>
      </c>
      <c r="E397" s="5">
        <v>0</v>
      </c>
      <c r="F397" s="5">
        <v>0</v>
      </c>
      <c r="G397" s="5">
        <v>0</v>
      </c>
      <c r="H397" s="5">
        <v>0</v>
      </c>
      <c r="I397" s="5">
        <v>0</v>
      </c>
      <c r="J397" s="5">
        <v>0</v>
      </c>
      <c r="K397" s="5">
        <v>0</v>
      </c>
      <c r="L397" s="5">
        <v>0</v>
      </c>
      <c r="M397" s="5">
        <v>0</v>
      </c>
      <c r="N397" s="5">
        <v>0</v>
      </c>
      <c r="O397" s="5">
        <v>0</v>
      </c>
      <c r="P397" s="5">
        <v>0</v>
      </c>
      <c r="Q397" s="5">
        <v>0</v>
      </c>
      <c r="R397" s="5">
        <v>0</v>
      </c>
      <c r="S397" s="5">
        <v>0</v>
      </c>
      <c r="T397" s="5">
        <v>0</v>
      </c>
      <c r="U397" s="5">
        <v>0</v>
      </c>
      <c r="V397" s="5">
        <v>0</v>
      </c>
      <c r="W397" s="5">
        <v>0</v>
      </c>
      <c r="X397" s="5">
        <v>0</v>
      </c>
      <c r="Y397" s="5">
        <v>0</v>
      </c>
      <c r="Z397" s="5">
        <v>0</v>
      </c>
      <c r="AA397" s="5">
        <v>0</v>
      </c>
      <c r="AB397" s="5">
        <v>0</v>
      </c>
      <c r="AC397" s="5">
        <v>0</v>
      </c>
      <c r="AD397" s="5">
        <v>0</v>
      </c>
      <c r="AE397" s="5">
        <v>0</v>
      </c>
      <c r="AF397" s="5">
        <v>0</v>
      </c>
      <c r="AG397" s="5">
        <v>0</v>
      </c>
      <c r="AH397" s="5">
        <v>0</v>
      </c>
      <c r="AI397" s="5">
        <v>0</v>
      </c>
      <c r="AJ397" s="5">
        <v>0</v>
      </c>
      <c r="AK397" s="5">
        <v>0</v>
      </c>
      <c r="AL397" s="5">
        <v>0</v>
      </c>
      <c r="AM397" s="5">
        <v>0</v>
      </c>
      <c r="AN397" s="5">
        <v>0</v>
      </c>
      <c r="AO397" s="5">
        <v>0</v>
      </c>
      <c r="AP397" s="5">
        <v>1.3</v>
      </c>
      <c r="AQ397" s="5">
        <v>1.3</v>
      </c>
      <c r="AR397" s="5">
        <v>1.3</v>
      </c>
      <c r="AS397" s="5">
        <v>1.3</v>
      </c>
      <c r="AT397" s="5">
        <v>1.3</v>
      </c>
      <c r="AU397" s="5">
        <v>1.3</v>
      </c>
      <c r="AV397" s="5">
        <v>1.3</v>
      </c>
      <c r="AW397" s="815">
        <v>1.3</v>
      </c>
      <c r="AX397" s="816">
        <v>1.3</v>
      </c>
      <c r="AY397" s="819">
        <v>1.3</v>
      </c>
      <c r="AZ397" s="816">
        <v>0</v>
      </c>
      <c r="BA397" s="818"/>
      <c r="BB397" s="802" t="str" cm="1">
        <f t="array" ref="BB397">INDEX(C$4:BA$4,MATCH(TRUE,INDEX(C397:BA397&lt;&gt;0,),0))</f>
        <v>2017-18</v>
      </c>
      <c r="BC397" s="803" t="str" cm="1">
        <f t="array" ref="BC397">LOOKUP(2,1/(C397:BA397&lt;&gt;0),$C$4:$BA$4)</f>
        <v>2026-27</v>
      </c>
      <c r="BD397" s="804">
        <f>COUNTIF(RDprograms[[#This Row],[1978-79]:[2028-29]], "&gt;0")</f>
        <v>10</v>
      </c>
      <c r="BE397" s="805">
        <f>SUM(C397:BA397)/RDprograms[[#This Row],[Years with &gt; $0 investment]]</f>
        <v>1.3000000000000003</v>
      </c>
      <c r="BF397" s="806" t="s">
        <v>273</v>
      </c>
      <c r="BG397" s="807" t="s">
        <v>703</v>
      </c>
      <c r="BH397" s="847" t="s">
        <v>834</v>
      </c>
      <c r="BI397" s="809"/>
      <c r="BJ397" s="809">
        <v>1</v>
      </c>
      <c r="BK397" s="809"/>
      <c r="BL397" s="809"/>
      <c r="BM397" s="809"/>
      <c r="BN397" s="810"/>
      <c r="BO397" s="811" t="s">
        <v>236</v>
      </c>
      <c r="BP397" s="812" t="s">
        <v>1091</v>
      </c>
      <c r="BQ397" s="812" t="s">
        <v>1092</v>
      </c>
      <c r="BR397" s="812"/>
      <c r="BS397" s="812"/>
      <c r="BT397" s="812" t="s">
        <v>238</v>
      </c>
    </row>
    <row r="398" spans="1:72" ht="12.75" customHeight="1">
      <c r="A398" s="813" t="s">
        <v>832</v>
      </c>
      <c r="B398" s="820" t="s">
        <v>1093</v>
      </c>
      <c r="C398" s="5">
        <v>0</v>
      </c>
      <c r="D398" s="5">
        <v>0</v>
      </c>
      <c r="E398" s="5">
        <v>0</v>
      </c>
      <c r="F398" s="5">
        <v>0</v>
      </c>
      <c r="G398" s="5">
        <v>0</v>
      </c>
      <c r="H398" s="5">
        <v>0</v>
      </c>
      <c r="I398" s="5">
        <v>0</v>
      </c>
      <c r="J398" s="5">
        <v>0</v>
      </c>
      <c r="K398" s="5">
        <v>0</v>
      </c>
      <c r="L398" s="5">
        <v>0</v>
      </c>
      <c r="M398" s="5">
        <v>0</v>
      </c>
      <c r="N398" s="5">
        <v>0</v>
      </c>
      <c r="O398" s="5">
        <v>0</v>
      </c>
      <c r="P398" s="5">
        <v>0</v>
      </c>
      <c r="Q398" s="5">
        <v>0</v>
      </c>
      <c r="R398" s="5">
        <v>0</v>
      </c>
      <c r="S398" s="5">
        <v>0</v>
      </c>
      <c r="T398" s="5">
        <v>0</v>
      </c>
      <c r="U398" s="5">
        <v>0</v>
      </c>
      <c r="V398" s="5">
        <v>0</v>
      </c>
      <c r="W398" s="5">
        <v>0</v>
      </c>
      <c r="X398" s="5">
        <v>0</v>
      </c>
      <c r="Y398" s="5">
        <v>0</v>
      </c>
      <c r="Z398" s="5">
        <v>0</v>
      </c>
      <c r="AA398" s="5">
        <v>0</v>
      </c>
      <c r="AB398" s="5">
        <v>0</v>
      </c>
      <c r="AC398" s="5">
        <v>0</v>
      </c>
      <c r="AD398" s="5">
        <v>0</v>
      </c>
      <c r="AE398" s="5">
        <v>0</v>
      </c>
      <c r="AF398" s="5">
        <v>0</v>
      </c>
      <c r="AG398" s="5">
        <v>3</v>
      </c>
      <c r="AH398" s="5">
        <v>2</v>
      </c>
      <c r="AI398" s="5">
        <v>1</v>
      </c>
      <c r="AJ398" s="5">
        <v>5</v>
      </c>
      <c r="AK398" s="5">
        <v>4</v>
      </c>
      <c r="AL398" s="5">
        <v>3.8</v>
      </c>
      <c r="AM398" s="5">
        <v>4.5999999999999996</v>
      </c>
      <c r="AN398" s="5">
        <v>4.8</v>
      </c>
      <c r="AO398" s="5">
        <v>7.8</v>
      </c>
      <c r="AP398" s="5">
        <v>1.5</v>
      </c>
      <c r="AQ398" s="5">
        <v>0</v>
      </c>
      <c r="AR398" s="5">
        <v>0</v>
      </c>
      <c r="AS398" s="5">
        <v>0</v>
      </c>
      <c r="AT398" s="5">
        <v>0</v>
      </c>
      <c r="AU398" s="5">
        <v>0</v>
      </c>
      <c r="AV398" s="5">
        <v>0</v>
      </c>
      <c r="AW398" s="849">
        <v>0</v>
      </c>
      <c r="AX398" s="5">
        <v>0</v>
      </c>
      <c r="AY398" s="819">
        <v>0</v>
      </c>
      <c r="AZ398" s="816"/>
      <c r="BA398" s="818"/>
      <c r="BB398" s="802" t="str" cm="1">
        <f t="array" ref="BB398">INDEX(C$4:BA$4,MATCH(TRUE,INDEX(C398:BA398&lt;&gt;0,),0))</f>
        <v>2008-09</v>
      </c>
      <c r="BC398" s="803" t="str" cm="1">
        <f t="array" ref="BC398">LOOKUP(2,1/(C398:BA398&lt;&gt;0),$C$4:$BA$4)</f>
        <v>2017-18</v>
      </c>
      <c r="BD398" s="804">
        <f>COUNTIF(RDprograms[[#This Row],[1978-79]:[2028-29]], "&gt;0")</f>
        <v>10</v>
      </c>
      <c r="BE398" s="805">
        <f>SUM(C398:BA398)/RDprograms[[#This Row],[Years with &gt; $0 investment]]</f>
        <v>3.75</v>
      </c>
      <c r="BF398" s="806" t="s">
        <v>273</v>
      </c>
      <c r="BG398" s="807" t="s">
        <v>703</v>
      </c>
      <c r="BH398" s="847" t="s">
        <v>834</v>
      </c>
      <c r="BI398" s="809"/>
      <c r="BJ398" s="809"/>
      <c r="BK398" s="809"/>
      <c r="BL398" s="809"/>
      <c r="BM398" s="809"/>
      <c r="BN398" s="810"/>
      <c r="BO398" s="811" t="s">
        <v>236</v>
      </c>
      <c r="BP398" s="812" t="s">
        <v>1094</v>
      </c>
      <c r="BQ398" s="812" t="s">
        <v>861</v>
      </c>
      <c r="BR398" s="812"/>
      <c r="BS398" s="812"/>
      <c r="BT398" s="812" t="s">
        <v>238</v>
      </c>
    </row>
    <row r="399" spans="1:72" ht="12.75" customHeight="1">
      <c r="A399" s="813" t="s">
        <v>1095</v>
      </c>
      <c r="B399" s="820" t="s">
        <v>1096</v>
      </c>
      <c r="C399" s="5">
        <v>0</v>
      </c>
      <c r="D399" s="5">
        <v>0</v>
      </c>
      <c r="E399" s="5">
        <v>0</v>
      </c>
      <c r="F399" s="5">
        <v>0</v>
      </c>
      <c r="G399" s="5">
        <v>0</v>
      </c>
      <c r="H399" s="5">
        <v>0</v>
      </c>
      <c r="I399" s="5">
        <v>0</v>
      </c>
      <c r="J399" s="5">
        <v>0</v>
      </c>
      <c r="K399" s="5">
        <v>0</v>
      </c>
      <c r="L399" s="5">
        <v>0</v>
      </c>
      <c r="M399" s="5">
        <v>0</v>
      </c>
      <c r="N399" s="5">
        <v>0</v>
      </c>
      <c r="O399" s="5">
        <v>0</v>
      </c>
      <c r="P399" s="5">
        <v>0</v>
      </c>
      <c r="Q399" s="5">
        <v>0</v>
      </c>
      <c r="R399" s="5">
        <v>0</v>
      </c>
      <c r="S399" s="5">
        <v>0</v>
      </c>
      <c r="T399" s="5">
        <v>0</v>
      </c>
      <c r="U399" s="5">
        <v>0</v>
      </c>
      <c r="V399" s="5">
        <v>0</v>
      </c>
      <c r="W399" s="5">
        <v>0</v>
      </c>
      <c r="X399" s="5">
        <v>0</v>
      </c>
      <c r="Y399" s="5">
        <v>0</v>
      </c>
      <c r="Z399" s="5">
        <v>0</v>
      </c>
      <c r="AA399" s="5">
        <v>0</v>
      </c>
      <c r="AB399" s="5">
        <v>0</v>
      </c>
      <c r="AC399" s="5">
        <v>0</v>
      </c>
      <c r="AD399" s="5">
        <v>0</v>
      </c>
      <c r="AE399" s="5">
        <v>0</v>
      </c>
      <c r="AF399" s="5">
        <v>0</v>
      </c>
      <c r="AG399" s="5">
        <v>0</v>
      </c>
      <c r="AH399" s="5">
        <v>0</v>
      </c>
      <c r="AI399" s="5">
        <v>0</v>
      </c>
      <c r="AJ399" s="5">
        <v>0</v>
      </c>
      <c r="AK399" s="5">
        <v>0</v>
      </c>
      <c r="AL399" s="5">
        <v>0</v>
      </c>
      <c r="AM399" s="5">
        <v>0</v>
      </c>
      <c r="AN399" s="5">
        <v>0</v>
      </c>
      <c r="AO399" s="5">
        <v>0</v>
      </c>
      <c r="AP399" s="816">
        <v>0</v>
      </c>
      <c r="AQ399" s="816">
        <v>0</v>
      </c>
      <c r="AR399" s="5">
        <v>0</v>
      </c>
      <c r="AS399" s="5">
        <v>0</v>
      </c>
      <c r="AT399" s="5">
        <v>0</v>
      </c>
      <c r="AU399" s="5">
        <v>2.5</v>
      </c>
      <c r="AV399" s="5">
        <v>2.5</v>
      </c>
      <c r="AW399" s="815">
        <v>7.25</v>
      </c>
      <c r="AX399" s="816">
        <v>0</v>
      </c>
      <c r="AY399" s="819">
        <v>0</v>
      </c>
      <c r="AZ399" s="816"/>
      <c r="BA399" s="818"/>
      <c r="BB399" s="802" t="str" cm="1">
        <f t="array" ref="BB399">INDEX(C$4:BA$4,MATCH(TRUE,INDEX(C399:BA399&lt;&gt;0,),0))</f>
        <v>2022-23</v>
      </c>
      <c r="BC399" s="803" t="str" cm="1">
        <f t="array" ref="BC399">LOOKUP(2,1/(C399:BA399&lt;&gt;0),$C$4:$BA$4)</f>
        <v>2024-25</v>
      </c>
      <c r="BD399" s="804">
        <f>COUNTIF(RDprograms[[#This Row],[1978-79]:[2028-29]], "&gt;0")</f>
        <v>3</v>
      </c>
      <c r="BE399" s="805">
        <f>SUM(C399:BA399)/RDprograms[[#This Row],[Years with &gt; $0 investment]]</f>
        <v>4.083333333333333</v>
      </c>
      <c r="BF399" s="806" t="s">
        <v>273</v>
      </c>
      <c r="BG399" s="807" t="s">
        <v>510</v>
      </c>
      <c r="BH399" s="847" t="s">
        <v>444</v>
      </c>
      <c r="BI399" s="809"/>
      <c r="BJ399" s="809"/>
      <c r="BK399" s="809"/>
      <c r="BL399" s="809"/>
      <c r="BM399" s="809"/>
      <c r="BN399" s="810"/>
      <c r="BO399" s="811" t="s">
        <v>236</v>
      </c>
      <c r="BP399" s="812" t="s">
        <v>1097</v>
      </c>
      <c r="BQ399" s="812" t="s">
        <v>1098</v>
      </c>
      <c r="BR399" s="812"/>
      <c r="BS399" s="812"/>
      <c r="BT399" s="812"/>
    </row>
    <row r="400" spans="1:72" ht="12.75" customHeight="1">
      <c r="A400" s="854" t="s">
        <v>1095</v>
      </c>
      <c r="B400" s="855" t="s">
        <v>1099</v>
      </c>
      <c r="C400" s="856">
        <v>0</v>
      </c>
      <c r="D400" s="856">
        <v>0</v>
      </c>
      <c r="E400" s="856">
        <v>0</v>
      </c>
      <c r="F400" s="856">
        <v>0</v>
      </c>
      <c r="G400" s="856">
        <v>0</v>
      </c>
      <c r="H400" s="856">
        <v>0</v>
      </c>
      <c r="I400" s="856">
        <v>0</v>
      </c>
      <c r="J400" s="856">
        <v>0</v>
      </c>
      <c r="K400" s="856">
        <v>0</v>
      </c>
      <c r="L400" s="856">
        <v>0</v>
      </c>
      <c r="M400" s="856">
        <v>0</v>
      </c>
      <c r="N400" s="856">
        <v>0</v>
      </c>
      <c r="O400" s="856">
        <v>0</v>
      </c>
      <c r="P400" s="856">
        <v>0</v>
      </c>
      <c r="Q400" s="856">
        <v>0</v>
      </c>
      <c r="R400" s="856">
        <v>0</v>
      </c>
      <c r="S400" s="856">
        <v>0</v>
      </c>
      <c r="T400" s="856">
        <v>0</v>
      </c>
      <c r="U400" s="856">
        <v>0</v>
      </c>
      <c r="V400" s="856">
        <v>0</v>
      </c>
      <c r="W400" s="856">
        <v>0</v>
      </c>
      <c r="X400" s="856">
        <v>0</v>
      </c>
      <c r="Y400" s="856">
        <v>0</v>
      </c>
      <c r="Z400" s="856">
        <v>0</v>
      </c>
      <c r="AA400" s="856">
        <v>0</v>
      </c>
      <c r="AB400" s="856">
        <v>0</v>
      </c>
      <c r="AC400" s="856">
        <v>0</v>
      </c>
      <c r="AD400" s="856">
        <v>0</v>
      </c>
      <c r="AE400" s="856">
        <v>0</v>
      </c>
      <c r="AF400" s="856">
        <v>0</v>
      </c>
      <c r="AG400" s="856">
        <v>0</v>
      </c>
      <c r="AH400" s="856">
        <v>0</v>
      </c>
      <c r="AI400" s="856">
        <v>0</v>
      </c>
      <c r="AJ400" s="856">
        <v>0</v>
      </c>
      <c r="AK400" s="856">
        <v>0</v>
      </c>
      <c r="AL400" s="856">
        <v>0</v>
      </c>
      <c r="AM400" s="856">
        <v>0</v>
      </c>
      <c r="AN400" s="856">
        <v>0</v>
      </c>
      <c r="AO400" s="856">
        <v>0</v>
      </c>
      <c r="AP400" s="856">
        <v>0</v>
      </c>
      <c r="AQ400" s="856">
        <v>0</v>
      </c>
      <c r="AR400" s="856">
        <v>0</v>
      </c>
      <c r="AS400" s="856">
        <v>0</v>
      </c>
      <c r="AT400" s="856">
        <v>0</v>
      </c>
      <c r="AU400" s="856">
        <v>0</v>
      </c>
      <c r="AV400" s="856">
        <v>0</v>
      </c>
      <c r="AW400" s="857">
        <v>0.05</v>
      </c>
      <c r="AX400" s="858">
        <v>0.6</v>
      </c>
      <c r="AY400" s="859" t="s">
        <v>1100</v>
      </c>
      <c r="AZ400" s="860" t="s">
        <v>1100</v>
      </c>
      <c r="BA400" s="861" t="s">
        <v>1100</v>
      </c>
      <c r="BB400" s="862" t="str" cm="1">
        <f t="array" ref="BB400">INDEX(C$4:BA$4,MATCH(TRUE,INDEX(C400:BA400&lt;&gt;0,),0))</f>
        <v>2024-25</v>
      </c>
      <c r="BC400" s="863" t="str" cm="1">
        <f t="array" ref="BC400">LOOKUP(2,1/(C400:BA400&lt;&gt;0),$C$4:$BA$4)</f>
        <v>2028-29</v>
      </c>
      <c r="BD400" s="864">
        <f>COUNTIF(RDprograms[[#This Row],[1978-79]:[2028-29]], "&gt;0")</f>
        <v>2</v>
      </c>
      <c r="BE400" s="805">
        <f>SUM(C400:BA400)/RDprograms[[#This Row],[Years with &gt; $0 investment]]</f>
        <v>0.32500000000000001</v>
      </c>
      <c r="BF400" s="865" t="s">
        <v>273</v>
      </c>
      <c r="BG400" s="855" t="s">
        <v>703</v>
      </c>
      <c r="BH400" s="866" t="s">
        <v>258</v>
      </c>
      <c r="BI400" s="867" t="s">
        <v>1100</v>
      </c>
      <c r="BJ400" s="867" t="s">
        <v>1100</v>
      </c>
      <c r="BK400" s="867" t="s">
        <v>1100</v>
      </c>
      <c r="BL400" s="867" t="s">
        <v>1100</v>
      </c>
      <c r="BM400" s="867" t="s">
        <v>1100</v>
      </c>
      <c r="BN400" s="868">
        <v>1</v>
      </c>
      <c r="BO400" s="860" t="s">
        <v>236</v>
      </c>
      <c r="BP400" s="869" t="s">
        <v>1101</v>
      </c>
      <c r="BQ400" s="869" t="s">
        <v>1100</v>
      </c>
      <c r="BR400" s="869" t="s">
        <v>1100</v>
      </c>
      <c r="BS400" s="869" t="s">
        <v>1100</v>
      </c>
      <c r="BT400" s="869" t="s">
        <v>1100</v>
      </c>
    </row>
    <row r="401" spans="1:72" ht="12.75" customHeight="1">
      <c r="A401" s="813" t="s">
        <v>1095</v>
      </c>
      <c r="B401" s="820" t="s">
        <v>1102</v>
      </c>
      <c r="C401" s="5">
        <v>0</v>
      </c>
      <c r="D401" s="5">
        <v>0</v>
      </c>
      <c r="E401" s="5">
        <v>0</v>
      </c>
      <c r="F401" s="5">
        <v>0</v>
      </c>
      <c r="G401" s="5">
        <v>0</v>
      </c>
      <c r="H401" s="5">
        <v>0</v>
      </c>
      <c r="I401" s="5">
        <v>0</v>
      </c>
      <c r="J401" s="5">
        <v>0</v>
      </c>
      <c r="K401" s="5">
        <v>0</v>
      </c>
      <c r="L401" s="5">
        <v>0</v>
      </c>
      <c r="M401" s="5">
        <v>0</v>
      </c>
      <c r="N401" s="5">
        <v>0</v>
      </c>
      <c r="O401" s="5">
        <v>0</v>
      </c>
      <c r="P401" s="5">
        <v>0</v>
      </c>
      <c r="Q401" s="5">
        <v>0</v>
      </c>
      <c r="R401" s="5">
        <v>0</v>
      </c>
      <c r="S401" s="5">
        <v>0</v>
      </c>
      <c r="T401" s="5">
        <v>0</v>
      </c>
      <c r="U401" s="5">
        <v>0</v>
      </c>
      <c r="V401" s="5">
        <v>0</v>
      </c>
      <c r="W401" s="5">
        <v>0</v>
      </c>
      <c r="X401" s="5">
        <v>0</v>
      </c>
      <c r="Y401" s="5">
        <v>0</v>
      </c>
      <c r="Z401" s="5">
        <v>0</v>
      </c>
      <c r="AA401" s="5">
        <v>0</v>
      </c>
      <c r="AB401" s="5">
        <v>0</v>
      </c>
      <c r="AC401" s="5">
        <v>0</v>
      </c>
      <c r="AD401" s="5">
        <v>0</v>
      </c>
      <c r="AE401" s="5">
        <v>0</v>
      </c>
      <c r="AF401" s="5">
        <v>0</v>
      </c>
      <c r="AG401" s="5">
        <v>0</v>
      </c>
      <c r="AH401" s="5">
        <v>0</v>
      </c>
      <c r="AI401" s="5">
        <v>0</v>
      </c>
      <c r="AJ401" s="5">
        <v>0</v>
      </c>
      <c r="AK401" s="5">
        <v>0</v>
      </c>
      <c r="AL401" s="5">
        <v>0</v>
      </c>
      <c r="AM401" s="5">
        <v>0</v>
      </c>
      <c r="AN401" s="5">
        <v>0</v>
      </c>
      <c r="AO401" s="5">
        <v>0</v>
      </c>
      <c r="AP401" s="816">
        <v>0</v>
      </c>
      <c r="AQ401" s="816">
        <v>0</v>
      </c>
      <c r="AR401" s="5">
        <v>0</v>
      </c>
      <c r="AS401" s="5">
        <v>0</v>
      </c>
      <c r="AT401" s="5">
        <v>0</v>
      </c>
      <c r="AU401" s="5">
        <v>0.375</v>
      </c>
      <c r="AV401" s="5">
        <v>0</v>
      </c>
      <c r="AW401" s="815">
        <v>0</v>
      </c>
      <c r="AX401" s="816">
        <v>0</v>
      </c>
      <c r="AY401" s="819">
        <v>0</v>
      </c>
      <c r="AZ401" s="816"/>
      <c r="BA401" s="818"/>
      <c r="BB401" s="802" t="str" cm="1">
        <f t="array" ref="BB401">INDEX(C$4:BA$4,MATCH(TRUE,INDEX(C401:BA401&lt;&gt;0,),0))</f>
        <v>2022-23</v>
      </c>
      <c r="BC401" s="803" t="str" cm="1">
        <f t="array" ref="BC401">LOOKUP(2,1/(C401:BA401&lt;&gt;0),$C$4:$BA$4)</f>
        <v>2022-23</v>
      </c>
      <c r="BD401" s="804">
        <f>COUNTIF(RDprograms[[#This Row],[1978-79]:[2028-29]], "&gt;0")</f>
        <v>1</v>
      </c>
      <c r="BE401" s="805">
        <f>SUM(C401:BA401)/RDprograms[[#This Row],[Years with &gt; $0 investment]]</f>
        <v>0.375</v>
      </c>
      <c r="BF401" s="806" t="s">
        <v>249</v>
      </c>
      <c r="BG401" s="807" t="s">
        <v>397</v>
      </c>
      <c r="BH401" s="847" t="s">
        <v>258</v>
      </c>
      <c r="BI401" s="809"/>
      <c r="BJ401" s="809"/>
      <c r="BK401" s="809"/>
      <c r="BL401" s="809"/>
      <c r="BM401" s="809"/>
      <c r="BN401" s="810"/>
      <c r="BO401" s="811" t="s">
        <v>236</v>
      </c>
      <c r="BP401" s="812" t="s">
        <v>1103</v>
      </c>
      <c r="BQ401" s="812" t="s">
        <v>1104</v>
      </c>
      <c r="BR401" s="812"/>
      <c r="BS401" s="812"/>
      <c r="BT401" s="812" t="s">
        <v>238</v>
      </c>
    </row>
    <row r="402" spans="1:72" ht="12.75" customHeight="1">
      <c r="A402" s="813" t="s">
        <v>1095</v>
      </c>
      <c r="B402" s="820" t="s">
        <v>1105</v>
      </c>
      <c r="C402" s="5">
        <v>0</v>
      </c>
      <c r="D402" s="5">
        <v>0</v>
      </c>
      <c r="E402" s="5">
        <v>0</v>
      </c>
      <c r="F402" s="5">
        <v>0</v>
      </c>
      <c r="G402" s="5">
        <v>0</v>
      </c>
      <c r="H402" s="5">
        <v>0</v>
      </c>
      <c r="I402" s="5">
        <v>0</v>
      </c>
      <c r="J402" s="5">
        <v>0</v>
      </c>
      <c r="K402" s="5">
        <v>0</v>
      </c>
      <c r="L402" s="5">
        <v>0</v>
      </c>
      <c r="M402" s="5">
        <v>0</v>
      </c>
      <c r="N402" s="5">
        <v>0</v>
      </c>
      <c r="O402" s="5">
        <v>0</v>
      </c>
      <c r="P402" s="5">
        <v>0</v>
      </c>
      <c r="Q402" s="5">
        <v>0</v>
      </c>
      <c r="R402" s="5">
        <v>0</v>
      </c>
      <c r="S402" s="5">
        <v>0</v>
      </c>
      <c r="T402" s="5">
        <v>0</v>
      </c>
      <c r="U402" s="5">
        <v>0</v>
      </c>
      <c r="V402" s="5">
        <v>0</v>
      </c>
      <c r="W402" s="5">
        <v>0</v>
      </c>
      <c r="X402" s="5">
        <v>0</v>
      </c>
      <c r="Y402" s="5">
        <v>0</v>
      </c>
      <c r="Z402" s="5">
        <v>0</v>
      </c>
      <c r="AA402" s="5">
        <v>0</v>
      </c>
      <c r="AB402" s="5">
        <v>0</v>
      </c>
      <c r="AC402" s="5">
        <v>0</v>
      </c>
      <c r="AD402" s="5">
        <v>0</v>
      </c>
      <c r="AE402" s="5">
        <v>0</v>
      </c>
      <c r="AF402" s="5">
        <v>0</v>
      </c>
      <c r="AG402" s="5">
        <v>0</v>
      </c>
      <c r="AH402" s="5">
        <v>0</v>
      </c>
      <c r="AI402" s="5">
        <v>0</v>
      </c>
      <c r="AJ402" s="5">
        <v>0</v>
      </c>
      <c r="AK402" s="5">
        <v>0</v>
      </c>
      <c r="AL402" s="5">
        <v>0</v>
      </c>
      <c r="AM402" s="5">
        <v>0</v>
      </c>
      <c r="AN402" s="5">
        <v>0</v>
      </c>
      <c r="AO402" s="5">
        <v>0</v>
      </c>
      <c r="AP402" s="5">
        <v>0</v>
      </c>
      <c r="AQ402" s="5">
        <v>0</v>
      </c>
      <c r="AR402" s="5">
        <v>0</v>
      </c>
      <c r="AS402" s="5">
        <v>0</v>
      </c>
      <c r="AT402" s="5">
        <v>0</v>
      </c>
      <c r="AU402" s="5">
        <v>0</v>
      </c>
      <c r="AV402" s="816">
        <v>0</v>
      </c>
      <c r="AW402" s="815">
        <v>0</v>
      </c>
      <c r="AX402" s="816">
        <v>0.45</v>
      </c>
      <c r="AY402" s="819">
        <v>1.05</v>
      </c>
      <c r="AZ402" s="826">
        <v>0</v>
      </c>
      <c r="BA402" s="838"/>
      <c r="BB402" s="802" t="str" cm="1">
        <f t="array" ref="BB402">INDEX(C$4:BA$4,MATCH(TRUE,INDEX(C402:BA402&lt;&gt;0,),0))</f>
        <v>2025-26</v>
      </c>
      <c r="BC402" s="803" t="str" cm="1">
        <f t="array" ref="BC402">LOOKUP(2,1/(C402:BA402&lt;&gt;0),$C$4:$BA$4)</f>
        <v>2026-27</v>
      </c>
      <c r="BD402" s="839">
        <f>COUNTIF(RDprograms[[#This Row],[1978-79]:[2028-29]], "&gt;0")</f>
        <v>2</v>
      </c>
      <c r="BE402" s="805">
        <f>SUM(C402:BA402)/RDprograms[[#This Row],[Years with &gt; $0 investment]]</f>
        <v>0.75</v>
      </c>
      <c r="BF402" s="806" t="s">
        <v>249</v>
      </c>
      <c r="BG402" s="807" t="s">
        <v>409</v>
      </c>
      <c r="BH402" s="847" t="s">
        <v>258</v>
      </c>
      <c r="BI402" s="809"/>
      <c r="BJ402" s="809"/>
      <c r="BK402" s="809"/>
      <c r="BL402" s="809"/>
      <c r="BM402" s="809">
        <v>1</v>
      </c>
      <c r="BN402" s="810"/>
      <c r="BO402" s="811" t="s">
        <v>236</v>
      </c>
      <c r="BP402" s="812" t="s">
        <v>1106</v>
      </c>
      <c r="BQ402" s="812"/>
      <c r="BR402" s="812"/>
      <c r="BS402" s="812"/>
      <c r="BT402" s="812"/>
    </row>
    <row r="403" spans="1:72" ht="12.75" customHeight="1">
      <c r="A403" s="813" t="s">
        <v>1095</v>
      </c>
      <c r="B403" s="820" t="s">
        <v>1107</v>
      </c>
      <c r="C403" s="5">
        <v>0</v>
      </c>
      <c r="D403" s="5">
        <v>0</v>
      </c>
      <c r="E403" s="5">
        <v>0</v>
      </c>
      <c r="F403" s="5">
        <v>0</v>
      </c>
      <c r="G403" s="5">
        <v>0</v>
      </c>
      <c r="H403" s="5">
        <v>0</v>
      </c>
      <c r="I403" s="5">
        <v>0</v>
      </c>
      <c r="J403" s="5">
        <v>0</v>
      </c>
      <c r="K403" s="5">
        <v>0</v>
      </c>
      <c r="L403" s="5">
        <v>0</v>
      </c>
      <c r="M403" s="5">
        <v>0</v>
      </c>
      <c r="N403" s="5">
        <v>0</v>
      </c>
      <c r="O403" s="5">
        <v>0</v>
      </c>
      <c r="P403" s="5">
        <v>0</v>
      </c>
      <c r="Q403" s="5">
        <v>0</v>
      </c>
      <c r="R403" s="5">
        <v>0</v>
      </c>
      <c r="S403" s="5">
        <v>0</v>
      </c>
      <c r="T403" s="5">
        <v>0</v>
      </c>
      <c r="U403" s="5">
        <v>0</v>
      </c>
      <c r="V403" s="5">
        <v>0</v>
      </c>
      <c r="W403" s="5">
        <v>0</v>
      </c>
      <c r="X403" s="5">
        <v>0</v>
      </c>
      <c r="Y403" s="5">
        <v>0</v>
      </c>
      <c r="Z403" s="5">
        <v>0</v>
      </c>
      <c r="AA403" s="5">
        <v>0</v>
      </c>
      <c r="AB403" s="5">
        <v>0</v>
      </c>
      <c r="AC403" s="5">
        <v>0</v>
      </c>
      <c r="AD403" s="5">
        <v>0</v>
      </c>
      <c r="AE403" s="5">
        <v>0</v>
      </c>
      <c r="AF403" s="5">
        <v>0</v>
      </c>
      <c r="AG403" s="5">
        <v>0</v>
      </c>
      <c r="AH403" s="5">
        <v>0</v>
      </c>
      <c r="AI403" s="5">
        <v>0</v>
      </c>
      <c r="AJ403" s="5">
        <v>0</v>
      </c>
      <c r="AK403" s="5">
        <v>0</v>
      </c>
      <c r="AL403" s="5">
        <v>0</v>
      </c>
      <c r="AM403" s="5">
        <v>0</v>
      </c>
      <c r="AN403" s="5">
        <v>0</v>
      </c>
      <c r="AO403" s="5">
        <v>0</v>
      </c>
      <c r="AP403" s="5">
        <v>0</v>
      </c>
      <c r="AQ403" s="5">
        <v>0</v>
      </c>
      <c r="AR403" s="5">
        <v>0</v>
      </c>
      <c r="AS403" s="5">
        <v>0</v>
      </c>
      <c r="AT403" s="5">
        <v>0.754</v>
      </c>
      <c r="AU403" s="5">
        <v>0.32300000000000001</v>
      </c>
      <c r="AV403" s="5">
        <v>0</v>
      </c>
      <c r="AW403" s="815">
        <v>0</v>
      </c>
      <c r="AX403" s="816">
        <v>0</v>
      </c>
      <c r="AY403" s="819">
        <v>0</v>
      </c>
      <c r="AZ403" s="816"/>
      <c r="BA403" s="818"/>
      <c r="BB403" s="802" t="str" cm="1">
        <f t="array" ref="BB403">INDEX(C$4:BA$4,MATCH(TRUE,INDEX(C403:BA403&lt;&gt;0,),0))</f>
        <v>2021-22</v>
      </c>
      <c r="BC403" s="803" t="str" cm="1">
        <f t="array" ref="BC403">LOOKUP(2,1/(C403:BA403&lt;&gt;0),$C$4:$BA$4)</f>
        <v>2022-23</v>
      </c>
      <c r="BD403" s="804">
        <f>COUNTIF(RDprograms[[#This Row],[1978-79]:[2028-29]], "&gt;0")</f>
        <v>2</v>
      </c>
      <c r="BE403" s="805">
        <f>SUM(C403:BA403)/RDprograms[[#This Row],[Years with &gt; $0 investment]]</f>
        <v>0.53849999999999998</v>
      </c>
      <c r="BF403" s="806" t="s">
        <v>273</v>
      </c>
      <c r="BG403" s="807" t="s">
        <v>510</v>
      </c>
      <c r="BH403" s="847" t="s">
        <v>444</v>
      </c>
      <c r="BI403" s="809"/>
      <c r="BJ403" s="809"/>
      <c r="BK403" s="809"/>
      <c r="BL403" s="809"/>
      <c r="BM403" s="809"/>
      <c r="BN403" s="810"/>
      <c r="BO403" s="811" t="s">
        <v>236</v>
      </c>
      <c r="BP403" s="812" t="s">
        <v>1108</v>
      </c>
      <c r="BQ403" s="812"/>
      <c r="BR403" s="812"/>
      <c r="BS403" s="812"/>
      <c r="BT403" s="812" t="s">
        <v>238</v>
      </c>
    </row>
    <row r="404" spans="1:72" ht="12.75" customHeight="1">
      <c r="A404" s="854" t="s">
        <v>1095</v>
      </c>
      <c r="B404" s="855" t="s">
        <v>1109</v>
      </c>
      <c r="C404" s="856">
        <v>0</v>
      </c>
      <c r="D404" s="856">
        <v>0</v>
      </c>
      <c r="E404" s="856">
        <v>0</v>
      </c>
      <c r="F404" s="856">
        <v>0</v>
      </c>
      <c r="G404" s="856">
        <v>0</v>
      </c>
      <c r="H404" s="856">
        <v>0</v>
      </c>
      <c r="I404" s="856">
        <v>0</v>
      </c>
      <c r="J404" s="856">
        <v>0</v>
      </c>
      <c r="K404" s="856">
        <v>0</v>
      </c>
      <c r="L404" s="856">
        <v>0</v>
      </c>
      <c r="M404" s="856">
        <v>0</v>
      </c>
      <c r="N404" s="856">
        <v>0</v>
      </c>
      <c r="O404" s="856">
        <v>0</v>
      </c>
      <c r="P404" s="856">
        <v>0</v>
      </c>
      <c r="Q404" s="856">
        <v>0</v>
      </c>
      <c r="R404" s="856">
        <v>0</v>
      </c>
      <c r="S404" s="856">
        <v>0</v>
      </c>
      <c r="T404" s="856">
        <v>0</v>
      </c>
      <c r="U404" s="856">
        <v>0</v>
      </c>
      <c r="V404" s="856">
        <v>0</v>
      </c>
      <c r="W404" s="856">
        <v>0</v>
      </c>
      <c r="X404" s="856">
        <v>0</v>
      </c>
      <c r="Y404" s="856">
        <v>0</v>
      </c>
      <c r="Z404" s="856">
        <v>0</v>
      </c>
      <c r="AA404" s="856">
        <v>0</v>
      </c>
      <c r="AB404" s="856">
        <v>0</v>
      </c>
      <c r="AC404" s="856">
        <v>0</v>
      </c>
      <c r="AD404" s="856">
        <v>0</v>
      </c>
      <c r="AE404" s="856">
        <v>0</v>
      </c>
      <c r="AF404" s="856">
        <v>0</v>
      </c>
      <c r="AG404" s="856">
        <v>0</v>
      </c>
      <c r="AH404" s="856">
        <v>0</v>
      </c>
      <c r="AI404" s="856">
        <v>0</v>
      </c>
      <c r="AJ404" s="856">
        <v>0</v>
      </c>
      <c r="AK404" s="856">
        <v>0</v>
      </c>
      <c r="AL404" s="856">
        <v>0</v>
      </c>
      <c r="AM404" s="856">
        <v>0</v>
      </c>
      <c r="AN404" s="856">
        <v>0</v>
      </c>
      <c r="AO404" s="856">
        <v>0</v>
      </c>
      <c r="AP404" s="856">
        <v>0</v>
      </c>
      <c r="AQ404" s="856">
        <v>0</v>
      </c>
      <c r="AR404" s="856">
        <v>0</v>
      </c>
      <c r="AS404" s="856">
        <v>0</v>
      </c>
      <c r="AT404" s="856">
        <v>0</v>
      </c>
      <c r="AU404" s="856">
        <v>0</v>
      </c>
      <c r="AV404" s="856">
        <v>0</v>
      </c>
      <c r="AW404" s="857">
        <v>0.3</v>
      </c>
      <c r="AX404" s="858">
        <v>0.05</v>
      </c>
      <c r="AY404" s="859" t="s">
        <v>1100</v>
      </c>
      <c r="AZ404" s="860" t="s">
        <v>1100</v>
      </c>
      <c r="BA404" s="861" t="s">
        <v>1100</v>
      </c>
      <c r="BB404" s="862" t="str" cm="1">
        <f t="array" ref="BB404">INDEX(C$4:BA$4,MATCH(TRUE,INDEX(C404:BA404&lt;&gt;0,),0))</f>
        <v>2024-25</v>
      </c>
      <c r="BC404" s="863" t="str" cm="1">
        <f t="array" ref="BC404">LOOKUP(2,1/(C404:BA404&lt;&gt;0),$C$4:$BA$4)</f>
        <v>2028-29</v>
      </c>
      <c r="BD404" s="864">
        <f>COUNTIF(RDprograms[[#This Row],[1978-79]:[2028-29]], "&gt;0")</f>
        <v>2</v>
      </c>
      <c r="BE404" s="805">
        <f>SUM(C404:BA404)/RDprograms[[#This Row],[Years with &gt; $0 investment]]</f>
        <v>0.17499999999999999</v>
      </c>
      <c r="BF404" s="860" t="s">
        <v>273</v>
      </c>
      <c r="BG404" s="865" t="s">
        <v>703</v>
      </c>
      <c r="BH404" s="870" t="s">
        <v>258</v>
      </c>
      <c r="BI404" s="867" t="s">
        <v>1100</v>
      </c>
      <c r="BJ404" s="867" t="s">
        <v>1100</v>
      </c>
      <c r="BK404" s="867" t="s">
        <v>1100</v>
      </c>
      <c r="BL404" s="867" t="s">
        <v>1100</v>
      </c>
      <c r="BM404" s="867" t="s">
        <v>1100</v>
      </c>
      <c r="BN404" s="868">
        <v>1</v>
      </c>
      <c r="BO404" s="860" t="s">
        <v>236</v>
      </c>
      <c r="BP404" s="869" t="s">
        <v>1110</v>
      </c>
      <c r="BQ404" s="869" t="s">
        <v>1100</v>
      </c>
      <c r="BR404" s="869" t="s">
        <v>1100</v>
      </c>
      <c r="BS404" s="869" t="s">
        <v>1100</v>
      </c>
      <c r="BT404" s="869" t="s">
        <v>1100</v>
      </c>
    </row>
    <row r="405" spans="1:72" ht="12.75" customHeight="1">
      <c r="A405" s="854" t="s">
        <v>1095</v>
      </c>
      <c r="B405" s="855" t="s">
        <v>1111</v>
      </c>
      <c r="C405" s="856">
        <v>0</v>
      </c>
      <c r="D405" s="856">
        <v>0</v>
      </c>
      <c r="E405" s="856">
        <v>0</v>
      </c>
      <c r="F405" s="856">
        <v>0</v>
      </c>
      <c r="G405" s="856">
        <v>0</v>
      </c>
      <c r="H405" s="856">
        <v>0</v>
      </c>
      <c r="I405" s="856">
        <v>0</v>
      </c>
      <c r="J405" s="856">
        <v>0</v>
      </c>
      <c r="K405" s="856">
        <v>0</v>
      </c>
      <c r="L405" s="856">
        <v>0</v>
      </c>
      <c r="M405" s="856">
        <v>0</v>
      </c>
      <c r="N405" s="856">
        <v>0</v>
      </c>
      <c r="O405" s="856">
        <v>0</v>
      </c>
      <c r="P405" s="856">
        <v>0</v>
      </c>
      <c r="Q405" s="856">
        <v>0</v>
      </c>
      <c r="R405" s="856">
        <v>0</v>
      </c>
      <c r="S405" s="856">
        <v>0</v>
      </c>
      <c r="T405" s="856">
        <v>0</v>
      </c>
      <c r="U405" s="856">
        <v>0</v>
      </c>
      <c r="V405" s="856">
        <v>0</v>
      </c>
      <c r="W405" s="856">
        <v>0</v>
      </c>
      <c r="X405" s="856">
        <v>0</v>
      </c>
      <c r="Y405" s="856">
        <v>0</v>
      </c>
      <c r="Z405" s="856">
        <v>0</v>
      </c>
      <c r="AA405" s="856">
        <v>0</v>
      </c>
      <c r="AB405" s="856">
        <v>0</v>
      </c>
      <c r="AC405" s="856">
        <v>0</v>
      </c>
      <c r="AD405" s="856">
        <v>0</v>
      </c>
      <c r="AE405" s="856">
        <v>0</v>
      </c>
      <c r="AF405" s="856">
        <v>0</v>
      </c>
      <c r="AG405" s="856">
        <v>0</v>
      </c>
      <c r="AH405" s="856">
        <v>0</v>
      </c>
      <c r="AI405" s="856">
        <v>0</v>
      </c>
      <c r="AJ405" s="856">
        <v>0</v>
      </c>
      <c r="AK405" s="856">
        <v>0</v>
      </c>
      <c r="AL405" s="856">
        <v>0</v>
      </c>
      <c r="AM405" s="856">
        <v>0</v>
      </c>
      <c r="AN405" s="856">
        <v>0</v>
      </c>
      <c r="AO405" s="856">
        <v>0</v>
      </c>
      <c r="AP405" s="856">
        <v>0</v>
      </c>
      <c r="AQ405" s="856">
        <v>0</v>
      </c>
      <c r="AR405" s="856">
        <v>0</v>
      </c>
      <c r="AS405" s="856">
        <v>0</v>
      </c>
      <c r="AT405" s="856">
        <v>8</v>
      </c>
      <c r="AU405" s="856">
        <v>8</v>
      </c>
      <c r="AV405" s="856">
        <v>8</v>
      </c>
      <c r="AW405" s="857">
        <v>9</v>
      </c>
      <c r="AX405" s="858">
        <v>9</v>
      </c>
      <c r="AY405" s="871">
        <v>9</v>
      </c>
      <c r="AZ405" s="858">
        <v>10</v>
      </c>
      <c r="BA405" s="872">
        <v>10</v>
      </c>
      <c r="BB405" s="862" t="str" cm="1">
        <f t="array" ref="BB405">INDEX(C$4:BA$4,MATCH(TRUE,INDEX(C405:BA405&lt;&gt;0,),0))</f>
        <v>2021-22</v>
      </c>
      <c r="BC405" s="863" t="str" cm="1">
        <f t="array" ref="BC405">LOOKUP(2,1/(C405:BA405&lt;&gt;0),$C$4:$BA$4)</f>
        <v>2028-29</v>
      </c>
      <c r="BD405" s="864">
        <f>COUNTIF(RDprograms[[#This Row],[1978-79]:[2028-29]], "&gt;0")</f>
        <v>8</v>
      </c>
      <c r="BE405" s="805">
        <f>SUM(C405:BA405)/RDprograms[[#This Row],[Years with &gt; $0 investment]]</f>
        <v>8.875</v>
      </c>
      <c r="BF405" s="860" t="s">
        <v>273</v>
      </c>
      <c r="BG405" s="865" t="s">
        <v>397</v>
      </c>
      <c r="BH405" s="870" t="s">
        <v>241</v>
      </c>
      <c r="BI405" s="867" t="s">
        <v>1100</v>
      </c>
      <c r="BJ405" s="867">
        <v>1</v>
      </c>
      <c r="BK405" s="867" t="s">
        <v>1100</v>
      </c>
      <c r="BL405" s="867" t="s">
        <v>1100</v>
      </c>
      <c r="BM405" s="867">
        <v>1</v>
      </c>
      <c r="BN405" s="868">
        <v>1</v>
      </c>
      <c r="BO405" s="860" t="s">
        <v>236</v>
      </c>
      <c r="BP405" s="869" t="s">
        <v>1112</v>
      </c>
      <c r="BQ405" s="869" t="s">
        <v>1113</v>
      </c>
      <c r="BR405" s="869"/>
      <c r="BS405" s="869" t="s">
        <v>1100</v>
      </c>
      <c r="BT405" s="869" t="s">
        <v>238</v>
      </c>
    </row>
    <row r="406" spans="1:72" ht="12.75" customHeight="1">
      <c r="A406" s="854" t="s">
        <v>1095</v>
      </c>
      <c r="B406" s="873" t="s">
        <v>1114</v>
      </c>
      <c r="C406" s="830">
        <v>0</v>
      </c>
      <c r="D406" s="830">
        <v>0</v>
      </c>
      <c r="E406" s="830">
        <v>0</v>
      </c>
      <c r="F406" s="830">
        <v>0</v>
      </c>
      <c r="G406" s="830">
        <v>0</v>
      </c>
      <c r="H406" s="830">
        <v>0</v>
      </c>
      <c r="I406" s="830">
        <v>0</v>
      </c>
      <c r="J406" s="830">
        <v>0</v>
      </c>
      <c r="K406" s="830">
        <v>0</v>
      </c>
      <c r="L406" s="830">
        <v>0</v>
      </c>
      <c r="M406" s="830">
        <v>0</v>
      </c>
      <c r="N406" s="830">
        <v>0</v>
      </c>
      <c r="O406" s="830">
        <v>0</v>
      </c>
      <c r="P406" s="830">
        <v>0</v>
      </c>
      <c r="Q406" s="830">
        <v>0</v>
      </c>
      <c r="R406" s="830">
        <v>0</v>
      </c>
      <c r="S406" s="830">
        <v>0</v>
      </c>
      <c r="T406" s="830">
        <v>0</v>
      </c>
      <c r="U406" s="830">
        <v>0</v>
      </c>
      <c r="V406" s="830">
        <v>0</v>
      </c>
      <c r="W406" s="830">
        <v>0</v>
      </c>
      <c r="X406" s="830">
        <v>0</v>
      </c>
      <c r="Y406" s="830">
        <v>0</v>
      </c>
      <c r="Z406" s="830">
        <v>0</v>
      </c>
      <c r="AA406" s="830">
        <v>0</v>
      </c>
      <c r="AB406" s="830">
        <v>0</v>
      </c>
      <c r="AC406" s="830">
        <v>0</v>
      </c>
      <c r="AD406" s="830">
        <v>0</v>
      </c>
      <c r="AE406" s="830">
        <v>0</v>
      </c>
      <c r="AF406" s="830">
        <v>0</v>
      </c>
      <c r="AG406" s="830">
        <v>0</v>
      </c>
      <c r="AH406" s="830">
        <v>0</v>
      </c>
      <c r="AI406" s="830">
        <v>0</v>
      </c>
      <c r="AJ406" s="830">
        <v>0</v>
      </c>
      <c r="AK406" s="830">
        <v>0</v>
      </c>
      <c r="AL406" s="830">
        <v>0</v>
      </c>
      <c r="AM406" s="830">
        <v>0</v>
      </c>
      <c r="AN406" s="830">
        <v>0</v>
      </c>
      <c r="AO406" s="830">
        <v>0</v>
      </c>
      <c r="AP406" s="874">
        <v>0</v>
      </c>
      <c r="AQ406" s="874">
        <v>0</v>
      </c>
      <c r="AR406" s="830">
        <v>0</v>
      </c>
      <c r="AS406" s="830">
        <v>0</v>
      </c>
      <c r="AT406" s="830">
        <v>0.5</v>
      </c>
      <c r="AU406" s="830">
        <v>5.2110000000000003</v>
      </c>
      <c r="AV406" s="830">
        <v>0</v>
      </c>
      <c r="AW406" s="831">
        <v>4.95</v>
      </c>
      <c r="AX406" s="874">
        <v>0.75</v>
      </c>
      <c r="AY406" s="833">
        <v>0</v>
      </c>
      <c r="AZ406" s="874"/>
      <c r="BA406" s="834"/>
      <c r="BB406" s="835" t="str" cm="1">
        <f t="array" ref="BB406">INDEX(C$4:BA$4,MATCH(TRUE,INDEX(C406:BA406&lt;&gt;0,),0))</f>
        <v>2021-22</v>
      </c>
      <c r="BC406" s="836" t="str" cm="1">
        <f t="array" ref="BC406">LOOKUP(2,1/(C406:BA406&lt;&gt;0),$C$4:$BA$4)</f>
        <v>2025-26</v>
      </c>
      <c r="BD406" s="837">
        <f>COUNTIF(RDprograms[[#This Row],[1978-79]:[2028-29]], "&gt;0")</f>
        <v>4</v>
      </c>
      <c r="BE406" s="805">
        <f>SUM(C406:BA406)/RDprograms[[#This Row],[Years with &gt; $0 investment]]</f>
        <v>2.8527500000000003</v>
      </c>
      <c r="BF406" s="875" t="s">
        <v>273</v>
      </c>
      <c r="BG406" s="876" t="s">
        <v>406</v>
      </c>
      <c r="BH406" s="877" t="s">
        <v>444</v>
      </c>
      <c r="BI406" s="878"/>
      <c r="BJ406" s="878"/>
      <c r="BK406" s="878"/>
      <c r="BL406" s="878"/>
      <c r="BM406" s="878">
        <v>1</v>
      </c>
      <c r="BN406" s="879"/>
      <c r="BO406" s="875" t="s">
        <v>236</v>
      </c>
      <c r="BP406" s="852" t="s">
        <v>1115</v>
      </c>
      <c r="BQ406" s="852" t="s">
        <v>1116</v>
      </c>
      <c r="BR406" s="852"/>
      <c r="BS406" s="852"/>
      <c r="BT406" s="852"/>
    </row>
    <row r="407" spans="1:72" ht="12.75" customHeight="1">
      <c r="A407" s="854" t="s">
        <v>1095</v>
      </c>
      <c r="B407" s="855" t="s">
        <v>1117</v>
      </c>
      <c r="C407" s="856">
        <v>0</v>
      </c>
      <c r="D407" s="856">
        <v>0</v>
      </c>
      <c r="E407" s="856">
        <v>0</v>
      </c>
      <c r="F407" s="856">
        <v>0</v>
      </c>
      <c r="G407" s="856">
        <v>0</v>
      </c>
      <c r="H407" s="856">
        <v>0</v>
      </c>
      <c r="I407" s="856">
        <v>0</v>
      </c>
      <c r="J407" s="856">
        <v>0</v>
      </c>
      <c r="K407" s="856">
        <v>0</v>
      </c>
      <c r="L407" s="856">
        <v>0</v>
      </c>
      <c r="M407" s="856">
        <v>0</v>
      </c>
      <c r="N407" s="856">
        <v>0</v>
      </c>
      <c r="O407" s="856">
        <v>0</v>
      </c>
      <c r="P407" s="856">
        <v>0</v>
      </c>
      <c r="Q407" s="856">
        <v>0</v>
      </c>
      <c r="R407" s="856">
        <v>0</v>
      </c>
      <c r="S407" s="856">
        <v>0</v>
      </c>
      <c r="T407" s="856">
        <v>0</v>
      </c>
      <c r="U407" s="856">
        <v>0</v>
      </c>
      <c r="V407" s="856">
        <v>0</v>
      </c>
      <c r="W407" s="856">
        <v>0</v>
      </c>
      <c r="X407" s="856">
        <v>0</v>
      </c>
      <c r="Y407" s="856">
        <v>0</v>
      </c>
      <c r="Z407" s="856">
        <v>0</v>
      </c>
      <c r="AA407" s="856">
        <v>0</v>
      </c>
      <c r="AB407" s="856">
        <v>0</v>
      </c>
      <c r="AC407" s="856">
        <v>0</v>
      </c>
      <c r="AD407" s="856">
        <v>0</v>
      </c>
      <c r="AE407" s="856">
        <v>0</v>
      </c>
      <c r="AF407" s="856">
        <v>0</v>
      </c>
      <c r="AG407" s="856">
        <v>0</v>
      </c>
      <c r="AH407" s="856">
        <v>0</v>
      </c>
      <c r="AI407" s="856">
        <v>0</v>
      </c>
      <c r="AJ407" s="856">
        <v>0</v>
      </c>
      <c r="AK407" s="856">
        <v>0</v>
      </c>
      <c r="AL407" s="856">
        <v>0</v>
      </c>
      <c r="AM407" s="856">
        <v>0</v>
      </c>
      <c r="AN407" s="856">
        <v>0</v>
      </c>
      <c r="AO407" s="856">
        <v>0</v>
      </c>
      <c r="AP407" s="856">
        <v>0</v>
      </c>
      <c r="AQ407" s="856">
        <v>0</v>
      </c>
      <c r="AR407" s="856">
        <v>0</v>
      </c>
      <c r="AS407" s="856">
        <v>0</v>
      </c>
      <c r="AT407" s="856">
        <v>0</v>
      </c>
      <c r="AU407" s="856">
        <v>0</v>
      </c>
      <c r="AV407" s="856">
        <v>0</v>
      </c>
      <c r="AW407" s="857">
        <v>0.39500000000000002</v>
      </c>
      <c r="AX407" s="858">
        <v>0.6</v>
      </c>
      <c r="AY407" s="859" t="s">
        <v>1100</v>
      </c>
      <c r="AZ407" s="860" t="s">
        <v>1100</v>
      </c>
      <c r="BA407" s="861" t="s">
        <v>1100</v>
      </c>
      <c r="BB407" s="862" t="str" cm="1">
        <f t="array" ref="BB407">INDEX(C$4:BA$4,MATCH(TRUE,INDEX(C407:BA407&lt;&gt;0,),0))</f>
        <v>2024-25</v>
      </c>
      <c r="BC407" s="863" t="str" cm="1">
        <f t="array" ref="BC407">LOOKUP(2,1/(C407:BA407&lt;&gt;0),$C$4:$BA$4)</f>
        <v>2028-29</v>
      </c>
      <c r="BD407" s="864">
        <f>COUNTIF(RDprograms[[#This Row],[1978-79]:[2028-29]], "&gt;0")</f>
        <v>2</v>
      </c>
      <c r="BE407" s="805">
        <f>SUM(C407:BA407)/RDprograms[[#This Row],[Years with &gt; $0 investment]]</f>
        <v>0.4975</v>
      </c>
      <c r="BF407" s="860" t="s">
        <v>273</v>
      </c>
      <c r="BG407" s="865" t="s">
        <v>703</v>
      </c>
      <c r="BH407" s="870" t="s">
        <v>258</v>
      </c>
      <c r="BI407" s="867" t="s">
        <v>1100</v>
      </c>
      <c r="BJ407" s="867" t="s">
        <v>1100</v>
      </c>
      <c r="BK407" s="867" t="s">
        <v>1100</v>
      </c>
      <c r="BL407" s="867" t="s">
        <v>1100</v>
      </c>
      <c r="BM407" s="867" t="s">
        <v>1100</v>
      </c>
      <c r="BN407" s="868">
        <v>1</v>
      </c>
      <c r="BO407" s="860" t="s">
        <v>236</v>
      </c>
      <c r="BP407" s="869" t="s">
        <v>1118</v>
      </c>
      <c r="BQ407" s="869" t="s">
        <v>1100</v>
      </c>
      <c r="BR407" s="869" t="s">
        <v>1100</v>
      </c>
      <c r="BS407" s="869" t="s">
        <v>1100</v>
      </c>
      <c r="BT407" s="869" t="s">
        <v>1100</v>
      </c>
    </row>
    <row r="408" spans="1:72" ht="12.75" customHeight="1">
      <c r="A408" s="854" t="s">
        <v>1119</v>
      </c>
      <c r="B408" s="873" t="s">
        <v>1120</v>
      </c>
      <c r="C408" s="830">
        <v>0</v>
      </c>
      <c r="D408" s="830">
        <v>0</v>
      </c>
      <c r="E408" s="830">
        <v>0</v>
      </c>
      <c r="F408" s="830">
        <v>0</v>
      </c>
      <c r="G408" s="830">
        <v>0</v>
      </c>
      <c r="H408" s="830">
        <v>0</v>
      </c>
      <c r="I408" s="830">
        <v>0</v>
      </c>
      <c r="J408" s="830">
        <v>0</v>
      </c>
      <c r="K408" s="830">
        <v>0</v>
      </c>
      <c r="L408" s="830">
        <v>0</v>
      </c>
      <c r="M408" s="830">
        <v>0</v>
      </c>
      <c r="N408" s="830">
        <v>0</v>
      </c>
      <c r="O408" s="830">
        <v>0</v>
      </c>
      <c r="P408" s="830">
        <v>0</v>
      </c>
      <c r="Q408" s="830">
        <v>0</v>
      </c>
      <c r="R408" s="830">
        <v>0</v>
      </c>
      <c r="S408" s="830">
        <v>0</v>
      </c>
      <c r="T408" s="830">
        <v>0</v>
      </c>
      <c r="U408" s="830">
        <v>0</v>
      </c>
      <c r="V408" s="830">
        <v>0</v>
      </c>
      <c r="W408" s="830">
        <v>0</v>
      </c>
      <c r="X408" s="830">
        <v>0</v>
      </c>
      <c r="Y408" s="830">
        <v>0</v>
      </c>
      <c r="Z408" s="830">
        <v>0</v>
      </c>
      <c r="AA408" s="830">
        <v>0</v>
      </c>
      <c r="AB408" s="830">
        <v>0</v>
      </c>
      <c r="AC408" s="830">
        <v>0</v>
      </c>
      <c r="AD408" s="830">
        <v>0</v>
      </c>
      <c r="AE408" s="830">
        <v>0</v>
      </c>
      <c r="AF408" s="830">
        <v>0</v>
      </c>
      <c r="AG408" s="830">
        <v>0</v>
      </c>
      <c r="AH408" s="830">
        <v>0</v>
      </c>
      <c r="AI408" s="830">
        <v>0</v>
      </c>
      <c r="AJ408" s="830">
        <v>0</v>
      </c>
      <c r="AK408" s="830">
        <v>0</v>
      </c>
      <c r="AL408" s="830">
        <v>0</v>
      </c>
      <c r="AM408" s="830">
        <v>0</v>
      </c>
      <c r="AN408" s="830">
        <v>0</v>
      </c>
      <c r="AO408" s="830">
        <v>0</v>
      </c>
      <c r="AP408" s="830">
        <v>6.9489999999999998</v>
      </c>
      <c r="AQ408" s="830">
        <v>12.618</v>
      </c>
      <c r="AR408" s="830">
        <v>13.984</v>
      </c>
      <c r="AS408" s="830">
        <v>13.015000000000001</v>
      </c>
      <c r="AT408" s="830">
        <v>13.12</v>
      </c>
      <c r="AU408" s="830">
        <v>12.827</v>
      </c>
      <c r="AV408" s="830">
        <v>15.336</v>
      </c>
      <c r="AW408" s="831">
        <v>20.582999999999998</v>
      </c>
      <c r="AX408" s="874">
        <v>16.024999999999999</v>
      </c>
      <c r="AY408" s="833">
        <v>16.23</v>
      </c>
      <c r="AZ408" s="874">
        <v>7.7480000000000002</v>
      </c>
      <c r="BA408" s="834"/>
      <c r="BB408" s="835" t="str" cm="1">
        <f t="array" ref="BB408">INDEX(C$4:BA$4,MATCH(TRUE,INDEX(C408:BA408&lt;&gt;0,),0))</f>
        <v>2017-18</v>
      </c>
      <c r="BC408" s="836" t="str" cm="1">
        <f t="array" ref="BC408">LOOKUP(2,1/(C408:BA408&lt;&gt;0),$C$4:$BA$4)</f>
        <v>2027-28</v>
      </c>
      <c r="BD408" s="837">
        <f>COUNTIF(RDprograms[[#This Row],[1978-79]:[2028-29]], "&gt;0")</f>
        <v>11</v>
      </c>
      <c r="BE408" s="805">
        <f>SUM(C408:BA408)/RDprograms[[#This Row],[Years with &gt; $0 investment]]</f>
        <v>13.494090909090907</v>
      </c>
      <c r="BF408" s="876" t="s">
        <v>273</v>
      </c>
      <c r="BG408" s="880" t="s">
        <v>734</v>
      </c>
      <c r="BH408" s="881" t="s">
        <v>474</v>
      </c>
      <c r="BI408" s="878"/>
      <c r="BJ408" s="878"/>
      <c r="BK408" s="878"/>
      <c r="BL408" s="878"/>
      <c r="BM408" s="878"/>
      <c r="BN408" s="879">
        <v>1</v>
      </c>
      <c r="BO408" s="875" t="s">
        <v>236</v>
      </c>
      <c r="BP408" s="852" t="s">
        <v>1121</v>
      </c>
      <c r="BQ408" s="852" t="s">
        <v>1122</v>
      </c>
      <c r="BR408" s="852"/>
      <c r="BS408" s="852"/>
      <c r="BT408" s="852"/>
    </row>
    <row r="409" spans="1:72" ht="12.75" customHeight="1">
      <c r="A409" s="854" t="s">
        <v>1119</v>
      </c>
      <c r="B409" s="873" t="s">
        <v>1123</v>
      </c>
      <c r="C409" s="830">
        <v>0</v>
      </c>
      <c r="D409" s="830">
        <v>0</v>
      </c>
      <c r="E409" s="830">
        <v>0</v>
      </c>
      <c r="F409" s="830">
        <v>0</v>
      </c>
      <c r="G409" s="830">
        <v>0</v>
      </c>
      <c r="H409" s="830">
        <v>0</v>
      </c>
      <c r="I409" s="830">
        <v>0</v>
      </c>
      <c r="J409" s="830">
        <v>0</v>
      </c>
      <c r="K409" s="830">
        <v>0</v>
      </c>
      <c r="L409" s="830">
        <v>0</v>
      </c>
      <c r="M409" s="830">
        <v>0</v>
      </c>
      <c r="N409" s="830">
        <v>0</v>
      </c>
      <c r="O409" s="830">
        <v>0</v>
      </c>
      <c r="P409" s="830">
        <v>0</v>
      </c>
      <c r="Q409" s="830">
        <v>0</v>
      </c>
      <c r="R409" s="830">
        <v>0</v>
      </c>
      <c r="S409" s="830">
        <v>0</v>
      </c>
      <c r="T409" s="830">
        <v>0</v>
      </c>
      <c r="U409" s="830">
        <v>0</v>
      </c>
      <c r="V409" s="830">
        <v>0</v>
      </c>
      <c r="W409" s="830">
        <v>0</v>
      </c>
      <c r="X409" s="830">
        <v>0</v>
      </c>
      <c r="Y409" s="830">
        <v>0</v>
      </c>
      <c r="Z409" s="830">
        <v>0</v>
      </c>
      <c r="AA409" s="830">
        <v>0</v>
      </c>
      <c r="AB409" s="830">
        <v>0</v>
      </c>
      <c r="AC409" s="830">
        <v>0</v>
      </c>
      <c r="AD409" s="830">
        <v>0</v>
      </c>
      <c r="AE409" s="830">
        <v>0</v>
      </c>
      <c r="AF409" s="830">
        <v>0</v>
      </c>
      <c r="AG409" s="830">
        <v>0</v>
      </c>
      <c r="AH409" s="830">
        <v>0</v>
      </c>
      <c r="AI409" s="830">
        <v>0</v>
      </c>
      <c r="AJ409" s="830">
        <v>0</v>
      </c>
      <c r="AK409" s="830">
        <v>0</v>
      </c>
      <c r="AL409" s="830">
        <v>0</v>
      </c>
      <c r="AM409" s="830">
        <v>0</v>
      </c>
      <c r="AN409" s="830">
        <v>0</v>
      </c>
      <c r="AO409" s="830">
        <v>0</v>
      </c>
      <c r="AP409" s="830">
        <v>0</v>
      </c>
      <c r="AQ409" s="830">
        <v>0</v>
      </c>
      <c r="AR409" s="830">
        <v>0</v>
      </c>
      <c r="AS409" s="830">
        <v>1.25</v>
      </c>
      <c r="AT409" s="830">
        <v>3.75</v>
      </c>
      <c r="AU409" s="830">
        <v>0</v>
      </c>
      <c r="AV409" s="830">
        <v>0</v>
      </c>
      <c r="AW409" s="831">
        <v>1.25</v>
      </c>
      <c r="AX409" s="874">
        <v>0</v>
      </c>
      <c r="AY409" s="833">
        <v>0</v>
      </c>
      <c r="AZ409" s="874"/>
      <c r="BA409" s="834"/>
      <c r="BB409" s="835" t="str" cm="1">
        <f t="array" ref="BB409">INDEX(C$4:BA$4,MATCH(TRUE,INDEX(C409:BA409&lt;&gt;0,),0))</f>
        <v>2020-21</v>
      </c>
      <c r="BC409" s="836" t="str" cm="1">
        <f t="array" ref="BC409">LOOKUP(2,1/(C409:BA409&lt;&gt;0),$C$4:$BA$4)</f>
        <v>2024-25</v>
      </c>
      <c r="BD409" s="837">
        <f>COUNTIF(RDprograms[[#This Row],[1978-79]:[2028-29]], "&gt;0")</f>
        <v>3</v>
      </c>
      <c r="BE409" s="805">
        <f>SUM(C409:BA409)/RDprograms[[#This Row],[Years with &gt; $0 investment]]</f>
        <v>2.0833333333333335</v>
      </c>
      <c r="BF409" s="876" t="s">
        <v>233</v>
      </c>
      <c r="BG409" s="880" t="s">
        <v>409</v>
      </c>
      <c r="BH409" s="881" t="s">
        <v>390</v>
      </c>
      <c r="BI409" s="878"/>
      <c r="BJ409" s="878"/>
      <c r="BK409" s="878"/>
      <c r="BL409" s="878"/>
      <c r="BM409" s="878"/>
      <c r="BN409" s="879"/>
      <c r="BO409" s="875" t="s">
        <v>251</v>
      </c>
      <c r="BP409" s="852" t="s">
        <v>1124</v>
      </c>
      <c r="BQ409" s="852"/>
      <c r="BR409" s="852"/>
      <c r="BS409" s="852"/>
      <c r="BT409" s="852" t="s">
        <v>238</v>
      </c>
    </row>
    <row r="410" spans="1:72" ht="12.75" customHeight="1">
      <c r="A410" s="854" t="s">
        <v>1119</v>
      </c>
      <c r="B410" s="873" t="s">
        <v>1125</v>
      </c>
      <c r="C410" s="830">
        <v>0</v>
      </c>
      <c r="D410" s="830">
        <v>0</v>
      </c>
      <c r="E410" s="830">
        <v>0</v>
      </c>
      <c r="F410" s="830">
        <v>0</v>
      </c>
      <c r="G410" s="830">
        <v>0</v>
      </c>
      <c r="H410" s="830">
        <v>0</v>
      </c>
      <c r="I410" s="830">
        <v>0</v>
      </c>
      <c r="J410" s="830">
        <v>0</v>
      </c>
      <c r="K410" s="830">
        <v>0</v>
      </c>
      <c r="L410" s="830">
        <v>0</v>
      </c>
      <c r="M410" s="830">
        <v>0</v>
      </c>
      <c r="N410" s="830">
        <v>0</v>
      </c>
      <c r="O410" s="830">
        <v>0</v>
      </c>
      <c r="P410" s="830">
        <v>0</v>
      </c>
      <c r="Q410" s="830">
        <v>0</v>
      </c>
      <c r="R410" s="830">
        <v>0</v>
      </c>
      <c r="S410" s="830">
        <v>0</v>
      </c>
      <c r="T410" s="830">
        <v>0</v>
      </c>
      <c r="U410" s="830">
        <v>0</v>
      </c>
      <c r="V410" s="830">
        <v>0</v>
      </c>
      <c r="W410" s="830">
        <v>0</v>
      </c>
      <c r="X410" s="830">
        <v>0</v>
      </c>
      <c r="Y410" s="830">
        <v>0</v>
      </c>
      <c r="Z410" s="830">
        <v>0</v>
      </c>
      <c r="AA410" s="830">
        <v>0</v>
      </c>
      <c r="AB410" s="830">
        <v>0</v>
      </c>
      <c r="AC410" s="830">
        <v>0</v>
      </c>
      <c r="AD410" s="830">
        <v>0.2</v>
      </c>
      <c r="AE410" s="830">
        <v>0.8</v>
      </c>
      <c r="AF410" s="830">
        <v>2.5179999999999998</v>
      </c>
      <c r="AG410" s="830">
        <v>8.6609999999999996</v>
      </c>
      <c r="AH410" s="830">
        <v>0</v>
      </c>
      <c r="AI410" s="830">
        <v>0</v>
      </c>
      <c r="AJ410" s="830">
        <v>0</v>
      </c>
      <c r="AK410" s="830">
        <v>0</v>
      </c>
      <c r="AL410" s="830">
        <v>0</v>
      </c>
      <c r="AM410" s="830">
        <v>0</v>
      </c>
      <c r="AN410" s="830">
        <v>0</v>
      </c>
      <c r="AO410" s="830">
        <v>0</v>
      </c>
      <c r="AP410" s="830">
        <v>0</v>
      </c>
      <c r="AQ410" s="830">
        <v>0</v>
      </c>
      <c r="AR410" s="830">
        <v>0</v>
      </c>
      <c r="AS410" s="830">
        <v>0</v>
      </c>
      <c r="AT410" s="830">
        <v>0</v>
      </c>
      <c r="AU410" s="830">
        <v>0</v>
      </c>
      <c r="AV410" s="830">
        <v>0</v>
      </c>
      <c r="AW410" s="831">
        <v>0</v>
      </c>
      <c r="AX410" s="874">
        <v>0</v>
      </c>
      <c r="AY410" s="833">
        <v>0</v>
      </c>
      <c r="AZ410" s="874"/>
      <c r="BA410" s="834"/>
      <c r="BB410" s="835" t="str" cm="1">
        <f t="array" ref="BB410">INDEX(C$4:BA$4,MATCH(TRUE,INDEX(C410:BA410&lt;&gt;0,),0))</f>
        <v>2005-06</v>
      </c>
      <c r="BC410" s="836" t="str" cm="1">
        <f t="array" ref="BC410">LOOKUP(2,1/(C410:BA410&lt;&gt;0),$C$4:$BA$4)</f>
        <v>2008-09</v>
      </c>
      <c r="BD410" s="837">
        <f>COUNTIF(RDprograms[[#This Row],[1978-79]:[2028-29]], "&gt;0")</f>
        <v>4</v>
      </c>
      <c r="BE410" s="805">
        <f>SUM(C410:BA410)/RDprograms[[#This Row],[Years with &gt; $0 investment]]</f>
        <v>3.0447499999999996</v>
      </c>
      <c r="BF410" s="876" t="s">
        <v>249</v>
      </c>
      <c r="BG410" s="880" t="s">
        <v>409</v>
      </c>
      <c r="BH410" s="881" t="s">
        <v>390</v>
      </c>
      <c r="BI410" s="878"/>
      <c r="BJ410" s="878"/>
      <c r="BK410" s="878"/>
      <c r="BL410" s="878"/>
      <c r="BM410" s="878"/>
      <c r="BN410" s="879"/>
      <c r="BO410" s="875" t="s">
        <v>236</v>
      </c>
      <c r="BP410" s="852"/>
      <c r="BQ410" s="852"/>
      <c r="BR410" s="852"/>
      <c r="BS410" s="852"/>
      <c r="BT410" s="852" t="s">
        <v>238</v>
      </c>
    </row>
    <row r="411" spans="1:72" ht="12.75" customHeight="1">
      <c r="A411" s="813" t="s">
        <v>1119</v>
      </c>
      <c r="B411" s="820" t="s">
        <v>1126</v>
      </c>
      <c r="C411" s="5">
        <v>0</v>
      </c>
      <c r="D411" s="5">
        <v>0</v>
      </c>
      <c r="E411" s="5">
        <v>0</v>
      </c>
      <c r="F411" s="5">
        <v>0</v>
      </c>
      <c r="G411" s="5">
        <v>0</v>
      </c>
      <c r="H411" s="5">
        <v>0</v>
      </c>
      <c r="I411" s="5">
        <v>0</v>
      </c>
      <c r="J411" s="5">
        <v>0</v>
      </c>
      <c r="K411" s="5">
        <v>0</v>
      </c>
      <c r="L411" s="5">
        <v>0</v>
      </c>
      <c r="M411" s="5">
        <v>0</v>
      </c>
      <c r="N411" s="5">
        <v>0</v>
      </c>
      <c r="O411" s="5">
        <v>0</v>
      </c>
      <c r="P411" s="5">
        <v>0</v>
      </c>
      <c r="Q411" s="5">
        <v>0</v>
      </c>
      <c r="R411" s="5">
        <v>0</v>
      </c>
      <c r="S411" s="5">
        <v>0</v>
      </c>
      <c r="T411" s="5">
        <v>0</v>
      </c>
      <c r="U411" s="5">
        <v>0</v>
      </c>
      <c r="V411" s="5">
        <v>0</v>
      </c>
      <c r="W411" s="5">
        <v>0</v>
      </c>
      <c r="X411" s="5">
        <v>0</v>
      </c>
      <c r="Y411" s="5">
        <v>0</v>
      </c>
      <c r="Z411" s="5">
        <v>0</v>
      </c>
      <c r="AA411" s="5">
        <v>0</v>
      </c>
      <c r="AB411" s="5">
        <v>0</v>
      </c>
      <c r="AC411" s="5">
        <v>0</v>
      </c>
      <c r="AD411" s="5">
        <v>0</v>
      </c>
      <c r="AE411" s="5">
        <v>0</v>
      </c>
      <c r="AF411" s="5">
        <v>0</v>
      </c>
      <c r="AG411" s="5">
        <v>0</v>
      </c>
      <c r="AH411" s="5">
        <v>0</v>
      </c>
      <c r="AI411" s="5">
        <v>0</v>
      </c>
      <c r="AJ411" s="5">
        <v>0</v>
      </c>
      <c r="AK411" s="5">
        <v>0</v>
      </c>
      <c r="AL411" s="5">
        <v>0</v>
      </c>
      <c r="AM411" s="5">
        <v>0</v>
      </c>
      <c r="AN411" s="5">
        <v>0</v>
      </c>
      <c r="AO411" s="5">
        <v>0</v>
      </c>
      <c r="AP411" s="5">
        <v>1</v>
      </c>
      <c r="AQ411" s="5">
        <v>1</v>
      </c>
      <c r="AR411" s="5">
        <v>1</v>
      </c>
      <c r="AS411" s="5">
        <v>1</v>
      </c>
      <c r="AT411" s="5">
        <v>0</v>
      </c>
      <c r="AU411" s="5">
        <v>0</v>
      </c>
      <c r="AV411" s="5">
        <v>0</v>
      </c>
      <c r="AW411" s="815">
        <v>0</v>
      </c>
      <c r="AX411" s="816">
        <v>0</v>
      </c>
      <c r="AY411" s="819">
        <v>0</v>
      </c>
      <c r="AZ411" s="816"/>
      <c r="BA411" s="818"/>
      <c r="BB411" s="802" t="str" cm="1">
        <f t="array" ref="BB411">INDEX(C$4:BA$4,MATCH(TRUE,INDEX(C411:BA411&lt;&gt;0,),0))</f>
        <v>2017-18</v>
      </c>
      <c r="BC411" s="803" t="str" cm="1">
        <f t="array" ref="BC411">LOOKUP(2,1/(C411:BA411&lt;&gt;0),$C$4:$BA$4)</f>
        <v>2020-21</v>
      </c>
      <c r="BD411" s="804">
        <f>COUNTIF(RDprograms[[#This Row],[1978-79]:[2028-29]], "&gt;0")</f>
        <v>4</v>
      </c>
      <c r="BE411" s="805">
        <f>SUM(C411:BA411)/RDprograms[[#This Row],[Years with &gt; $0 investment]]</f>
        <v>1</v>
      </c>
      <c r="BF411" s="806" t="s">
        <v>273</v>
      </c>
      <c r="BG411" s="807" t="s">
        <v>389</v>
      </c>
      <c r="BH411" s="847" t="s">
        <v>241</v>
      </c>
      <c r="BI411" s="809"/>
      <c r="BJ411" s="809"/>
      <c r="BK411" s="809"/>
      <c r="BL411" s="809"/>
      <c r="BM411" s="809"/>
      <c r="BN411" s="810"/>
      <c r="BO411" s="811" t="s">
        <v>445</v>
      </c>
      <c r="BP411" s="812" t="s">
        <v>1127</v>
      </c>
      <c r="BQ411" s="812" t="s">
        <v>1128</v>
      </c>
      <c r="BR411" s="812" t="s">
        <v>1129</v>
      </c>
      <c r="BS411" s="812"/>
      <c r="BT411" s="812" t="s">
        <v>280</v>
      </c>
    </row>
    <row r="412" spans="1:72" ht="12.75" customHeight="1">
      <c r="A412" s="813" t="s">
        <v>1119</v>
      </c>
      <c r="B412" s="820" t="s">
        <v>1130</v>
      </c>
      <c r="C412" s="5">
        <v>0</v>
      </c>
      <c r="D412" s="5">
        <v>0</v>
      </c>
      <c r="E412" s="5">
        <v>0</v>
      </c>
      <c r="F412" s="5">
        <v>0</v>
      </c>
      <c r="G412" s="5">
        <v>0</v>
      </c>
      <c r="H412" s="5">
        <v>0</v>
      </c>
      <c r="I412" s="5">
        <v>0</v>
      </c>
      <c r="J412" s="5">
        <v>0</v>
      </c>
      <c r="K412" s="5">
        <v>0</v>
      </c>
      <c r="L412" s="5">
        <v>0</v>
      </c>
      <c r="M412" s="5">
        <v>0</v>
      </c>
      <c r="N412" s="5">
        <v>0</v>
      </c>
      <c r="O412" s="5">
        <v>0</v>
      </c>
      <c r="P412" s="5">
        <v>0.1</v>
      </c>
      <c r="Q412" s="5">
        <v>0</v>
      </c>
      <c r="R412" s="5">
        <v>0</v>
      </c>
      <c r="S412" s="5">
        <v>0</v>
      </c>
      <c r="T412" s="5">
        <v>0</v>
      </c>
      <c r="U412" s="5">
        <v>0</v>
      </c>
      <c r="V412" s="5">
        <v>0</v>
      </c>
      <c r="W412" s="5">
        <v>0</v>
      </c>
      <c r="X412" s="5">
        <v>0</v>
      </c>
      <c r="Y412" s="5">
        <v>0</v>
      </c>
      <c r="Z412" s="5">
        <v>0</v>
      </c>
      <c r="AA412" s="5">
        <v>0</v>
      </c>
      <c r="AB412" s="5">
        <v>0</v>
      </c>
      <c r="AC412" s="5">
        <v>0</v>
      </c>
      <c r="AD412" s="5">
        <v>0</v>
      </c>
      <c r="AE412" s="5">
        <v>0</v>
      </c>
      <c r="AF412" s="5">
        <v>0</v>
      </c>
      <c r="AG412" s="5">
        <v>0</v>
      </c>
      <c r="AH412" s="5">
        <v>0</v>
      </c>
      <c r="AI412" s="5">
        <v>0</v>
      </c>
      <c r="AJ412" s="5">
        <v>0</v>
      </c>
      <c r="AK412" s="5">
        <v>0</v>
      </c>
      <c r="AL412" s="5">
        <v>0</v>
      </c>
      <c r="AM412" s="5">
        <v>0</v>
      </c>
      <c r="AN412" s="5">
        <v>0</v>
      </c>
      <c r="AO412" s="5">
        <v>0</v>
      </c>
      <c r="AP412" s="5">
        <v>0</v>
      </c>
      <c r="AQ412" s="5">
        <v>0</v>
      </c>
      <c r="AR412" s="5">
        <v>0</v>
      </c>
      <c r="AS412" s="5">
        <v>0</v>
      </c>
      <c r="AT412" s="5">
        <v>0</v>
      </c>
      <c r="AU412" s="5">
        <v>0</v>
      </c>
      <c r="AV412" s="5">
        <v>0</v>
      </c>
      <c r="AW412" s="815">
        <v>0</v>
      </c>
      <c r="AX412" s="816">
        <v>0</v>
      </c>
      <c r="AY412" s="819">
        <v>0</v>
      </c>
      <c r="AZ412" s="816"/>
      <c r="BA412" s="818"/>
      <c r="BB412" s="802" t="str" cm="1">
        <f t="array" ref="BB412">INDEX(C$4:BA$4,MATCH(TRUE,INDEX(C412:BA412&lt;&gt;0,),0))</f>
        <v>1991-92</v>
      </c>
      <c r="BC412" s="803" t="str" cm="1">
        <f t="array" ref="BC412">LOOKUP(2,1/(C412:BA412&lt;&gt;0),$C$4:$BA$4)</f>
        <v>1991-92</v>
      </c>
      <c r="BD412" s="804">
        <f>COUNTIF(RDprograms[[#This Row],[1978-79]:[2028-29]], "&gt;0")</f>
        <v>1</v>
      </c>
      <c r="BE412" s="805">
        <f>SUM(C412:BA412)/RDprograms[[#This Row],[Years with &gt; $0 investment]]</f>
        <v>0.1</v>
      </c>
      <c r="BF412" s="806" t="s">
        <v>249</v>
      </c>
      <c r="BG412" s="807" t="s">
        <v>389</v>
      </c>
      <c r="BH412" s="847" t="s">
        <v>264</v>
      </c>
      <c r="BI412" s="809"/>
      <c r="BJ412" s="809"/>
      <c r="BK412" s="809"/>
      <c r="BL412" s="809"/>
      <c r="BM412" s="809"/>
      <c r="BN412" s="810"/>
      <c r="BO412" s="811" t="s">
        <v>236</v>
      </c>
      <c r="BP412" s="812"/>
      <c r="BQ412" s="812"/>
      <c r="BR412" s="812"/>
      <c r="BS412" s="812"/>
      <c r="BT412" s="812" t="s">
        <v>238</v>
      </c>
    </row>
    <row r="413" spans="1:72" ht="12.75" customHeight="1">
      <c r="A413" s="813" t="s">
        <v>1119</v>
      </c>
      <c r="B413" s="820" t="s">
        <v>1131</v>
      </c>
      <c r="C413" s="5">
        <v>0</v>
      </c>
      <c r="D413" s="5">
        <v>0</v>
      </c>
      <c r="E413" s="5">
        <v>0</v>
      </c>
      <c r="F413" s="5">
        <v>0</v>
      </c>
      <c r="G413" s="5">
        <v>0</v>
      </c>
      <c r="H413" s="5">
        <v>0</v>
      </c>
      <c r="I413" s="5">
        <v>0</v>
      </c>
      <c r="J413" s="5">
        <v>0</v>
      </c>
      <c r="K413" s="5">
        <v>0</v>
      </c>
      <c r="L413" s="5">
        <v>0</v>
      </c>
      <c r="M413" s="5">
        <v>0</v>
      </c>
      <c r="N413" s="5">
        <v>0</v>
      </c>
      <c r="O413" s="5">
        <v>0</v>
      </c>
      <c r="P413" s="5">
        <v>0</v>
      </c>
      <c r="Q413" s="5">
        <v>0</v>
      </c>
      <c r="R413" s="5">
        <v>0</v>
      </c>
      <c r="S413" s="5">
        <v>0</v>
      </c>
      <c r="T413" s="5">
        <v>0</v>
      </c>
      <c r="U413" s="5">
        <v>0</v>
      </c>
      <c r="V413" s="5">
        <v>0</v>
      </c>
      <c r="W413" s="5">
        <v>0</v>
      </c>
      <c r="X413" s="5">
        <v>0</v>
      </c>
      <c r="Y413" s="5">
        <v>0</v>
      </c>
      <c r="Z413" s="5">
        <v>0</v>
      </c>
      <c r="AA413" s="5">
        <v>0</v>
      </c>
      <c r="AB413" s="5">
        <v>0</v>
      </c>
      <c r="AC413" s="5">
        <v>0</v>
      </c>
      <c r="AD413" s="5">
        <v>0</v>
      </c>
      <c r="AE413" s="5">
        <v>0</v>
      </c>
      <c r="AF413" s="5">
        <v>0</v>
      </c>
      <c r="AG413" s="5">
        <v>0</v>
      </c>
      <c r="AH413" s="5">
        <v>0</v>
      </c>
      <c r="AI413" s="5">
        <v>0</v>
      </c>
      <c r="AJ413" s="5">
        <v>0</v>
      </c>
      <c r="AK413" s="5">
        <v>0</v>
      </c>
      <c r="AL413" s="5">
        <v>0</v>
      </c>
      <c r="AM413" s="5">
        <v>0</v>
      </c>
      <c r="AN413" s="5">
        <v>0</v>
      </c>
      <c r="AO413" s="5">
        <v>0</v>
      </c>
      <c r="AP413" s="816">
        <v>0</v>
      </c>
      <c r="AQ413" s="816">
        <v>0</v>
      </c>
      <c r="AR413" s="5">
        <v>0</v>
      </c>
      <c r="AS413" s="5">
        <v>1.1200000000000001</v>
      </c>
      <c r="AT413" s="5">
        <v>0.82799999999999996</v>
      </c>
      <c r="AU413" s="5">
        <v>1.2589999999999999</v>
      </c>
      <c r="AV413" s="5">
        <v>0.20899999999999999</v>
      </c>
      <c r="AW413" s="815">
        <v>0</v>
      </c>
      <c r="AX413" s="816">
        <v>0</v>
      </c>
      <c r="AY413" s="819">
        <v>0</v>
      </c>
      <c r="AZ413" s="816"/>
      <c r="BA413" s="818"/>
      <c r="BB413" s="802" t="str" cm="1">
        <f t="array" ref="BB413">INDEX(C$4:BA$4,MATCH(TRUE,INDEX(C413:BA413&lt;&gt;0,),0))</f>
        <v>2020-21</v>
      </c>
      <c r="BC413" s="803" t="str" cm="1">
        <f t="array" ref="BC413">LOOKUP(2,1/(C413:BA413&lt;&gt;0),$C$4:$BA$4)</f>
        <v>2023-24</v>
      </c>
      <c r="BD413" s="804">
        <f>COUNTIF(RDprograms[[#This Row],[1978-79]:[2028-29]], "&gt;0")</f>
        <v>4</v>
      </c>
      <c r="BE413" s="805">
        <f>SUM(C413:BA413)/RDprograms[[#This Row],[Years with &gt; $0 investment]]</f>
        <v>0.85399999999999998</v>
      </c>
      <c r="BF413" s="806" t="s">
        <v>273</v>
      </c>
      <c r="BG413" s="807" t="s">
        <v>389</v>
      </c>
      <c r="BH413" s="847" t="s">
        <v>390</v>
      </c>
      <c r="BI413" s="809"/>
      <c r="BJ413" s="809"/>
      <c r="BK413" s="809"/>
      <c r="BL413" s="809"/>
      <c r="BM413" s="809"/>
      <c r="BN413" s="810"/>
      <c r="BO413" s="811" t="s">
        <v>236</v>
      </c>
      <c r="BP413" s="812" t="s">
        <v>1132</v>
      </c>
      <c r="BQ413" s="812"/>
      <c r="BR413" s="882" t="s">
        <v>1133</v>
      </c>
      <c r="BS413" s="812"/>
      <c r="BT413" s="812"/>
    </row>
    <row r="414" spans="1:72" ht="12.75" customHeight="1">
      <c r="A414" s="813" t="s">
        <v>1119</v>
      </c>
      <c r="B414" s="820" t="s">
        <v>1134</v>
      </c>
      <c r="C414" s="5">
        <v>0</v>
      </c>
      <c r="D414" s="5">
        <v>0</v>
      </c>
      <c r="E414" s="5">
        <v>0</v>
      </c>
      <c r="F414" s="5">
        <v>0</v>
      </c>
      <c r="G414" s="5">
        <v>0</v>
      </c>
      <c r="H414" s="5">
        <v>0</v>
      </c>
      <c r="I414" s="5">
        <v>0</v>
      </c>
      <c r="J414" s="5">
        <v>0</v>
      </c>
      <c r="K414" s="5">
        <v>0</v>
      </c>
      <c r="L414" s="5">
        <v>0</v>
      </c>
      <c r="M414" s="5">
        <v>0</v>
      </c>
      <c r="N414" s="5">
        <v>0</v>
      </c>
      <c r="O414" s="5">
        <v>0</v>
      </c>
      <c r="P414" s="5">
        <v>0</v>
      </c>
      <c r="Q414" s="5">
        <v>0</v>
      </c>
      <c r="R414" s="5">
        <v>0</v>
      </c>
      <c r="S414" s="5">
        <v>0</v>
      </c>
      <c r="T414" s="5">
        <v>0</v>
      </c>
      <c r="U414" s="5">
        <v>0</v>
      </c>
      <c r="V414" s="5">
        <v>0</v>
      </c>
      <c r="W414" s="5">
        <v>0</v>
      </c>
      <c r="X414" s="5">
        <v>0</v>
      </c>
      <c r="Y414" s="5">
        <v>0</v>
      </c>
      <c r="Z414" s="5">
        <v>0</v>
      </c>
      <c r="AA414" s="5">
        <v>0</v>
      </c>
      <c r="AB414" s="5">
        <v>0</v>
      </c>
      <c r="AC414" s="5">
        <v>0</v>
      </c>
      <c r="AD414" s="5">
        <v>0</v>
      </c>
      <c r="AE414" s="5">
        <v>0</v>
      </c>
      <c r="AF414" s="5">
        <v>0</v>
      </c>
      <c r="AG414" s="5">
        <v>0</v>
      </c>
      <c r="AH414" s="5">
        <v>0</v>
      </c>
      <c r="AI414" s="5">
        <v>0</v>
      </c>
      <c r="AJ414" s="5">
        <v>0</v>
      </c>
      <c r="AK414" s="5">
        <v>0</v>
      </c>
      <c r="AL414" s="5">
        <v>0</v>
      </c>
      <c r="AM414" s="5">
        <v>0</v>
      </c>
      <c r="AN414" s="5">
        <v>0</v>
      </c>
      <c r="AO414" s="5">
        <v>0</v>
      </c>
      <c r="AP414" s="5">
        <v>0</v>
      </c>
      <c r="AQ414" s="5">
        <v>0</v>
      </c>
      <c r="AR414" s="5">
        <v>5</v>
      </c>
      <c r="AS414" s="5">
        <v>5</v>
      </c>
      <c r="AT414" s="5">
        <v>5</v>
      </c>
      <c r="AU414" s="5">
        <v>5</v>
      </c>
      <c r="AV414" s="5">
        <v>5</v>
      </c>
      <c r="AW414" s="815">
        <v>5</v>
      </c>
      <c r="AX414" s="816">
        <v>5</v>
      </c>
      <c r="AY414" s="819">
        <v>5</v>
      </c>
      <c r="AZ414" s="816">
        <v>5</v>
      </c>
      <c r="BA414" s="818">
        <v>5</v>
      </c>
      <c r="BB414" s="802" t="str" cm="1">
        <f t="array" ref="BB414">INDEX(C$4:BA$4,MATCH(TRUE,INDEX(C414:BA414&lt;&gt;0,),0))</f>
        <v>2019-20</v>
      </c>
      <c r="BC414" s="803" t="str" cm="1">
        <f t="array" ref="BC414">LOOKUP(2,1/(C414:BA414&lt;&gt;0),$C$4:$BA$4)</f>
        <v>2028-29</v>
      </c>
      <c r="BD414" s="804">
        <f>COUNTIF(RDprograms[[#This Row],[1978-79]:[2028-29]], "&gt;0")</f>
        <v>10</v>
      </c>
      <c r="BE414" s="805">
        <f>SUM(C414:BA414)/RDprograms[[#This Row],[Years with &gt; $0 investment]]</f>
        <v>5</v>
      </c>
      <c r="BF414" s="806" t="s">
        <v>240</v>
      </c>
      <c r="BG414" s="807" t="s">
        <v>393</v>
      </c>
      <c r="BH414" s="847" t="s">
        <v>390</v>
      </c>
      <c r="BI414" s="809"/>
      <c r="BJ414" s="809"/>
      <c r="BK414" s="809"/>
      <c r="BL414" s="809">
        <v>1</v>
      </c>
      <c r="BM414" s="809"/>
      <c r="BN414" s="810"/>
      <c r="BO414" s="811" t="s">
        <v>236</v>
      </c>
      <c r="BP414" s="812" t="s">
        <v>1135</v>
      </c>
      <c r="BQ414" s="812"/>
      <c r="BR414" s="812"/>
      <c r="BS414" s="812"/>
      <c r="BT414" s="812" t="s">
        <v>238</v>
      </c>
    </row>
    <row r="415" spans="1:72" ht="12.75" customHeight="1">
      <c r="A415" s="813" t="s">
        <v>1119</v>
      </c>
      <c r="B415" s="820" t="s">
        <v>1136</v>
      </c>
      <c r="C415" s="5">
        <v>0</v>
      </c>
      <c r="D415" s="5">
        <v>0</v>
      </c>
      <c r="E415" s="5">
        <v>0</v>
      </c>
      <c r="F415" s="5">
        <v>0</v>
      </c>
      <c r="G415" s="5">
        <v>0</v>
      </c>
      <c r="H415" s="5">
        <v>0</v>
      </c>
      <c r="I415" s="5">
        <v>1.5</v>
      </c>
      <c r="J415" s="5">
        <v>13.2</v>
      </c>
      <c r="K415" s="5">
        <v>19.399999999999999</v>
      </c>
      <c r="L415" s="5">
        <v>25.7</v>
      </c>
      <c r="M415" s="5">
        <v>31.1</v>
      </c>
      <c r="N415" s="5">
        <v>45</v>
      </c>
      <c r="O415" s="5">
        <v>51.3</v>
      </c>
      <c r="P415" s="5">
        <v>74.5</v>
      </c>
      <c r="Q415" s="5">
        <v>75</v>
      </c>
      <c r="R415" s="5">
        <v>78</v>
      </c>
      <c r="S415" s="5">
        <v>74.8</v>
      </c>
      <c r="T415" s="5">
        <v>64.099999999999994</v>
      </c>
      <c r="U415" s="5">
        <v>56.5</v>
      </c>
      <c r="V415" s="5">
        <v>19.5</v>
      </c>
      <c r="W415" s="5">
        <v>58.6</v>
      </c>
      <c r="X415" s="5">
        <v>0</v>
      </c>
      <c r="Y415" s="5">
        <v>0</v>
      </c>
      <c r="Z415" s="5">
        <v>0</v>
      </c>
      <c r="AA415" s="5">
        <v>0</v>
      </c>
      <c r="AB415" s="5">
        <v>0</v>
      </c>
      <c r="AC415" s="5">
        <v>0</v>
      </c>
      <c r="AD415" s="5">
        <v>0</v>
      </c>
      <c r="AE415" s="5">
        <v>0</v>
      </c>
      <c r="AF415" s="5">
        <v>0</v>
      </c>
      <c r="AG415" s="5">
        <v>0</v>
      </c>
      <c r="AH415" s="5">
        <v>0</v>
      </c>
      <c r="AI415" s="5">
        <v>0</v>
      </c>
      <c r="AJ415" s="5">
        <v>0</v>
      </c>
      <c r="AK415" s="5">
        <v>0</v>
      </c>
      <c r="AL415" s="5">
        <v>0</v>
      </c>
      <c r="AM415" s="5">
        <v>0</v>
      </c>
      <c r="AN415" s="5">
        <v>0</v>
      </c>
      <c r="AO415" s="5">
        <v>0</v>
      </c>
      <c r="AP415" s="5">
        <v>0</v>
      </c>
      <c r="AQ415" s="5">
        <v>0</v>
      </c>
      <c r="AR415" s="5">
        <v>0</v>
      </c>
      <c r="AS415" s="5">
        <v>0</v>
      </c>
      <c r="AT415" s="5">
        <v>0</v>
      </c>
      <c r="AU415" s="5">
        <v>0</v>
      </c>
      <c r="AV415" s="5">
        <v>0</v>
      </c>
      <c r="AW415" s="815">
        <v>0</v>
      </c>
      <c r="AX415" s="816">
        <v>0</v>
      </c>
      <c r="AY415" s="819">
        <v>0</v>
      </c>
      <c r="AZ415" s="816"/>
      <c r="BA415" s="818"/>
      <c r="BB415" s="802" t="str" cm="1">
        <f t="array" ref="BB415">INDEX(C$4:BA$4,MATCH(TRUE,INDEX(C415:BA415&lt;&gt;0,),0))</f>
        <v>1984-85</v>
      </c>
      <c r="BC415" s="803" t="str" cm="1">
        <f t="array" ref="BC415">LOOKUP(2,1/(C415:BA415&lt;&gt;0),$C$4:$BA$4)</f>
        <v>1998-99</v>
      </c>
      <c r="BD415" s="804">
        <f>COUNTIF(RDprograms[[#This Row],[1978-79]:[2028-29]], "&gt;0")</f>
        <v>15</v>
      </c>
      <c r="BE415" s="805">
        <f>SUM(C415:BA415)/RDprograms[[#This Row],[Years with &gt; $0 investment]]</f>
        <v>45.88</v>
      </c>
      <c r="BF415" s="806" t="s">
        <v>273</v>
      </c>
      <c r="BG415" s="807" t="s">
        <v>389</v>
      </c>
      <c r="BH415" s="847" t="s">
        <v>264</v>
      </c>
      <c r="BI415" s="809"/>
      <c r="BJ415" s="809"/>
      <c r="BK415" s="809"/>
      <c r="BL415" s="809"/>
      <c r="BM415" s="809"/>
      <c r="BN415" s="810"/>
      <c r="BO415" s="811" t="s">
        <v>236</v>
      </c>
      <c r="BP415" s="812" t="s">
        <v>1137</v>
      </c>
      <c r="BQ415" s="812"/>
      <c r="BR415" s="812"/>
      <c r="BS415" s="812"/>
      <c r="BT415" s="812" t="s">
        <v>238</v>
      </c>
    </row>
    <row r="416" spans="1:72" ht="12.75" customHeight="1">
      <c r="A416" s="813" t="s">
        <v>1119</v>
      </c>
      <c r="B416" s="820" t="s">
        <v>1138</v>
      </c>
      <c r="C416" s="5">
        <v>0</v>
      </c>
      <c r="D416" s="5">
        <v>0</v>
      </c>
      <c r="E416" s="5">
        <v>0</v>
      </c>
      <c r="F416" s="5">
        <v>0</v>
      </c>
      <c r="G416" s="5">
        <v>0</v>
      </c>
      <c r="H416" s="5">
        <v>0</v>
      </c>
      <c r="I416" s="5">
        <v>0</v>
      </c>
      <c r="J416" s="5">
        <v>0</v>
      </c>
      <c r="K416" s="5">
        <v>0</v>
      </c>
      <c r="L416" s="5">
        <v>0</v>
      </c>
      <c r="M416" s="5">
        <v>0</v>
      </c>
      <c r="N416" s="5">
        <v>0</v>
      </c>
      <c r="O416" s="5">
        <v>0</v>
      </c>
      <c r="P416" s="5">
        <v>0</v>
      </c>
      <c r="Q416" s="5">
        <v>0</v>
      </c>
      <c r="R416" s="5">
        <v>0</v>
      </c>
      <c r="S416" s="5">
        <v>0</v>
      </c>
      <c r="T416" s="5">
        <v>0</v>
      </c>
      <c r="U416" s="5">
        <v>0</v>
      </c>
      <c r="V416" s="5">
        <v>0</v>
      </c>
      <c r="W416" s="5">
        <v>0</v>
      </c>
      <c r="X416" s="5">
        <v>0</v>
      </c>
      <c r="Y416" s="5">
        <v>0</v>
      </c>
      <c r="Z416" s="5">
        <v>0</v>
      </c>
      <c r="AA416" s="5">
        <v>0</v>
      </c>
      <c r="AB416" s="5">
        <v>0</v>
      </c>
      <c r="AC416" s="5">
        <v>0</v>
      </c>
      <c r="AD416" s="5">
        <v>0</v>
      </c>
      <c r="AE416" s="5">
        <v>0</v>
      </c>
      <c r="AF416" s="5">
        <v>0</v>
      </c>
      <c r="AG416" s="5">
        <v>0</v>
      </c>
      <c r="AH416" s="5">
        <v>0</v>
      </c>
      <c r="AI416" s="5">
        <v>0</v>
      </c>
      <c r="AJ416" s="5">
        <v>2</v>
      </c>
      <c r="AK416" s="5">
        <v>4</v>
      </c>
      <c r="AL416" s="5">
        <v>2.99</v>
      </c>
      <c r="AM416" s="5">
        <v>0.52500000000000002</v>
      </c>
      <c r="AN416" s="5">
        <v>0.20599999999999999</v>
      </c>
      <c r="AO416" s="5">
        <v>5.1230000000000002</v>
      </c>
      <c r="AP416" s="816">
        <v>1.218</v>
      </c>
      <c r="AQ416" s="816">
        <v>3.2749999999999999</v>
      </c>
      <c r="AR416" s="5">
        <v>0.7</v>
      </c>
      <c r="AS416" s="5">
        <v>1.4630000000000001</v>
      </c>
      <c r="AT416" s="5">
        <v>0</v>
      </c>
      <c r="AU416" s="5">
        <v>0</v>
      </c>
      <c r="AV416" s="5">
        <v>0</v>
      </c>
      <c r="AW416" s="815">
        <v>0</v>
      </c>
      <c r="AX416" s="816">
        <v>0</v>
      </c>
      <c r="AY416" s="819">
        <v>0</v>
      </c>
      <c r="AZ416" s="816"/>
      <c r="BA416" s="818"/>
      <c r="BB416" s="802" t="str" cm="1">
        <f t="array" ref="BB416">INDEX(C$4:BA$4,MATCH(TRUE,INDEX(C416:BA416&lt;&gt;0,),0))</f>
        <v>2011-12</v>
      </c>
      <c r="BC416" s="803" t="str" cm="1">
        <f t="array" ref="BC416">LOOKUP(2,1/(C416:BA416&lt;&gt;0),$C$4:$BA$4)</f>
        <v>2020-21</v>
      </c>
      <c r="BD416" s="804">
        <f>COUNTIF(RDprograms[[#This Row],[1978-79]:[2028-29]], "&gt;0")</f>
        <v>10</v>
      </c>
      <c r="BE416" s="805">
        <f>SUM(C416:BA416)/RDprograms[[#This Row],[Years with &gt; $0 investment]]</f>
        <v>2.15</v>
      </c>
      <c r="BF416" s="806" t="s">
        <v>233</v>
      </c>
      <c r="BG416" s="807" t="s">
        <v>397</v>
      </c>
      <c r="BH416" s="847" t="s">
        <v>241</v>
      </c>
      <c r="BI416" s="809"/>
      <c r="BJ416" s="809"/>
      <c r="BK416" s="809"/>
      <c r="BL416" s="809"/>
      <c r="BM416" s="809"/>
      <c r="BN416" s="810"/>
      <c r="BO416" s="811" t="s">
        <v>236</v>
      </c>
      <c r="BP416" s="812" t="s">
        <v>1139</v>
      </c>
      <c r="BQ416" s="812" t="s">
        <v>1140</v>
      </c>
      <c r="BR416" s="812"/>
      <c r="BS416" s="812" t="s">
        <v>280</v>
      </c>
      <c r="BT416" s="812" t="s">
        <v>238</v>
      </c>
    </row>
    <row r="417" spans="1:72" ht="12.75" customHeight="1">
      <c r="A417" s="813" t="s">
        <v>1119</v>
      </c>
      <c r="B417" s="820" t="s">
        <v>1141</v>
      </c>
      <c r="C417" s="5">
        <v>0</v>
      </c>
      <c r="D417" s="5">
        <v>0</v>
      </c>
      <c r="E417" s="5">
        <v>0</v>
      </c>
      <c r="F417" s="5">
        <v>0</v>
      </c>
      <c r="G417" s="5">
        <v>0</v>
      </c>
      <c r="H417" s="5">
        <v>0</v>
      </c>
      <c r="I417" s="5">
        <v>0</v>
      </c>
      <c r="J417" s="5">
        <v>0</v>
      </c>
      <c r="K417" s="5">
        <v>0</v>
      </c>
      <c r="L417" s="5">
        <v>0</v>
      </c>
      <c r="M417" s="5">
        <v>0</v>
      </c>
      <c r="N417" s="5">
        <v>0</v>
      </c>
      <c r="O417" s="5">
        <v>0</v>
      </c>
      <c r="P417" s="5">
        <v>0</v>
      </c>
      <c r="Q417" s="5">
        <v>0</v>
      </c>
      <c r="R417" s="5">
        <v>0</v>
      </c>
      <c r="S417" s="5">
        <v>0</v>
      </c>
      <c r="T417" s="5">
        <v>0</v>
      </c>
      <c r="U417" s="5">
        <v>0</v>
      </c>
      <c r="V417" s="5">
        <v>0</v>
      </c>
      <c r="W417" s="5">
        <v>0</v>
      </c>
      <c r="X417" s="5">
        <v>0</v>
      </c>
      <c r="Y417" s="5">
        <v>0</v>
      </c>
      <c r="Z417" s="5">
        <v>0</v>
      </c>
      <c r="AA417" s="5">
        <v>0</v>
      </c>
      <c r="AB417" s="5">
        <v>0</v>
      </c>
      <c r="AC417" s="5">
        <v>0</v>
      </c>
      <c r="AD417" s="5">
        <v>0</v>
      </c>
      <c r="AE417" s="5">
        <v>0</v>
      </c>
      <c r="AF417" s="5">
        <v>2.1030000000000002</v>
      </c>
      <c r="AG417" s="5">
        <v>6.9119999999999999</v>
      </c>
      <c r="AH417" s="5">
        <v>5.5759999999999996</v>
      </c>
      <c r="AI417" s="5">
        <v>7.39</v>
      </c>
      <c r="AJ417" s="5">
        <v>7.4560000000000004</v>
      </c>
      <c r="AK417" s="5">
        <v>12.196999999999999</v>
      </c>
      <c r="AL417" s="5">
        <v>9.24</v>
      </c>
      <c r="AM417" s="5">
        <v>6.26</v>
      </c>
      <c r="AN417" s="5">
        <v>2.8439999999999999</v>
      </c>
      <c r="AO417" s="5">
        <v>3.72</v>
      </c>
      <c r="AP417" s="5">
        <v>2.1949999999999998</v>
      </c>
      <c r="AQ417" s="5">
        <v>1.304</v>
      </c>
      <c r="AR417" s="5">
        <v>0.309</v>
      </c>
      <c r="AS417" s="5">
        <v>3.2530000000000001</v>
      </c>
      <c r="AT417" s="5">
        <v>0</v>
      </c>
      <c r="AU417" s="5">
        <v>0</v>
      </c>
      <c r="AV417" s="5">
        <v>0</v>
      </c>
      <c r="AW417" s="815">
        <v>0</v>
      </c>
      <c r="AX417" s="816">
        <v>0</v>
      </c>
      <c r="AY417" s="819">
        <v>0</v>
      </c>
      <c r="AZ417" s="816"/>
      <c r="BA417" s="818"/>
      <c r="BB417" s="802" t="str" cm="1">
        <f t="array" ref="BB417">INDEX(C$4:BA$4,MATCH(TRUE,INDEX(C417:BA417&lt;&gt;0,),0))</f>
        <v>2007-08</v>
      </c>
      <c r="BC417" s="803" t="str" cm="1">
        <f t="array" ref="BC417">LOOKUP(2,1/(C417:BA417&lt;&gt;0),$C$4:$BA$4)</f>
        <v>2020-21</v>
      </c>
      <c r="BD417" s="804">
        <f>COUNTIF(RDprograms[[#This Row],[1978-79]:[2028-29]], "&gt;0")</f>
        <v>14</v>
      </c>
      <c r="BE417" s="805">
        <f>SUM(C417:BA417)/RDprograms[[#This Row],[Years with &gt; $0 investment]]</f>
        <v>5.054214285714286</v>
      </c>
      <c r="BF417" s="806" t="s">
        <v>233</v>
      </c>
      <c r="BG417" s="807" t="s">
        <v>397</v>
      </c>
      <c r="BH417" s="847" t="s">
        <v>241</v>
      </c>
      <c r="BI417" s="809"/>
      <c r="BJ417" s="809"/>
      <c r="BK417" s="809"/>
      <c r="BL417" s="809"/>
      <c r="BM417" s="809"/>
      <c r="BN417" s="810"/>
      <c r="BO417" s="811" t="s">
        <v>236</v>
      </c>
      <c r="BP417" s="812" t="s">
        <v>1142</v>
      </c>
      <c r="BQ417" s="812" t="s">
        <v>1143</v>
      </c>
      <c r="BR417" s="812"/>
      <c r="BS417" s="812" t="s">
        <v>280</v>
      </c>
      <c r="BT417" s="812" t="s">
        <v>238</v>
      </c>
    </row>
    <row r="418" spans="1:72" ht="12.75" customHeight="1">
      <c r="A418" s="813" t="s">
        <v>1119</v>
      </c>
      <c r="B418" s="820" t="s">
        <v>1144</v>
      </c>
      <c r="C418" s="5">
        <v>1</v>
      </c>
      <c r="D418" s="5">
        <v>1.1000000000000001</v>
      </c>
      <c r="E418" s="5">
        <v>1.5</v>
      </c>
      <c r="F418" s="5">
        <v>1.7</v>
      </c>
      <c r="G418" s="5">
        <v>1.9</v>
      </c>
      <c r="H418" s="5">
        <v>1.8</v>
      </c>
      <c r="I418" s="5">
        <v>1.8</v>
      </c>
      <c r="J418" s="5">
        <v>1.9</v>
      </c>
      <c r="K418" s="5">
        <v>2</v>
      </c>
      <c r="L418" s="5">
        <v>2.4</v>
      </c>
      <c r="M418" s="5">
        <v>2.5</v>
      </c>
      <c r="N418" s="5">
        <v>2.7</v>
      </c>
      <c r="O418" s="5">
        <v>2.9</v>
      </c>
      <c r="P418" s="5">
        <v>3</v>
      </c>
      <c r="Q418" s="5">
        <v>3.1</v>
      </c>
      <c r="R418" s="5">
        <v>3.1</v>
      </c>
      <c r="S418" s="5">
        <v>3</v>
      </c>
      <c r="T418" s="5">
        <v>3.2</v>
      </c>
      <c r="U418" s="5">
        <v>3.3</v>
      </c>
      <c r="V418" s="5">
        <v>3.5</v>
      </c>
      <c r="W418" s="5">
        <v>3.6</v>
      </c>
      <c r="X418" s="5">
        <v>3.7</v>
      </c>
      <c r="Y418" s="5">
        <v>3.7</v>
      </c>
      <c r="Z418" s="5">
        <v>3.8</v>
      </c>
      <c r="AA418" s="5">
        <v>3.9289999999999998</v>
      </c>
      <c r="AB418" s="5">
        <v>4.032</v>
      </c>
      <c r="AC418" s="5">
        <v>4.1120000000000001</v>
      </c>
      <c r="AD418" s="5">
        <v>4.5940000000000003</v>
      </c>
      <c r="AE418" s="5">
        <v>4.6989999999999998</v>
      </c>
      <c r="AF418" s="5">
        <v>4.7930000000000001</v>
      </c>
      <c r="AG418" s="5">
        <v>4.9160000000000004</v>
      </c>
      <c r="AH418" s="5">
        <v>9.0370000000000008</v>
      </c>
      <c r="AI418" s="5">
        <v>10.44</v>
      </c>
      <c r="AJ418" s="5">
        <v>10.254</v>
      </c>
      <c r="AK418" s="5">
        <v>11.204000000000001</v>
      </c>
      <c r="AL418" s="5">
        <v>11.02</v>
      </c>
      <c r="AM418" s="5">
        <v>11.791999999999998</v>
      </c>
      <c r="AN418" s="5">
        <v>11.866</v>
      </c>
      <c r="AO418" s="5">
        <v>11.244999999999999</v>
      </c>
      <c r="AP418" s="816">
        <v>11.838999999999999</v>
      </c>
      <c r="AQ418" s="816">
        <v>0</v>
      </c>
      <c r="AR418" s="5">
        <v>0</v>
      </c>
      <c r="AS418" s="5">
        <v>0</v>
      </c>
      <c r="AT418" s="5">
        <v>0</v>
      </c>
      <c r="AU418" s="5">
        <v>0</v>
      </c>
      <c r="AV418" s="5">
        <v>0</v>
      </c>
      <c r="AW418" s="815">
        <v>0</v>
      </c>
      <c r="AX418" s="816">
        <v>0</v>
      </c>
      <c r="AY418" s="819">
        <v>0</v>
      </c>
      <c r="AZ418" s="816"/>
      <c r="BA418" s="818"/>
      <c r="BB418" s="802" t="str" cm="1">
        <f t="array" ref="BB418">INDEX(C$4:BA$4,MATCH(TRUE,INDEX(C418:BA418&lt;&gt;0,),0))</f>
        <v>1978-79</v>
      </c>
      <c r="BC418" s="803" t="str" cm="1">
        <f t="array" ref="BC418">LOOKUP(2,1/(C418:BA418&lt;&gt;0),$C$4:$BA$4)</f>
        <v>2017-18</v>
      </c>
      <c r="BD418" s="804">
        <f>COUNTIF(RDprograms[[#This Row],[1978-79]:[2028-29]], "&gt;0")</f>
        <v>40</v>
      </c>
      <c r="BE418" s="805">
        <f>SUM(C418:BA418)/RDprograms[[#This Row],[Years with &gt; $0 investment]]</f>
        <v>4.7993000000000006</v>
      </c>
      <c r="BF418" s="806" t="s">
        <v>273</v>
      </c>
      <c r="BG418" s="807" t="s">
        <v>734</v>
      </c>
      <c r="BH418" s="847" t="s">
        <v>258</v>
      </c>
      <c r="BI418" s="809"/>
      <c r="BJ418" s="809"/>
      <c r="BK418" s="809"/>
      <c r="BL418" s="809"/>
      <c r="BM418" s="809"/>
      <c r="BN418" s="810"/>
      <c r="BO418" s="811" t="s">
        <v>236</v>
      </c>
      <c r="BP418" s="812" t="s">
        <v>1145</v>
      </c>
      <c r="BQ418" s="812"/>
      <c r="BR418" s="812"/>
      <c r="BS418" s="812"/>
      <c r="BT418" s="812" t="s">
        <v>238</v>
      </c>
    </row>
    <row r="419" spans="1:72" ht="12.75" customHeight="1">
      <c r="A419" s="813" t="s">
        <v>1119</v>
      </c>
      <c r="B419" s="820" t="s">
        <v>1146</v>
      </c>
      <c r="C419" s="5">
        <v>0</v>
      </c>
      <c r="D419" s="5">
        <v>0</v>
      </c>
      <c r="E419" s="5">
        <v>0</v>
      </c>
      <c r="F419" s="5">
        <v>0</v>
      </c>
      <c r="G419" s="5">
        <v>0</v>
      </c>
      <c r="H419" s="5">
        <v>0</v>
      </c>
      <c r="I419" s="5">
        <v>0</v>
      </c>
      <c r="J419" s="5">
        <v>0</v>
      </c>
      <c r="K419" s="5">
        <v>0</v>
      </c>
      <c r="L419" s="5">
        <v>0</v>
      </c>
      <c r="M419" s="5">
        <v>0</v>
      </c>
      <c r="N419" s="5">
        <v>0</v>
      </c>
      <c r="O419" s="5">
        <v>0</v>
      </c>
      <c r="P419" s="5">
        <v>0</v>
      </c>
      <c r="Q419" s="5">
        <v>0</v>
      </c>
      <c r="R419" s="5">
        <v>0</v>
      </c>
      <c r="S419" s="5">
        <v>0</v>
      </c>
      <c r="T419" s="5">
        <v>0</v>
      </c>
      <c r="U419" s="5">
        <v>0</v>
      </c>
      <c r="V419" s="5">
        <v>0</v>
      </c>
      <c r="W419" s="5">
        <v>0</v>
      </c>
      <c r="X419" s="5">
        <v>0</v>
      </c>
      <c r="Y419" s="5">
        <v>0</v>
      </c>
      <c r="Z419" s="5">
        <v>0.8</v>
      </c>
      <c r="AA419" s="5">
        <v>3.55</v>
      </c>
      <c r="AB419" s="5">
        <v>4.5999999999999996</v>
      </c>
      <c r="AC419" s="5">
        <v>5.8</v>
      </c>
      <c r="AD419" s="5">
        <v>7.1</v>
      </c>
      <c r="AE419" s="5">
        <v>6.5</v>
      </c>
      <c r="AF419" s="5">
        <v>6</v>
      </c>
      <c r="AG419" s="5">
        <v>5.5</v>
      </c>
      <c r="AH419" s="5">
        <v>5</v>
      </c>
      <c r="AI419" s="5">
        <v>4.5</v>
      </c>
      <c r="AJ419" s="5">
        <v>0</v>
      </c>
      <c r="AK419" s="5">
        <v>0</v>
      </c>
      <c r="AL419" s="5">
        <v>0</v>
      </c>
      <c r="AM419" s="5">
        <v>0</v>
      </c>
      <c r="AN419" s="5">
        <v>0</v>
      </c>
      <c r="AO419" s="5">
        <v>0</v>
      </c>
      <c r="AP419" s="5">
        <v>0</v>
      </c>
      <c r="AQ419" s="5">
        <v>0</v>
      </c>
      <c r="AR419" s="5">
        <v>0</v>
      </c>
      <c r="AS419" s="5">
        <v>0</v>
      </c>
      <c r="AT419" s="5">
        <v>0</v>
      </c>
      <c r="AU419" s="5">
        <v>0</v>
      </c>
      <c r="AV419" s="5">
        <v>0</v>
      </c>
      <c r="AW419" s="815">
        <v>0</v>
      </c>
      <c r="AX419" s="816">
        <v>0</v>
      </c>
      <c r="AY419" s="819">
        <v>0</v>
      </c>
      <c r="AZ419" s="816"/>
      <c r="BA419" s="818"/>
      <c r="BB419" s="802" t="str" cm="1">
        <f t="array" ref="BB419">INDEX(C$4:BA$4,MATCH(TRUE,INDEX(C419:BA419&lt;&gt;0,),0))</f>
        <v>2001-02</v>
      </c>
      <c r="BC419" s="803" t="str" cm="1">
        <f t="array" ref="BC419">LOOKUP(2,1/(C419:BA419&lt;&gt;0),$C$4:$BA$4)</f>
        <v>2010-11</v>
      </c>
      <c r="BD419" s="804">
        <f>COUNTIF(RDprograms[[#This Row],[1978-79]:[2028-29]], "&gt;0")</f>
        <v>10</v>
      </c>
      <c r="BE419" s="805">
        <f>SUM(C419:BA419)/RDprograms[[#This Row],[Years with &gt; $0 investment]]</f>
        <v>4.9350000000000005</v>
      </c>
      <c r="BF419" s="806" t="s">
        <v>273</v>
      </c>
      <c r="BG419" s="807" t="s">
        <v>703</v>
      </c>
      <c r="BH419" s="847" t="s">
        <v>264</v>
      </c>
      <c r="BI419" s="809"/>
      <c r="BJ419" s="809"/>
      <c r="BK419" s="809"/>
      <c r="BL419" s="809"/>
      <c r="BM419" s="809"/>
      <c r="BN419" s="810"/>
      <c r="BO419" s="811" t="s">
        <v>236</v>
      </c>
      <c r="BP419" s="812"/>
      <c r="BQ419" s="812"/>
      <c r="BR419" s="812"/>
      <c r="BS419" s="812"/>
      <c r="BT419" s="812" t="s">
        <v>238</v>
      </c>
    </row>
    <row r="420" spans="1:72" ht="12.75" customHeight="1">
      <c r="A420" s="813" t="s">
        <v>1119</v>
      </c>
      <c r="B420" s="820" t="s">
        <v>1147</v>
      </c>
      <c r="C420" s="5">
        <v>27</v>
      </c>
      <c r="D420" s="5">
        <v>29.2</v>
      </c>
      <c r="E420" s="5">
        <v>33</v>
      </c>
      <c r="F420" s="5">
        <v>37.799999999999997</v>
      </c>
      <c r="G420" s="5">
        <v>36.4</v>
      </c>
      <c r="H420" s="5">
        <v>38.799999999999997</v>
      </c>
      <c r="I420" s="5">
        <v>41.9</v>
      </c>
      <c r="J420" s="5">
        <v>45.4</v>
      </c>
      <c r="K420" s="5">
        <v>45.2</v>
      </c>
      <c r="L420" s="5">
        <v>50.8</v>
      </c>
      <c r="M420" s="5">
        <v>54.3</v>
      </c>
      <c r="N420" s="5">
        <v>57.5</v>
      </c>
      <c r="O420" s="5">
        <v>62.6</v>
      </c>
      <c r="P420" s="5">
        <v>64.3</v>
      </c>
      <c r="Q420" s="5">
        <v>68.2</v>
      </c>
      <c r="R420" s="5">
        <v>64.2</v>
      </c>
      <c r="S420" s="5">
        <v>66.2</v>
      </c>
      <c r="T420" s="5">
        <v>65.599999999999994</v>
      </c>
      <c r="U420" s="5">
        <v>63.7</v>
      </c>
      <c r="V420" s="5">
        <v>72.7</v>
      </c>
      <c r="W420" s="5">
        <v>74.5</v>
      </c>
      <c r="X420" s="5">
        <v>80</v>
      </c>
      <c r="Y420" s="5">
        <v>140.80000000000001</v>
      </c>
      <c r="Z420" s="5">
        <v>158.69999999999999</v>
      </c>
      <c r="AA420" s="5">
        <v>173.2</v>
      </c>
      <c r="AB420" s="5">
        <v>290.39</v>
      </c>
      <c r="AC420" s="5">
        <v>196.39</v>
      </c>
      <c r="AD420" s="5">
        <v>166.85499999999999</v>
      </c>
      <c r="AE420" s="5">
        <v>141.578</v>
      </c>
      <c r="AF420" s="5">
        <v>185.714</v>
      </c>
      <c r="AG420" s="5">
        <v>174.715</v>
      </c>
      <c r="AH420" s="5">
        <v>175.24</v>
      </c>
      <c r="AI420" s="5">
        <v>179.69200000000001</v>
      </c>
      <c r="AJ420" s="5">
        <v>165.07599999999999</v>
      </c>
      <c r="AK420" s="5">
        <v>229.10499999999999</v>
      </c>
      <c r="AL420" s="5">
        <v>211.136</v>
      </c>
      <c r="AM420" s="5">
        <v>253.85300000000001</v>
      </c>
      <c r="AN420" s="5">
        <v>192.61600000000001</v>
      </c>
      <c r="AO420" s="5">
        <v>212.17500000000001</v>
      </c>
      <c r="AP420" s="816">
        <v>219.15565000000001</v>
      </c>
      <c r="AQ420" s="816">
        <v>242.53299999999999</v>
      </c>
      <c r="AR420" s="5">
        <v>257.81799999999998</v>
      </c>
      <c r="AS420" s="5">
        <v>260.51076999999998</v>
      </c>
      <c r="AT420" s="5">
        <v>262.80061000000001</v>
      </c>
      <c r="AU420" s="5">
        <v>264.42899999999997</v>
      </c>
      <c r="AV420" s="5">
        <v>266.97500000000002</v>
      </c>
      <c r="AW420" s="815">
        <v>264.69</v>
      </c>
      <c r="AX420" s="816">
        <v>265.36</v>
      </c>
      <c r="AY420" s="819">
        <v>266.97500000000002</v>
      </c>
      <c r="AZ420" s="816">
        <v>267.64499999999998</v>
      </c>
      <c r="BA420" s="818">
        <v>268.31400000000002</v>
      </c>
      <c r="BB420" s="802" t="str" cm="1">
        <f t="array" ref="BB420">INDEX(C$4:BA$4,MATCH(TRUE,INDEX(C420:BA420&lt;&gt;0,),0))</f>
        <v>1978-79</v>
      </c>
      <c r="BC420" s="803" t="str" cm="1">
        <f t="array" ref="BC420">LOOKUP(2,1/(C420:BA420&lt;&gt;0),$C$4:$BA$4)</f>
        <v>2028-29</v>
      </c>
      <c r="BD420" s="804">
        <f>COUNTIF(RDprograms[[#This Row],[1978-79]:[2028-29]], "&gt;0")</f>
        <v>51</v>
      </c>
      <c r="BE420" s="805">
        <f>SUM(C420:BA420)/RDprograms[[#This Row],[Years with &gt; $0 investment]]</f>
        <v>147.7204123529412</v>
      </c>
      <c r="BF420" s="806" t="s">
        <v>273</v>
      </c>
      <c r="BG420" s="807" t="s">
        <v>403</v>
      </c>
      <c r="BH420" s="847" t="s">
        <v>258</v>
      </c>
      <c r="BI420" s="809"/>
      <c r="BJ420" s="809"/>
      <c r="BK420" s="809"/>
      <c r="BL420" s="809"/>
      <c r="BM420" s="809">
        <v>1</v>
      </c>
      <c r="BN420" s="810">
        <v>1</v>
      </c>
      <c r="BO420" s="811" t="s">
        <v>236</v>
      </c>
      <c r="BP420" s="812" t="s">
        <v>1148</v>
      </c>
      <c r="BQ420" s="812" t="s">
        <v>1149</v>
      </c>
      <c r="BR420" s="812" t="s">
        <v>1150</v>
      </c>
      <c r="BS420" s="812"/>
      <c r="BT420" s="812" t="s">
        <v>238</v>
      </c>
    </row>
    <row r="421" spans="1:72" ht="12.75" customHeight="1">
      <c r="A421" s="813" t="s">
        <v>1119</v>
      </c>
      <c r="B421" s="820" t="s">
        <v>1151</v>
      </c>
      <c r="C421" s="5">
        <v>0</v>
      </c>
      <c r="D421" s="5">
        <v>0</v>
      </c>
      <c r="E421" s="5">
        <v>0</v>
      </c>
      <c r="F421" s="5">
        <v>0</v>
      </c>
      <c r="G421" s="5">
        <v>0</v>
      </c>
      <c r="H421" s="5">
        <v>0</v>
      </c>
      <c r="I421" s="5">
        <v>0</v>
      </c>
      <c r="J421" s="5">
        <v>0</v>
      </c>
      <c r="K421" s="5">
        <v>0</v>
      </c>
      <c r="L421" s="5">
        <v>0</v>
      </c>
      <c r="M421" s="5">
        <v>0</v>
      </c>
      <c r="N421" s="5">
        <v>0</v>
      </c>
      <c r="O421" s="5">
        <v>0</v>
      </c>
      <c r="P421" s="5">
        <v>0</v>
      </c>
      <c r="Q421" s="5">
        <v>0</v>
      </c>
      <c r="R421" s="5">
        <v>0</v>
      </c>
      <c r="S421" s="5">
        <v>0</v>
      </c>
      <c r="T421" s="5">
        <v>0</v>
      </c>
      <c r="U421" s="5">
        <v>0</v>
      </c>
      <c r="V421" s="5">
        <v>0</v>
      </c>
      <c r="W421" s="5">
        <v>0</v>
      </c>
      <c r="X421" s="5">
        <v>0</v>
      </c>
      <c r="Y421" s="5">
        <v>0</v>
      </c>
      <c r="Z421" s="5">
        <v>0</v>
      </c>
      <c r="AA421" s="5">
        <v>0</v>
      </c>
      <c r="AB421" s="5">
        <v>0</v>
      </c>
      <c r="AC421" s="5">
        <v>0</v>
      </c>
      <c r="AD421" s="5">
        <v>0</v>
      </c>
      <c r="AE421" s="5">
        <v>0</v>
      </c>
      <c r="AF421" s="5">
        <v>0</v>
      </c>
      <c r="AG421" s="5">
        <v>0</v>
      </c>
      <c r="AH421" s="5">
        <v>0</v>
      </c>
      <c r="AI421" s="5">
        <v>0</v>
      </c>
      <c r="AJ421" s="5">
        <v>0</v>
      </c>
      <c r="AK421" s="5">
        <v>0</v>
      </c>
      <c r="AL421" s="5">
        <v>0</v>
      </c>
      <c r="AM421" s="5">
        <v>0</v>
      </c>
      <c r="AN421" s="5">
        <v>0</v>
      </c>
      <c r="AO421" s="5">
        <v>0</v>
      </c>
      <c r="AP421" s="5">
        <v>0</v>
      </c>
      <c r="AQ421" s="5">
        <v>0</v>
      </c>
      <c r="AR421" s="5">
        <v>0</v>
      </c>
      <c r="AS421" s="5">
        <v>0</v>
      </c>
      <c r="AT421" s="5">
        <v>0</v>
      </c>
      <c r="AU421" s="5">
        <v>0</v>
      </c>
      <c r="AV421" s="5">
        <v>0</v>
      </c>
      <c r="AW421" s="849">
        <v>0</v>
      </c>
      <c r="AX421" s="816">
        <v>0.8</v>
      </c>
      <c r="AY421" s="819">
        <v>0.6</v>
      </c>
      <c r="AZ421" s="826">
        <v>0.6</v>
      </c>
      <c r="BA421" s="838">
        <v>0.5</v>
      </c>
      <c r="BB421" s="802" t="str" cm="1">
        <f t="array" ref="BB421">INDEX(C$4:BA$4,MATCH(TRUE,INDEX(C421:BA421&lt;&gt;0,),0))</f>
        <v>2025-26</v>
      </c>
      <c r="BC421" s="803" t="str" cm="1">
        <f t="array" ref="BC421">LOOKUP(2,1/(C421:BA421&lt;&gt;0),$C$4:$BA$4)</f>
        <v>2028-29</v>
      </c>
      <c r="BD421" s="839">
        <f>COUNTIF(RDprograms[[#This Row],[1978-79]:[2028-29]], "&gt;0")</f>
        <v>4</v>
      </c>
      <c r="BE421" s="805">
        <f>SUM(C421:BA421)/RDprograms[[#This Row],[Years with &gt; $0 investment]]</f>
        <v>0.625</v>
      </c>
      <c r="BF421" s="806" t="s">
        <v>240</v>
      </c>
      <c r="BG421" s="807" t="s">
        <v>406</v>
      </c>
      <c r="BH421" s="847" t="s">
        <v>241</v>
      </c>
      <c r="BI421" s="809"/>
      <c r="BJ421" s="809"/>
      <c r="BK421" s="809"/>
      <c r="BL421" s="809"/>
      <c r="BM421" s="809">
        <v>1</v>
      </c>
      <c r="BN421" s="810"/>
      <c r="BO421" s="811" t="s">
        <v>236</v>
      </c>
      <c r="BP421" s="812" t="s">
        <v>1152</v>
      </c>
      <c r="BQ421" s="812"/>
      <c r="BR421" s="812"/>
      <c r="BS421" s="812"/>
      <c r="BT421" s="812"/>
    </row>
    <row r="422" spans="1:72" ht="12.75" customHeight="1">
      <c r="A422" s="813" t="s">
        <v>1119</v>
      </c>
      <c r="B422" s="820" t="s">
        <v>1153</v>
      </c>
      <c r="C422" s="5">
        <v>0</v>
      </c>
      <c r="D422" s="5">
        <v>0</v>
      </c>
      <c r="E422" s="5">
        <v>0</v>
      </c>
      <c r="F422" s="5">
        <v>0</v>
      </c>
      <c r="G422" s="5">
        <v>0</v>
      </c>
      <c r="H422" s="5">
        <v>0</v>
      </c>
      <c r="I422" s="5">
        <v>0</v>
      </c>
      <c r="J422" s="5">
        <v>0</v>
      </c>
      <c r="K422" s="5">
        <v>0</v>
      </c>
      <c r="L422" s="5">
        <v>0</v>
      </c>
      <c r="M422" s="5">
        <v>0</v>
      </c>
      <c r="N422" s="5">
        <v>0</v>
      </c>
      <c r="O422" s="5">
        <v>0</v>
      </c>
      <c r="P422" s="5">
        <v>0</v>
      </c>
      <c r="Q422" s="5">
        <v>0</v>
      </c>
      <c r="R422" s="5">
        <v>0</v>
      </c>
      <c r="S422" s="5">
        <v>0</v>
      </c>
      <c r="T422" s="5">
        <v>0</v>
      </c>
      <c r="U422" s="5">
        <v>0</v>
      </c>
      <c r="V422" s="5">
        <v>0</v>
      </c>
      <c r="W422" s="5">
        <v>0</v>
      </c>
      <c r="X422" s="5">
        <v>0</v>
      </c>
      <c r="Y422" s="5">
        <v>0</v>
      </c>
      <c r="Z422" s="5">
        <v>0</v>
      </c>
      <c r="AA422" s="5">
        <v>0</v>
      </c>
      <c r="AB422" s="5">
        <v>0</v>
      </c>
      <c r="AC422" s="5">
        <v>0</v>
      </c>
      <c r="AD422" s="5">
        <v>0</v>
      </c>
      <c r="AE422" s="5">
        <v>0</v>
      </c>
      <c r="AF422" s="5">
        <v>0</v>
      </c>
      <c r="AG422" s="5">
        <v>0</v>
      </c>
      <c r="AH422" s="5">
        <v>0</v>
      </c>
      <c r="AI422" s="5">
        <v>0</v>
      </c>
      <c r="AJ422" s="5">
        <v>0</v>
      </c>
      <c r="AK422" s="5">
        <v>0</v>
      </c>
      <c r="AL422" s="5">
        <v>0</v>
      </c>
      <c r="AM422" s="5">
        <v>0</v>
      </c>
      <c r="AN422" s="5">
        <v>0</v>
      </c>
      <c r="AO422" s="5">
        <v>0</v>
      </c>
      <c r="AP422" s="5">
        <v>0</v>
      </c>
      <c r="AQ422" s="5">
        <v>0</v>
      </c>
      <c r="AR422" s="5">
        <v>0</v>
      </c>
      <c r="AS422" s="5">
        <v>0</v>
      </c>
      <c r="AT422" s="5">
        <v>0</v>
      </c>
      <c r="AU422" s="5">
        <v>0</v>
      </c>
      <c r="AV422" s="5">
        <v>0</v>
      </c>
      <c r="AW422" s="849">
        <v>0.34799999999999998</v>
      </c>
      <c r="AX422" s="816">
        <v>0.75</v>
      </c>
      <c r="AY422" s="819">
        <v>0.5</v>
      </c>
      <c r="AZ422" s="826">
        <v>0.5</v>
      </c>
      <c r="BA422" s="838">
        <v>0.3</v>
      </c>
      <c r="BB422" s="802" t="str" cm="1">
        <f t="array" ref="BB422">INDEX(C$4:BA$4,MATCH(TRUE,INDEX(C422:BA422&lt;&gt;0,),0))</f>
        <v>2024-25</v>
      </c>
      <c r="BC422" s="803" t="str" cm="1">
        <f t="array" ref="BC422">LOOKUP(2,1/(C422:BA422&lt;&gt;0),$C$4:$BA$4)</f>
        <v>2028-29</v>
      </c>
      <c r="BD422" s="839">
        <f>COUNTIF(RDprograms[[#This Row],[1978-79]:[2028-29]], "&gt;0")</f>
        <v>5</v>
      </c>
      <c r="BE422" s="805">
        <f>SUM(C422:BA422)/RDprograms[[#This Row],[Years with &gt; $0 investment]]</f>
        <v>0.47959999999999992</v>
      </c>
      <c r="BF422" s="806" t="s">
        <v>240</v>
      </c>
      <c r="BG422" s="807" t="s">
        <v>406</v>
      </c>
      <c r="BH422" s="847" t="s">
        <v>241</v>
      </c>
      <c r="BI422" s="809"/>
      <c r="BJ422" s="809"/>
      <c r="BK422" s="809"/>
      <c r="BL422" s="809"/>
      <c r="BM422" s="809">
        <v>1</v>
      </c>
      <c r="BN422" s="810"/>
      <c r="BO422" s="811" t="s">
        <v>236</v>
      </c>
      <c r="BP422" s="812" t="s">
        <v>1154</v>
      </c>
      <c r="BQ422" s="812"/>
      <c r="BR422" s="812"/>
      <c r="BS422" s="812"/>
      <c r="BT422" s="812"/>
    </row>
    <row r="423" spans="1:72" ht="12.75" customHeight="1">
      <c r="A423" s="813" t="s">
        <v>1119</v>
      </c>
      <c r="B423" s="820" t="s">
        <v>1155</v>
      </c>
      <c r="C423" s="5">
        <v>0</v>
      </c>
      <c r="D423" s="5">
        <v>0</v>
      </c>
      <c r="E423" s="5">
        <v>0</v>
      </c>
      <c r="F423" s="5">
        <v>0</v>
      </c>
      <c r="G423" s="5">
        <v>0</v>
      </c>
      <c r="H423" s="5">
        <v>0</v>
      </c>
      <c r="I423" s="5">
        <v>0</v>
      </c>
      <c r="J423" s="5">
        <v>0</v>
      </c>
      <c r="K423" s="5">
        <v>0</v>
      </c>
      <c r="L423" s="5">
        <v>0</v>
      </c>
      <c r="M423" s="5">
        <v>0</v>
      </c>
      <c r="N423" s="5">
        <v>0</v>
      </c>
      <c r="O423" s="5">
        <v>0</v>
      </c>
      <c r="P423" s="5">
        <v>0</v>
      </c>
      <c r="Q423" s="5">
        <v>0</v>
      </c>
      <c r="R423" s="5">
        <v>0</v>
      </c>
      <c r="S423" s="5">
        <v>0</v>
      </c>
      <c r="T423" s="5">
        <v>0</v>
      </c>
      <c r="U423" s="5">
        <v>0</v>
      </c>
      <c r="V423" s="5">
        <v>0</v>
      </c>
      <c r="W423" s="5">
        <v>0</v>
      </c>
      <c r="X423" s="5">
        <v>0</v>
      </c>
      <c r="Y423" s="5">
        <v>0</v>
      </c>
      <c r="Z423" s="5">
        <v>0</v>
      </c>
      <c r="AA423" s="5">
        <v>0</v>
      </c>
      <c r="AB423" s="5">
        <v>0</v>
      </c>
      <c r="AC423" s="5">
        <v>0</v>
      </c>
      <c r="AD423" s="5">
        <v>0</v>
      </c>
      <c r="AE423" s="5">
        <v>0</v>
      </c>
      <c r="AF423" s="5">
        <v>0</v>
      </c>
      <c r="AG423" s="5">
        <v>0</v>
      </c>
      <c r="AH423" s="5">
        <v>5.7649999999999997</v>
      </c>
      <c r="AI423" s="5">
        <v>11.981999999999999</v>
      </c>
      <c r="AJ423" s="5">
        <v>12.172000000000001</v>
      </c>
      <c r="AK423" s="5">
        <v>13.406000000000001</v>
      </c>
      <c r="AL423" s="5">
        <v>0</v>
      </c>
      <c r="AM423" s="5">
        <v>0</v>
      </c>
      <c r="AN423" s="5">
        <v>0</v>
      </c>
      <c r="AO423" s="5">
        <v>0</v>
      </c>
      <c r="AP423" s="816">
        <v>0</v>
      </c>
      <c r="AQ423" s="816">
        <v>0</v>
      </c>
      <c r="AR423" s="5">
        <v>0</v>
      </c>
      <c r="AS423" s="5">
        <v>0</v>
      </c>
      <c r="AT423" s="5">
        <v>0</v>
      </c>
      <c r="AU423" s="5">
        <v>0</v>
      </c>
      <c r="AV423" s="5">
        <v>0</v>
      </c>
      <c r="AW423" s="815">
        <v>0</v>
      </c>
      <c r="AX423" s="816">
        <v>0</v>
      </c>
      <c r="AY423" s="819">
        <v>0</v>
      </c>
      <c r="AZ423" s="816"/>
      <c r="BA423" s="818"/>
      <c r="BB423" s="802" t="str" cm="1">
        <f t="array" ref="BB423">INDEX(C$4:BA$4,MATCH(TRUE,INDEX(C423:BA423&lt;&gt;0,),0))</f>
        <v>2009-10</v>
      </c>
      <c r="BC423" s="803" t="str" cm="1">
        <f t="array" ref="BC423">LOOKUP(2,1/(C423:BA423&lt;&gt;0),$C$4:$BA$4)</f>
        <v>2012-13</v>
      </c>
      <c r="BD423" s="804">
        <f>COUNTIF(RDprograms[[#This Row],[1978-79]:[2028-29]], "&gt;0")</f>
        <v>4</v>
      </c>
      <c r="BE423" s="805">
        <f>SUM(C423:BA423)/RDprograms[[#This Row],[Years with &gt; $0 investment]]</f>
        <v>10.831250000000001</v>
      </c>
      <c r="BF423" s="806" t="s">
        <v>249</v>
      </c>
      <c r="BG423" s="807" t="s">
        <v>734</v>
      </c>
      <c r="BH423" s="847" t="s">
        <v>241</v>
      </c>
      <c r="BI423" s="809"/>
      <c r="BJ423" s="809"/>
      <c r="BK423" s="809"/>
      <c r="BL423" s="809"/>
      <c r="BM423" s="809"/>
      <c r="BN423" s="810"/>
      <c r="BO423" s="811" t="s">
        <v>236</v>
      </c>
      <c r="BP423" s="812"/>
      <c r="BQ423" s="812"/>
      <c r="BR423" s="812"/>
      <c r="BS423" s="812"/>
      <c r="BT423" s="812" t="s">
        <v>238</v>
      </c>
    </row>
    <row r="424" spans="1:72" ht="12.75" customHeight="1">
      <c r="A424" s="813" t="s">
        <v>1119</v>
      </c>
      <c r="B424" s="820" t="s">
        <v>1156</v>
      </c>
      <c r="C424" s="5">
        <v>0</v>
      </c>
      <c r="D424" s="5">
        <v>0</v>
      </c>
      <c r="E424" s="5">
        <v>0</v>
      </c>
      <c r="F424" s="5">
        <v>0</v>
      </c>
      <c r="G424" s="5">
        <v>0</v>
      </c>
      <c r="H424" s="5">
        <v>0</v>
      </c>
      <c r="I424" s="5">
        <v>0</v>
      </c>
      <c r="J424" s="5">
        <v>0</v>
      </c>
      <c r="K424" s="5">
        <v>0</v>
      </c>
      <c r="L424" s="5">
        <v>0</v>
      </c>
      <c r="M424" s="5">
        <v>0</v>
      </c>
      <c r="N424" s="5">
        <v>0</v>
      </c>
      <c r="O424" s="5">
        <v>0</v>
      </c>
      <c r="P424" s="5">
        <v>0</v>
      </c>
      <c r="Q424" s="5">
        <v>0</v>
      </c>
      <c r="R424" s="5">
        <v>0</v>
      </c>
      <c r="S424" s="5">
        <v>0</v>
      </c>
      <c r="T424" s="5">
        <v>0</v>
      </c>
      <c r="U424" s="5">
        <v>0</v>
      </c>
      <c r="V424" s="5">
        <v>0</v>
      </c>
      <c r="W424" s="5">
        <v>0</v>
      </c>
      <c r="X424" s="5">
        <v>0</v>
      </c>
      <c r="Y424" s="5">
        <v>0</v>
      </c>
      <c r="Z424" s="5">
        <v>0</v>
      </c>
      <c r="AA424" s="5">
        <v>0</v>
      </c>
      <c r="AB424" s="5">
        <v>0</v>
      </c>
      <c r="AC424" s="5">
        <v>0</v>
      </c>
      <c r="AD424" s="5">
        <v>0</v>
      </c>
      <c r="AE424" s="5">
        <v>50</v>
      </c>
      <c r="AF424" s="5">
        <v>0</v>
      </c>
      <c r="AG424" s="5">
        <v>0</v>
      </c>
      <c r="AH424" s="5">
        <v>0</v>
      </c>
      <c r="AI424" s="5">
        <v>0</v>
      </c>
      <c r="AJ424" s="5">
        <v>0</v>
      </c>
      <c r="AK424" s="5">
        <v>0</v>
      </c>
      <c r="AL424" s="5">
        <v>0</v>
      </c>
      <c r="AM424" s="5">
        <v>0</v>
      </c>
      <c r="AN424" s="5">
        <v>0</v>
      </c>
      <c r="AO424" s="5">
        <v>0</v>
      </c>
      <c r="AP424" s="816">
        <v>0</v>
      </c>
      <c r="AQ424" s="816">
        <v>0</v>
      </c>
      <c r="AR424" s="5">
        <v>0</v>
      </c>
      <c r="AS424" s="5">
        <v>0</v>
      </c>
      <c r="AT424" s="5">
        <v>0</v>
      </c>
      <c r="AU424" s="5">
        <v>0</v>
      </c>
      <c r="AV424" s="5">
        <v>0</v>
      </c>
      <c r="AW424" s="815">
        <v>0</v>
      </c>
      <c r="AX424" s="816">
        <v>0</v>
      </c>
      <c r="AY424" s="819">
        <v>0</v>
      </c>
      <c r="AZ424" s="816"/>
      <c r="BA424" s="818"/>
      <c r="BB424" s="802" t="str" cm="1">
        <f t="array" ref="BB424">INDEX(C$4:BA$4,MATCH(TRUE,INDEX(C424:BA424&lt;&gt;0,),0))</f>
        <v>2006-07</v>
      </c>
      <c r="BC424" s="803" t="str" cm="1">
        <f t="array" ref="BC424">LOOKUP(2,1/(C424:BA424&lt;&gt;0),$C$4:$BA$4)</f>
        <v>2006-07</v>
      </c>
      <c r="BD424" s="804">
        <f>COUNTIF(RDprograms[[#This Row],[1978-79]:[2028-29]], "&gt;0")</f>
        <v>1</v>
      </c>
      <c r="BE424" s="805">
        <f>SUM(C424:BA424)/RDprograms[[#This Row],[Years with &gt; $0 investment]]</f>
        <v>50</v>
      </c>
      <c r="BF424" s="806" t="s">
        <v>273</v>
      </c>
      <c r="BG424" s="807" t="s">
        <v>397</v>
      </c>
      <c r="BH424" s="847" t="s">
        <v>241</v>
      </c>
      <c r="BI424" s="809"/>
      <c r="BJ424" s="809"/>
      <c r="BK424" s="809"/>
      <c r="BL424" s="809"/>
      <c r="BM424" s="809"/>
      <c r="BN424" s="810"/>
      <c r="BO424" s="811" t="s">
        <v>236</v>
      </c>
      <c r="BP424" s="812"/>
      <c r="BQ424" s="812" t="s">
        <v>1157</v>
      </c>
      <c r="BR424" s="812"/>
      <c r="BS424" s="812"/>
      <c r="BT424" s="812" t="s">
        <v>238</v>
      </c>
    </row>
    <row r="425" spans="1:72" ht="12.75" customHeight="1">
      <c r="A425" s="813" t="s">
        <v>1119</v>
      </c>
      <c r="B425" s="820" t="s">
        <v>1158</v>
      </c>
      <c r="C425" s="5">
        <v>0</v>
      </c>
      <c r="D425" s="5">
        <v>0</v>
      </c>
      <c r="E425" s="5">
        <v>0</v>
      </c>
      <c r="F425" s="5">
        <v>0</v>
      </c>
      <c r="G425" s="5">
        <v>0</v>
      </c>
      <c r="H425" s="5">
        <v>0</v>
      </c>
      <c r="I425" s="5">
        <v>0</v>
      </c>
      <c r="J425" s="5">
        <v>0</v>
      </c>
      <c r="K425" s="5">
        <v>0</v>
      </c>
      <c r="L425" s="5">
        <v>0</v>
      </c>
      <c r="M425" s="5">
        <v>0</v>
      </c>
      <c r="N425" s="5">
        <v>0</v>
      </c>
      <c r="O425" s="5">
        <v>0</v>
      </c>
      <c r="P425" s="5">
        <v>0</v>
      </c>
      <c r="Q425" s="5">
        <v>0</v>
      </c>
      <c r="R425" s="5">
        <v>0</v>
      </c>
      <c r="S425" s="5">
        <v>0</v>
      </c>
      <c r="T425" s="5">
        <v>0</v>
      </c>
      <c r="U425" s="5">
        <v>0</v>
      </c>
      <c r="V425" s="5">
        <v>0</v>
      </c>
      <c r="W425" s="5">
        <v>0</v>
      </c>
      <c r="X425" s="5">
        <v>0</v>
      </c>
      <c r="Y425" s="5">
        <v>0</v>
      </c>
      <c r="Z425" s="5">
        <v>0</v>
      </c>
      <c r="AA425" s="5">
        <v>0</v>
      </c>
      <c r="AB425" s="5">
        <v>0</v>
      </c>
      <c r="AC425" s="5">
        <v>0</v>
      </c>
      <c r="AD425" s="5">
        <v>0</v>
      </c>
      <c r="AE425" s="5">
        <v>0</v>
      </c>
      <c r="AF425" s="5">
        <v>0</v>
      </c>
      <c r="AG425" s="5">
        <v>0</v>
      </c>
      <c r="AH425" s="5">
        <v>0</v>
      </c>
      <c r="AI425" s="5">
        <v>0</v>
      </c>
      <c r="AJ425" s="5">
        <v>0</v>
      </c>
      <c r="AK425" s="5">
        <v>0</v>
      </c>
      <c r="AL425" s="5">
        <v>0</v>
      </c>
      <c r="AM425" s="5">
        <v>0</v>
      </c>
      <c r="AN425" s="5">
        <v>0</v>
      </c>
      <c r="AO425" s="5">
        <v>7.5</v>
      </c>
      <c r="AP425" s="5">
        <v>0</v>
      </c>
      <c r="AQ425" s="5">
        <v>0</v>
      </c>
      <c r="AR425" s="5">
        <v>0</v>
      </c>
      <c r="AS425" s="5">
        <v>0</v>
      </c>
      <c r="AT425" s="5">
        <v>0</v>
      </c>
      <c r="AU425" s="5">
        <v>0</v>
      </c>
      <c r="AV425" s="5">
        <v>0</v>
      </c>
      <c r="AW425" s="815">
        <v>0</v>
      </c>
      <c r="AX425" s="816">
        <v>0</v>
      </c>
      <c r="AY425" s="819">
        <v>0</v>
      </c>
      <c r="AZ425" s="816"/>
      <c r="BA425" s="818"/>
      <c r="BB425" s="802" t="str" cm="1">
        <f t="array" ref="BB425">INDEX(C$4:BA$4,MATCH(TRUE,INDEX(C425:BA425&lt;&gt;0,),0))</f>
        <v>2016-17</v>
      </c>
      <c r="BC425" s="803" t="str" cm="1">
        <f t="array" ref="BC425">LOOKUP(2,1/(C425:BA425&lt;&gt;0),$C$4:$BA$4)</f>
        <v>2016-17</v>
      </c>
      <c r="BD425" s="804">
        <f>COUNTIF(RDprograms[[#This Row],[1978-79]:[2028-29]], "&gt;0")</f>
        <v>1</v>
      </c>
      <c r="BE425" s="805">
        <f>SUM(C425:BA425)/RDprograms[[#This Row],[Years with &gt; $0 investment]]</f>
        <v>7.5</v>
      </c>
      <c r="BF425" s="806" t="s">
        <v>273</v>
      </c>
      <c r="BG425" s="807" t="s">
        <v>397</v>
      </c>
      <c r="BH425" s="847" t="s">
        <v>241</v>
      </c>
      <c r="BI425" s="809"/>
      <c r="BJ425" s="809"/>
      <c r="BK425" s="809"/>
      <c r="BL425" s="809"/>
      <c r="BM425" s="809"/>
      <c r="BN425" s="810"/>
      <c r="BO425" s="811" t="s">
        <v>236</v>
      </c>
      <c r="BP425" s="812" t="s">
        <v>1159</v>
      </c>
      <c r="BQ425" s="812" t="s">
        <v>1160</v>
      </c>
      <c r="BR425" s="812"/>
      <c r="BS425" s="812"/>
      <c r="BT425" s="812" t="s">
        <v>238</v>
      </c>
    </row>
    <row r="426" spans="1:72" ht="12.75" customHeight="1">
      <c r="A426" s="813" t="s">
        <v>1119</v>
      </c>
      <c r="B426" s="820" t="s">
        <v>1161</v>
      </c>
      <c r="C426" s="5">
        <v>0</v>
      </c>
      <c r="D426" s="5">
        <v>0</v>
      </c>
      <c r="E426" s="5">
        <v>0</v>
      </c>
      <c r="F426" s="5">
        <v>0</v>
      </c>
      <c r="G426" s="5">
        <v>0</v>
      </c>
      <c r="H426" s="5">
        <v>0</v>
      </c>
      <c r="I426" s="5">
        <v>0</v>
      </c>
      <c r="J426" s="5">
        <v>0</v>
      </c>
      <c r="K426" s="5">
        <v>0</v>
      </c>
      <c r="L426" s="5">
        <v>0</v>
      </c>
      <c r="M426" s="5">
        <v>0</v>
      </c>
      <c r="N426" s="5">
        <v>0</v>
      </c>
      <c r="O426" s="5">
        <v>0</v>
      </c>
      <c r="P426" s="5">
        <v>0</v>
      </c>
      <c r="Q426" s="5">
        <v>0</v>
      </c>
      <c r="R426" s="5">
        <v>0</v>
      </c>
      <c r="S426" s="5">
        <v>0</v>
      </c>
      <c r="T426" s="5">
        <v>0</v>
      </c>
      <c r="U426" s="5">
        <v>0</v>
      </c>
      <c r="V426" s="5">
        <v>0</v>
      </c>
      <c r="W426" s="5">
        <v>0</v>
      </c>
      <c r="X426" s="5">
        <v>0</v>
      </c>
      <c r="Y426" s="5">
        <v>0</v>
      </c>
      <c r="Z426" s="5">
        <v>0</v>
      </c>
      <c r="AA426" s="5">
        <v>0</v>
      </c>
      <c r="AB426" s="5">
        <v>0</v>
      </c>
      <c r="AC426" s="5">
        <v>0</v>
      </c>
      <c r="AD426" s="5">
        <v>0</v>
      </c>
      <c r="AE426" s="5">
        <v>0</v>
      </c>
      <c r="AF426" s="5">
        <v>0</v>
      </c>
      <c r="AG426" s="5">
        <v>0</v>
      </c>
      <c r="AH426" s="5">
        <v>0</v>
      </c>
      <c r="AI426" s="5">
        <v>0</v>
      </c>
      <c r="AJ426" s="5">
        <v>0</v>
      </c>
      <c r="AK426" s="5">
        <v>0</v>
      </c>
      <c r="AL426" s="5">
        <v>0</v>
      </c>
      <c r="AM426" s="5">
        <v>0</v>
      </c>
      <c r="AN426" s="5">
        <v>0</v>
      </c>
      <c r="AO426" s="5">
        <v>11.416</v>
      </c>
      <c r="AP426" s="816">
        <v>0</v>
      </c>
      <c r="AQ426" s="816">
        <v>0</v>
      </c>
      <c r="AR426" s="5">
        <v>0</v>
      </c>
      <c r="AS426" s="5">
        <v>0</v>
      </c>
      <c r="AT426" s="5">
        <v>0</v>
      </c>
      <c r="AU426" s="5">
        <v>0</v>
      </c>
      <c r="AV426" s="5">
        <v>0</v>
      </c>
      <c r="AW426" s="815">
        <v>0</v>
      </c>
      <c r="AX426" s="816">
        <v>0</v>
      </c>
      <c r="AY426" s="819">
        <v>0</v>
      </c>
      <c r="AZ426" s="816"/>
      <c r="BA426" s="818"/>
      <c r="BB426" s="802" t="str" cm="1">
        <f t="array" ref="BB426">INDEX(C$4:BA$4,MATCH(TRUE,INDEX(C426:BA426&lt;&gt;0,),0))</f>
        <v>2016-17</v>
      </c>
      <c r="BC426" s="803" t="str" cm="1">
        <f t="array" ref="BC426">LOOKUP(2,1/(C426:BA426&lt;&gt;0),$C$4:$BA$4)</f>
        <v>2016-17</v>
      </c>
      <c r="BD426" s="804">
        <f>COUNTIF(RDprograms[[#This Row],[1978-79]:[2028-29]], "&gt;0")</f>
        <v>1</v>
      </c>
      <c r="BE426" s="805">
        <f>SUM(C426:BA426)/RDprograms[[#This Row],[Years with &gt; $0 investment]]</f>
        <v>11.416</v>
      </c>
      <c r="BF426" s="806" t="s">
        <v>273</v>
      </c>
      <c r="BG426" s="807" t="s">
        <v>397</v>
      </c>
      <c r="BH426" s="847" t="s">
        <v>241</v>
      </c>
      <c r="BI426" s="809"/>
      <c r="BJ426" s="809"/>
      <c r="BK426" s="809"/>
      <c r="BL426" s="809"/>
      <c r="BM426" s="809"/>
      <c r="BN426" s="810"/>
      <c r="BO426" s="811" t="s">
        <v>236</v>
      </c>
      <c r="BP426" s="812" t="s">
        <v>1162</v>
      </c>
      <c r="BQ426" s="812" t="s">
        <v>1163</v>
      </c>
      <c r="BR426" s="812"/>
      <c r="BS426" s="812" t="s">
        <v>244</v>
      </c>
      <c r="BT426" s="812" t="s">
        <v>238</v>
      </c>
    </row>
    <row r="427" spans="1:72" ht="12.75" customHeight="1">
      <c r="A427" s="813" t="s">
        <v>1119</v>
      </c>
      <c r="B427" s="820" t="s">
        <v>1164</v>
      </c>
      <c r="C427" s="5">
        <v>0</v>
      </c>
      <c r="D427" s="5">
        <v>0</v>
      </c>
      <c r="E427" s="5">
        <v>0</v>
      </c>
      <c r="F427" s="5">
        <v>0</v>
      </c>
      <c r="G427" s="5">
        <v>0</v>
      </c>
      <c r="H427" s="5">
        <v>0</v>
      </c>
      <c r="I427" s="5">
        <v>0</v>
      </c>
      <c r="J427" s="5">
        <v>0</v>
      </c>
      <c r="K427" s="5">
        <v>0</v>
      </c>
      <c r="L427" s="5">
        <v>0</v>
      </c>
      <c r="M427" s="5">
        <v>0</v>
      </c>
      <c r="N427" s="5">
        <v>0</v>
      </c>
      <c r="O427" s="5">
        <v>0</v>
      </c>
      <c r="P427" s="5">
        <v>0</v>
      </c>
      <c r="Q427" s="5">
        <v>30</v>
      </c>
      <c r="R427" s="5">
        <v>0</v>
      </c>
      <c r="S427" s="5">
        <v>0</v>
      </c>
      <c r="T427" s="5">
        <v>0</v>
      </c>
      <c r="U427" s="5">
        <v>0</v>
      </c>
      <c r="V427" s="5">
        <v>0</v>
      </c>
      <c r="W427" s="5">
        <v>0</v>
      </c>
      <c r="X427" s="5">
        <v>0</v>
      </c>
      <c r="Y427" s="5">
        <v>0</v>
      </c>
      <c r="Z427" s="5">
        <v>0</v>
      </c>
      <c r="AA427" s="5">
        <v>0</v>
      </c>
      <c r="AB427" s="5">
        <v>0</v>
      </c>
      <c r="AC427" s="5">
        <v>0</v>
      </c>
      <c r="AD427" s="5">
        <v>0</v>
      </c>
      <c r="AE427" s="5">
        <v>0</v>
      </c>
      <c r="AF427" s="5">
        <v>0</v>
      </c>
      <c r="AG427" s="5">
        <v>0</v>
      </c>
      <c r="AH427" s="5">
        <v>0</v>
      </c>
      <c r="AI427" s="5">
        <v>0</v>
      </c>
      <c r="AJ427" s="5">
        <v>0</v>
      </c>
      <c r="AK427" s="5">
        <v>0</v>
      </c>
      <c r="AL427" s="5">
        <v>0</v>
      </c>
      <c r="AM427" s="5">
        <v>0</v>
      </c>
      <c r="AN427" s="5">
        <v>0</v>
      </c>
      <c r="AO427" s="5">
        <v>0</v>
      </c>
      <c r="AP427" s="5">
        <v>0</v>
      </c>
      <c r="AQ427" s="5">
        <v>0</v>
      </c>
      <c r="AR427" s="5">
        <v>0</v>
      </c>
      <c r="AS427" s="5">
        <v>0</v>
      </c>
      <c r="AT427" s="5">
        <v>0</v>
      </c>
      <c r="AU427" s="5">
        <v>0</v>
      </c>
      <c r="AV427" s="5">
        <v>0</v>
      </c>
      <c r="AW427" s="815">
        <v>0</v>
      </c>
      <c r="AX427" s="816">
        <v>0</v>
      </c>
      <c r="AY427" s="819">
        <v>0</v>
      </c>
      <c r="AZ427" s="816"/>
      <c r="BA427" s="818"/>
      <c r="BB427" s="802" t="str" cm="1">
        <f t="array" ref="BB427">INDEX(C$4:BA$4,MATCH(TRUE,INDEX(C427:BA427&lt;&gt;0,),0))</f>
        <v>1992-93</v>
      </c>
      <c r="BC427" s="803" t="str" cm="1">
        <f t="array" ref="BC427">LOOKUP(2,1/(C427:BA427&lt;&gt;0),$C$4:$BA$4)</f>
        <v>1992-93</v>
      </c>
      <c r="BD427" s="804">
        <f>COUNTIF(RDprograms[[#This Row],[1978-79]:[2028-29]], "&gt;0")</f>
        <v>1</v>
      </c>
      <c r="BE427" s="805">
        <f>SUM(C427:BA427)/RDprograms[[#This Row],[Years with &gt; $0 investment]]</f>
        <v>30</v>
      </c>
      <c r="BF427" s="806" t="s">
        <v>273</v>
      </c>
      <c r="BG427" s="807" t="s">
        <v>389</v>
      </c>
      <c r="BH427" s="847" t="s">
        <v>264</v>
      </c>
      <c r="BI427" s="809"/>
      <c r="BJ427" s="809"/>
      <c r="BK427" s="809"/>
      <c r="BL427" s="809"/>
      <c r="BM427" s="809"/>
      <c r="BN427" s="810"/>
      <c r="BO427" s="811" t="s">
        <v>236</v>
      </c>
      <c r="BP427" s="812"/>
      <c r="BQ427" s="812"/>
      <c r="BR427" s="812"/>
      <c r="BS427" s="812"/>
      <c r="BT427" s="812" t="s">
        <v>238</v>
      </c>
    </row>
    <row r="428" spans="1:72" ht="12.75" customHeight="1">
      <c r="A428" s="813" t="s">
        <v>1119</v>
      </c>
      <c r="B428" s="820" t="s">
        <v>1165</v>
      </c>
      <c r="C428" s="5">
        <v>0</v>
      </c>
      <c r="D428" s="5">
        <v>0</v>
      </c>
      <c r="E428" s="5">
        <v>0</v>
      </c>
      <c r="F428" s="5">
        <v>0</v>
      </c>
      <c r="G428" s="5">
        <v>0</v>
      </c>
      <c r="H428" s="5">
        <v>0</v>
      </c>
      <c r="I428" s="5">
        <v>0</v>
      </c>
      <c r="J428" s="5">
        <v>0</v>
      </c>
      <c r="K428" s="5">
        <v>0</v>
      </c>
      <c r="L428" s="5">
        <v>0</v>
      </c>
      <c r="M428" s="5">
        <v>0</v>
      </c>
      <c r="N428" s="5">
        <v>0</v>
      </c>
      <c r="O428" s="5">
        <v>0</v>
      </c>
      <c r="P428" s="5">
        <v>0</v>
      </c>
      <c r="Q428" s="5">
        <v>0</v>
      </c>
      <c r="R428" s="5">
        <v>0</v>
      </c>
      <c r="S428" s="5">
        <v>0</v>
      </c>
      <c r="T428" s="5">
        <v>0</v>
      </c>
      <c r="U428" s="5">
        <v>0</v>
      </c>
      <c r="V428" s="5">
        <v>0</v>
      </c>
      <c r="W428" s="5">
        <v>0</v>
      </c>
      <c r="X428" s="5">
        <v>0</v>
      </c>
      <c r="Y428" s="5">
        <v>0</v>
      </c>
      <c r="Z428" s="5">
        <v>0</v>
      </c>
      <c r="AA428" s="5">
        <v>0</v>
      </c>
      <c r="AB428" s="5">
        <v>0</v>
      </c>
      <c r="AC428" s="5">
        <v>0</v>
      </c>
      <c r="AD428" s="5">
        <v>0</v>
      </c>
      <c r="AE428" s="5">
        <v>0</v>
      </c>
      <c r="AF428" s="5">
        <v>0</v>
      </c>
      <c r="AG428" s="5">
        <v>0</v>
      </c>
      <c r="AH428" s="5">
        <v>0</v>
      </c>
      <c r="AI428" s="5">
        <v>0</v>
      </c>
      <c r="AJ428" s="5">
        <v>0</v>
      </c>
      <c r="AK428" s="5">
        <v>0</v>
      </c>
      <c r="AL428" s="5">
        <v>0</v>
      </c>
      <c r="AM428" s="5">
        <v>0</v>
      </c>
      <c r="AN428" s="5">
        <v>0</v>
      </c>
      <c r="AO428" s="5">
        <v>0</v>
      </c>
      <c r="AP428" s="5">
        <v>0</v>
      </c>
      <c r="AQ428" s="5">
        <v>0</v>
      </c>
      <c r="AR428" s="5">
        <v>0</v>
      </c>
      <c r="AS428" s="5">
        <v>0</v>
      </c>
      <c r="AT428" s="5">
        <v>0</v>
      </c>
      <c r="AU428" s="5">
        <v>0</v>
      </c>
      <c r="AV428" s="5">
        <v>0</v>
      </c>
      <c r="AW428" s="815">
        <v>1</v>
      </c>
      <c r="AX428" s="816">
        <v>1</v>
      </c>
      <c r="AY428" s="819"/>
      <c r="AZ428" s="826"/>
      <c r="BA428" s="818"/>
      <c r="BB428" s="802" t="str" cm="1">
        <f t="array" ref="BB428">INDEX(C$4:BA$4,MATCH(TRUE,INDEX(C428:BA428&lt;&gt;0,),0))</f>
        <v>2024-25</v>
      </c>
      <c r="BC428" s="803" t="str" cm="1">
        <f t="array" ref="BC428">LOOKUP(2,1/(C428:BA428&lt;&gt;0),$C$4:$BA$4)</f>
        <v>2025-26</v>
      </c>
      <c r="BD428" s="804">
        <f>COUNTIF(RDprograms[[#This Row],[1978-79]:[2028-29]], "&gt;0")</f>
        <v>2</v>
      </c>
      <c r="BE428" s="805">
        <f>SUM(C428:BA428)/RDprograms[[#This Row],[Years with &gt; $0 investment]]</f>
        <v>1</v>
      </c>
      <c r="BF428" s="806" t="s">
        <v>233</v>
      </c>
      <c r="BG428" s="880" t="s">
        <v>409</v>
      </c>
      <c r="BH428" s="847" t="s">
        <v>390</v>
      </c>
      <c r="BI428" s="809">
        <v>1</v>
      </c>
      <c r="BJ428" s="809"/>
      <c r="BK428" s="809"/>
      <c r="BL428" s="809"/>
      <c r="BM428" s="809">
        <v>1</v>
      </c>
      <c r="BN428" s="810"/>
      <c r="BO428" s="811" t="s">
        <v>251</v>
      </c>
      <c r="BP428" s="829" t="s">
        <v>1166</v>
      </c>
      <c r="BQ428" s="812"/>
      <c r="BR428" s="812"/>
      <c r="BS428" s="812"/>
      <c r="BT428" s="812"/>
    </row>
    <row r="429" spans="1:72" ht="12.75" customHeight="1">
      <c r="A429" s="813" t="s">
        <v>1119</v>
      </c>
      <c r="B429" s="820" t="s">
        <v>1167</v>
      </c>
      <c r="C429" s="5">
        <v>0</v>
      </c>
      <c r="D429" s="5">
        <v>0</v>
      </c>
      <c r="E429" s="5">
        <v>0</v>
      </c>
      <c r="F429" s="5">
        <v>0</v>
      </c>
      <c r="G429" s="5">
        <v>0</v>
      </c>
      <c r="H429" s="5">
        <v>0</v>
      </c>
      <c r="I429" s="5">
        <v>0</v>
      </c>
      <c r="J429" s="5">
        <v>0</v>
      </c>
      <c r="K429" s="5">
        <v>0</v>
      </c>
      <c r="L429" s="5">
        <v>0</v>
      </c>
      <c r="M429" s="5">
        <v>0</v>
      </c>
      <c r="N429" s="5">
        <v>0</v>
      </c>
      <c r="O429" s="5">
        <v>0</v>
      </c>
      <c r="P429" s="5">
        <v>0</v>
      </c>
      <c r="Q429" s="5">
        <v>0</v>
      </c>
      <c r="R429" s="5">
        <v>0</v>
      </c>
      <c r="S429" s="5">
        <v>0</v>
      </c>
      <c r="T429" s="5">
        <v>0</v>
      </c>
      <c r="U429" s="5">
        <v>0</v>
      </c>
      <c r="V429" s="5">
        <v>0</v>
      </c>
      <c r="W429" s="5">
        <v>0</v>
      </c>
      <c r="X429" s="5">
        <v>0</v>
      </c>
      <c r="Y429" s="5">
        <v>0</v>
      </c>
      <c r="Z429" s="5">
        <v>0</v>
      </c>
      <c r="AA429" s="5">
        <v>0</v>
      </c>
      <c r="AB429" s="5">
        <v>0</v>
      </c>
      <c r="AC429" s="5">
        <v>0</v>
      </c>
      <c r="AD429" s="5">
        <v>0</v>
      </c>
      <c r="AE429" s="5">
        <v>0</v>
      </c>
      <c r="AF429" s="5">
        <v>0</v>
      </c>
      <c r="AG429" s="5">
        <v>0</v>
      </c>
      <c r="AH429" s="5">
        <v>0</v>
      </c>
      <c r="AI429" s="5">
        <v>0</v>
      </c>
      <c r="AJ429" s="5">
        <v>0</v>
      </c>
      <c r="AK429" s="5">
        <v>0</v>
      </c>
      <c r="AL429" s="5">
        <v>0</v>
      </c>
      <c r="AM429" s="5">
        <v>0</v>
      </c>
      <c r="AN429" s="5">
        <v>0</v>
      </c>
      <c r="AO429" s="5">
        <v>0</v>
      </c>
      <c r="AP429" s="816">
        <v>0</v>
      </c>
      <c r="AQ429" s="816">
        <v>0</v>
      </c>
      <c r="AR429" s="5">
        <v>0</v>
      </c>
      <c r="AS429" s="5">
        <v>0</v>
      </c>
      <c r="AT429" s="5">
        <v>0</v>
      </c>
      <c r="AU429" s="5">
        <v>0</v>
      </c>
      <c r="AV429" s="5">
        <v>0</v>
      </c>
      <c r="AW429" s="815">
        <v>0</v>
      </c>
      <c r="AX429" s="816">
        <v>1.5</v>
      </c>
      <c r="AY429" s="819">
        <v>0</v>
      </c>
      <c r="AZ429" s="816"/>
      <c r="BA429" s="818"/>
      <c r="BB429" s="802" t="str" cm="1">
        <f t="array" ref="BB429">INDEX(C$4:BA$4,MATCH(TRUE,INDEX(C429:BA429&lt;&gt;0,),0))</f>
        <v>2025-26</v>
      </c>
      <c r="BC429" s="803" t="str" cm="1">
        <f t="array" ref="BC429">LOOKUP(2,1/(C429:BA429&lt;&gt;0),$C$4:$BA$4)</f>
        <v>2025-26</v>
      </c>
      <c r="BD429" s="804">
        <f>COUNTIF(RDprograms[[#This Row],[1978-79]:[2028-29]], "&gt;0")</f>
        <v>1</v>
      </c>
      <c r="BE429" s="805">
        <f>SUM(C429:BA429)/RDprograms[[#This Row],[Years with &gt; $0 investment]]</f>
        <v>1.5</v>
      </c>
      <c r="BF429" s="806" t="s">
        <v>1168</v>
      </c>
      <c r="BG429" s="807" t="s">
        <v>406</v>
      </c>
      <c r="BH429" s="847" t="s">
        <v>241</v>
      </c>
      <c r="BI429" s="809">
        <v>1</v>
      </c>
      <c r="BJ429" s="809">
        <v>1</v>
      </c>
      <c r="BK429" s="809"/>
      <c r="BL429" s="809">
        <v>1</v>
      </c>
      <c r="BM429" s="809">
        <v>1</v>
      </c>
      <c r="BN429" s="810"/>
      <c r="BO429" s="811" t="s">
        <v>251</v>
      </c>
      <c r="BP429" s="812" t="s">
        <v>1169</v>
      </c>
      <c r="BQ429" s="812" t="s">
        <v>1170</v>
      </c>
      <c r="BR429" s="812"/>
      <c r="BS429" s="812"/>
      <c r="BT429" s="812"/>
    </row>
    <row r="430" spans="1:72" ht="12.75" customHeight="1">
      <c r="A430" s="813" t="s">
        <v>1119</v>
      </c>
      <c r="B430" s="820" t="s">
        <v>1171</v>
      </c>
      <c r="C430" s="5">
        <v>0</v>
      </c>
      <c r="D430" s="5">
        <v>0</v>
      </c>
      <c r="E430" s="5">
        <v>0</v>
      </c>
      <c r="F430" s="5">
        <v>0</v>
      </c>
      <c r="G430" s="5">
        <v>0</v>
      </c>
      <c r="H430" s="5">
        <v>0</v>
      </c>
      <c r="I430" s="5">
        <v>0</v>
      </c>
      <c r="J430" s="5">
        <v>0</v>
      </c>
      <c r="K430" s="5">
        <v>0</v>
      </c>
      <c r="L430" s="5">
        <v>0</v>
      </c>
      <c r="M430" s="5">
        <v>0</v>
      </c>
      <c r="N430" s="5">
        <v>0</v>
      </c>
      <c r="O430" s="5">
        <v>0</v>
      </c>
      <c r="P430" s="5">
        <v>0</v>
      </c>
      <c r="Q430" s="5">
        <v>0</v>
      </c>
      <c r="R430" s="5">
        <v>0</v>
      </c>
      <c r="S430" s="5">
        <v>0</v>
      </c>
      <c r="T430" s="5">
        <v>0</v>
      </c>
      <c r="U430" s="5">
        <v>0</v>
      </c>
      <c r="V430" s="5">
        <v>0</v>
      </c>
      <c r="W430" s="5">
        <v>0</v>
      </c>
      <c r="X430" s="5">
        <v>0</v>
      </c>
      <c r="Y430" s="5">
        <v>43.4</v>
      </c>
      <c r="Z430" s="5">
        <v>142.6</v>
      </c>
      <c r="AA430" s="5">
        <v>134.80000000000001</v>
      </c>
      <c r="AB430" s="5">
        <v>128.69999999999999</v>
      </c>
      <c r="AC430" s="5">
        <v>130.4</v>
      </c>
      <c r="AD430" s="5">
        <v>145.69999999999999</v>
      </c>
      <c r="AE430" s="5">
        <v>168.9</v>
      </c>
      <c r="AF430" s="5">
        <v>178.4</v>
      </c>
      <c r="AG430" s="5">
        <v>202.4</v>
      </c>
      <c r="AH430" s="5">
        <v>233.76599999999999</v>
      </c>
      <c r="AI430" s="5">
        <v>141.69800000000001</v>
      </c>
      <c r="AJ430" s="5">
        <v>0</v>
      </c>
      <c r="AK430" s="5">
        <v>0</v>
      </c>
      <c r="AL430" s="5">
        <v>0</v>
      </c>
      <c r="AM430" s="5">
        <v>0</v>
      </c>
      <c r="AN430" s="5">
        <v>0</v>
      </c>
      <c r="AO430" s="5">
        <v>0</v>
      </c>
      <c r="AP430" s="5">
        <v>0</v>
      </c>
      <c r="AQ430" s="5">
        <v>0</v>
      </c>
      <c r="AR430" s="5">
        <v>0</v>
      </c>
      <c r="AS430" s="5">
        <v>0</v>
      </c>
      <c r="AT430" s="5">
        <v>0</v>
      </c>
      <c r="AU430" s="5">
        <v>0</v>
      </c>
      <c r="AV430" s="5">
        <v>0</v>
      </c>
      <c r="AW430" s="815">
        <v>0</v>
      </c>
      <c r="AX430" s="816">
        <v>0</v>
      </c>
      <c r="AY430" s="819">
        <v>0</v>
      </c>
      <c r="AZ430" s="816"/>
      <c r="BA430" s="818"/>
      <c r="BB430" s="802" t="str" cm="1">
        <f t="array" ref="BB430">INDEX(C$4:BA$4,MATCH(TRUE,INDEX(C430:BA430&lt;&gt;0,),0))</f>
        <v>2000-01</v>
      </c>
      <c r="BC430" s="803" t="str" cm="1">
        <f t="array" ref="BC430">LOOKUP(2,1/(C430:BA430&lt;&gt;0),$C$4:$BA$4)</f>
        <v>2010-11</v>
      </c>
      <c r="BD430" s="804">
        <f>COUNTIF(RDprograms[[#This Row],[1978-79]:[2028-29]], "&gt;0")</f>
        <v>11</v>
      </c>
      <c r="BE430" s="805">
        <f>SUM(C430:BA430)/RDprograms[[#This Row],[Years with &gt; $0 investment]]</f>
        <v>150.06945454545456</v>
      </c>
      <c r="BF430" s="806" t="s">
        <v>1172</v>
      </c>
      <c r="BG430" s="807" t="s">
        <v>389</v>
      </c>
      <c r="BH430" s="847" t="s">
        <v>264</v>
      </c>
      <c r="BI430" s="809"/>
      <c r="BJ430" s="809"/>
      <c r="BK430" s="809"/>
      <c r="BL430" s="809"/>
      <c r="BM430" s="809"/>
      <c r="BN430" s="810"/>
      <c r="BO430" s="811" t="s">
        <v>236</v>
      </c>
      <c r="BP430" s="812"/>
      <c r="BQ430" s="812"/>
      <c r="BR430" s="812"/>
      <c r="BS430" s="812"/>
      <c r="BT430" s="812" t="s">
        <v>238</v>
      </c>
    </row>
    <row r="431" spans="1:72" ht="12.75" customHeight="1">
      <c r="A431" s="813" t="s">
        <v>1119</v>
      </c>
      <c r="B431" s="820" t="s">
        <v>1173</v>
      </c>
      <c r="C431" s="5">
        <v>0</v>
      </c>
      <c r="D431" s="5">
        <v>0</v>
      </c>
      <c r="E431" s="5">
        <v>0</v>
      </c>
      <c r="F431" s="5">
        <v>0</v>
      </c>
      <c r="G431" s="5">
        <v>0</v>
      </c>
      <c r="H431" s="5">
        <v>0</v>
      </c>
      <c r="I431" s="5">
        <v>0</v>
      </c>
      <c r="J431" s="5">
        <v>0</v>
      </c>
      <c r="K431" s="5">
        <v>0</v>
      </c>
      <c r="L431" s="5">
        <v>0</v>
      </c>
      <c r="M431" s="5">
        <v>0</v>
      </c>
      <c r="N431" s="5">
        <v>0</v>
      </c>
      <c r="O431" s="5">
        <v>0</v>
      </c>
      <c r="P431" s="5">
        <v>0</v>
      </c>
      <c r="Q431" s="5">
        <v>0</v>
      </c>
      <c r="R431" s="5">
        <v>0</v>
      </c>
      <c r="S431" s="5">
        <v>0</v>
      </c>
      <c r="T431" s="5">
        <v>0</v>
      </c>
      <c r="U431" s="5">
        <v>0</v>
      </c>
      <c r="V431" s="5">
        <v>0</v>
      </c>
      <c r="W431" s="5">
        <v>0</v>
      </c>
      <c r="X431" s="5">
        <v>0</v>
      </c>
      <c r="Y431" s="5">
        <v>0</v>
      </c>
      <c r="Z431" s="5">
        <v>0</v>
      </c>
      <c r="AA431" s="5">
        <v>0</v>
      </c>
      <c r="AB431" s="5">
        <v>0</v>
      </c>
      <c r="AC431" s="5">
        <v>0</v>
      </c>
      <c r="AD431" s="5">
        <v>0</v>
      </c>
      <c r="AE431" s="5">
        <v>0</v>
      </c>
      <c r="AF431" s="5">
        <v>0</v>
      </c>
      <c r="AG431" s="5">
        <v>0</v>
      </c>
      <c r="AH431" s="5">
        <v>0</v>
      </c>
      <c r="AI431" s="5">
        <v>107.26</v>
      </c>
      <c r="AJ431" s="5">
        <v>197.15899999999999</v>
      </c>
      <c r="AK431" s="5">
        <v>170.244</v>
      </c>
      <c r="AL431" s="5">
        <v>179.91900000000001</v>
      </c>
      <c r="AM431" s="5">
        <v>166.39699999999999</v>
      </c>
      <c r="AN431" s="5">
        <v>137.38900000000001</v>
      </c>
      <c r="AO431" s="5">
        <v>103.28</v>
      </c>
      <c r="AP431" s="5">
        <v>65.912999999999997</v>
      </c>
      <c r="AQ431" s="5">
        <v>35.859000000000002</v>
      </c>
      <c r="AR431" s="5">
        <v>36.573999999999998</v>
      </c>
      <c r="AS431" s="5">
        <v>16.771999999999998</v>
      </c>
      <c r="AT431" s="5">
        <v>0</v>
      </c>
      <c r="AU431" s="5">
        <v>0</v>
      </c>
      <c r="AV431" s="5">
        <v>0</v>
      </c>
      <c r="AW431" s="815">
        <v>0</v>
      </c>
      <c r="AX431" s="816">
        <v>0</v>
      </c>
      <c r="AY431" s="819">
        <v>0</v>
      </c>
      <c r="AZ431" s="816"/>
      <c r="BA431" s="818"/>
      <c r="BB431" s="802" t="str" cm="1">
        <f t="array" ref="BB431">INDEX(C$4:BA$4,MATCH(TRUE,INDEX(C431:BA431&lt;&gt;0,),0))</f>
        <v>2010-11</v>
      </c>
      <c r="BC431" s="803" t="str" cm="1">
        <f t="array" ref="BC431">LOOKUP(2,1/(C431:BA431&lt;&gt;0),$C$4:$BA$4)</f>
        <v>2020-21</v>
      </c>
      <c r="BD431" s="804">
        <f>COUNTIF(RDprograms[[#This Row],[1978-79]:[2028-29]], "&gt;0")</f>
        <v>11</v>
      </c>
      <c r="BE431" s="805">
        <f>SUM(C431:BA431)/RDprograms[[#This Row],[Years with &gt; $0 investment]]</f>
        <v>110.61509090909091</v>
      </c>
      <c r="BF431" s="806" t="s">
        <v>1172</v>
      </c>
      <c r="BG431" s="807" t="s">
        <v>389</v>
      </c>
      <c r="BH431" s="847" t="s">
        <v>264</v>
      </c>
      <c r="BI431" s="809"/>
      <c r="BJ431" s="809"/>
      <c r="BK431" s="809"/>
      <c r="BL431" s="809"/>
      <c r="BM431" s="809"/>
      <c r="BN431" s="810"/>
      <c r="BO431" s="811" t="s">
        <v>251</v>
      </c>
      <c r="BP431" s="812" t="s">
        <v>1174</v>
      </c>
      <c r="BQ431" s="812" t="s">
        <v>1175</v>
      </c>
      <c r="BR431" s="812"/>
      <c r="BS431" s="812"/>
      <c r="BT431" s="812" t="s">
        <v>238</v>
      </c>
    </row>
    <row r="432" spans="1:72" ht="12.75" customHeight="1">
      <c r="A432" s="813" t="s">
        <v>1119</v>
      </c>
      <c r="B432" s="820" t="s">
        <v>1176</v>
      </c>
      <c r="C432" s="5">
        <v>0</v>
      </c>
      <c r="D432" s="5">
        <v>0</v>
      </c>
      <c r="E432" s="5">
        <v>0</v>
      </c>
      <c r="F432" s="5">
        <v>0</v>
      </c>
      <c r="G432" s="5">
        <v>0</v>
      </c>
      <c r="H432" s="5">
        <v>0.7</v>
      </c>
      <c r="I432" s="5">
        <v>2.2000000000000002</v>
      </c>
      <c r="J432" s="5">
        <v>4.3</v>
      </c>
      <c r="K432" s="5">
        <v>0</v>
      </c>
      <c r="L432" s="5">
        <v>0</v>
      </c>
      <c r="M432" s="5">
        <v>0</v>
      </c>
      <c r="N432" s="5">
        <v>0</v>
      </c>
      <c r="O432" s="5">
        <v>0</v>
      </c>
      <c r="P432" s="5">
        <v>0</v>
      </c>
      <c r="Q432" s="5">
        <v>0</v>
      </c>
      <c r="R432" s="5">
        <v>0</v>
      </c>
      <c r="S432" s="5">
        <v>0</v>
      </c>
      <c r="T432" s="5">
        <v>0</v>
      </c>
      <c r="U432" s="5">
        <v>0</v>
      </c>
      <c r="V432" s="5">
        <v>0</v>
      </c>
      <c r="W432" s="5">
        <v>0</v>
      </c>
      <c r="X432" s="5">
        <v>0</v>
      </c>
      <c r="Y432" s="5">
        <v>0</v>
      </c>
      <c r="Z432" s="5">
        <v>0</v>
      </c>
      <c r="AA432" s="5">
        <v>0</v>
      </c>
      <c r="AB432" s="5">
        <v>0</v>
      </c>
      <c r="AC432" s="5">
        <v>0</v>
      </c>
      <c r="AD432" s="5">
        <v>0</v>
      </c>
      <c r="AE432" s="5">
        <v>0</v>
      </c>
      <c r="AF432" s="5">
        <v>0</v>
      </c>
      <c r="AG432" s="5">
        <v>0</v>
      </c>
      <c r="AH432" s="5">
        <v>0</v>
      </c>
      <c r="AI432" s="5">
        <v>0</v>
      </c>
      <c r="AJ432" s="5">
        <v>0</v>
      </c>
      <c r="AK432" s="5">
        <v>0</v>
      </c>
      <c r="AL432" s="5">
        <v>0</v>
      </c>
      <c r="AM432" s="5">
        <v>0</v>
      </c>
      <c r="AN432" s="5">
        <v>0</v>
      </c>
      <c r="AO432" s="5">
        <v>0</v>
      </c>
      <c r="AP432" s="5">
        <v>0</v>
      </c>
      <c r="AQ432" s="5">
        <v>0</v>
      </c>
      <c r="AR432" s="5">
        <v>0</v>
      </c>
      <c r="AS432" s="5">
        <v>0</v>
      </c>
      <c r="AT432" s="5">
        <v>0</v>
      </c>
      <c r="AU432" s="5">
        <v>0</v>
      </c>
      <c r="AV432" s="5">
        <v>0</v>
      </c>
      <c r="AW432" s="815">
        <v>0</v>
      </c>
      <c r="AX432" s="816">
        <v>0</v>
      </c>
      <c r="AY432" s="819">
        <v>0</v>
      </c>
      <c r="AZ432" s="816"/>
      <c r="BA432" s="818"/>
      <c r="BB432" s="802" t="str" cm="1">
        <f t="array" ref="BB432">INDEX(C$4:BA$4,MATCH(TRUE,INDEX(C432:BA432&lt;&gt;0,),0))</f>
        <v>1983-84</v>
      </c>
      <c r="BC432" s="803" t="str" cm="1">
        <f t="array" ref="BC432">LOOKUP(2,1/(C432:BA432&lt;&gt;0),$C$4:$BA$4)</f>
        <v>1985-86</v>
      </c>
      <c r="BD432" s="804">
        <f>COUNTIF(RDprograms[[#This Row],[1978-79]:[2028-29]], "&gt;0")</f>
        <v>3</v>
      </c>
      <c r="BE432" s="805">
        <f>SUM(C432:BA432)/RDprograms[[#This Row],[Years with &gt; $0 investment]]</f>
        <v>2.4</v>
      </c>
      <c r="BF432" s="806" t="s">
        <v>273</v>
      </c>
      <c r="BG432" s="807" t="s">
        <v>389</v>
      </c>
      <c r="BH432" s="847" t="s">
        <v>264</v>
      </c>
      <c r="BI432" s="809"/>
      <c r="BJ432" s="809"/>
      <c r="BK432" s="809"/>
      <c r="BL432" s="809"/>
      <c r="BM432" s="809"/>
      <c r="BN432" s="810"/>
      <c r="BO432" s="811" t="s">
        <v>236</v>
      </c>
      <c r="BP432" s="812"/>
      <c r="BQ432" s="812"/>
      <c r="BR432" s="812"/>
      <c r="BS432" s="812"/>
      <c r="BT432" s="812" t="s">
        <v>238</v>
      </c>
    </row>
    <row r="433" spans="1:72" ht="12.75" customHeight="1">
      <c r="A433" s="813" t="s">
        <v>1119</v>
      </c>
      <c r="B433" s="820" t="s">
        <v>1177</v>
      </c>
      <c r="C433" s="5">
        <v>0</v>
      </c>
      <c r="D433" s="5">
        <v>0</v>
      </c>
      <c r="E433" s="5">
        <v>0</v>
      </c>
      <c r="F433" s="5">
        <v>0</v>
      </c>
      <c r="G433" s="5">
        <v>0</v>
      </c>
      <c r="H433" s="5">
        <v>0</v>
      </c>
      <c r="I433" s="5">
        <v>0</v>
      </c>
      <c r="J433" s="5">
        <v>0</v>
      </c>
      <c r="K433" s="5">
        <v>0</v>
      </c>
      <c r="L433" s="5">
        <v>0</v>
      </c>
      <c r="M433" s="5">
        <v>0</v>
      </c>
      <c r="N433" s="5">
        <v>0</v>
      </c>
      <c r="O433" s="5">
        <v>0</v>
      </c>
      <c r="P433" s="5">
        <v>0</v>
      </c>
      <c r="Q433" s="5">
        <v>0</v>
      </c>
      <c r="R433" s="5">
        <v>0</v>
      </c>
      <c r="S433" s="5">
        <v>0</v>
      </c>
      <c r="T433" s="5">
        <v>0</v>
      </c>
      <c r="U433" s="5">
        <v>0</v>
      </c>
      <c r="V433" s="5">
        <v>0</v>
      </c>
      <c r="W433" s="5">
        <v>0</v>
      </c>
      <c r="X433" s="5">
        <v>0</v>
      </c>
      <c r="Y433" s="5">
        <v>0</v>
      </c>
      <c r="Z433" s="5">
        <v>4</v>
      </c>
      <c r="AA433" s="5">
        <v>11.9</v>
      </c>
      <c r="AB433" s="5">
        <v>13.4</v>
      </c>
      <c r="AC433" s="5">
        <v>0</v>
      </c>
      <c r="AD433" s="5">
        <v>0</v>
      </c>
      <c r="AE433" s="5">
        <v>0</v>
      </c>
      <c r="AF433" s="5">
        <v>0</v>
      </c>
      <c r="AG433" s="5">
        <v>0</v>
      </c>
      <c r="AH433" s="5">
        <v>0</v>
      </c>
      <c r="AI433" s="5">
        <v>0</v>
      </c>
      <c r="AJ433" s="5">
        <v>0</v>
      </c>
      <c r="AK433" s="5">
        <v>0</v>
      </c>
      <c r="AL433" s="5">
        <v>0</v>
      </c>
      <c r="AM433" s="5">
        <v>0</v>
      </c>
      <c r="AN433" s="5">
        <v>0</v>
      </c>
      <c r="AO433" s="5">
        <v>0</v>
      </c>
      <c r="AP433" s="5">
        <v>0</v>
      </c>
      <c r="AQ433" s="5">
        <v>0</v>
      </c>
      <c r="AR433" s="5">
        <v>0</v>
      </c>
      <c r="AS433" s="5">
        <v>0</v>
      </c>
      <c r="AT433" s="5">
        <v>0</v>
      </c>
      <c r="AU433" s="5">
        <v>0</v>
      </c>
      <c r="AV433" s="5">
        <v>0</v>
      </c>
      <c r="AW433" s="815">
        <v>0</v>
      </c>
      <c r="AX433" s="816">
        <v>0</v>
      </c>
      <c r="AY433" s="819">
        <v>0</v>
      </c>
      <c r="AZ433" s="816"/>
      <c r="BA433" s="818"/>
      <c r="BB433" s="802" t="str" cm="1">
        <f t="array" ref="BB433">INDEX(C$4:BA$4,MATCH(TRUE,INDEX(C433:BA433&lt;&gt;0,),0))</f>
        <v>2001-02</v>
      </c>
      <c r="BC433" s="803" t="str" cm="1">
        <f t="array" ref="BC433">LOOKUP(2,1/(C433:BA433&lt;&gt;0),$C$4:$BA$4)</f>
        <v>2003-04</v>
      </c>
      <c r="BD433" s="804">
        <f>COUNTIF(RDprograms[[#This Row],[1978-79]:[2028-29]], "&gt;0")</f>
        <v>3</v>
      </c>
      <c r="BE433" s="805">
        <f>SUM(C433:BA433)/RDprograms[[#This Row],[Years with &gt; $0 investment]]</f>
        <v>9.7666666666666675</v>
      </c>
      <c r="BF433" s="806" t="s">
        <v>273</v>
      </c>
      <c r="BG433" s="807" t="s">
        <v>389</v>
      </c>
      <c r="BH433" s="847" t="s">
        <v>264</v>
      </c>
      <c r="BI433" s="809"/>
      <c r="BJ433" s="809"/>
      <c r="BK433" s="809"/>
      <c r="BL433" s="809"/>
      <c r="BM433" s="809"/>
      <c r="BN433" s="810"/>
      <c r="BO433" s="811" t="s">
        <v>236</v>
      </c>
      <c r="BP433" s="812"/>
      <c r="BQ433" s="812"/>
      <c r="BR433" s="812"/>
      <c r="BS433" s="812"/>
      <c r="BT433" s="812" t="s">
        <v>238</v>
      </c>
    </row>
    <row r="434" spans="1:72" ht="12.75" customHeight="1">
      <c r="A434" s="813" t="s">
        <v>1119</v>
      </c>
      <c r="B434" s="820" t="s">
        <v>1178</v>
      </c>
      <c r="C434" s="5">
        <v>0</v>
      </c>
      <c r="D434" s="5">
        <v>0</v>
      </c>
      <c r="E434" s="5">
        <v>0</v>
      </c>
      <c r="F434" s="5">
        <v>0</v>
      </c>
      <c r="G434" s="5">
        <v>0</v>
      </c>
      <c r="H434" s="5">
        <v>0</v>
      </c>
      <c r="I434" s="5">
        <v>0</v>
      </c>
      <c r="J434" s="5">
        <v>0</v>
      </c>
      <c r="K434" s="5">
        <v>0</v>
      </c>
      <c r="L434" s="5">
        <v>0</v>
      </c>
      <c r="M434" s="5">
        <v>0</v>
      </c>
      <c r="N434" s="5">
        <v>0</v>
      </c>
      <c r="O434" s="5">
        <v>0</v>
      </c>
      <c r="P434" s="5">
        <v>0</v>
      </c>
      <c r="Q434" s="5">
        <v>0</v>
      </c>
      <c r="R434" s="5">
        <v>0</v>
      </c>
      <c r="S434" s="5">
        <v>0</v>
      </c>
      <c r="T434" s="5">
        <v>0</v>
      </c>
      <c r="U434" s="5">
        <v>0</v>
      </c>
      <c r="V434" s="5">
        <v>0</v>
      </c>
      <c r="W434" s="5">
        <v>0</v>
      </c>
      <c r="X434" s="5">
        <v>0</v>
      </c>
      <c r="Y434" s="5">
        <v>0</v>
      </c>
      <c r="Z434" s="5">
        <v>21.9</v>
      </c>
      <c r="AA434" s="5">
        <v>8.8000000000000007</v>
      </c>
      <c r="AB434" s="5">
        <v>6.6</v>
      </c>
      <c r="AC434" s="5">
        <v>8</v>
      </c>
      <c r="AD434" s="5">
        <v>7</v>
      </c>
      <c r="AE434" s="5">
        <v>5</v>
      </c>
      <c r="AF434" s="5">
        <v>0</v>
      </c>
      <c r="AG434" s="5">
        <v>0</v>
      </c>
      <c r="AH434" s="5">
        <v>0</v>
      </c>
      <c r="AI434" s="5">
        <v>0</v>
      </c>
      <c r="AJ434" s="5">
        <v>0</v>
      </c>
      <c r="AK434" s="5">
        <v>0</v>
      </c>
      <c r="AL434" s="5">
        <v>0</v>
      </c>
      <c r="AM434" s="5">
        <v>0</v>
      </c>
      <c r="AN434" s="5">
        <v>0</v>
      </c>
      <c r="AO434" s="5">
        <v>0</v>
      </c>
      <c r="AP434" s="816">
        <v>0</v>
      </c>
      <c r="AQ434" s="816">
        <v>0</v>
      </c>
      <c r="AR434" s="5">
        <v>0</v>
      </c>
      <c r="AS434" s="5">
        <v>0</v>
      </c>
      <c r="AT434" s="5">
        <v>0</v>
      </c>
      <c r="AU434" s="5">
        <v>0</v>
      </c>
      <c r="AV434" s="5">
        <v>0</v>
      </c>
      <c r="AW434" s="815">
        <v>0</v>
      </c>
      <c r="AX434" s="816">
        <v>0</v>
      </c>
      <c r="AY434" s="819">
        <v>0</v>
      </c>
      <c r="AZ434" s="816"/>
      <c r="BA434" s="818"/>
      <c r="BB434" s="802" t="str" cm="1">
        <f t="array" ref="BB434">INDEX(C$4:BA$4,MATCH(TRUE,INDEX(C434:BA434&lt;&gt;0,),0))</f>
        <v>2001-02</v>
      </c>
      <c r="BC434" s="803" t="str" cm="1">
        <f t="array" ref="BC434">LOOKUP(2,1/(C434:BA434&lt;&gt;0),$C$4:$BA$4)</f>
        <v>2006-07</v>
      </c>
      <c r="BD434" s="804">
        <f>COUNTIF(RDprograms[[#This Row],[1978-79]:[2028-29]], "&gt;0")</f>
        <v>6</v>
      </c>
      <c r="BE434" s="805">
        <f>SUM(C434:BA434)/RDprograms[[#This Row],[Years with &gt; $0 investment]]</f>
        <v>9.5499999999999989</v>
      </c>
      <c r="BF434" s="806" t="s">
        <v>249</v>
      </c>
      <c r="BG434" s="807" t="s">
        <v>510</v>
      </c>
      <c r="BH434" s="847" t="s">
        <v>264</v>
      </c>
      <c r="BI434" s="809"/>
      <c r="BJ434" s="809"/>
      <c r="BK434" s="809"/>
      <c r="BL434" s="809"/>
      <c r="BM434" s="809"/>
      <c r="BN434" s="810"/>
      <c r="BO434" s="811" t="s">
        <v>236</v>
      </c>
      <c r="BP434" s="812"/>
      <c r="BQ434" s="812"/>
      <c r="BR434" s="812"/>
      <c r="BS434" s="812"/>
      <c r="BT434" s="812" t="s">
        <v>238</v>
      </c>
    </row>
    <row r="435" spans="1:72" ht="12.75" customHeight="1">
      <c r="A435" s="813" t="s">
        <v>1119</v>
      </c>
      <c r="B435" s="820" t="s">
        <v>1179</v>
      </c>
      <c r="C435" s="5">
        <v>0</v>
      </c>
      <c r="D435" s="5">
        <v>0</v>
      </c>
      <c r="E435" s="5">
        <v>0</v>
      </c>
      <c r="F435" s="5">
        <v>0</v>
      </c>
      <c r="G435" s="5">
        <v>0</v>
      </c>
      <c r="H435" s="5">
        <v>0</v>
      </c>
      <c r="I435" s="5">
        <v>0</v>
      </c>
      <c r="J435" s="5">
        <v>0</v>
      </c>
      <c r="K435" s="5">
        <v>0</v>
      </c>
      <c r="L435" s="5">
        <v>0</v>
      </c>
      <c r="M435" s="5">
        <v>0</v>
      </c>
      <c r="N435" s="5">
        <v>0</v>
      </c>
      <c r="O435" s="5">
        <v>0</v>
      </c>
      <c r="P435" s="5">
        <v>0</v>
      </c>
      <c r="Q435" s="5">
        <v>0</v>
      </c>
      <c r="R435" s="5">
        <v>0</v>
      </c>
      <c r="S435" s="5">
        <v>0</v>
      </c>
      <c r="T435" s="5">
        <v>0</v>
      </c>
      <c r="U435" s="5">
        <v>0</v>
      </c>
      <c r="V435" s="5">
        <v>0</v>
      </c>
      <c r="W435" s="5">
        <v>0</v>
      </c>
      <c r="X435" s="5">
        <v>19.5</v>
      </c>
      <c r="Y435" s="5">
        <v>6</v>
      </c>
      <c r="Z435" s="5">
        <v>22.7</v>
      </c>
      <c r="AA435" s="5">
        <v>16.100000000000001</v>
      </c>
      <c r="AB435" s="5">
        <v>11.6</v>
      </c>
      <c r="AC435" s="5">
        <v>12.6</v>
      </c>
      <c r="AD435" s="5">
        <v>10.6</v>
      </c>
      <c r="AE435" s="5">
        <v>5</v>
      </c>
      <c r="AF435" s="5">
        <v>3.5</v>
      </c>
      <c r="AG435" s="5">
        <v>0</v>
      </c>
      <c r="AH435" s="5">
        <v>0</v>
      </c>
      <c r="AI435" s="5">
        <v>0</v>
      </c>
      <c r="AJ435" s="5">
        <v>0</v>
      </c>
      <c r="AK435" s="5">
        <v>0</v>
      </c>
      <c r="AL435" s="5">
        <v>0</v>
      </c>
      <c r="AM435" s="5">
        <v>0</v>
      </c>
      <c r="AN435" s="5">
        <v>0</v>
      </c>
      <c r="AO435" s="5">
        <v>0</v>
      </c>
      <c r="AP435" s="816">
        <v>0</v>
      </c>
      <c r="AQ435" s="816">
        <v>0</v>
      </c>
      <c r="AR435" s="5">
        <v>0</v>
      </c>
      <c r="AS435" s="5">
        <v>0</v>
      </c>
      <c r="AT435" s="5">
        <v>0</v>
      </c>
      <c r="AU435" s="5">
        <v>0</v>
      </c>
      <c r="AV435" s="5">
        <v>0</v>
      </c>
      <c r="AW435" s="815">
        <v>0</v>
      </c>
      <c r="AX435" s="816">
        <v>0</v>
      </c>
      <c r="AY435" s="819">
        <v>0</v>
      </c>
      <c r="AZ435" s="816"/>
      <c r="BA435" s="818"/>
      <c r="BB435" s="802" t="str" cm="1">
        <f t="array" ref="BB435">INDEX(C$4:BA$4,MATCH(TRUE,INDEX(C435:BA435&lt;&gt;0,),0))</f>
        <v>1999-00</v>
      </c>
      <c r="BC435" s="803" t="str" cm="1">
        <f t="array" ref="BC435">LOOKUP(2,1/(C435:BA435&lt;&gt;0),$C$4:$BA$4)</f>
        <v>2007-08</v>
      </c>
      <c r="BD435" s="804">
        <f>COUNTIF(RDprograms[[#This Row],[1978-79]:[2028-29]], "&gt;0")</f>
        <v>9</v>
      </c>
      <c r="BE435" s="805">
        <f>SUM(C435:BA435)/RDprograms[[#This Row],[Years with &gt; $0 investment]]</f>
        <v>11.955555555555556</v>
      </c>
      <c r="BF435" s="806" t="s">
        <v>249</v>
      </c>
      <c r="BG435" s="807" t="s">
        <v>510</v>
      </c>
      <c r="BH435" s="847" t="s">
        <v>264</v>
      </c>
      <c r="BI435" s="809"/>
      <c r="BJ435" s="809"/>
      <c r="BK435" s="809"/>
      <c r="BL435" s="809"/>
      <c r="BM435" s="809"/>
      <c r="BN435" s="810"/>
      <c r="BO435" s="811" t="s">
        <v>236</v>
      </c>
      <c r="BP435" s="812"/>
      <c r="BQ435" s="812"/>
      <c r="BR435" s="812"/>
      <c r="BS435" s="812"/>
      <c r="BT435" s="812" t="s">
        <v>238</v>
      </c>
    </row>
    <row r="436" spans="1:72" ht="12.75" customHeight="1">
      <c r="A436" s="813" t="s">
        <v>1119</v>
      </c>
      <c r="B436" s="820" t="s">
        <v>1180</v>
      </c>
      <c r="C436" s="5">
        <v>0</v>
      </c>
      <c r="D436" s="5">
        <v>0</v>
      </c>
      <c r="E436" s="5">
        <v>0</v>
      </c>
      <c r="F436" s="5">
        <v>0</v>
      </c>
      <c r="G436" s="5">
        <v>0</v>
      </c>
      <c r="H436" s="5">
        <v>0</v>
      </c>
      <c r="I436" s="5">
        <v>0</v>
      </c>
      <c r="J436" s="5">
        <v>0</v>
      </c>
      <c r="K436" s="5">
        <v>0</v>
      </c>
      <c r="L436" s="5">
        <v>0</v>
      </c>
      <c r="M436" s="5">
        <v>0</v>
      </c>
      <c r="N436" s="5">
        <v>0</v>
      </c>
      <c r="O436" s="5">
        <v>0</v>
      </c>
      <c r="P436" s="5">
        <v>0</v>
      </c>
      <c r="Q436" s="5">
        <v>0</v>
      </c>
      <c r="R436" s="5">
        <v>0</v>
      </c>
      <c r="S436" s="5">
        <v>0</v>
      </c>
      <c r="T436" s="5">
        <v>0</v>
      </c>
      <c r="U436" s="5">
        <v>0</v>
      </c>
      <c r="V436" s="5">
        <v>0</v>
      </c>
      <c r="W436" s="5">
        <v>0</v>
      </c>
      <c r="X436" s="5">
        <v>20</v>
      </c>
      <c r="Y436" s="5">
        <v>0</v>
      </c>
      <c r="Z436" s="5">
        <v>20</v>
      </c>
      <c r="AA436" s="5">
        <v>0</v>
      </c>
      <c r="AB436" s="5">
        <v>0</v>
      </c>
      <c r="AC436" s="5">
        <v>0</v>
      </c>
      <c r="AD436" s="5">
        <v>0</v>
      </c>
      <c r="AE436" s="5">
        <v>0</v>
      </c>
      <c r="AF436" s="5">
        <v>0</v>
      </c>
      <c r="AG436" s="5">
        <v>0</v>
      </c>
      <c r="AH436" s="5">
        <v>0</v>
      </c>
      <c r="AI436" s="5">
        <v>0</v>
      </c>
      <c r="AJ436" s="5">
        <v>0</v>
      </c>
      <c r="AK436" s="5">
        <v>0</v>
      </c>
      <c r="AL436" s="5">
        <v>0</v>
      </c>
      <c r="AM436" s="5">
        <v>0</v>
      </c>
      <c r="AN436" s="5">
        <v>0</v>
      </c>
      <c r="AO436" s="5">
        <v>0</v>
      </c>
      <c r="AP436" s="5">
        <v>0</v>
      </c>
      <c r="AQ436" s="5">
        <v>0</v>
      </c>
      <c r="AR436" s="5">
        <v>0</v>
      </c>
      <c r="AS436" s="5">
        <v>0</v>
      </c>
      <c r="AT436" s="5">
        <v>0</v>
      </c>
      <c r="AU436" s="5">
        <v>0</v>
      </c>
      <c r="AV436" s="5">
        <v>0</v>
      </c>
      <c r="AW436" s="815">
        <v>0</v>
      </c>
      <c r="AX436" s="816">
        <v>0</v>
      </c>
      <c r="AY436" s="819">
        <v>0</v>
      </c>
      <c r="AZ436" s="816"/>
      <c r="BA436" s="818"/>
      <c r="BB436" s="802" t="str" cm="1">
        <f t="array" ref="BB436">INDEX(C$4:BA$4,MATCH(TRUE,INDEX(C436:BA436&lt;&gt;0,),0))</f>
        <v>1999-00</v>
      </c>
      <c r="BC436" s="803" t="str" cm="1">
        <f t="array" ref="BC436">LOOKUP(2,1/(C436:BA436&lt;&gt;0),$C$4:$BA$4)</f>
        <v>2001-02</v>
      </c>
      <c r="BD436" s="804">
        <f>COUNTIF(RDprograms[[#This Row],[1978-79]:[2028-29]], "&gt;0")</f>
        <v>2</v>
      </c>
      <c r="BE436" s="805">
        <f>SUM(C436:BA436)/RDprograms[[#This Row],[Years with &gt; $0 investment]]</f>
        <v>20</v>
      </c>
      <c r="BF436" s="806" t="s">
        <v>273</v>
      </c>
      <c r="BG436" s="807" t="s">
        <v>389</v>
      </c>
      <c r="BH436" s="847" t="s">
        <v>264</v>
      </c>
      <c r="BI436" s="809"/>
      <c r="BJ436" s="809"/>
      <c r="BK436" s="809"/>
      <c r="BL436" s="809"/>
      <c r="BM436" s="809"/>
      <c r="BN436" s="810"/>
      <c r="BO436" s="811" t="s">
        <v>236</v>
      </c>
      <c r="BP436" s="812"/>
      <c r="BQ436" s="812"/>
      <c r="BR436" s="812"/>
      <c r="BS436" s="812"/>
      <c r="BT436" s="812" t="s">
        <v>238</v>
      </c>
    </row>
    <row r="437" spans="1:72" ht="12.75" customHeight="1">
      <c r="A437" s="813" t="s">
        <v>1119</v>
      </c>
      <c r="B437" s="820" t="s">
        <v>1181</v>
      </c>
      <c r="C437" s="5">
        <v>0</v>
      </c>
      <c r="D437" s="5">
        <v>0</v>
      </c>
      <c r="E437" s="5">
        <v>0</v>
      </c>
      <c r="F437" s="5">
        <v>0</v>
      </c>
      <c r="G437" s="5">
        <v>0</v>
      </c>
      <c r="H437" s="5">
        <v>0</v>
      </c>
      <c r="I437" s="5">
        <v>0</v>
      </c>
      <c r="J437" s="5">
        <v>0</v>
      </c>
      <c r="K437" s="5">
        <v>0</v>
      </c>
      <c r="L437" s="5">
        <v>0</v>
      </c>
      <c r="M437" s="5">
        <v>0</v>
      </c>
      <c r="N437" s="5">
        <v>0</v>
      </c>
      <c r="O437" s="5">
        <v>0</v>
      </c>
      <c r="P437" s="5">
        <v>0</v>
      </c>
      <c r="Q437" s="5">
        <v>0</v>
      </c>
      <c r="R437" s="5">
        <v>0</v>
      </c>
      <c r="S437" s="5">
        <v>0</v>
      </c>
      <c r="T437" s="5">
        <v>0</v>
      </c>
      <c r="U437" s="5">
        <v>0</v>
      </c>
      <c r="V437" s="5">
        <v>0</v>
      </c>
      <c r="W437" s="5">
        <v>0</v>
      </c>
      <c r="X437" s="5">
        <v>0</v>
      </c>
      <c r="Y437" s="5">
        <v>0</v>
      </c>
      <c r="Z437" s="5">
        <v>0</v>
      </c>
      <c r="AA437" s="5">
        <v>0</v>
      </c>
      <c r="AB437" s="5">
        <v>0</v>
      </c>
      <c r="AC437" s="5">
        <v>0</v>
      </c>
      <c r="AD437" s="5">
        <v>0</v>
      </c>
      <c r="AE437" s="5">
        <v>0</v>
      </c>
      <c r="AF437" s="5">
        <v>0</v>
      </c>
      <c r="AG437" s="5">
        <v>0</v>
      </c>
      <c r="AH437" s="5">
        <v>0</v>
      </c>
      <c r="AI437" s="5">
        <v>15</v>
      </c>
      <c r="AJ437" s="5">
        <v>4.5</v>
      </c>
      <c r="AK437" s="5">
        <v>0</v>
      </c>
      <c r="AL437" s="5">
        <v>0</v>
      </c>
      <c r="AM437" s="5">
        <v>0</v>
      </c>
      <c r="AN437" s="5">
        <v>0</v>
      </c>
      <c r="AO437" s="5">
        <v>0</v>
      </c>
      <c r="AP437" s="5">
        <v>0</v>
      </c>
      <c r="AQ437" s="5">
        <v>0</v>
      </c>
      <c r="AR437" s="5">
        <v>0</v>
      </c>
      <c r="AS437" s="5">
        <v>0</v>
      </c>
      <c r="AT437" s="5">
        <v>0</v>
      </c>
      <c r="AU437" s="5">
        <v>0</v>
      </c>
      <c r="AV437" s="5">
        <v>0</v>
      </c>
      <c r="AW437" s="815">
        <v>0</v>
      </c>
      <c r="AX437" s="816">
        <v>0</v>
      </c>
      <c r="AY437" s="819">
        <v>0</v>
      </c>
      <c r="AZ437" s="816"/>
      <c r="BA437" s="818"/>
      <c r="BB437" s="802" t="str" cm="1">
        <f t="array" ref="BB437">INDEX(C$4:BA$4,MATCH(TRUE,INDEX(C437:BA437&lt;&gt;0,),0))</f>
        <v>2010-11</v>
      </c>
      <c r="BC437" s="803" t="str" cm="1">
        <f t="array" ref="BC437">LOOKUP(2,1/(C437:BA437&lt;&gt;0),$C$4:$BA$4)</f>
        <v>2011-12</v>
      </c>
      <c r="BD437" s="804">
        <f>COUNTIF(RDprograms[[#This Row],[1978-79]:[2028-29]], "&gt;0")</f>
        <v>2</v>
      </c>
      <c r="BE437" s="805">
        <f>SUM(C437:BA437)/RDprograms[[#This Row],[Years with &gt; $0 investment]]</f>
        <v>9.75</v>
      </c>
      <c r="BF437" s="806" t="s">
        <v>273</v>
      </c>
      <c r="BG437" s="807" t="s">
        <v>389</v>
      </c>
      <c r="BH437" s="847" t="s">
        <v>269</v>
      </c>
      <c r="BI437" s="809"/>
      <c r="BJ437" s="809"/>
      <c r="BK437" s="809"/>
      <c r="BL437" s="809"/>
      <c r="BM437" s="809"/>
      <c r="BN437" s="810"/>
      <c r="BO437" s="811" t="s">
        <v>236</v>
      </c>
      <c r="BP437" s="812"/>
      <c r="BQ437" s="812"/>
      <c r="BR437" s="812"/>
      <c r="BS437" s="812"/>
      <c r="BT437" s="812"/>
    </row>
    <row r="438" spans="1:72" ht="12.75" customHeight="1">
      <c r="A438" s="813" t="s">
        <v>1119</v>
      </c>
      <c r="B438" s="820" t="s">
        <v>1182</v>
      </c>
      <c r="C438" s="5">
        <v>0</v>
      </c>
      <c r="D438" s="5">
        <v>0</v>
      </c>
      <c r="E438" s="5">
        <v>0</v>
      </c>
      <c r="F438" s="5">
        <v>0</v>
      </c>
      <c r="G438" s="5">
        <v>0</v>
      </c>
      <c r="H438" s="5">
        <v>0</v>
      </c>
      <c r="I438" s="5">
        <v>0</v>
      </c>
      <c r="J438" s="5">
        <v>0</v>
      </c>
      <c r="K438" s="5">
        <v>0</v>
      </c>
      <c r="L438" s="5">
        <v>0</v>
      </c>
      <c r="M438" s="5">
        <v>0</v>
      </c>
      <c r="N438" s="5">
        <v>0</v>
      </c>
      <c r="O438" s="5">
        <v>0</v>
      </c>
      <c r="P438" s="5">
        <v>0</v>
      </c>
      <c r="Q438" s="5">
        <v>0</v>
      </c>
      <c r="R438" s="5">
        <v>0</v>
      </c>
      <c r="S438" s="5">
        <v>0</v>
      </c>
      <c r="T438" s="5">
        <v>0</v>
      </c>
      <c r="U438" s="5">
        <v>0</v>
      </c>
      <c r="V438" s="5">
        <v>0</v>
      </c>
      <c r="W438" s="5">
        <v>0</v>
      </c>
      <c r="X438" s="5">
        <v>0</v>
      </c>
      <c r="Y438" s="5">
        <v>0</v>
      </c>
      <c r="Z438" s="5">
        <v>0</v>
      </c>
      <c r="AA438" s="5">
        <v>0</v>
      </c>
      <c r="AB438" s="5">
        <v>0</v>
      </c>
      <c r="AC438" s="5">
        <v>0</v>
      </c>
      <c r="AD438" s="5">
        <v>0</v>
      </c>
      <c r="AE438" s="5">
        <v>0</v>
      </c>
      <c r="AF438" s="5">
        <v>0</v>
      </c>
      <c r="AG438" s="5">
        <v>0</v>
      </c>
      <c r="AH438" s="5">
        <v>61.783000000000001</v>
      </c>
      <c r="AI438" s="5">
        <v>7.1319999999999997</v>
      </c>
      <c r="AJ438" s="5">
        <v>6.7750000000000004</v>
      </c>
      <c r="AK438" s="5">
        <v>13.818</v>
      </c>
      <c r="AL438" s="5">
        <v>27.138999999999999</v>
      </c>
      <c r="AM438" s="5">
        <v>56.162999999999997</v>
      </c>
      <c r="AN438" s="5">
        <v>18.242000000000001</v>
      </c>
      <c r="AO438" s="5">
        <v>26.599</v>
      </c>
      <c r="AP438" s="816">
        <v>31.492999999999999</v>
      </c>
      <c r="AQ438" s="816">
        <v>7.5629999999999997</v>
      </c>
      <c r="AR438" s="5">
        <v>0</v>
      </c>
      <c r="AS438" s="5">
        <v>0</v>
      </c>
      <c r="AT438" s="5">
        <v>0</v>
      </c>
      <c r="AU438" s="5">
        <v>0</v>
      </c>
      <c r="AV438" s="5">
        <v>0</v>
      </c>
      <c r="AW438" s="815">
        <v>0</v>
      </c>
      <c r="AX438" s="816">
        <v>0</v>
      </c>
      <c r="AY438" s="819">
        <v>0</v>
      </c>
      <c r="AZ438" s="816"/>
      <c r="BA438" s="818"/>
      <c r="BB438" s="802" t="str" cm="1">
        <f t="array" ref="BB438">INDEX(C$4:BA$4,MATCH(TRUE,INDEX(C438:BA438&lt;&gt;0,),0))</f>
        <v>2009-10</v>
      </c>
      <c r="BC438" s="803" t="str" cm="1">
        <f t="array" ref="BC438">LOOKUP(2,1/(C438:BA438&lt;&gt;0),$C$4:$BA$4)</f>
        <v>2018-19</v>
      </c>
      <c r="BD438" s="804">
        <f>COUNTIF(RDprograms[[#This Row],[1978-79]:[2028-29]], "&gt;0")</f>
        <v>10</v>
      </c>
      <c r="BE438" s="805">
        <f>SUM(C438:BA438)/RDprograms[[#This Row],[Years with &gt; $0 investment]]</f>
        <v>25.6707</v>
      </c>
      <c r="BF438" s="806" t="s">
        <v>233</v>
      </c>
      <c r="BG438" s="807" t="s">
        <v>409</v>
      </c>
      <c r="BH438" s="847" t="s">
        <v>390</v>
      </c>
      <c r="BI438" s="809"/>
      <c r="BJ438" s="809"/>
      <c r="BK438" s="809"/>
      <c r="BL438" s="809"/>
      <c r="BM438" s="809"/>
      <c r="BN438" s="810"/>
      <c r="BO438" s="811" t="s">
        <v>236</v>
      </c>
      <c r="BP438" s="812" t="s">
        <v>1183</v>
      </c>
      <c r="BQ438" s="812"/>
      <c r="BR438" s="812"/>
      <c r="BS438" s="812"/>
      <c r="BT438" s="812"/>
    </row>
    <row r="439" spans="1:72" ht="12.75" customHeight="1">
      <c r="A439" s="813" t="s">
        <v>1119</v>
      </c>
      <c r="B439" s="820" t="s">
        <v>1184</v>
      </c>
      <c r="C439" s="5">
        <v>0</v>
      </c>
      <c r="D439" s="5">
        <v>0</v>
      </c>
      <c r="E439" s="5">
        <v>0</v>
      </c>
      <c r="F439" s="5">
        <v>0</v>
      </c>
      <c r="G439" s="5">
        <v>0</v>
      </c>
      <c r="H439" s="5">
        <v>0</v>
      </c>
      <c r="I439" s="5">
        <v>0</v>
      </c>
      <c r="J439" s="5">
        <v>0</v>
      </c>
      <c r="K439" s="5">
        <v>0</v>
      </c>
      <c r="L439" s="5">
        <v>0</v>
      </c>
      <c r="M439" s="5">
        <v>0</v>
      </c>
      <c r="N439" s="5">
        <v>0</v>
      </c>
      <c r="O439" s="5">
        <v>0</v>
      </c>
      <c r="P439" s="5">
        <v>0</v>
      </c>
      <c r="Q439" s="5">
        <v>0</v>
      </c>
      <c r="R439" s="5">
        <v>0</v>
      </c>
      <c r="S439" s="5">
        <v>0</v>
      </c>
      <c r="T439" s="5">
        <v>0</v>
      </c>
      <c r="U439" s="5">
        <v>0</v>
      </c>
      <c r="V439" s="5">
        <v>0</v>
      </c>
      <c r="W439" s="5">
        <v>0</v>
      </c>
      <c r="X439" s="5">
        <v>0</v>
      </c>
      <c r="Y439" s="5">
        <v>0</v>
      </c>
      <c r="Z439" s="5">
        <v>0</v>
      </c>
      <c r="AA439" s="5">
        <v>0</v>
      </c>
      <c r="AB439" s="5">
        <v>0</v>
      </c>
      <c r="AC439" s="5">
        <v>0</v>
      </c>
      <c r="AD439" s="5">
        <v>0</v>
      </c>
      <c r="AE439" s="5">
        <v>0</v>
      </c>
      <c r="AF439" s="5">
        <v>0</v>
      </c>
      <c r="AG439" s="5">
        <v>15.913</v>
      </c>
      <c r="AH439" s="5">
        <v>37.57</v>
      </c>
      <c r="AI439" s="5">
        <v>14.566000000000001</v>
      </c>
      <c r="AJ439" s="5">
        <v>8.0269999999999992</v>
      </c>
      <c r="AK439" s="5">
        <v>0</v>
      </c>
      <c r="AL439" s="5">
        <v>0</v>
      </c>
      <c r="AM439" s="5">
        <v>0</v>
      </c>
      <c r="AN439" s="5">
        <v>0</v>
      </c>
      <c r="AO439" s="5">
        <v>0</v>
      </c>
      <c r="AP439" s="5">
        <v>0</v>
      </c>
      <c r="AQ439" s="5">
        <v>0</v>
      </c>
      <c r="AR439" s="5">
        <v>0</v>
      </c>
      <c r="AS439" s="5">
        <v>0</v>
      </c>
      <c r="AT439" s="5">
        <v>0</v>
      </c>
      <c r="AU439" s="5">
        <v>0</v>
      </c>
      <c r="AV439" s="5">
        <v>0</v>
      </c>
      <c r="AW439" s="815">
        <v>0</v>
      </c>
      <c r="AX439" s="816">
        <v>0</v>
      </c>
      <c r="AY439" s="819">
        <v>0</v>
      </c>
      <c r="AZ439" s="816"/>
      <c r="BA439" s="818"/>
      <c r="BB439" s="802" t="str" cm="1">
        <f t="array" ref="BB439">INDEX(C$4:BA$4,MATCH(TRUE,INDEX(C439:BA439&lt;&gt;0,),0))</f>
        <v>2008-09</v>
      </c>
      <c r="BC439" s="803" t="str" cm="1">
        <f t="array" ref="BC439">LOOKUP(2,1/(C439:BA439&lt;&gt;0),$C$4:$BA$4)</f>
        <v>2011-12</v>
      </c>
      <c r="BD439" s="804">
        <f>COUNTIF(RDprograms[[#This Row],[1978-79]:[2028-29]], "&gt;0")</f>
        <v>4</v>
      </c>
      <c r="BE439" s="805">
        <f>SUM(C439:BA439)/RDprograms[[#This Row],[Years with &gt; $0 investment]]</f>
        <v>19.019000000000002</v>
      </c>
      <c r="BF439" s="806" t="s">
        <v>249</v>
      </c>
      <c r="BG439" s="807" t="s">
        <v>389</v>
      </c>
      <c r="BH439" s="847" t="s">
        <v>264</v>
      </c>
      <c r="BI439" s="809"/>
      <c r="BJ439" s="809"/>
      <c r="BK439" s="809"/>
      <c r="BL439" s="809"/>
      <c r="BM439" s="809"/>
      <c r="BN439" s="810"/>
      <c r="BO439" s="811" t="s">
        <v>236</v>
      </c>
      <c r="BP439" s="812"/>
      <c r="BQ439" s="812"/>
      <c r="BR439" s="812"/>
      <c r="BS439" s="812"/>
      <c r="BT439" s="812" t="s">
        <v>238</v>
      </c>
    </row>
    <row r="440" spans="1:72" ht="12.75" customHeight="1">
      <c r="A440" s="813" t="s">
        <v>1119</v>
      </c>
      <c r="B440" s="820" t="s">
        <v>1185</v>
      </c>
      <c r="C440" s="5">
        <v>0</v>
      </c>
      <c r="D440" s="5">
        <v>0</v>
      </c>
      <c r="E440" s="5">
        <v>0</v>
      </c>
      <c r="F440" s="5">
        <v>0</v>
      </c>
      <c r="G440" s="5">
        <v>0</v>
      </c>
      <c r="H440" s="5">
        <v>0</v>
      </c>
      <c r="I440" s="5">
        <v>0</v>
      </c>
      <c r="J440" s="5">
        <v>0</v>
      </c>
      <c r="K440" s="5">
        <v>0</v>
      </c>
      <c r="L440" s="5">
        <v>0</v>
      </c>
      <c r="M440" s="5">
        <v>0</v>
      </c>
      <c r="N440" s="5">
        <v>0</v>
      </c>
      <c r="O440" s="5">
        <v>0</v>
      </c>
      <c r="P440" s="5">
        <v>0</v>
      </c>
      <c r="Q440" s="5">
        <v>0</v>
      </c>
      <c r="R440" s="5">
        <v>0</v>
      </c>
      <c r="S440" s="5">
        <v>0</v>
      </c>
      <c r="T440" s="5">
        <v>0</v>
      </c>
      <c r="U440" s="5">
        <v>0</v>
      </c>
      <c r="V440" s="5">
        <v>0</v>
      </c>
      <c r="W440" s="5">
        <v>0</v>
      </c>
      <c r="X440" s="5">
        <v>0</v>
      </c>
      <c r="Y440" s="5">
        <v>0</v>
      </c>
      <c r="Z440" s="5">
        <v>0</v>
      </c>
      <c r="AA440" s="5">
        <v>0</v>
      </c>
      <c r="AB440" s="5">
        <v>0</v>
      </c>
      <c r="AC440" s="5">
        <v>0</v>
      </c>
      <c r="AD440" s="5">
        <v>0</v>
      </c>
      <c r="AE440" s="5">
        <v>0</v>
      </c>
      <c r="AF440" s="5">
        <v>0</v>
      </c>
      <c r="AG440" s="5">
        <v>0</v>
      </c>
      <c r="AH440" s="5">
        <v>0</v>
      </c>
      <c r="AI440" s="5">
        <v>0</v>
      </c>
      <c r="AJ440" s="5">
        <v>0</v>
      </c>
      <c r="AK440" s="5">
        <v>2.3780000000000001</v>
      </c>
      <c r="AL440" s="5">
        <v>19.802</v>
      </c>
      <c r="AM440" s="5">
        <v>6.9249999999999998</v>
      </c>
      <c r="AN440" s="5">
        <v>1.524</v>
      </c>
      <c r="AO440" s="5">
        <v>0.375</v>
      </c>
      <c r="AP440" s="816">
        <v>0</v>
      </c>
      <c r="AQ440" s="816">
        <v>0</v>
      </c>
      <c r="AR440" s="5">
        <v>0</v>
      </c>
      <c r="AS440" s="5">
        <v>0</v>
      </c>
      <c r="AT440" s="5">
        <v>0</v>
      </c>
      <c r="AU440" s="5">
        <v>0</v>
      </c>
      <c r="AV440" s="5">
        <v>0</v>
      </c>
      <c r="AW440" s="815">
        <v>0</v>
      </c>
      <c r="AX440" s="816">
        <v>0</v>
      </c>
      <c r="AY440" s="819">
        <v>0</v>
      </c>
      <c r="AZ440" s="816"/>
      <c r="BA440" s="818"/>
      <c r="BB440" s="802" t="str" cm="1">
        <f t="array" ref="BB440">INDEX(C$4:BA$4,MATCH(TRUE,INDEX(C440:BA440&lt;&gt;0,),0))</f>
        <v>2012-13</v>
      </c>
      <c r="BC440" s="803" t="str" cm="1">
        <f t="array" ref="BC440">LOOKUP(2,1/(C440:BA440&lt;&gt;0),$C$4:$BA$4)</f>
        <v>2016-17</v>
      </c>
      <c r="BD440" s="804">
        <f>COUNTIF(RDprograms[[#This Row],[1978-79]:[2028-29]], "&gt;0")</f>
        <v>5</v>
      </c>
      <c r="BE440" s="805">
        <f>SUM(C440:BA440)/RDprograms[[#This Row],[Years with &gt; $0 investment]]</f>
        <v>6.2008000000000001</v>
      </c>
      <c r="BF440" s="806" t="s">
        <v>233</v>
      </c>
      <c r="BG440" s="807" t="s">
        <v>389</v>
      </c>
      <c r="BH440" s="847" t="s">
        <v>264</v>
      </c>
      <c r="BI440" s="809"/>
      <c r="BJ440" s="809"/>
      <c r="BK440" s="809"/>
      <c r="BL440" s="809"/>
      <c r="BM440" s="809"/>
      <c r="BN440" s="810"/>
      <c r="BO440" s="811" t="s">
        <v>236</v>
      </c>
      <c r="BP440" s="812" t="s">
        <v>1186</v>
      </c>
      <c r="BQ440" s="812"/>
      <c r="BR440" s="812"/>
      <c r="BS440" s="812"/>
      <c r="BT440" s="812"/>
    </row>
    <row r="441" spans="1:72" ht="12.75" customHeight="1">
      <c r="A441" s="813" t="s">
        <v>1119</v>
      </c>
      <c r="B441" s="820" t="s">
        <v>1187</v>
      </c>
      <c r="C441" s="5">
        <v>0</v>
      </c>
      <c r="D441" s="5">
        <v>0</v>
      </c>
      <c r="E441" s="5">
        <v>0</v>
      </c>
      <c r="F441" s="5">
        <v>0</v>
      </c>
      <c r="G441" s="5">
        <v>0</v>
      </c>
      <c r="H441" s="5">
        <v>0</v>
      </c>
      <c r="I441" s="5">
        <v>0</v>
      </c>
      <c r="J441" s="5">
        <v>0</v>
      </c>
      <c r="K441" s="5">
        <v>0</v>
      </c>
      <c r="L441" s="5">
        <v>0</v>
      </c>
      <c r="M441" s="5">
        <v>0</v>
      </c>
      <c r="N441" s="5">
        <v>0</v>
      </c>
      <c r="O441" s="5">
        <v>0</v>
      </c>
      <c r="P441" s="5">
        <v>0</v>
      </c>
      <c r="Q441" s="5">
        <v>0</v>
      </c>
      <c r="R441" s="5">
        <v>0</v>
      </c>
      <c r="S441" s="5">
        <v>0</v>
      </c>
      <c r="T441" s="5">
        <v>0</v>
      </c>
      <c r="U441" s="5">
        <v>0</v>
      </c>
      <c r="V441" s="5">
        <v>0</v>
      </c>
      <c r="W441" s="5">
        <v>0</v>
      </c>
      <c r="X441" s="5">
        <v>0</v>
      </c>
      <c r="Y441" s="5">
        <v>0</v>
      </c>
      <c r="Z441" s="5">
        <v>0</v>
      </c>
      <c r="AA441" s="5">
        <v>0</v>
      </c>
      <c r="AB441" s="5">
        <v>0</v>
      </c>
      <c r="AC441" s="5">
        <v>0</v>
      </c>
      <c r="AD441" s="5">
        <v>0</v>
      </c>
      <c r="AE441" s="5">
        <v>0</v>
      </c>
      <c r="AF441" s="5">
        <v>0</v>
      </c>
      <c r="AG441" s="5">
        <v>0</v>
      </c>
      <c r="AH441" s="5">
        <v>0</v>
      </c>
      <c r="AI441" s="5">
        <v>0</v>
      </c>
      <c r="AJ441" s="5">
        <v>0</v>
      </c>
      <c r="AK441" s="5">
        <v>0</v>
      </c>
      <c r="AL441" s="5">
        <v>0</v>
      </c>
      <c r="AM441" s="5">
        <v>0</v>
      </c>
      <c r="AN441" s="5">
        <v>0</v>
      </c>
      <c r="AO441" s="5">
        <v>0</v>
      </c>
      <c r="AP441" s="5">
        <v>0</v>
      </c>
      <c r="AQ441" s="5">
        <v>1.95</v>
      </c>
      <c r="AR441" s="5">
        <v>1.95</v>
      </c>
      <c r="AS441" s="5">
        <v>1.95</v>
      </c>
      <c r="AT441" s="5">
        <v>0</v>
      </c>
      <c r="AU441" s="5">
        <v>0</v>
      </c>
      <c r="AV441" s="5">
        <v>0</v>
      </c>
      <c r="AW441" s="815">
        <v>0</v>
      </c>
      <c r="AX441" s="816">
        <v>0</v>
      </c>
      <c r="AY441" s="819">
        <v>0</v>
      </c>
      <c r="AZ441" s="816"/>
      <c r="BA441" s="818"/>
      <c r="BB441" s="802" t="str" cm="1">
        <f t="array" ref="BB441">INDEX(C$4:BA$4,MATCH(TRUE,INDEX(C441:BA441&lt;&gt;0,),0))</f>
        <v>2018-19</v>
      </c>
      <c r="BC441" s="803" t="str" cm="1">
        <f t="array" ref="BC441">LOOKUP(2,1/(C441:BA441&lt;&gt;0),$C$4:$BA$4)</f>
        <v>2020-21</v>
      </c>
      <c r="BD441" s="804">
        <f>COUNTIF(RDprograms[[#This Row],[1978-79]:[2028-29]], "&gt;0")</f>
        <v>3</v>
      </c>
      <c r="BE441" s="805">
        <f>SUM(C441:BA441)/RDprograms[[#This Row],[Years with &gt; $0 investment]]</f>
        <v>1.95</v>
      </c>
      <c r="BF441" s="806" t="s">
        <v>273</v>
      </c>
      <c r="BG441" s="807" t="s">
        <v>409</v>
      </c>
      <c r="BH441" s="847" t="s">
        <v>390</v>
      </c>
      <c r="BI441" s="809"/>
      <c r="BJ441" s="809"/>
      <c r="BK441" s="809"/>
      <c r="BL441" s="809"/>
      <c r="BM441" s="809"/>
      <c r="BN441" s="810"/>
      <c r="BO441" s="811" t="s">
        <v>236</v>
      </c>
      <c r="BP441" s="812" t="s">
        <v>1188</v>
      </c>
      <c r="BQ441" s="812"/>
      <c r="BR441" s="812"/>
      <c r="BS441" s="812"/>
      <c r="BT441" s="812" t="s">
        <v>238</v>
      </c>
    </row>
    <row r="442" spans="1:72" ht="12.75" customHeight="1">
      <c r="A442" s="813" t="s">
        <v>1119</v>
      </c>
      <c r="B442" s="820" t="s">
        <v>1189</v>
      </c>
      <c r="C442" s="5">
        <v>0</v>
      </c>
      <c r="D442" s="5">
        <v>0</v>
      </c>
      <c r="E442" s="5">
        <v>0</v>
      </c>
      <c r="F442" s="5">
        <v>0</v>
      </c>
      <c r="G442" s="5">
        <v>0</v>
      </c>
      <c r="H442" s="5">
        <v>0</v>
      </c>
      <c r="I442" s="5">
        <v>0</v>
      </c>
      <c r="J442" s="5">
        <v>0</v>
      </c>
      <c r="K442" s="5">
        <v>0</v>
      </c>
      <c r="L442" s="5">
        <v>0</v>
      </c>
      <c r="M442" s="5">
        <v>0</v>
      </c>
      <c r="N442" s="5">
        <v>0</v>
      </c>
      <c r="O442" s="5">
        <v>0</v>
      </c>
      <c r="P442" s="5">
        <v>0</v>
      </c>
      <c r="Q442" s="5">
        <v>0</v>
      </c>
      <c r="R442" s="5">
        <v>0</v>
      </c>
      <c r="S442" s="5">
        <v>0</v>
      </c>
      <c r="T442" s="5">
        <v>0</v>
      </c>
      <c r="U442" s="5">
        <v>0</v>
      </c>
      <c r="V442" s="5">
        <v>0</v>
      </c>
      <c r="W442" s="5">
        <v>0</v>
      </c>
      <c r="X442" s="5">
        <v>0</v>
      </c>
      <c r="Y442" s="5">
        <v>0</v>
      </c>
      <c r="Z442" s="5">
        <v>0</v>
      </c>
      <c r="AA442" s="5">
        <v>0</v>
      </c>
      <c r="AB442" s="5">
        <v>0</v>
      </c>
      <c r="AC442" s="5">
        <v>0</v>
      </c>
      <c r="AD442" s="5">
        <v>0</v>
      </c>
      <c r="AE442" s="5">
        <v>0</v>
      </c>
      <c r="AF442" s="5">
        <v>0</v>
      </c>
      <c r="AG442" s="5">
        <v>0</v>
      </c>
      <c r="AH442" s="5">
        <v>0</v>
      </c>
      <c r="AI442" s="5">
        <v>0</v>
      </c>
      <c r="AJ442" s="5">
        <v>0</v>
      </c>
      <c r="AK442" s="5">
        <v>1.036</v>
      </c>
      <c r="AL442" s="5">
        <v>6</v>
      </c>
      <c r="AM442" s="5">
        <v>5.14</v>
      </c>
      <c r="AN442" s="5">
        <v>8.0790000000000006</v>
      </c>
      <c r="AO442" s="5">
        <v>4.4660000000000002</v>
      </c>
      <c r="AP442" s="816">
        <v>0</v>
      </c>
      <c r="AQ442" s="816">
        <v>2.25</v>
      </c>
      <c r="AR442" s="5">
        <v>0</v>
      </c>
      <c r="AS442" s="5">
        <v>0</v>
      </c>
      <c r="AT442" s="5">
        <v>0</v>
      </c>
      <c r="AU442" s="5">
        <v>0</v>
      </c>
      <c r="AV442" s="5">
        <v>0</v>
      </c>
      <c r="AW442" s="815">
        <v>0</v>
      </c>
      <c r="AX442" s="816">
        <v>0</v>
      </c>
      <c r="AY442" s="819">
        <v>0</v>
      </c>
      <c r="AZ442" s="816"/>
      <c r="BA442" s="818"/>
      <c r="BB442" s="802" t="str" cm="1">
        <f t="array" ref="BB442">INDEX(C$4:BA$4,MATCH(TRUE,INDEX(C442:BA442&lt;&gt;0,),0))</f>
        <v>2012-13</v>
      </c>
      <c r="BC442" s="803" t="str" cm="1">
        <f t="array" ref="BC442">LOOKUP(2,1/(C442:BA442&lt;&gt;0),$C$4:$BA$4)</f>
        <v>2018-19</v>
      </c>
      <c r="BD442" s="804">
        <f>COUNTIF(RDprograms[[#This Row],[1978-79]:[2028-29]], "&gt;0")</f>
        <v>6</v>
      </c>
      <c r="BE442" s="805">
        <f>SUM(C442:BA442)/RDprograms[[#This Row],[Years with &gt; $0 investment]]</f>
        <v>4.495166666666667</v>
      </c>
      <c r="BF442" s="806" t="s">
        <v>233</v>
      </c>
      <c r="BG442" s="807" t="s">
        <v>409</v>
      </c>
      <c r="BH442" s="847" t="s">
        <v>390</v>
      </c>
      <c r="BI442" s="809"/>
      <c r="BJ442" s="809"/>
      <c r="BK442" s="809"/>
      <c r="BL442" s="809"/>
      <c r="BM442" s="809"/>
      <c r="BN442" s="810"/>
      <c r="BO442" s="811" t="s">
        <v>236</v>
      </c>
      <c r="BP442" s="812" t="s">
        <v>1190</v>
      </c>
      <c r="BQ442" s="812"/>
      <c r="BR442" s="812"/>
      <c r="BS442" s="812"/>
      <c r="BT442" s="812" t="s">
        <v>238</v>
      </c>
    </row>
    <row r="443" spans="1:72" ht="12.75" customHeight="1">
      <c r="A443" s="813" t="s">
        <v>1119</v>
      </c>
      <c r="B443" s="820" t="s">
        <v>1191</v>
      </c>
      <c r="C443" s="5">
        <v>6</v>
      </c>
      <c r="D443" s="5">
        <v>7</v>
      </c>
      <c r="E443" s="5">
        <v>9.6999999999999993</v>
      </c>
      <c r="F443" s="5">
        <v>9.6999999999999993</v>
      </c>
      <c r="G443" s="5">
        <v>13.1</v>
      </c>
      <c r="H443" s="5">
        <v>14.6</v>
      </c>
      <c r="I443" s="5">
        <v>16.3</v>
      </c>
      <c r="J443" s="5">
        <v>14.3</v>
      </c>
      <c r="K443" s="5">
        <v>16.899999999999999</v>
      </c>
      <c r="L443" s="5">
        <v>3.1</v>
      </c>
      <c r="M443" s="5">
        <v>0.1</v>
      </c>
      <c r="N443" s="5">
        <v>0</v>
      </c>
      <c r="O443" s="5">
        <v>0</v>
      </c>
      <c r="P443" s="5">
        <v>0</v>
      </c>
      <c r="Q443" s="5">
        <v>0</v>
      </c>
      <c r="R443" s="5">
        <v>0</v>
      </c>
      <c r="S443" s="5">
        <v>0</v>
      </c>
      <c r="T443" s="5">
        <v>0</v>
      </c>
      <c r="U443" s="5">
        <v>0</v>
      </c>
      <c r="V443" s="5">
        <v>0</v>
      </c>
      <c r="W443" s="5">
        <v>0</v>
      </c>
      <c r="X443" s="5">
        <v>0</v>
      </c>
      <c r="Y443" s="5">
        <v>0</v>
      </c>
      <c r="Z443" s="5">
        <v>0</v>
      </c>
      <c r="AA443" s="5">
        <v>0</v>
      </c>
      <c r="AB443" s="5">
        <v>0</v>
      </c>
      <c r="AC443" s="5">
        <v>0</v>
      </c>
      <c r="AD443" s="5">
        <v>0</v>
      </c>
      <c r="AE443" s="5">
        <v>0</v>
      </c>
      <c r="AF443" s="5">
        <v>0</v>
      </c>
      <c r="AG443" s="5">
        <v>0</v>
      </c>
      <c r="AH443" s="5">
        <v>0</v>
      </c>
      <c r="AI443" s="5">
        <v>0</v>
      </c>
      <c r="AJ443" s="5">
        <v>0</v>
      </c>
      <c r="AK443" s="5">
        <v>0</v>
      </c>
      <c r="AL443" s="5">
        <v>0</v>
      </c>
      <c r="AM443" s="5">
        <v>0</v>
      </c>
      <c r="AN443" s="5">
        <v>0</v>
      </c>
      <c r="AO443" s="5">
        <v>0</v>
      </c>
      <c r="AP443" s="816">
        <v>0</v>
      </c>
      <c r="AQ443" s="816">
        <v>0</v>
      </c>
      <c r="AR443" s="5">
        <v>0</v>
      </c>
      <c r="AS443" s="5">
        <v>0</v>
      </c>
      <c r="AT443" s="5">
        <v>0</v>
      </c>
      <c r="AU443" s="5">
        <v>0</v>
      </c>
      <c r="AV443" s="5">
        <v>0</v>
      </c>
      <c r="AW443" s="815">
        <v>0</v>
      </c>
      <c r="AX443" s="816">
        <v>0</v>
      </c>
      <c r="AY443" s="819">
        <v>0</v>
      </c>
      <c r="AZ443" s="816"/>
      <c r="BA443" s="818"/>
      <c r="BB443" s="802" t="str" cm="1">
        <f t="array" ref="BB443">INDEX(C$4:BA$4,MATCH(TRUE,INDEX(C443:BA443&lt;&gt;0,),0))</f>
        <v>1978-79</v>
      </c>
      <c r="BC443" s="803" t="str" cm="1">
        <f t="array" ref="BC443">LOOKUP(2,1/(C443:BA443&lt;&gt;0),$C$4:$BA$4)</f>
        <v>1988-89</v>
      </c>
      <c r="BD443" s="804">
        <f>COUNTIF(RDprograms[[#This Row],[1978-79]:[2028-29]], "&gt;0")</f>
        <v>11</v>
      </c>
      <c r="BE443" s="805">
        <f>SUM(C443:BA443)/RDprograms[[#This Row],[Years with &gt; $0 investment]]</f>
        <v>10.072727272727271</v>
      </c>
      <c r="BF443" s="806" t="s">
        <v>233</v>
      </c>
      <c r="BG443" s="807" t="s">
        <v>389</v>
      </c>
      <c r="BH443" s="847" t="s">
        <v>264</v>
      </c>
      <c r="BI443" s="809"/>
      <c r="BJ443" s="809"/>
      <c r="BK443" s="809"/>
      <c r="BL443" s="809"/>
      <c r="BM443" s="809"/>
      <c r="BN443" s="810"/>
      <c r="BO443" s="811" t="s">
        <v>251</v>
      </c>
      <c r="BP443" s="812"/>
      <c r="BQ443" s="812"/>
      <c r="BR443" s="812"/>
      <c r="BS443" s="812"/>
      <c r="BT443" s="812" t="s">
        <v>238</v>
      </c>
    </row>
    <row r="444" spans="1:72" ht="12.75" customHeight="1">
      <c r="A444" s="813" t="s">
        <v>1119</v>
      </c>
      <c r="B444" s="820" t="s">
        <v>1192</v>
      </c>
      <c r="C444" s="5">
        <v>0</v>
      </c>
      <c r="D444" s="5">
        <v>0</v>
      </c>
      <c r="E444" s="5">
        <v>0</v>
      </c>
      <c r="F444" s="5">
        <v>0</v>
      </c>
      <c r="G444" s="5">
        <v>0</v>
      </c>
      <c r="H444" s="5">
        <v>0</v>
      </c>
      <c r="I444" s="5">
        <v>0</v>
      </c>
      <c r="J444" s="5">
        <v>0</v>
      </c>
      <c r="K444" s="5">
        <v>0</v>
      </c>
      <c r="L444" s="5">
        <v>0</v>
      </c>
      <c r="M444" s="5">
        <v>0</v>
      </c>
      <c r="N444" s="5">
        <v>0</v>
      </c>
      <c r="O444" s="5">
        <v>0</v>
      </c>
      <c r="P444" s="5">
        <v>0</v>
      </c>
      <c r="Q444" s="5">
        <v>0</v>
      </c>
      <c r="R444" s="5">
        <v>0</v>
      </c>
      <c r="S444" s="5">
        <v>0</v>
      </c>
      <c r="T444" s="5">
        <v>0</v>
      </c>
      <c r="U444" s="5">
        <v>0</v>
      </c>
      <c r="V444" s="5">
        <v>0</v>
      </c>
      <c r="W444" s="5">
        <v>0</v>
      </c>
      <c r="X444" s="5">
        <v>0</v>
      </c>
      <c r="Y444" s="5">
        <v>0</v>
      </c>
      <c r="Z444" s="5">
        <v>0</v>
      </c>
      <c r="AA444" s="5">
        <v>0</v>
      </c>
      <c r="AB444" s="5">
        <v>0</v>
      </c>
      <c r="AC444" s="5">
        <v>152.1</v>
      </c>
      <c r="AD444" s="5">
        <v>163.4</v>
      </c>
      <c r="AE444" s="5">
        <v>172.1</v>
      </c>
      <c r="AF444" s="5">
        <v>185.96100000000001</v>
      </c>
      <c r="AG444" s="5">
        <v>132.29</v>
      </c>
      <c r="AH444" s="5">
        <v>41.33</v>
      </c>
      <c r="AI444" s="5">
        <v>4.1100000000000003</v>
      </c>
      <c r="AJ444" s="5">
        <v>0.9</v>
      </c>
      <c r="AK444" s="5">
        <v>0</v>
      </c>
      <c r="AL444" s="5">
        <v>0</v>
      </c>
      <c r="AM444" s="5">
        <v>0</v>
      </c>
      <c r="AN444" s="5">
        <v>0</v>
      </c>
      <c r="AO444" s="5">
        <v>0</v>
      </c>
      <c r="AP444" s="5">
        <v>0</v>
      </c>
      <c r="AQ444" s="5">
        <v>0</v>
      </c>
      <c r="AR444" s="5">
        <v>0</v>
      </c>
      <c r="AS444" s="5">
        <v>0</v>
      </c>
      <c r="AT444" s="5">
        <v>0</v>
      </c>
      <c r="AU444" s="5">
        <v>0</v>
      </c>
      <c r="AV444" s="5">
        <v>0</v>
      </c>
      <c r="AW444" s="815">
        <v>0</v>
      </c>
      <c r="AX444" s="816">
        <v>0</v>
      </c>
      <c r="AY444" s="819">
        <v>0</v>
      </c>
      <c r="AZ444" s="816"/>
      <c r="BA444" s="818"/>
      <c r="BB444" s="802" t="str" cm="1">
        <f t="array" ref="BB444">INDEX(C$4:BA$4,MATCH(TRUE,INDEX(C444:BA444&lt;&gt;0,),0))</f>
        <v>2004-05</v>
      </c>
      <c r="BC444" s="803" t="str" cm="1">
        <f t="array" ref="BC444">LOOKUP(2,1/(C444:BA444&lt;&gt;0),$C$4:$BA$4)</f>
        <v>2011-12</v>
      </c>
      <c r="BD444" s="804">
        <f>COUNTIF(RDprograms[[#This Row],[1978-79]:[2028-29]], "&gt;0")</f>
        <v>8</v>
      </c>
      <c r="BE444" s="805">
        <f>SUM(C444:BA444)/RDprograms[[#This Row],[Years with &gt; $0 investment]]</f>
        <v>106.523875</v>
      </c>
      <c r="BF444" s="806" t="s">
        <v>233</v>
      </c>
      <c r="BG444" s="807" t="s">
        <v>389</v>
      </c>
      <c r="BH444" s="847" t="s">
        <v>264</v>
      </c>
      <c r="BI444" s="809"/>
      <c r="BJ444" s="809"/>
      <c r="BK444" s="809"/>
      <c r="BL444" s="809"/>
      <c r="BM444" s="809"/>
      <c r="BN444" s="810"/>
      <c r="BO444" s="811" t="s">
        <v>236</v>
      </c>
      <c r="BP444" s="812"/>
      <c r="BQ444" s="812"/>
      <c r="BR444" s="812"/>
      <c r="BS444" s="812"/>
      <c r="BT444" s="812" t="s">
        <v>238</v>
      </c>
    </row>
    <row r="445" spans="1:72" ht="12.75" customHeight="1">
      <c r="A445" s="813" t="s">
        <v>1119</v>
      </c>
      <c r="B445" s="820" t="s">
        <v>1193</v>
      </c>
      <c r="C445" s="5">
        <v>0</v>
      </c>
      <c r="D445" s="5">
        <v>0</v>
      </c>
      <c r="E445" s="5">
        <v>0</v>
      </c>
      <c r="F445" s="5">
        <v>0</v>
      </c>
      <c r="G445" s="5">
        <v>0</v>
      </c>
      <c r="H445" s="5">
        <v>0</v>
      </c>
      <c r="I445" s="5">
        <v>0</v>
      </c>
      <c r="J445" s="5">
        <v>0</v>
      </c>
      <c r="K445" s="5">
        <v>0</v>
      </c>
      <c r="L445" s="5">
        <v>0</v>
      </c>
      <c r="M445" s="5">
        <v>0</v>
      </c>
      <c r="N445" s="5">
        <v>0</v>
      </c>
      <c r="O445" s="5">
        <v>0</v>
      </c>
      <c r="P445" s="5">
        <v>0</v>
      </c>
      <c r="Q445" s="5">
        <v>0</v>
      </c>
      <c r="R445" s="5">
        <v>0</v>
      </c>
      <c r="S445" s="5">
        <v>0</v>
      </c>
      <c r="T445" s="5">
        <v>0</v>
      </c>
      <c r="U445" s="5">
        <v>0</v>
      </c>
      <c r="V445" s="5">
        <v>0</v>
      </c>
      <c r="W445" s="5">
        <v>0</v>
      </c>
      <c r="X445" s="5">
        <v>2.1</v>
      </c>
      <c r="Y445" s="5">
        <v>8.9</v>
      </c>
      <c r="Z445" s="5">
        <v>12.2</v>
      </c>
      <c r="AA445" s="5">
        <v>11.4</v>
      </c>
      <c r="AB445" s="5">
        <v>8.6999999999999993</v>
      </c>
      <c r="AC445" s="5">
        <v>7.9</v>
      </c>
      <c r="AD445" s="5">
        <v>8.4</v>
      </c>
      <c r="AE445" s="5">
        <v>9.7360000000000007</v>
      </c>
      <c r="AF445" s="5">
        <v>14</v>
      </c>
      <c r="AG445" s="5">
        <v>13.5</v>
      </c>
      <c r="AH445" s="5">
        <v>11.2</v>
      </c>
      <c r="AI445" s="5">
        <v>6.1</v>
      </c>
      <c r="AJ445" s="5">
        <v>0</v>
      </c>
      <c r="AK445" s="5">
        <v>0</v>
      </c>
      <c r="AL445" s="5">
        <v>0</v>
      </c>
      <c r="AM445" s="5">
        <v>0</v>
      </c>
      <c r="AN445" s="5">
        <v>0</v>
      </c>
      <c r="AO445" s="5">
        <v>0</v>
      </c>
      <c r="AP445" s="816">
        <v>0</v>
      </c>
      <c r="AQ445" s="816">
        <v>0</v>
      </c>
      <c r="AR445" s="5">
        <v>0</v>
      </c>
      <c r="AS445" s="5">
        <v>0</v>
      </c>
      <c r="AT445" s="5">
        <v>0</v>
      </c>
      <c r="AU445" s="5">
        <v>0</v>
      </c>
      <c r="AV445" s="5">
        <v>0</v>
      </c>
      <c r="AW445" s="815">
        <v>0</v>
      </c>
      <c r="AX445" s="816">
        <v>0</v>
      </c>
      <c r="AY445" s="819">
        <v>0</v>
      </c>
      <c r="AZ445" s="816"/>
      <c r="BA445" s="818"/>
      <c r="BB445" s="802" t="str" cm="1">
        <f t="array" ref="BB445">INDEX(C$4:BA$4,MATCH(TRUE,INDEX(C445:BA445&lt;&gt;0,),0))</f>
        <v>1999-00</v>
      </c>
      <c r="BC445" s="803" t="str" cm="1">
        <f t="array" ref="BC445">LOOKUP(2,1/(C445:BA445&lt;&gt;0),$C$4:$BA$4)</f>
        <v>2010-11</v>
      </c>
      <c r="BD445" s="804">
        <f>COUNTIF(RDprograms[[#This Row],[1978-79]:[2028-29]], "&gt;0")</f>
        <v>12</v>
      </c>
      <c r="BE445" s="805">
        <f>SUM(C445:BA445)/RDprograms[[#This Row],[Years with &gt; $0 investment]]</f>
        <v>9.511333333333333</v>
      </c>
      <c r="BF445" s="806" t="s">
        <v>249</v>
      </c>
      <c r="BG445" s="807" t="s">
        <v>389</v>
      </c>
      <c r="BH445" s="847" t="s">
        <v>264</v>
      </c>
      <c r="BI445" s="809"/>
      <c r="BJ445" s="809"/>
      <c r="BK445" s="809"/>
      <c r="BL445" s="809"/>
      <c r="BM445" s="809"/>
      <c r="BN445" s="810"/>
      <c r="BO445" s="811" t="s">
        <v>236</v>
      </c>
      <c r="BP445" s="812"/>
      <c r="BQ445" s="812"/>
      <c r="BR445" s="812"/>
      <c r="BS445" s="812"/>
      <c r="BT445" s="812" t="s">
        <v>238</v>
      </c>
    </row>
    <row r="446" spans="1:72" ht="12.75" customHeight="1">
      <c r="A446" s="813" t="s">
        <v>1119</v>
      </c>
      <c r="B446" s="820" t="s">
        <v>1194</v>
      </c>
      <c r="C446" s="5">
        <v>184.5</v>
      </c>
      <c r="D446" s="5">
        <v>211.3</v>
      </c>
      <c r="E446" s="5">
        <v>247.1</v>
      </c>
      <c r="F446" s="5">
        <v>290.89999999999998</v>
      </c>
      <c r="G446" s="5">
        <v>328.2</v>
      </c>
      <c r="H446" s="5">
        <v>331.6</v>
      </c>
      <c r="I446" s="5">
        <v>324.89999999999998</v>
      </c>
      <c r="J446" s="5">
        <v>344.3</v>
      </c>
      <c r="K446" s="5">
        <v>367.8</v>
      </c>
      <c r="L446" s="5">
        <v>347.8</v>
      </c>
      <c r="M446" s="5">
        <v>348.1</v>
      </c>
      <c r="N446" s="5">
        <v>375.2</v>
      </c>
      <c r="O446" s="5">
        <v>414.4</v>
      </c>
      <c r="P446" s="5">
        <v>446.3</v>
      </c>
      <c r="Q446" s="5">
        <v>456.2</v>
      </c>
      <c r="R446" s="5">
        <v>460.4</v>
      </c>
      <c r="S446" s="5">
        <v>461.6</v>
      </c>
      <c r="T446" s="5">
        <v>417.6</v>
      </c>
      <c r="U446" s="5">
        <v>444.5</v>
      </c>
      <c r="V446" s="5">
        <v>466.8</v>
      </c>
      <c r="W446" s="5">
        <v>475.4</v>
      </c>
      <c r="X446" s="5">
        <v>499.99900000000002</v>
      </c>
      <c r="Y446" s="5">
        <v>496.7</v>
      </c>
      <c r="Z446" s="5">
        <v>509.6</v>
      </c>
      <c r="AA446" s="5">
        <v>532.05600000000004</v>
      </c>
      <c r="AB446" s="5">
        <v>568.64599999999996</v>
      </c>
      <c r="AC446" s="5">
        <v>577.1</v>
      </c>
      <c r="AD446" s="5">
        <v>593.9</v>
      </c>
      <c r="AE446" s="5">
        <v>610.1</v>
      </c>
      <c r="AF446" s="5">
        <v>663.1</v>
      </c>
      <c r="AG446" s="5">
        <v>675.79</v>
      </c>
      <c r="AH446" s="5">
        <v>704.88400000000001</v>
      </c>
      <c r="AI446" s="5">
        <v>720.41499999999996</v>
      </c>
      <c r="AJ446" s="5">
        <v>724.93899999999996</v>
      </c>
      <c r="AK446" s="5">
        <v>733.81700000000001</v>
      </c>
      <c r="AL446" s="5">
        <v>778.17700000000002</v>
      </c>
      <c r="AM446" s="5">
        <v>745.26800000000003</v>
      </c>
      <c r="AN446" s="5">
        <v>750.28099999999995</v>
      </c>
      <c r="AO446" s="5">
        <v>787.26700000000005</v>
      </c>
      <c r="AP446" s="5">
        <v>793.54899999999998</v>
      </c>
      <c r="AQ446" s="5">
        <v>834.56100000000004</v>
      </c>
      <c r="AR446" s="5">
        <v>837.87300000000005</v>
      </c>
      <c r="AS446" s="5">
        <v>960.53700000000003</v>
      </c>
      <c r="AT446" s="5">
        <v>949.03700000000003</v>
      </c>
      <c r="AU446" s="5">
        <v>991.13400000000001</v>
      </c>
      <c r="AV446" s="5">
        <v>1009.239</v>
      </c>
      <c r="AW446" s="815">
        <v>916.45899999999995</v>
      </c>
      <c r="AX446" s="816">
        <v>983.12400000000002</v>
      </c>
      <c r="AY446" s="819">
        <v>939.28</v>
      </c>
      <c r="AZ446" s="816">
        <v>953.20299999999997</v>
      </c>
      <c r="BA446" s="818">
        <v>967.91099999999994</v>
      </c>
      <c r="BB446" s="802" t="str" cm="1">
        <f t="array" ref="BB446">INDEX(C$4:BA$4,MATCH(TRUE,INDEX(C446:BA446&lt;&gt;0,),0))</f>
        <v>1978-79</v>
      </c>
      <c r="BC446" s="803" t="str" cm="1">
        <f t="array" ref="BC446">LOOKUP(2,1/(C446:BA446&lt;&gt;0),$C$4:$BA$4)</f>
        <v>2028-29</v>
      </c>
      <c r="BD446" s="804">
        <f>COUNTIF(RDprograms[[#This Row],[1978-79]:[2028-29]], "&gt;0")</f>
        <v>51</v>
      </c>
      <c r="BE446" s="805">
        <f>SUM(C446:BA446)/RDprograms[[#This Row],[Years with &gt; $0 investment]]</f>
        <v>599.07541176470602</v>
      </c>
      <c r="BF446" s="806" t="s">
        <v>273</v>
      </c>
      <c r="BG446" s="807" t="s">
        <v>403</v>
      </c>
      <c r="BH446" s="847" t="s">
        <v>444</v>
      </c>
      <c r="BI446" s="809">
        <v>1</v>
      </c>
      <c r="BJ446" s="809">
        <v>1</v>
      </c>
      <c r="BK446" s="809">
        <v>1</v>
      </c>
      <c r="BL446" s="809">
        <v>1</v>
      </c>
      <c r="BM446" s="809">
        <v>1</v>
      </c>
      <c r="BN446" s="810">
        <v>1</v>
      </c>
      <c r="BO446" s="811" t="s">
        <v>236</v>
      </c>
      <c r="BP446" s="812" t="s">
        <v>1195</v>
      </c>
      <c r="BQ446" s="812" t="s">
        <v>1196</v>
      </c>
      <c r="BR446" s="812"/>
      <c r="BS446" s="812"/>
      <c r="BT446" s="812" t="s">
        <v>238</v>
      </c>
    </row>
    <row r="447" spans="1:72" ht="12.75" customHeight="1">
      <c r="A447" s="813" t="s">
        <v>1119</v>
      </c>
      <c r="B447" s="820" t="s">
        <v>1197</v>
      </c>
      <c r="C447" s="5">
        <v>0</v>
      </c>
      <c r="D447" s="5">
        <v>0</v>
      </c>
      <c r="E447" s="5">
        <v>0</v>
      </c>
      <c r="F447" s="5">
        <v>0</v>
      </c>
      <c r="G447" s="5">
        <v>0</v>
      </c>
      <c r="H447" s="5">
        <v>0</v>
      </c>
      <c r="I447" s="5">
        <v>0</v>
      </c>
      <c r="J447" s="5">
        <v>0</v>
      </c>
      <c r="K447" s="5">
        <v>0</v>
      </c>
      <c r="L447" s="5">
        <v>0</v>
      </c>
      <c r="M447" s="5">
        <v>0</v>
      </c>
      <c r="N447" s="5">
        <v>0</v>
      </c>
      <c r="O447" s="5">
        <v>0</v>
      </c>
      <c r="P447" s="5">
        <v>0</v>
      </c>
      <c r="Q447" s="5">
        <v>0</v>
      </c>
      <c r="R447" s="5">
        <v>0</v>
      </c>
      <c r="S447" s="5">
        <v>0</v>
      </c>
      <c r="T447" s="5">
        <v>0</v>
      </c>
      <c r="U447" s="5">
        <v>0</v>
      </c>
      <c r="V447" s="5">
        <v>0</v>
      </c>
      <c r="W447" s="5">
        <v>0</v>
      </c>
      <c r="X447" s="5">
        <v>0</v>
      </c>
      <c r="Y447" s="5">
        <v>0</v>
      </c>
      <c r="Z447" s="5">
        <v>0</v>
      </c>
      <c r="AA447" s="5">
        <v>0</v>
      </c>
      <c r="AB447" s="5">
        <v>0</v>
      </c>
      <c r="AC447" s="5">
        <v>0</v>
      </c>
      <c r="AD447" s="5">
        <v>0</v>
      </c>
      <c r="AE447" s="5">
        <v>0</v>
      </c>
      <c r="AF447" s="5">
        <v>0</v>
      </c>
      <c r="AG447" s="5">
        <v>0</v>
      </c>
      <c r="AH447" s="5">
        <v>0</v>
      </c>
      <c r="AI447" s="5">
        <v>9.3000000000000007</v>
      </c>
      <c r="AJ447" s="5">
        <v>10.6</v>
      </c>
      <c r="AK447" s="5">
        <v>8</v>
      </c>
      <c r="AL447" s="5">
        <v>2.1</v>
      </c>
      <c r="AM447" s="5">
        <v>0</v>
      </c>
      <c r="AN447" s="5">
        <v>0</v>
      </c>
      <c r="AO447" s="5">
        <v>0</v>
      </c>
      <c r="AP447" s="5">
        <v>0</v>
      </c>
      <c r="AQ447" s="5">
        <v>0</v>
      </c>
      <c r="AR447" s="5">
        <v>0</v>
      </c>
      <c r="AS447" s="5">
        <v>0</v>
      </c>
      <c r="AT447" s="5">
        <v>0</v>
      </c>
      <c r="AU447" s="5">
        <v>0</v>
      </c>
      <c r="AV447" s="5">
        <v>0</v>
      </c>
      <c r="AW447" s="815">
        <v>0</v>
      </c>
      <c r="AX447" s="816">
        <v>0</v>
      </c>
      <c r="AY447" s="819">
        <v>0</v>
      </c>
      <c r="AZ447" s="816"/>
      <c r="BA447" s="818"/>
      <c r="BB447" s="802" t="str" cm="1">
        <f t="array" ref="BB447">INDEX(C$4:BA$4,MATCH(TRUE,INDEX(C447:BA447&lt;&gt;0,),0))</f>
        <v>2010-11</v>
      </c>
      <c r="BC447" s="803" t="str" cm="1">
        <f t="array" ref="BC447">LOOKUP(2,1/(C447:BA447&lt;&gt;0),$C$4:$BA$4)</f>
        <v>2013-14</v>
      </c>
      <c r="BD447" s="804">
        <f>COUNTIF(RDprograms[[#This Row],[1978-79]:[2028-29]], "&gt;0")</f>
        <v>4</v>
      </c>
      <c r="BE447" s="805">
        <f>SUM(C447:BA447)/RDprograms[[#This Row],[Years with &gt; $0 investment]]</f>
        <v>7.5</v>
      </c>
      <c r="BF447" s="806" t="s">
        <v>273</v>
      </c>
      <c r="BG447" s="807" t="s">
        <v>703</v>
      </c>
      <c r="BH447" s="847" t="s">
        <v>264</v>
      </c>
      <c r="BI447" s="809"/>
      <c r="BJ447" s="809"/>
      <c r="BK447" s="809"/>
      <c r="BL447" s="809"/>
      <c r="BM447" s="809"/>
      <c r="BN447" s="810"/>
      <c r="BO447" s="811" t="s">
        <v>236</v>
      </c>
      <c r="BP447" s="812"/>
      <c r="BQ447" s="812"/>
      <c r="BR447" s="812"/>
      <c r="BS447" s="812"/>
      <c r="BT447" s="812" t="s">
        <v>238</v>
      </c>
    </row>
    <row r="448" spans="1:72" ht="12.75" customHeight="1">
      <c r="A448" s="813" t="s">
        <v>1119</v>
      </c>
      <c r="B448" s="820" t="s">
        <v>1198</v>
      </c>
      <c r="C448" s="5">
        <v>0</v>
      </c>
      <c r="D448" s="5">
        <v>0</v>
      </c>
      <c r="E448" s="5">
        <v>0</v>
      </c>
      <c r="F448" s="5">
        <v>0</v>
      </c>
      <c r="G448" s="5">
        <v>0</v>
      </c>
      <c r="H448" s="5">
        <v>0</v>
      </c>
      <c r="I448" s="5">
        <v>0</v>
      </c>
      <c r="J448" s="5">
        <v>0</v>
      </c>
      <c r="K448" s="5">
        <v>0</v>
      </c>
      <c r="L448" s="5">
        <v>0</v>
      </c>
      <c r="M448" s="5">
        <v>0</v>
      </c>
      <c r="N448" s="5">
        <v>0</v>
      </c>
      <c r="O448" s="5">
        <v>0</v>
      </c>
      <c r="P448" s="5">
        <v>18.2</v>
      </c>
      <c r="Q448" s="5">
        <v>45.3</v>
      </c>
      <c r="R448" s="5">
        <v>90.6</v>
      </c>
      <c r="S448" s="5">
        <v>103.7</v>
      </c>
      <c r="T448" s="5">
        <v>132.69999999999999</v>
      </c>
      <c r="U448" s="5">
        <v>142.30000000000001</v>
      </c>
      <c r="V448" s="5">
        <v>144.30000000000001</v>
      </c>
      <c r="W448" s="5">
        <v>142.30000000000001</v>
      </c>
      <c r="X448" s="5">
        <v>137.5</v>
      </c>
      <c r="Y448" s="5">
        <v>139.73699999999999</v>
      </c>
      <c r="Z448" s="5">
        <v>145.28800000000001</v>
      </c>
      <c r="AA448" s="5">
        <v>148.63399999999999</v>
      </c>
      <c r="AB448" s="5">
        <v>201.77600000000001</v>
      </c>
      <c r="AC448" s="5">
        <v>194.51499999999999</v>
      </c>
      <c r="AD448" s="5">
        <v>208.10900000000001</v>
      </c>
      <c r="AE448" s="5">
        <v>189.34299999999999</v>
      </c>
      <c r="AF448" s="5">
        <v>211.93799999999999</v>
      </c>
      <c r="AG448" s="5">
        <v>182.27599999999998</v>
      </c>
      <c r="AH448" s="5">
        <v>178.874</v>
      </c>
      <c r="AI448" s="5">
        <v>172.63800000000001</v>
      </c>
      <c r="AJ448" s="5">
        <v>165.47399999999999</v>
      </c>
      <c r="AK448" s="5">
        <v>155.64500000000001</v>
      </c>
      <c r="AL448" s="5">
        <v>147.09100000000001</v>
      </c>
      <c r="AM448" s="5">
        <v>149.86000000000001</v>
      </c>
      <c r="AN448" s="5">
        <v>140.95400000000001</v>
      </c>
      <c r="AO448" s="5">
        <v>149.51400000000001</v>
      </c>
      <c r="AP448" s="816">
        <v>160.768</v>
      </c>
      <c r="AQ448" s="816">
        <v>167.34100000000001</v>
      </c>
      <c r="AR448" s="5">
        <v>130.81200000000001</v>
      </c>
      <c r="AS448" s="5">
        <v>234.16800000000001</v>
      </c>
      <c r="AT448" s="5">
        <v>187.34299999999999</v>
      </c>
      <c r="AU448" s="5">
        <v>199.374</v>
      </c>
      <c r="AV448" s="5">
        <v>200.53200000000001</v>
      </c>
      <c r="AW448" s="815">
        <v>210.04400000000001</v>
      </c>
      <c r="AX448" s="816">
        <v>206.309</v>
      </c>
      <c r="AY448" s="819">
        <v>210.35</v>
      </c>
      <c r="AZ448" s="816">
        <v>212.988</v>
      </c>
      <c r="BA448" s="818">
        <v>217.887</v>
      </c>
      <c r="BB448" s="802" t="str" cm="1">
        <f t="array" ref="BB448">INDEX(C$4:BA$4,MATCH(TRUE,INDEX(C448:BA448&lt;&gt;0,),0))</f>
        <v>1991-92</v>
      </c>
      <c r="BC448" s="803" t="str" cm="1">
        <f t="array" ref="BC448">LOOKUP(2,1/(C448:BA448&lt;&gt;0),$C$4:$BA$4)</f>
        <v>2028-29</v>
      </c>
      <c r="BD448" s="804">
        <f>COUNTIF(RDprograms[[#This Row],[1978-79]:[2028-29]], "&gt;0")</f>
        <v>38</v>
      </c>
      <c r="BE448" s="805">
        <f>SUM(C448:BA448)/RDprograms[[#This Row],[Years with &gt; $0 investment]]</f>
        <v>162.53899999999999</v>
      </c>
      <c r="BF448" s="806" t="s">
        <v>233</v>
      </c>
      <c r="BG448" s="807" t="s">
        <v>389</v>
      </c>
      <c r="BH448" s="847" t="s">
        <v>358</v>
      </c>
      <c r="BI448" s="809">
        <v>1</v>
      </c>
      <c r="BJ448" s="809">
        <v>1</v>
      </c>
      <c r="BK448" s="809">
        <v>1</v>
      </c>
      <c r="BL448" s="809">
        <v>1</v>
      </c>
      <c r="BM448" s="809">
        <v>1</v>
      </c>
      <c r="BN448" s="810"/>
      <c r="BO448" s="811" t="s">
        <v>236</v>
      </c>
      <c r="BP448" s="812" t="s">
        <v>1199</v>
      </c>
      <c r="BQ448" s="812"/>
      <c r="BR448" s="812"/>
      <c r="BS448" s="812"/>
      <c r="BT448" s="812" t="s">
        <v>238</v>
      </c>
    </row>
    <row r="449" spans="1:72" ht="12.75" customHeight="1">
      <c r="A449" s="813" t="s">
        <v>1119</v>
      </c>
      <c r="B449" s="820" t="s">
        <v>1200</v>
      </c>
      <c r="C449" s="5">
        <v>0</v>
      </c>
      <c r="D449" s="5">
        <v>0</v>
      </c>
      <c r="E449" s="5">
        <v>0</v>
      </c>
      <c r="F449" s="5">
        <v>0</v>
      </c>
      <c r="G449" s="5">
        <v>0</v>
      </c>
      <c r="H449" s="5">
        <v>0</v>
      </c>
      <c r="I449" s="5">
        <v>0</v>
      </c>
      <c r="J449" s="5">
        <v>0</v>
      </c>
      <c r="K449" s="5">
        <v>0</v>
      </c>
      <c r="L449" s="5">
        <v>0</v>
      </c>
      <c r="M449" s="5">
        <v>0</v>
      </c>
      <c r="N449" s="5">
        <v>0</v>
      </c>
      <c r="O449" s="5">
        <v>0</v>
      </c>
      <c r="P449" s="5">
        <v>0</v>
      </c>
      <c r="Q449" s="5">
        <v>0</v>
      </c>
      <c r="R449" s="5">
        <v>0</v>
      </c>
      <c r="S449" s="5">
        <v>0</v>
      </c>
      <c r="T449" s="5">
        <v>0</v>
      </c>
      <c r="U449" s="5">
        <v>0</v>
      </c>
      <c r="V449" s="5">
        <v>0</v>
      </c>
      <c r="W449" s="5">
        <v>0</v>
      </c>
      <c r="X449" s="5">
        <v>0</v>
      </c>
      <c r="Y449" s="5">
        <v>0</v>
      </c>
      <c r="Z449" s="5">
        <v>0</v>
      </c>
      <c r="AA449" s="5">
        <v>0</v>
      </c>
      <c r="AB449" s="5">
        <v>0</v>
      </c>
      <c r="AC449" s="5">
        <v>0</v>
      </c>
      <c r="AD449" s="5">
        <v>0</v>
      </c>
      <c r="AE449" s="5">
        <v>0</v>
      </c>
      <c r="AF449" s="5">
        <v>0</v>
      </c>
      <c r="AG449" s="5">
        <v>0</v>
      </c>
      <c r="AH449" s="5">
        <v>0</v>
      </c>
      <c r="AI449" s="5">
        <v>0</v>
      </c>
      <c r="AJ449" s="5">
        <v>0</v>
      </c>
      <c r="AK449" s="5">
        <v>0</v>
      </c>
      <c r="AL449" s="5">
        <v>0</v>
      </c>
      <c r="AM449" s="5">
        <v>0</v>
      </c>
      <c r="AN449" s="5">
        <v>0</v>
      </c>
      <c r="AO449" s="5">
        <v>0</v>
      </c>
      <c r="AP449" s="5">
        <v>0</v>
      </c>
      <c r="AQ449" s="5">
        <v>0</v>
      </c>
      <c r="AR449" s="5">
        <v>0</v>
      </c>
      <c r="AS449" s="5">
        <v>0</v>
      </c>
      <c r="AT449" s="5">
        <v>0</v>
      </c>
      <c r="AU449" s="5">
        <v>0.25</v>
      </c>
      <c r="AV449" s="5">
        <v>8.0649999999999995</v>
      </c>
      <c r="AW449" s="815">
        <v>8.0649999999999995</v>
      </c>
      <c r="AX449" s="816">
        <v>8.3000000000000007</v>
      </c>
      <c r="AY449" s="819">
        <v>0</v>
      </c>
      <c r="AZ449" s="816"/>
      <c r="BA449" s="818"/>
      <c r="BB449" s="802" t="str" cm="1">
        <f t="array" ref="BB449">INDEX(C$4:BA$4,MATCH(TRUE,INDEX(C449:BA449&lt;&gt;0,),0))</f>
        <v>2022-23</v>
      </c>
      <c r="BC449" s="803" t="str" cm="1">
        <f t="array" ref="BC449">LOOKUP(2,1/(C449:BA449&lt;&gt;0),$C$4:$BA$4)</f>
        <v>2025-26</v>
      </c>
      <c r="BD449" s="804">
        <f>COUNTIF(RDprograms[[#This Row],[1978-79]:[2028-29]], "&gt;0")</f>
        <v>4</v>
      </c>
      <c r="BE449" s="805">
        <f>SUM(C449:BA449)/RDprograms[[#This Row],[Years with &gt; $0 investment]]</f>
        <v>6.17</v>
      </c>
      <c r="BF449" s="806" t="s">
        <v>273</v>
      </c>
      <c r="BG449" s="807" t="s">
        <v>389</v>
      </c>
      <c r="BH449" s="847" t="s">
        <v>390</v>
      </c>
      <c r="BI449" s="809">
        <v>1</v>
      </c>
      <c r="BJ449" s="809">
        <v>1</v>
      </c>
      <c r="BK449" s="809"/>
      <c r="BL449" s="809"/>
      <c r="BM449" s="809">
        <v>1</v>
      </c>
      <c r="BN449" s="810"/>
      <c r="BO449" s="811" t="s">
        <v>236</v>
      </c>
      <c r="BP449" s="812" t="s">
        <v>1201</v>
      </c>
      <c r="BQ449" s="812"/>
      <c r="BR449" s="812"/>
      <c r="BS449" s="812"/>
      <c r="BT449" s="812"/>
    </row>
    <row r="450" spans="1:72" ht="12.75" customHeight="1">
      <c r="A450" s="813" t="s">
        <v>1119</v>
      </c>
      <c r="B450" s="820" t="s">
        <v>1202</v>
      </c>
      <c r="C450" s="5">
        <v>0</v>
      </c>
      <c r="D450" s="5">
        <v>0</v>
      </c>
      <c r="E450" s="5">
        <v>0</v>
      </c>
      <c r="F450" s="5">
        <v>0</v>
      </c>
      <c r="G450" s="5">
        <v>0</v>
      </c>
      <c r="H450" s="5">
        <v>0</v>
      </c>
      <c r="I450" s="5">
        <v>0</v>
      </c>
      <c r="J450" s="5">
        <v>0</v>
      </c>
      <c r="K450" s="5">
        <v>0</v>
      </c>
      <c r="L450" s="5">
        <v>0</v>
      </c>
      <c r="M450" s="5">
        <v>0</v>
      </c>
      <c r="N450" s="5">
        <v>0</v>
      </c>
      <c r="O450" s="5">
        <v>0</v>
      </c>
      <c r="P450" s="5">
        <v>0</v>
      </c>
      <c r="Q450" s="5">
        <v>0</v>
      </c>
      <c r="R450" s="5">
        <v>0</v>
      </c>
      <c r="S450" s="5">
        <v>0</v>
      </c>
      <c r="T450" s="5">
        <v>0</v>
      </c>
      <c r="U450" s="5">
        <v>0</v>
      </c>
      <c r="V450" s="5">
        <v>0</v>
      </c>
      <c r="W450" s="5">
        <v>0</v>
      </c>
      <c r="X450" s="5">
        <v>0</v>
      </c>
      <c r="Y450" s="5">
        <v>0</v>
      </c>
      <c r="Z450" s="5">
        <v>0</v>
      </c>
      <c r="AA450" s="5">
        <v>0</v>
      </c>
      <c r="AB450" s="5">
        <v>0</v>
      </c>
      <c r="AC450" s="5">
        <v>0</v>
      </c>
      <c r="AD450" s="5">
        <v>0</v>
      </c>
      <c r="AE450" s="5">
        <v>0</v>
      </c>
      <c r="AF450" s="5">
        <v>0</v>
      </c>
      <c r="AG450" s="5">
        <v>0</v>
      </c>
      <c r="AH450" s="5">
        <v>0</v>
      </c>
      <c r="AI450" s="5">
        <v>0</v>
      </c>
      <c r="AJ450" s="5">
        <v>0</v>
      </c>
      <c r="AK450" s="5">
        <v>0</v>
      </c>
      <c r="AL450" s="5">
        <v>0</v>
      </c>
      <c r="AM450" s="5">
        <v>0</v>
      </c>
      <c r="AN450" s="5">
        <v>0</v>
      </c>
      <c r="AO450" s="5">
        <v>0</v>
      </c>
      <c r="AP450" s="5">
        <v>0</v>
      </c>
      <c r="AQ450" s="5">
        <v>0</v>
      </c>
      <c r="AR450" s="5">
        <v>0</v>
      </c>
      <c r="AS450" s="5">
        <v>0</v>
      </c>
      <c r="AT450" s="5">
        <v>0</v>
      </c>
      <c r="AU450" s="5">
        <v>0</v>
      </c>
      <c r="AV450" s="5">
        <v>0</v>
      </c>
      <c r="AW450" s="815">
        <v>10.5</v>
      </c>
      <c r="AX450" s="816">
        <v>18</v>
      </c>
      <c r="AY450" s="819">
        <v>7.4240000000000004</v>
      </c>
      <c r="AZ450" s="816"/>
      <c r="BA450" s="818"/>
      <c r="BB450" s="802" t="str" cm="1">
        <f t="array" ref="BB450">INDEX(C$4:BA$4,MATCH(TRUE,INDEX(C450:BA450&lt;&gt;0,),0))</f>
        <v>2024-25</v>
      </c>
      <c r="BC450" s="803" t="str" cm="1">
        <f t="array" ref="BC450">LOOKUP(2,1/(C450:BA450&lt;&gt;0),$C$4:$BA$4)</f>
        <v>2026-27</v>
      </c>
      <c r="BD450" s="804">
        <f>COUNTIF(RDprograms[[#This Row],[1978-79]:[2028-29]], "&gt;0")</f>
        <v>3</v>
      </c>
      <c r="BE450" s="805">
        <f>SUM(C450:BA450)/RDprograms[[#This Row],[Years with &gt; $0 investment]]</f>
        <v>11.974666666666666</v>
      </c>
      <c r="BF450" s="806" t="s">
        <v>233</v>
      </c>
      <c r="BG450" s="807" t="s">
        <v>389</v>
      </c>
      <c r="BH450" s="847" t="s">
        <v>264</v>
      </c>
      <c r="BI450" s="809">
        <v>1</v>
      </c>
      <c r="BJ450" s="809">
        <v>1</v>
      </c>
      <c r="BK450" s="809">
        <v>1</v>
      </c>
      <c r="BL450" s="809">
        <v>1</v>
      </c>
      <c r="BM450" s="809">
        <v>1</v>
      </c>
      <c r="BN450" s="810"/>
      <c r="BO450" s="811" t="s">
        <v>251</v>
      </c>
      <c r="BP450" s="812" t="s">
        <v>1203</v>
      </c>
      <c r="BQ450" s="812"/>
      <c r="BR450" s="812"/>
      <c r="BS450" s="812"/>
      <c r="BT450" s="812"/>
    </row>
    <row r="451" spans="1:72" ht="12.75" customHeight="1">
      <c r="A451" s="813" t="s">
        <v>1119</v>
      </c>
      <c r="B451" s="820" t="s">
        <v>1204</v>
      </c>
      <c r="C451" s="5">
        <v>0</v>
      </c>
      <c r="D451" s="5">
        <v>0</v>
      </c>
      <c r="E451" s="5">
        <v>0</v>
      </c>
      <c r="F451" s="5">
        <v>0</v>
      </c>
      <c r="G451" s="5">
        <v>0</v>
      </c>
      <c r="H451" s="5">
        <v>0</v>
      </c>
      <c r="I451" s="5">
        <v>0</v>
      </c>
      <c r="J451" s="5">
        <v>0</v>
      </c>
      <c r="K451" s="5">
        <v>0</v>
      </c>
      <c r="L451" s="5">
        <v>0</v>
      </c>
      <c r="M451" s="5">
        <v>0</v>
      </c>
      <c r="N451" s="5">
        <v>0</v>
      </c>
      <c r="O451" s="5">
        <v>0</v>
      </c>
      <c r="P451" s="5">
        <v>0</v>
      </c>
      <c r="Q451" s="5">
        <v>0</v>
      </c>
      <c r="R451" s="5">
        <v>0</v>
      </c>
      <c r="S451" s="5">
        <v>0</v>
      </c>
      <c r="T451" s="5">
        <v>0</v>
      </c>
      <c r="U451" s="5">
        <v>0</v>
      </c>
      <c r="V451" s="5">
        <v>0</v>
      </c>
      <c r="W451" s="5">
        <v>0</v>
      </c>
      <c r="X451" s="5">
        <v>0</v>
      </c>
      <c r="Y451" s="5">
        <v>0</v>
      </c>
      <c r="Z451" s="5">
        <v>0</v>
      </c>
      <c r="AA451" s="5">
        <v>0</v>
      </c>
      <c r="AB451" s="5">
        <v>0</v>
      </c>
      <c r="AC451" s="5">
        <v>0</v>
      </c>
      <c r="AD451" s="5">
        <v>0</v>
      </c>
      <c r="AE451" s="5">
        <v>0</v>
      </c>
      <c r="AF451" s="5">
        <v>0</v>
      </c>
      <c r="AG451" s="5">
        <v>5.843</v>
      </c>
      <c r="AH451" s="5">
        <v>0</v>
      </c>
      <c r="AI451" s="5">
        <v>0</v>
      </c>
      <c r="AJ451" s="5">
        <v>0</v>
      </c>
      <c r="AK451" s="5">
        <v>0</v>
      </c>
      <c r="AL451" s="5">
        <v>0</v>
      </c>
      <c r="AM451" s="5">
        <v>0</v>
      </c>
      <c r="AN451" s="5">
        <v>0</v>
      </c>
      <c r="AO451" s="5">
        <v>0</v>
      </c>
      <c r="AP451" s="5">
        <v>0</v>
      </c>
      <c r="AQ451" s="5">
        <v>0</v>
      </c>
      <c r="AR451" s="5">
        <v>0</v>
      </c>
      <c r="AS451" s="5">
        <v>0</v>
      </c>
      <c r="AT451" s="5">
        <v>0</v>
      </c>
      <c r="AU451" s="5">
        <v>0</v>
      </c>
      <c r="AV451" s="5">
        <v>0</v>
      </c>
      <c r="AW451" s="815">
        <v>0</v>
      </c>
      <c r="AX451" s="816">
        <v>0</v>
      </c>
      <c r="AY451" s="819">
        <v>0</v>
      </c>
      <c r="AZ451" s="816"/>
      <c r="BA451" s="818"/>
      <c r="BB451" s="802" t="str" cm="1">
        <f t="array" ref="BB451">INDEX(C$4:BA$4,MATCH(TRUE,INDEX(C451:BA451&lt;&gt;0,),0))</f>
        <v>2008-09</v>
      </c>
      <c r="BC451" s="803" t="str" cm="1">
        <f t="array" ref="BC451">LOOKUP(2,1/(C451:BA451&lt;&gt;0),$C$4:$BA$4)</f>
        <v>2008-09</v>
      </c>
      <c r="BD451" s="804">
        <f>COUNTIF(RDprograms[[#This Row],[1978-79]:[2028-29]], "&gt;0")</f>
        <v>1</v>
      </c>
      <c r="BE451" s="805">
        <f>SUM(C451:BA451)/RDprograms[[#This Row],[Years with &gt; $0 investment]]</f>
        <v>5.843</v>
      </c>
      <c r="BF451" s="806" t="s">
        <v>249</v>
      </c>
      <c r="BG451" s="807" t="s">
        <v>409</v>
      </c>
      <c r="BH451" s="847" t="s">
        <v>390</v>
      </c>
      <c r="BI451" s="809"/>
      <c r="BJ451" s="809"/>
      <c r="BK451" s="809"/>
      <c r="BL451" s="809"/>
      <c r="BM451" s="809"/>
      <c r="BN451" s="810"/>
      <c r="BO451" s="811" t="s">
        <v>236</v>
      </c>
      <c r="BP451" s="812"/>
      <c r="BQ451" s="812"/>
      <c r="BR451" s="812"/>
      <c r="BS451" s="812"/>
      <c r="BT451" s="812" t="s">
        <v>238</v>
      </c>
    </row>
    <row r="452" spans="1:72" ht="12.75" customHeight="1">
      <c r="A452" s="813" t="s">
        <v>1119</v>
      </c>
      <c r="B452" s="820" t="s">
        <v>1205</v>
      </c>
      <c r="C452" s="5">
        <v>4</v>
      </c>
      <c r="D452" s="5">
        <v>5.3</v>
      </c>
      <c r="E452" s="5">
        <v>7</v>
      </c>
      <c r="F452" s="5">
        <v>10.7</v>
      </c>
      <c r="G452" s="5">
        <v>14</v>
      </c>
      <c r="H452" s="5">
        <v>16.399999999999999</v>
      </c>
      <c r="I452" s="5">
        <v>15.5</v>
      </c>
      <c r="J452" s="5">
        <v>13.2</v>
      </c>
      <c r="K452" s="5">
        <v>13.3</v>
      </c>
      <c r="L452" s="5">
        <v>10.199999999999999</v>
      </c>
      <c r="M452" s="5">
        <v>9.6</v>
      </c>
      <c r="N452" s="5">
        <v>11.2</v>
      </c>
      <c r="O452" s="5">
        <v>15.9</v>
      </c>
      <c r="P452" s="5">
        <v>11.8</v>
      </c>
      <c r="Q452" s="5">
        <v>11.6</v>
      </c>
      <c r="R452" s="5">
        <v>11</v>
      </c>
      <c r="S452" s="5">
        <v>11.1</v>
      </c>
      <c r="T452" s="5">
        <v>11.8</v>
      </c>
      <c r="U452" s="5">
        <v>6.6</v>
      </c>
      <c r="V452" s="5">
        <v>20.6</v>
      </c>
      <c r="W452" s="5">
        <v>1.5</v>
      </c>
      <c r="X452" s="5">
        <v>0</v>
      </c>
      <c r="Y452" s="5">
        <v>0</v>
      </c>
      <c r="Z452" s="5">
        <v>0</v>
      </c>
      <c r="AA452" s="5">
        <v>0</v>
      </c>
      <c r="AB452" s="5">
        <v>0</v>
      </c>
      <c r="AC452" s="5">
        <v>0</v>
      </c>
      <c r="AD452" s="5">
        <v>0</v>
      </c>
      <c r="AE452" s="5">
        <v>0</v>
      </c>
      <c r="AF452" s="5">
        <v>0</v>
      </c>
      <c r="AG452" s="5">
        <v>0</v>
      </c>
      <c r="AH452" s="5">
        <v>0</v>
      </c>
      <c r="AI452" s="5">
        <v>0</v>
      </c>
      <c r="AJ452" s="5">
        <v>0</v>
      </c>
      <c r="AK452" s="5">
        <v>0</v>
      </c>
      <c r="AL452" s="5">
        <v>0</v>
      </c>
      <c r="AM452" s="5">
        <v>0</v>
      </c>
      <c r="AN452" s="5">
        <v>0</v>
      </c>
      <c r="AO452" s="5">
        <v>0</v>
      </c>
      <c r="AP452" s="816">
        <v>0</v>
      </c>
      <c r="AQ452" s="816">
        <v>0</v>
      </c>
      <c r="AR452" s="5">
        <v>0</v>
      </c>
      <c r="AS452" s="5">
        <v>0</v>
      </c>
      <c r="AT452" s="5">
        <v>0</v>
      </c>
      <c r="AU452" s="5">
        <v>0</v>
      </c>
      <c r="AV452" s="5">
        <v>0</v>
      </c>
      <c r="AW452" s="815">
        <v>0</v>
      </c>
      <c r="AX452" s="816">
        <v>0</v>
      </c>
      <c r="AY452" s="819">
        <v>0</v>
      </c>
      <c r="AZ452" s="816"/>
      <c r="BA452" s="818"/>
      <c r="BB452" s="802" t="str" cm="1">
        <f t="array" ref="BB452">INDEX(C$4:BA$4,MATCH(TRUE,INDEX(C452:BA452&lt;&gt;0,),0))</f>
        <v>1978-79</v>
      </c>
      <c r="BC452" s="803" t="str" cm="1">
        <f t="array" ref="BC452">LOOKUP(2,1/(C452:BA452&lt;&gt;0),$C$4:$BA$4)</f>
        <v>1998-99</v>
      </c>
      <c r="BD452" s="804">
        <f>COUNTIF(RDprograms[[#This Row],[1978-79]:[2028-29]], "&gt;0")</f>
        <v>21</v>
      </c>
      <c r="BE452" s="805">
        <f>SUM(C452:BA452)/RDprograms[[#This Row],[Years with &gt; $0 investment]]</f>
        <v>11.061904761904762</v>
      </c>
      <c r="BF452" s="806" t="s">
        <v>273</v>
      </c>
      <c r="BG452" s="807" t="s">
        <v>409</v>
      </c>
      <c r="BH452" s="847" t="s">
        <v>390</v>
      </c>
      <c r="BI452" s="809"/>
      <c r="BJ452" s="809"/>
      <c r="BK452" s="809"/>
      <c r="BL452" s="809"/>
      <c r="BM452" s="809"/>
      <c r="BN452" s="810"/>
      <c r="BO452" s="811" t="s">
        <v>236</v>
      </c>
      <c r="BP452" s="812"/>
      <c r="BQ452" s="812"/>
      <c r="BR452" s="812"/>
      <c r="BS452" s="812"/>
      <c r="BT452" s="812" t="s">
        <v>238</v>
      </c>
    </row>
    <row r="453" spans="1:72" ht="12.75" customHeight="1">
      <c r="A453" s="813" t="s">
        <v>1119</v>
      </c>
      <c r="B453" s="820" t="s">
        <v>1206</v>
      </c>
      <c r="C453" s="5">
        <v>0</v>
      </c>
      <c r="D453" s="5">
        <v>0</v>
      </c>
      <c r="E453" s="5">
        <v>0</v>
      </c>
      <c r="F453" s="5">
        <v>0</v>
      </c>
      <c r="G453" s="5">
        <v>0</v>
      </c>
      <c r="H453" s="5">
        <v>0</v>
      </c>
      <c r="I453" s="5">
        <v>0</v>
      </c>
      <c r="J453" s="5">
        <v>0</v>
      </c>
      <c r="K453" s="5">
        <v>0</v>
      </c>
      <c r="L453" s="5">
        <v>0</v>
      </c>
      <c r="M453" s="5">
        <v>0</v>
      </c>
      <c r="N453" s="5">
        <v>0</v>
      </c>
      <c r="O453" s="5">
        <v>0</v>
      </c>
      <c r="P453" s="5">
        <v>0</v>
      </c>
      <c r="Q453" s="5">
        <v>0</v>
      </c>
      <c r="R453" s="5">
        <v>0</v>
      </c>
      <c r="S453" s="5">
        <v>0</v>
      </c>
      <c r="T453" s="5">
        <v>0</v>
      </c>
      <c r="U453" s="5">
        <v>0</v>
      </c>
      <c r="V453" s="5">
        <v>0</v>
      </c>
      <c r="W453" s="5">
        <v>0</v>
      </c>
      <c r="X453" s="5">
        <v>0</v>
      </c>
      <c r="Y453" s="5">
        <v>0</v>
      </c>
      <c r="Z453" s="5">
        <v>0</v>
      </c>
      <c r="AA453" s="5">
        <v>0</v>
      </c>
      <c r="AB453" s="5">
        <v>0</v>
      </c>
      <c r="AC453" s="5">
        <v>0</v>
      </c>
      <c r="AD453" s="5">
        <v>0</v>
      </c>
      <c r="AE453" s="5">
        <v>0</v>
      </c>
      <c r="AF453" s="5">
        <v>0</v>
      </c>
      <c r="AG453" s="5">
        <v>0</v>
      </c>
      <c r="AH453" s="5">
        <v>0</v>
      </c>
      <c r="AI453" s="5">
        <v>0</v>
      </c>
      <c r="AJ453" s="5">
        <v>0</v>
      </c>
      <c r="AK453" s="5">
        <v>0</v>
      </c>
      <c r="AL453" s="5">
        <v>0</v>
      </c>
      <c r="AM453" s="5">
        <v>6</v>
      </c>
      <c r="AN453" s="5">
        <v>0</v>
      </c>
      <c r="AO453" s="5">
        <v>0</v>
      </c>
      <c r="AP453" s="816">
        <v>0</v>
      </c>
      <c r="AQ453" s="816">
        <v>2.5</v>
      </c>
      <c r="AR453" s="5">
        <v>2.5</v>
      </c>
      <c r="AS453" s="5">
        <v>2.5</v>
      </c>
      <c r="AT453" s="5">
        <v>2.5</v>
      </c>
      <c r="AU453" s="5">
        <v>0</v>
      </c>
      <c r="AV453" s="5">
        <v>0</v>
      </c>
      <c r="AW453" s="815">
        <v>0</v>
      </c>
      <c r="AX453" s="816">
        <v>0</v>
      </c>
      <c r="AY453" s="819">
        <v>0</v>
      </c>
      <c r="AZ453" s="816"/>
      <c r="BA453" s="818"/>
      <c r="BB453" s="802" t="str" cm="1">
        <f t="array" ref="BB453">INDEX(C$4:BA$4,MATCH(TRUE,INDEX(C453:BA453&lt;&gt;0,),0))</f>
        <v>2014-15</v>
      </c>
      <c r="BC453" s="803" t="str" cm="1">
        <f t="array" ref="BC453">LOOKUP(2,1/(C453:BA453&lt;&gt;0),$C$4:$BA$4)</f>
        <v>2021-22</v>
      </c>
      <c r="BD453" s="804">
        <f>COUNTIF(RDprograms[[#This Row],[1978-79]:[2028-29]], "&gt;0")</f>
        <v>5</v>
      </c>
      <c r="BE453" s="805">
        <f>SUM(C453:BA453)/RDprograms[[#This Row],[Years with &gt; $0 investment]]</f>
        <v>3.2</v>
      </c>
      <c r="BF453" s="806" t="s">
        <v>273</v>
      </c>
      <c r="BG453" s="807" t="s">
        <v>409</v>
      </c>
      <c r="BH453" s="847" t="s">
        <v>390</v>
      </c>
      <c r="BI453" s="809"/>
      <c r="BJ453" s="809"/>
      <c r="BK453" s="809"/>
      <c r="BL453" s="809"/>
      <c r="BM453" s="809"/>
      <c r="BN453" s="810"/>
      <c r="BO453" s="811" t="s">
        <v>236</v>
      </c>
      <c r="BP453" s="812" t="s">
        <v>1207</v>
      </c>
      <c r="BQ453" s="812" t="s">
        <v>1208</v>
      </c>
      <c r="BR453" s="812"/>
      <c r="BS453" s="812"/>
      <c r="BT453" s="812" t="s">
        <v>238</v>
      </c>
    </row>
    <row r="454" spans="1:72" ht="12.75" customHeight="1">
      <c r="A454" s="813" t="s">
        <v>1119</v>
      </c>
      <c r="B454" s="820" t="s">
        <v>1209</v>
      </c>
      <c r="C454" s="5">
        <v>0</v>
      </c>
      <c r="D454" s="5">
        <v>0</v>
      </c>
      <c r="E454" s="5">
        <v>0</v>
      </c>
      <c r="F454" s="5">
        <v>0</v>
      </c>
      <c r="G454" s="5">
        <v>0</v>
      </c>
      <c r="H454" s="5">
        <v>0</v>
      </c>
      <c r="I454" s="5">
        <v>0</v>
      </c>
      <c r="J454" s="5">
        <v>0</v>
      </c>
      <c r="K454" s="5">
        <v>0</v>
      </c>
      <c r="L454" s="5">
        <v>0</v>
      </c>
      <c r="M454" s="5">
        <v>0</v>
      </c>
      <c r="N454" s="5">
        <v>0</v>
      </c>
      <c r="O454" s="5">
        <v>0</v>
      </c>
      <c r="P454" s="5">
        <v>0</v>
      </c>
      <c r="Q454" s="5">
        <v>0</v>
      </c>
      <c r="R454" s="5">
        <v>0</v>
      </c>
      <c r="S454" s="5">
        <v>0</v>
      </c>
      <c r="T454" s="5">
        <v>0</v>
      </c>
      <c r="U454" s="5">
        <v>0</v>
      </c>
      <c r="V454" s="5">
        <v>0</v>
      </c>
      <c r="W454" s="5">
        <v>0</v>
      </c>
      <c r="X454" s="5">
        <v>0</v>
      </c>
      <c r="Y454" s="5">
        <v>0</v>
      </c>
      <c r="Z454" s="5">
        <v>0</v>
      </c>
      <c r="AA454" s="5">
        <v>0</v>
      </c>
      <c r="AB454" s="5">
        <v>0</v>
      </c>
      <c r="AC454" s="5">
        <v>0</v>
      </c>
      <c r="AD454" s="5">
        <v>0</v>
      </c>
      <c r="AE454" s="5">
        <v>0</v>
      </c>
      <c r="AF454" s="5">
        <v>0.20100000000000001</v>
      </c>
      <c r="AG454" s="5">
        <v>0.26100000000000001</v>
      </c>
      <c r="AH454" s="5">
        <v>0.99099999999999999</v>
      </c>
      <c r="AI454" s="5">
        <v>1.0609999999999999</v>
      </c>
      <c r="AJ454" s="5">
        <v>1.1180000000000001</v>
      </c>
      <c r="AK454" s="5">
        <v>1.7050000000000001</v>
      </c>
      <c r="AL454" s="5">
        <v>4.2629999999999999</v>
      </c>
      <c r="AM454" s="5">
        <v>1.5129999999999999</v>
      </c>
      <c r="AN454" s="5">
        <v>0.27300000000000002</v>
      </c>
      <c r="AO454" s="5">
        <v>0</v>
      </c>
      <c r="AP454" s="5">
        <v>0</v>
      </c>
      <c r="AQ454" s="5">
        <v>0</v>
      </c>
      <c r="AR454" s="5">
        <v>0</v>
      </c>
      <c r="AS454" s="5">
        <v>0</v>
      </c>
      <c r="AT454" s="5">
        <v>0</v>
      </c>
      <c r="AU454" s="5">
        <v>0</v>
      </c>
      <c r="AV454" s="5">
        <v>0</v>
      </c>
      <c r="AW454" s="815">
        <v>0</v>
      </c>
      <c r="AX454" s="816">
        <v>0</v>
      </c>
      <c r="AY454" s="819">
        <v>0</v>
      </c>
      <c r="AZ454" s="816"/>
      <c r="BA454" s="818"/>
      <c r="BB454" s="802" t="str" cm="1">
        <f t="array" ref="BB454">INDEX(C$4:BA$4,MATCH(TRUE,INDEX(C454:BA454&lt;&gt;0,),0))</f>
        <v>2007-08</v>
      </c>
      <c r="BC454" s="803" t="str" cm="1">
        <f t="array" ref="BC454">LOOKUP(2,1/(C454:BA454&lt;&gt;0),$C$4:$BA$4)</f>
        <v>2015-16</v>
      </c>
      <c r="BD454" s="804">
        <f>COUNTIF(RDprograms[[#This Row],[1978-79]:[2028-29]], "&gt;0")</f>
        <v>9</v>
      </c>
      <c r="BE454" s="805">
        <f>SUM(C454:BA454)/RDprograms[[#This Row],[Years with &gt; $0 investment]]</f>
        <v>1.2651111111111113</v>
      </c>
      <c r="BF454" s="806" t="s">
        <v>1172</v>
      </c>
      <c r="BG454" s="807" t="s">
        <v>389</v>
      </c>
      <c r="BH454" s="847" t="s">
        <v>264</v>
      </c>
      <c r="BI454" s="809"/>
      <c r="BJ454" s="809"/>
      <c r="BK454" s="809"/>
      <c r="BL454" s="809"/>
      <c r="BM454" s="809"/>
      <c r="BN454" s="810"/>
      <c r="BO454" s="811" t="s">
        <v>236</v>
      </c>
      <c r="BP454" s="812"/>
      <c r="BQ454" s="812"/>
      <c r="BR454" s="812"/>
      <c r="BS454" s="812"/>
      <c r="BT454" s="812" t="s">
        <v>238</v>
      </c>
    </row>
    <row r="455" spans="1:72" ht="12.75" customHeight="1">
      <c r="A455" s="813" t="s">
        <v>1119</v>
      </c>
      <c r="B455" s="820" t="s">
        <v>1210</v>
      </c>
      <c r="C455" s="5">
        <v>0</v>
      </c>
      <c r="D455" s="5">
        <v>0</v>
      </c>
      <c r="E455" s="5">
        <v>0</v>
      </c>
      <c r="F455" s="5">
        <v>0</v>
      </c>
      <c r="G455" s="5">
        <v>0</v>
      </c>
      <c r="H455" s="5">
        <v>0</v>
      </c>
      <c r="I455" s="5">
        <v>0</v>
      </c>
      <c r="J455" s="5">
        <v>0</v>
      </c>
      <c r="K455" s="5">
        <v>0</v>
      </c>
      <c r="L455" s="5">
        <v>0</v>
      </c>
      <c r="M455" s="5">
        <v>0</v>
      </c>
      <c r="N455" s="5">
        <v>0</v>
      </c>
      <c r="O455" s="5">
        <v>0</v>
      </c>
      <c r="P455" s="5">
        <v>0</v>
      </c>
      <c r="Q455" s="5">
        <v>0</v>
      </c>
      <c r="R455" s="5">
        <v>0</v>
      </c>
      <c r="S455" s="5">
        <v>0</v>
      </c>
      <c r="T455" s="5">
        <v>0</v>
      </c>
      <c r="U455" s="5">
        <v>0</v>
      </c>
      <c r="V455" s="5">
        <v>0</v>
      </c>
      <c r="W455" s="5">
        <v>0</v>
      </c>
      <c r="X455" s="5">
        <v>0</v>
      </c>
      <c r="Y455" s="5">
        <v>0</v>
      </c>
      <c r="Z455" s="5">
        <v>0</v>
      </c>
      <c r="AA455" s="5">
        <v>0</v>
      </c>
      <c r="AB455" s="5">
        <v>0</v>
      </c>
      <c r="AC455" s="5">
        <v>0</v>
      </c>
      <c r="AD455" s="5">
        <v>0</v>
      </c>
      <c r="AE455" s="5">
        <v>0</v>
      </c>
      <c r="AF455" s="5">
        <v>0</v>
      </c>
      <c r="AG455" s="5">
        <v>0</v>
      </c>
      <c r="AH455" s="5">
        <v>0</v>
      </c>
      <c r="AI455" s="5">
        <v>0</v>
      </c>
      <c r="AJ455" s="5">
        <v>0</v>
      </c>
      <c r="AK455" s="5">
        <v>0</v>
      </c>
      <c r="AL455" s="5">
        <v>0</v>
      </c>
      <c r="AM455" s="5">
        <v>0.112</v>
      </c>
      <c r="AN455" s="5">
        <v>3.1920000000000002</v>
      </c>
      <c r="AO455" s="5">
        <v>8.7230000000000008</v>
      </c>
      <c r="AP455" s="816">
        <v>14.103</v>
      </c>
      <c r="AQ455" s="816">
        <v>13.478999999999999</v>
      </c>
      <c r="AR455" s="5">
        <v>10.609</v>
      </c>
      <c r="AS455" s="5">
        <v>11.467000000000001</v>
      </c>
      <c r="AT455" s="5">
        <v>12.435</v>
      </c>
      <c r="AU455" s="5">
        <v>12.641999999999999</v>
      </c>
      <c r="AV455" s="5">
        <v>10.462</v>
      </c>
      <c r="AW455" s="815">
        <v>0.88700000000000001</v>
      </c>
      <c r="AX455" s="816">
        <v>0</v>
      </c>
      <c r="AY455" s="819">
        <v>0</v>
      </c>
      <c r="AZ455" s="816"/>
      <c r="BA455" s="818"/>
      <c r="BB455" s="802" t="str" cm="1">
        <f t="array" ref="BB455">INDEX(C$4:BA$4,MATCH(TRUE,INDEX(C455:BA455&lt;&gt;0,),0))</f>
        <v>2014-15</v>
      </c>
      <c r="BC455" s="803" t="str" cm="1">
        <f t="array" ref="BC455">LOOKUP(2,1/(C455:BA455&lt;&gt;0),$C$4:$BA$4)</f>
        <v>2024-25</v>
      </c>
      <c r="BD455" s="804">
        <f>COUNTIF(RDprograms[[#This Row],[1978-79]:[2028-29]], "&gt;0")</f>
        <v>11</v>
      </c>
      <c r="BE455" s="805">
        <f>SUM(C455:BA455)/RDprograms[[#This Row],[Years with &gt; $0 investment]]</f>
        <v>8.9191818181818192</v>
      </c>
      <c r="BF455" s="806" t="s">
        <v>1172</v>
      </c>
      <c r="BG455" s="807" t="s">
        <v>389</v>
      </c>
      <c r="BH455" s="847" t="s">
        <v>264</v>
      </c>
      <c r="BI455" s="809"/>
      <c r="BJ455" s="809"/>
      <c r="BK455" s="809"/>
      <c r="BL455" s="809"/>
      <c r="BM455" s="809"/>
      <c r="BN455" s="810"/>
      <c r="BO455" s="811" t="s">
        <v>236</v>
      </c>
      <c r="BP455" s="812" t="s">
        <v>1211</v>
      </c>
      <c r="BQ455" s="812" t="s">
        <v>1212</v>
      </c>
      <c r="BR455" s="812"/>
      <c r="BS455" s="812" t="s">
        <v>244</v>
      </c>
      <c r="BT455" s="812" t="s">
        <v>238</v>
      </c>
    </row>
    <row r="456" spans="1:72" ht="12.75" customHeight="1">
      <c r="A456" s="813" t="s">
        <v>1119</v>
      </c>
      <c r="B456" s="820" t="s">
        <v>1213</v>
      </c>
      <c r="C456" s="5">
        <v>0</v>
      </c>
      <c r="D456" s="5">
        <v>0</v>
      </c>
      <c r="E456" s="5">
        <v>0</v>
      </c>
      <c r="F456" s="5">
        <v>0</v>
      </c>
      <c r="G456" s="5">
        <v>0</v>
      </c>
      <c r="H456" s="5">
        <v>0</v>
      </c>
      <c r="I456" s="5">
        <v>0</v>
      </c>
      <c r="J456" s="5">
        <v>0</v>
      </c>
      <c r="K456" s="5">
        <v>0</v>
      </c>
      <c r="L456" s="5">
        <v>0</v>
      </c>
      <c r="M456" s="5">
        <v>0</v>
      </c>
      <c r="N456" s="5">
        <v>0</v>
      </c>
      <c r="O456" s="5">
        <v>0</v>
      </c>
      <c r="P456" s="5">
        <v>0</v>
      </c>
      <c r="Q456" s="5">
        <v>0</v>
      </c>
      <c r="R456" s="5">
        <v>0</v>
      </c>
      <c r="S456" s="5">
        <v>0</v>
      </c>
      <c r="T456" s="5">
        <v>0</v>
      </c>
      <c r="U456" s="5">
        <v>0</v>
      </c>
      <c r="V456" s="5">
        <v>0</v>
      </c>
      <c r="W456" s="5">
        <v>0</v>
      </c>
      <c r="X456" s="5">
        <v>0</v>
      </c>
      <c r="Y456" s="5">
        <v>0</v>
      </c>
      <c r="Z456" s="5">
        <v>0</v>
      </c>
      <c r="AA456" s="5">
        <v>0</v>
      </c>
      <c r="AB456" s="5">
        <v>0</v>
      </c>
      <c r="AC456" s="5">
        <v>0</v>
      </c>
      <c r="AD456" s="5">
        <v>0</v>
      </c>
      <c r="AE456" s="5">
        <v>0</v>
      </c>
      <c r="AF456" s="5">
        <v>0</v>
      </c>
      <c r="AG456" s="5">
        <v>0</v>
      </c>
      <c r="AH456" s="5">
        <v>0</v>
      </c>
      <c r="AI456" s="5">
        <v>0.66</v>
      </c>
      <c r="AJ456" s="5">
        <v>2.3130000000000002</v>
      </c>
      <c r="AK456" s="5">
        <v>4.0519999999999996</v>
      </c>
      <c r="AL456" s="5">
        <v>5.5549999999999997</v>
      </c>
      <c r="AM456" s="5">
        <v>6.7</v>
      </c>
      <c r="AN456" s="5">
        <v>2.72</v>
      </c>
      <c r="AO456" s="5">
        <v>0</v>
      </c>
      <c r="AP456" s="5">
        <v>0</v>
      </c>
      <c r="AQ456" s="5">
        <v>0</v>
      </c>
      <c r="AR456" s="5">
        <v>0</v>
      </c>
      <c r="AS456" s="5">
        <v>0</v>
      </c>
      <c r="AT456" s="5">
        <v>0</v>
      </c>
      <c r="AU456" s="5">
        <v>0</v>
      </c>
      <c r="AV456" s="5">
        <v>0</v>
      </c>
      <c r="AW456" s="815">
        <v>0</v>
      </c>
      <c r="AX456" s="816">
        <v>0</v>
      </c>
      <c r="AY456" s="819">
        <v>0</v>
      </c>
      <c r="AZ456" s="816"/>
      <c r="BA456" s="818"/>
      <c r="BB456" s="802" t="str" cm="1">
        <f t="array" ref="BB456">INDEX(C$4:BA$4,MATCH(TRUE,INDEX(C456:BA456&lt;&gt;0,),0))</f>
        <v>2010-11</v>
      </c>
      <c r="BC456" s="803" t="str" cm="1">
        <f t="array" ref="BC456">LOOKUP(2,1/(C456:BA456&lt;&gt;0),$C$4:$BA$4)</f>
        <v>2015-16</v>
      </c>
      <c r="BD456" s="804">
        <f>COUNTIF(RDprograms[[#This Row],[1978-79]:[2028-29]], "&gt;0")</f>
        <v>6</v>
      </c>
      <c r="BE456" s="805">
        <f>SUM(C456:BA456)/RDprograms[[#This Row],[Years with &gt; $0 investment]]</f>
        <v>3.6666666666666665</v>
      </c>
      <c r="BF456" s="806" t="s">
        <v>273</v>
      </c>
      <c r="BG456" s="807" t="s">
        <v>510</v>
      </c>
      <c r="BH456" s="847" t="s">
        <v>264</v>
      </c>
      <c r="BI456" s="809"/>
      <c r="BJ456" s="809"/>
      <c r="BK456" s="809"/>
      <c r="BL456" s="809"/>
      <c r="BM456" s="809"/>
      <c r="BN456" s="810"/>
      <c r="BO456" s="811" t="s">
        <v>236</v>
      </c>
      <c r="BP456" s="812"/>
      <c r="BQ456" s="812"/>
      <c r="BR456" s="812"/>
      <c r="BS456" s="812"/>
      <c r="BT456" s="812" t="s">
        <v>238</v>
      </c>
    </row>
    <row r="457" spans="1:72" ht="12.75" customHeight="1">
      <c r="A457" s="813" t="s">
        <v>1119</v>
      </c>
      <c r="B457" s="820" t="s">
        <v>1214</v>
      </c>
      <c r="C457" s="5">
        <v>0</v>
      </c>
      <c r="D457" s="5">
        <v>0</v>
      </c>
      <c r="E457" s="5">
        <v>0</v>
      </c>
      <c r="F457" s="5">
        <v>0</v>
      </c>
      <c r="G457" s="5">
        <v>0</v>
      </c>
      <c r="H457" s="5">
        <v>0</v>
      </c>
      <c r="I457" s="5">
        <v>0</v>
      </c>
      <c r="J457" s="5">
        <v>0</v>
      </c>
      <c r="K457" s="5">
        <v>0</v>
      </c>
      <c r="L457" s="5">
        <v>0</v>
      </c>
      <c r="M457" s="5">
        <v>0</v>
      </c>
      <c r="N457" s="5">
        <v>0</v>
      </c>
      <c r="O457" s="5">
        <v>0</v>
      </c>
      <c r="P457" s="5">
        <v>0</v>
      </c>
      <c r="Q457" s="5">
        <v>0</v>
      </c>
      <c r="R457" s="5">
        <v>0</v>
      </c>
      <c r="S457" s="5">
        <v>0</v>
      </c>
      <c r="T457" s="5">
        <v>0</v>
      </c>
      <c r="U457" s="5">
        <v>0</v>
      </c>
      <c r="V457" s="5">
        <v>0</v>
      </c>
      <c r="W457" s="5">
        <v>0</v>
      </c>
      <c r="X457" s="5">
        <v>0</v>
      </c>
      <c r="Y457" s="5">
        <v>0</v>
      </c>
      <c r="Z457" s="5">
        <v>0</v>
      </c>
      <c r="AA457" s="5">
        <v>0</v>
      </c>
      <c r="AB457" s="5">
        <v>0</v>
      </c>
      <c r="AC457" s="5">
        <v>0</v>
      </c>
      <c r="AD457" s="5">
        <v>0</v>
      </c>
      <c r="AE457" s="5">
        <v>0</v>
      </c>
      <c r="AF457" s="5">
        <v>0</v>
      </c>
      <c r="AG457" s="5">
        <v>0</v>
      </c>
      <c r="AH457" s="5">
        <v>2</v>
      </c>
      <c r="AI457" s="5">
        <v>2</v>
      </c>
      <c r="AJ457" s="5">
        <v>2</v>
      </c>
      <c r="AK457" s="5">
        <v>2</v>
      </c>
      <c r="AL457" s="5">
        <v>0</v>
      </c>
      <c r="AM457" s="5">
        <v>0</v>
      </c>
      <c r="AN457" s="5">
        <v>0</v>
      </c>
      <c r="AO457" s="5">
        <v>0</v>
      </c>
      <c r="AP457" s="816">
        <v>0</v>
      </c>
      <c r="AQ457" s="816">
        <v>0</v>
      </c>
      <c r="AR457" s="5">
        <v>0</v>
      </c>
      <c r="AS457" s="5">
        <v>0</v>
      </c>
      <c r="AT457" s="5">
        <v>0</v>
      </c>
      <c r="AU457" s="5">
        <v>0</v>
      </c>
      <c r="AV457" s="5">
        <v>0</v>
      </c>
      <c r="AW457" s="815">
        <v>0</v>
      </c>
      <c r="AX457" s="816">
        <v>0</v>
      </c>
      <c r="AY457" s="819">
        <v>0</v>
      </c>
      <c r="AZ457" s="816"/>
      <c r="BA457" s="818"/>
      <c r="BB457" s="802" t="str" cm="1">
        <f t="array" ref="BB457">INDEX(C$4:BA$4,MATCH(TRUE,INDEX(C457:BA457&lt;&gt;0,),0))</f>
        <v>2009-10</v>
      </c>
      <c r="BC457" s="803" t="str" cm="1">
        <f t="array" ref="BC457">LOOKUP(2,1/(C457:BA457&lt;&gt;0),$C$4:$BA$4)</f>
        <v>2012-13</v>
      </c>
      <c r="BD457" s="804">
        <f>COUNTIF(RDprograms[[#This Row],[1978-79]:[2028-29]], "&gt;0")</f>
        <v>4</v>
      </c>
      <c r="BE457" s="805">
        <f>SUM(C457:BA457)/RDprograms[[#This Row],[Years with &gt; $0 investment]]</f>
        <v>2</v>
      </c>
      <c r="BF457" s="806" t="s">
        <v>273</v>
      </c>
      <c r="BG457" s="807" t="s">
        <v>397</v>
      </c>
      <c r="BH457" s="847" t="s">
        <v>241</v>
      </c>
      <c r="BI457" s="809"/>
      <c r="BJ457" s="809"/>
      <c r="BK457" s="809"/>
      <c r="BL457" s="809"/>
      <c r="BM457" s="809"/>
      <c r="BN457" s="810"/>
      <c r="BO457" s="811" t="s">
        <v>236</v>
      </c>
      <c r="BP457" s="812"/>
      <c r="BQ457" s="812"/>
      <c r="BR457" s="812"/>
      <c r="BS457" s="812"/>
      <c r="BT457" s="812"/>
    </row>
    <row r="458" spans="1:72" ht="12.75" customHeight="1">
      <c r="A458" s="813" t="s">
        <v>1119</v>
      </c>
      <c r="B458" s="820" t="s">
        <v>1215</v>
      </c>
      <c r="C458" s="5">
        <v>13.1</v>
      </c>
      <c r="D458" s="5">
        <v>13.4</v>
      </c>
      <c r="E458" s="5">
        <v>15.4</v>
      </c>
      <c r="F458" s="5">
        <v>18.899999999999999</v>
      </c>
      <c r="G458" s="5">
        <v>21.1</v>
      </c>
      <c r="H458" s="5">
        <v>22</v>
      </c>
      <c r="I458" s="5">
        <v>30.1</v>
      </c>
      <c r="J458" s="5">
        <v>35.200000000000003</v>
      </c>
      <c r="K458" s="5">
        <v>37.4</v>
      </c>
      <c r="L458" s="5">
        <v>40.6</v>
      </c>
      <c r="M458" s="5">
        <v>42.9</v>
      </c>
      <c r="N458" s="5">
        <v>47</v>
      </c>
      <c r="O458" s="5">
        <v>52.9</v>
      </c>
      <c r="P458" s="5">
        <v>52.9</v>
      </c>
      <c r="Q458" s="5">
        <v>54.2</v>
      </c>
      <c r="R458" s="5">
        <v>50.9</v>
      </c>
      <c r="S458" s="5">
        <v>60.5</v>
      </c>
      <c r="T458" s="5">
        <v>68</v>
      </c>
      <c r="U458" s="5">
        <v>117.1</v>
      </c>
      <c r="V458" s="5">
        <v>82.9</v>
      </c>
      <c r="W458" s="5">
        <v>66.8</v>
      </c>
      <c r="X458" s="5">
        <v>60.5</v>
      </c>
      <c r="Y458" s="5">
        <v>60.9</v>
      </c>
      <c r="Z458" s="5">
        <v>81.3</v>
      </c>
      <c r="AA458" s="5">
        <v>88.79</v>
      </c>
      <c r="AB458" s="5">
        <v>96.89</v>
      </c>
      <c r="AC458" s="5">
        <v>100.9</v>
      </c>
      <c r="AD458" s="5">
        <v>107.4</v>
      </c>
      <c r="AE458" s="5">
        <v>125.4</v>
      </c>
      <c r="AF458" s="5">
        <v>145</v>
      </c>
      <c r="AG458" s="5">
        <v>139.03200000000001</v>
      </c>
      <c r="AH458" s="5">
        <v>130.56200000000001</v>
      </c>
      <c r="AI458" s="5">
        <v>116.20099999999999</v>
      </c>
      <c r="AJ458" s="5">
        <v>111.396</v>
      </c>
      <c r="AK458" s="5">
        <v>113.158</v>
      </c>
      <c r="AL458" s="5">
        <v>131.15899999999999</v>
      </c>
      <c r="AM458" s="5">
        <v>126.80500000000001</v>
      </c>
      <c r="AN458" s="5">
        <v>121.258</v>
      </c>
      <c r="AO458" s="5">
        <v>142.619</v>
      </c>
      <c r="AP458" s="5">
        <v>151.108</v>
      </c>
      <c r="AQ458" s="5">
        <v>184.381</v>
      </c>
      <c r="AR458" s="5">
        <v>191.346</v>
      </c>
      <c r="AS458" s="5">
        <v>171.23599999999999</v>
      </c>
      <c r="AT458" s="5">
        <v>41.722000000000001</v>
      </c>
      <c r="AU458" s="5">
        <v>52.279000000000003</v>
      </c>
      <c r="AV458" s="5">
        <v>31.227</v>
      </c>
      <c r="AW458" s="815">
        <v>52.734999999999999</v>
      </c>
      <c r="AX458" s="816">
        <v>45.847000000000001</v>
      </c>
      <c r="AY458" s="819">
        <v>43.134</v>
      </c>
      <c r="AZ458" s="816">
        <v>72.319999999999993</v>
      </c>
      <c r="BA458" s="818">
        <v>59.685000000000002</v>
      </c>
      <c r="BB458" s="802" t="str" cm="1">
        <f t="array" ref="BB458">INDEX(C$4:BA$4,MATCH(TRUE,INDEX(C458:BA458&lt;&gt;0,),0))</f>
        <v>1978-79</v>
      </c>
      <c r="BC458" s="803" t="str" cm="1">
        <f t="array" ref="BC458">LOOKUP(2,1/(C458:BA458&lt;&gt;0),$C$4:$BA$4)</f>
        <v>2028-29</v>
      </c>
      <c r="BD458" s="804">
        <f>COUNTIF(RDprograms[[#This Row],[1978-79]:[2028-29]], "&gt;0")</f>
        <v>51</v>
      </c>
      <c r="BE458" s="805">
        <f>SUM(C458:BA458)/RDprograms[[#This Row],[Years with &gt; $0 investment]]</f>
        <v>79.20764705882354</v>
      </c>
      <c r="BF458" s="806" t="s">
        <v>273</v>
      </c>
      <c r="BG458" s="807" t="s">
        <v>403</v>
      </c>
      <c r="BH458" s="847" t="s">
        <v>258</v>
      </c>
      <c r="BI458" s="809">
        <v>1</v>
      </c>
      <c r="BJ458" s="809"/>
      <c r="BK458" s="809">
        <v>1</v>
      </c>
      <c r="BL458" s="809">
        <v>1</v>
      </c>
      <c r="BM458" s="809">
        <v>1</v>
      </c>
      <c r="BN458" s="810"/>
      <c r="BO458" s="811" t="s">
        <v>236</v>
      </c>
      <c r="BP458" s="812" t="s">
        <v>1216</v>
      </c>
      <c r="BQ458" s="812" t="s">
        <v>1217</v>
      </c>
      <c r="BR458" s="812"/>
      <c r="BS458" s="812"/>
      <c r="BT458" s="812" t="s">
        <v>238</v>
      </c>
    </row>
    <row r="459" spans="1:72" ht="12.75" customHeight="1">
      <c r="A459" s="813" t="s">
        <v>1119</v>
      </c>
      <c r="B459" s="820" t="s">
        <v>1218</v>
      </c>
      <c r="C459" s="5">
        <v>0</v>
      </c>
      <c r="D459" s="5">
        <v>0</v>
      </c>
      <c r="E459" s="5">
        <v>0</v>
      </c>
      <c r="F459" s="5">
        <v>0</v>
      </c>
      <c r="G459" s="5">
        <v>0</v>
      </c>
      <c r="H459" s="5">
        <v>0</v>
      </c>
      <c r="I459" s="5">
        <v>0</v>
      </c>
      <c r="J459" s="5">
        <v>0</v>
      </c>
      <c r="K459" s="5">
        <v>0</v>
      </c>
      <c r="L459" s="5">
        <v>0</v>
      </c>
      <c r="M459" s="5">
        <v>0</v>
      </c>
      <c r="N459" s="5">
        <v>0</v>
      </c>
      <c r="O459" s="5">
        <v>0</v>
      </c>
      <c r="P459" s="5">
        <v>0</v>
      </c>
      <c r="Q459" s="5">
        <v>0</v>
      </c>
      <c r="R459" s="5">
        <v>0</v>
      </c>
      <c r="S459" s="5">
        <v>0</v>
      </c>
      <c r="T459" s="5">
        <v>0</v>
      </c>
      <c r="U459" s="5">
        <v>0</v>
      </c>
      <c r="V459" s="5">
        <v>0</v>
      </c>
      <c r="W459" s="5">
        <v>0</v>
      </c>
      <c r="X459" s="5">
        <v>0</v>
      </c>
      <c r="Y459" s="5">
        <v>0</v>
      </c>
      <c r="Z459" s="5">
        <v>0</v>
      </c>
      <c r="AA459" s="5">
        <v>0</v>
      </c>
      <c r="AB459" s="5">
        <v>0</v>
      </c>
      <c r="AC459" s="5">
        <v>0</v>
      </c>
      <c r="AD459" s="5">
        <v>0</v>
      </c>
      <c r="AE459" s="5">
        <v>0</v>
      </c>
      <c r="AF459" s="5">
        <v>0</v>
      </c>
      <c r="AG459" s="5">
        <v>10</v>
      </c>
      <c r="AH459" s="5">
        <v>100</v>
      </c>
      <c r="AI459" s="5">
        <v>100</v>
      </c>
      <c r="AJ459" s="5">
        <v>25</v>
      </c>
      <c r="AK459" s="5">
        <v>35</v>
      </c>
      <c r="AL459" s="5">
        <v>0</v>
      </c>
      <c r="AM459" s="5">
        <v>0</v>
      </c>
      <c r="AN459" s="5">
        <v>0</v>
      </c>
      <c r="AO459" s="5">
        <v>0</v>
      </c>
      <c r="AP459" s="816">
        <v>0</v>
      </c>
      <c r="AQ459" s="816">
        <v>0</v>
      </c>
      <c r="AR459" s="5">
        <v>0</v>
      </c>
      <c r="AS459" s="5">
        <v>0</v>
      </c>
      <c r="AT459" s="5">
        <v>0</v>
      </c>
      <c r="AU459" s="5">
        <v>0</v>
      </c>
      <c r="AV459" s="5">
        <v>0</v>
      </c>
      <c r="AW459" s="815">
        <v>0</v>
      </c>
      <c r="AX459" s="816">
        <v>0</v>
      </c>
      <c r="AY459" s="819">
        <v>0</v>
      </c>
      <c r="AZ459" s="816"/>
      <c r="BA459" s="818"/>
      <c r="BB459" s="802" t="str" cm="1">
        <f t="array" ref="BB459">INDEX(C$4:BA$4,MATCH(TRUE,INDEX(C459:BA459&lt;&gt;0,),0))</f>
        <v>2008-09</v>
      </c>
      <c r="BC459" s="803" t="str" cm="1">
        <f t="array" ref="BC459">LOOKUP(2,1/(C459:BA459&lt;&gt;0),$C$4:$BA$4)</f>
        <v>2012-13</v>
      </c>
      <c r="BD459" s="804">
        <f>COUNTIF(RDprograms[[#This Row],[1978-79]:[2028-29]], "&gt;0")</f>
        <v>5</v>
      </c>
      <c r="BE459" s="805">
        <f>SUM(C459:BA459)/RDprograms[[#This Row],[Years with &gt; $0 investment]]</f>
        <v>54</v>
      </c>
      <c r="BF459" s="806" t="s">
        <v>249</v>
      </c>
      <c r="BG459" s="807" t="s">
        <v>409</v>
      </c>
      <c r="BH459" s="847" t="s">
        <v>390</v>
      </c>
      <c r="BI459" s="809"/>
      <c r="BJ459" s="809"/>
      <c r="BK459" s="809"/>
      <c r="BL459" s="809"/>
      <c r="BM459" s="809"/>
      <c r="BN459" s="810"/>
      <c r="BO459" s="811" t="s">
        <v>236</v>
      </c>
      <c r="BP459" s="812" t="s">
        <v>1219</v>
      </c>
      <c r="BQ459" s="812"/>
      <c r="BR459" s="812"/>
      <c r="BS459" s="812"/>
      <c r="BT459" s="812" t="s">
        <v>238</v>
      </c>
    </row>
    <row r="460" spans="1:72" ht="12.75" customHeight="1">
      <c r="A460" s="813" t="s">
        <v>1119</v>
      </c>
      <c r="B460" s="820" t="s">
        <v>1220</v>
      </c>
      <c r="C460" s="5">
        <v>0</v>
      </c>
      <c r="D460" s="5">
        <v>0</v>
      </c>
      <c r="E460" s="5">
        <v>0</v>
      </c>
      <c r="F460" s="5">
        <v>0</v>
      </c>
      <c r="G460" s="5">
        <v>0</v>
      </c>
      <c r="H460" s="5">
        <v>0</v>
      </c>
      <c r="I460" s="5">
        <v>0</v>
      </c>
      <c r="J460" s="5">
        <v>0</v>
      </c>
      <c r="K460" s="5">
        <v>0</v>
      </c>
      <c r="L460" s="5">
        <v>0</v>
      </c>
      <c r="M460" s="5">
        <v>0</v>
      </c>
      <c r="N460" s="5">
        <v>0</v>
      </c>
      <c r="O460" s="5">
        <v>0</v>
      </c>
      <c r="P460" s="5">
        <v>0</v>
      </c>
      <c r="Q460" s="5">
        <v>0</v>
      </c>
      <c r="R460" s="5">
        <v>0</v>
      </c>
      <c r="S460" s="5">
        <v>0</v>
      </c>
      <c r="T460" s="5">
        <v>0</v>
      </c>
      <c r="U460" s="5">
        <v>0</v>
      </c>
      <c r="V460" s="5">
        <v>0</v>
      </c>
      <c r="W460" s="5">
        <v>0</v>
      </c>
      <c r="X460" s="5">
        <v>0</v>
      </c>
      <c r="Y460" s="5">
        <v>0</v>
      </c>
      <c r="Z460" s="5">
        <v>0</v>
      </c>
      <c r="AA460" s="5">
        <v>0</v>
      </c>
      <c r="AB460" s="5">
        <v>0</v>
      </c>
      <c r="AC460" s="5">
        <v>0</v>
      </c>
      <c r="AD460" s="5">
        <v>0</v>
      </c>
      <c r="AE460" s="5">
        <v>0</v>
      </c>
      <c r="AF460" s="5">
        <v>0</v>
      </c>
      <c r="AG460" s="5">
        <v>0</v>
      </c>
      <c r="AH460" s="5">
        <v>0</v>
      </c>
      <c r="AI460" s="5">
        <v>0</v>
      </c>
      <c r="AJ460" s="5">
        <v>0</v>
      </c>
      <c r="AK460" s="5">
        <v>0</v>
      </c>
      <c r="AL460" s="5">
        <v>0</v>
      </c>
      <c r="AM460" s="5">
        <v>0</v>
      </c>
      <c r="AN460" s="5">
        <v>0</v>
      </c>
      <c r="AO460" s="5">
        <v>6.9930000000000003</v>
      </c>
      <c r="AP460" s="5">
        <v>5.5359999999999996</v>
      </c>
      <c r="AQ460" s="5">
        <v>6.5119999999999996</v>
      </c>
      <c r="AR460" s="5">
        <v>7.5709999999999997</v>
      </c>
      <c r="AS460" s="5">
        <v>3.5369999999999999</v>
      </c>
      <c r="AT460" s="5">
        <v>0</v>
      </c>
      <c r="AU460" s="5">
        <v>0</v>
      </c>
      <c r="AV460" s="5">
        <v>0</v>
      </c>
      <c r="AW460" s="815">
        <v>0</v>
      </c>
      <c r="AX460" s="816">
        <v>0</v>
      </c>
      <c r="AY460" s="819">
        <v>0</v>
      </c>
      <c r="AZ460" s="816"/>
      <c r="BA460" s="818"/>
      <c r="BB460" s="802" t="str" cm="1">
        <f t="array" ref="BB460">INDEX(C$4:BA$4,MATCH(TRUE,INDEX(C460:BA460&lt;&gt;0,),0))</f>
        <v>2016-17</v>
      </c>
      <c r="BC460" s="803" t="str" cm="1">
        <f t="array" ref="BC460">LOOKUP(2,1/(C460:BA460&lt;&gt;0),$C$4:$BA$4)</f>
        <v>2020-21</v>
      </c>
      <c r="BD460" s="804">
        <f>COUNTIF(RDprograms[[#This Row],[1978-79]:[2028-29]], "&gt;0")</f>
        <v>5</v>
      </c>
      <c r="BE460" s="805">
        <f>SUM(C460:BA460)/RDprograms[[#This Row],[Years with &gt; $0 investment]]</f>
        <v>6.0297999999999998</v>
      </c>
      <c r="BF460" s="806" t="s">
        <v>233</v>
      </c>
      <c r="BG460" s="807" t="s">
        <v>397</v>
      </c>
      <c r="BH460" s="847" t="s">
        <v>241</v>
      </c>
      <c r="BI460" s="809"/>
      <c r="BJ460" s="809"/>
      <c r="BK460" s="809"/>
      <c r="BL460" s="809"/>
      <c r="BM460" s="809"/>
      <c r="BN460" s="810"/>
      <c r="BO460" s="811" t="s">
        <v>236</v>
      </c>
      <c r="BP460" s="812" t="s">
        <v>1221</v>
      </c>
      <c r="BQ460" s="812" t="s">
        <v>1222</v>
      </c>
      <c r="BR460" s="812"/>
      <c r="BS460" s="812" t="s">
        <v>244</v>
      </c>
      <c r="BT460" s="812" t="s">
        <v>238</v>
      </c>
    </row>
    <row r="461" spans="1:72" ht="12.75" customHeight="1">
      <c r="A461" s="813" t="s">
        <v>1119</v>
      </c>
      <c r="B461" s="820" t="s">
        <v>1223</v>
      </c>
      <c r="C461" s="5">
        <v>0</v>
      </c>
      <c r="D461" s="5">
        <v>0</v>
      </c>
      <c r="E461" s="5">
        <v>0</v>
      </c>
      <c r="F461" s="5">
        <v>0</v>
      </c>
      <c r="G461" s="5">
        <v>0</v>
      </c>
      <c r="H461" s="5">
        <v>0</v>
      </c>
      <c r="I461" s="5">
        <v>0</v>
      </c>
      <c r="J461" s="5">
        <v>0</v>
      </c>
      <c r="K461" s="5">
        <v>0</v>
      </c>
      <c r="L461" s="5">
        <v>0</v>
      </c>
      <c r="M461" s="5">
        <v>0</v>
      </c>
      <c r="N461" s="5">
        <v>0</v>
      </c>
      <c r="O461" s="5">
        <v>0</v>
      </c>
      <c r="P461" s="5">
        <v>0</v>
      </c>
      <c r="Q461" s="5">
        <v>0</v>
      </c>
      <c r="R461" s="5">
        <v>0</v>
      </c>
      <c r="S461" s="5">
        <v>0</v>
      </c>
      <c r="T461" s="5">
        <v>0</v>
      </c>
      <c r="U461" s="5">
        <v>0</v>
      </c>
      <c r="V461" s="5">
        <v>0</v>
      </c>
      <c r="W461" s="5">
        <v>0</v>
      </c>
      <c r="X461" s="5">
        <v>0</v>
      </c>
      <c r="Y461" s="5">
        <v>0</v>
      </c>
      <c r="Z461" s="5">
        <v>0</v>
      </c>
      <c r="AA461" s="5">
        <v>0</v>
      </c>
      <c r="AB461" s="5">
        <v>0</v>
      </c>
      <c r="AC461" s="5">
        <v>0</v>
      </c>
      <c r="AD461" s="5">
        <v>0</v>
      </c>
      <c r="AE461" s="5">
        <v>0</v>
      </c>
      <c r="AF461" s="5">
        <v>0</v>
      </c>
      <c r="AG461" s="5">
        <v>0</v>
      </c>
      <c r="AH461" s="5">
        <v>0</v>
      </c>
      <c r="AI461" s="5">
        <v>0</v>
      </c>
      <c r="AJ461" s="5">
        <v>0</v>
      </c>
      <c r="AK461" s="5">
        <v>0</v>
      </c>
      <c r="AL461" s="5">
        <v>0</v>
      </c>
      <c r="AM461" s="5">
        <v>0</v>
      </c>
      <c r="AN461" s="5">
        <v>0</v>
      </c>
      <c r="AO461" s="5">
        <v>0</v>
      </c>
      <c r="AP461" s="816">
        <v>0</v>
      </c>
      <c r="AQ461" s="816">
        <v>0</v>
      </c>
      <c r="AR461" s="5">
        <v>0</v>
      </c>
      <c r="AS461" s="5">
        <v>0</v>
      </c>
      <c r="AT461" s="5">
        <v>16.504000000000001</v>
      </c>
      <c r="AU461" s="5">
        <v>6.9669999999999996</v>
      </c>
      <c r="AV461" s="5">
        <v>13.849</v>
      </c>
      <c r="AW461" s="815">
        <v>7.9539999999999997</v>
      </c>
      <c r="AX461" s="816">
        <v>5.5090000000000003</v>
      </c>
      <c r="AY461" s="819">
        <v>5.84</v>
      </c>
      <c r="AZ461" s="816">
        <v>10.84</v>
      </c>
      <c r="BA461" s="818">
        <v>10.84</v>
      </c>
      <c r="BB461" s="802" t="str" cm="1">
        <f t="array" ref="BB461">INDEX(C$4:BA$4,MATCH(TRUE,INDEX(C461:BA461&lt;&gt;0,),0))</f>
        <v>2021-22</v>
      </c>
      <c r="BC461" s="803" t="str" cm="1">
        <f t="array" ref="BC461">LOOKUP(2,1/(C461:BA461&lt;&gt;0),$C$4:$BA$4)</f>
        <v>2028-29</v>
      </c>
      <c r="BD461" s="804">
        <f>COUNTIF(RDprograms[[#This Row],[1978-79]:[2028-29]], "&gt;0")</f>
        <v>8</v>
      </c>
      <c r="BE461" s="805">
        <f>SUM(C461:BA461)/RDprograms[[#This Row],[Years with &gt; $0 investment]]</f>
        <v>9.7878750000000014</v>
      </c>
      <c r="BF461" s="806" t="s">
        <v>1224</v>
      </c>
      <c r="BG461" s="807" t="s">
        <v>397</v>
      </c>
      <c r="BH461" s="847" t="s">
        <v>241</v>
      </c>
      <c r="BI461" s="809">
        <v>1</v>
      </c>
      <c r="BJ461" s="809">
        <v>1</v>
      </c>
      <c r="BK461" s="809"/>
      <c r="BL461" s="809"/>
      <c r="BM461" s="809">
        <v>1</v>
      </c>
      <c r="BN461" s="810">
        <v>1</v>
      </c>
      <c r="BO461" s="811" t="s">
        <v>236</v>
      </c>
      <c r="BP461" s="812" t="s">
        <v>1225</v>
      </c>
      <c r="BQ461" s="812" t="s">
        <v>1226</v>
      </c>
      <c r="BR461" s="812"/>
      <c r="BS461" s="812" t="s">
        <v>280</v>
      </c>
      <c r="BT461" s="812" t="s">
        <v>238</v>
      </c>
    </row>
    <row r="462" spans="1:72" ht="12.75" customHeight="1">
      <c r="A462" s="813" t="s">
        <v>1119</v>
      </c>
      <c r="B462" s="820" t="s">
        <v>1227</v>
      </c>
      <c r="C462" s="5">
        <v>0</v>
      </c>
      <c r="D462" s="5">
        <v>0</v>
      </c>
      <c r="E462" s="5">
        <v>0</v>
      </c>
      <c r="F462" s="5">
        <v>0</v>
      </c>
      <c r="G462" s="5">
        <v>0</v>
      </c>
      <c r="H462" s="5">
        <v>0</v>
      </c>
      <c r="I462" s="5">
        <v>0</v>
      </c>
      <c r="J462" s="5">
        <v>0</v>
      </c>
      <c r="K462" s="5">
        <v>0</v>
      </c>
      <c r="L462" s="5">
        <v>0</v>
      </c>
      <c r="M462" s="5">
        <v>0</v>
      </c>
      <c r="N462" s="5">
        <v>0</v>
      </c>
      <c r="O462" s="5">
        <v>0</v>
      </c>
      <c r="P462" s="5">
        <v>0</v>
      </c>
      <c r="Q462" s="5">
        <v>0</v>
      </c>
      <c r="R462" s="5">
        <v>0</v>
      </c>
      <c r="S462" s="5">
        <v>0</v>
      </c>
      <c r="T462" s="5">
        <v>0</v>
      </c>
      <c r="U462" s="5">
        <v>0</v>
      </c>
      <c r="V462" s="5">
        <v>0</v>
      </c>
      <c r="W462" s="5">
        <v>0</v>
      </c>
      <c r="X462" s="5">
        <v>0</v>
      </c>
      <c r="Y462" s="5">
        <v>0</v>
      </c>
      <c r="Z462" s="5">
        <v>0</v>
      </c>
      <c r="AA462" s="5">
        <v>0</v>
      </c>
      <c r="AB462" s="5">
        <v>0</v>
      </c>
      <c r="AC462" s="5">
        <v>0</v>
      </c>
      <c r="AD462" s="5">
        <v>0</v>
      </c>
      <c r="AE462" s="5">
        <v>0</v>
      </c>
      <c r="AF462" s="5">
        <v>0</v>
      </c>
      <c r="AG462" s="5">
        <v>0</v>
      </c>
      <c r="AH462" s="5">
        <v>108.14</v>
      </c>
      <c r="AI462" s="5">
        <v>62.9</v>
      </c>
      <c r="AJ462" s="5">
        <v>125.44199999999999</v>
      </c>
      <c r="AK462" s="5">
        <v>47.362000000000002</v>
      </c>
      <c r="AL462" s="5">
        <v>0</v>
      </c>
      <c r="AM462" s="5">
        <v>0.13500000000000001</v>
      </c>
      <c r="AN462" s="5">
        <v>0</v>
      </c>
      <c r="AO462" s="5">
        <v>0</v>
      </c>
      <c r="AP462" s="5">
        <v>0</v>
      </c>
      <c r="AQ462" s="5">
        <v>0</v>
      </c>
      <c r="AR462" s="5">
        <v>0</v>
      </c>
      <c r="AS462" s="5">
        <v>0</v>
      </c>
      <c r="AT462" s="5">
        <v>0</v>
      </c>
      <c r="AU462" s="5">
        <v>0</v>
      </c>
      <c r="AV462" s="5">
        <v>0</v>
      </c>
      <c r="AW462" s="815">
        <v>0</v>
      </c>
      <c r="AX462" s="816">
        <v>0</v>
      </c>
      <c r="AY462" s="819">
        <v>0</v>
      </c>
      <c r="AZ462" s="816"/>
      <c r="BA462" s="818"/>
      <c r="BB462" s="802" t="str" cm="1">
        <f t="array" ref="BB462">INDEX(C$4:BA$4,MATCH(TRUE,INDEX(C462:BA462&lt;&gt;0,),0))</f>
        <v>2009-10</v>
      </c>
      <c r="BC462" s="803" t="str" cm="1">
        <f t="array" ref="BC462">LOOKUP(2,1/(C462:BA462&lt;&gt;0),$C$4:$BA$4)</f>
        <v>2014-15</v>
      </c>
      <c r="BD462" s="804">
        <f>COUNTIF(RDprograms[[#This Row],[1978-79]:[2028-29]], "&gt;0")</f>
        <v>5</v>
      </c>
      <c r="BE462" s="805">
        <f>SUM(C462:BA462)/RDprograms[[#This Row],[Years with &gt; $0 investment]]</f>
        <v>68.7958</v>
      </c>
      <c r="BF462" s="806" t="s">
        <v>233</v>
      </c>
      <c r="BG462" s="807" t="s">
        <v>389</v>
      </c>
      <c r="BH462" s="847" t="s">
        <v>264</v>
      </c>
      <c r="BI462" s="809"/>
      <c r="BJ462" s="809"/>
      <c r="BK462" s="809"/>
      <c r="BL462" s="809"/>
      <c r="BM462" s="809"/>
      <c r="BN462" s="810"/>
      <c r="BO462" s="811" t="s">
        <v>236</v>
      </c>
      <c r="BP462" s="812"/>
      <c r="BQ462" s="812"/>
      <c r="BR462" s="812"/>
      <c r="BS462" s="812"/>
      <c r="BT462" s="812" t="s">
        <v>238</v>
      </c>
    </row>
    <row r="463" spans="1:72" ht="12.75" customHeight="1">
      <c r="A463" s="813" t="s">
        <v>1119</v>
      </c>
      <c r="B463" s="820" t="s">
        <v>1228</v>
      </c>
      <c r="C463" s="5">
        <v>0</v>
      </c>
      <c r="D463" s="5">
        <v>0</v>
      </c>
      <c r="E463" s="5">
        <v>0</v>
      </c>
      <c r="F463" s="5">
        <v>0</v>
      </c>
      <c r="G463" s="5">
        <v>0</v>
      </c>
      <c r="H463" s="5">
        <v>0</v>
      </c>
      <c r="I463" s="5">
        <v>0</v>
      </c>
      <c r="J463" s="5">
        <v>0</v>
      </c>
      <c r="K463" s="5">
        <v>0</v>
      </c>
      <c r="L463" s="5">
        <v>0</v>
      </c>
      <c r="M463" s="5">
        <v>0</v>
      </c>
      <c r="N463" s="5">
        <v>0</v>
      </c>
      <c r="O463" s="5">
        <v>0</v>
      </c>
      <c r="P463" s="5">
        <v>0</v>
      </c>
      <c r="Q463" s="5">
        <v>0</v>
      </c>
      <c r="R463" s="5">
        <v>0</v>
      </c>
      <c r="S463" s="5">
        <v>0</v>
      </c>
      <c r="T463" s="5">
        <v>0</v>
      </c>
      <c r="U463" s="5">
        <v>0</v>
      </c>
      <c r="V463" s="5">
        <v>0</v>
      </c>
      <c r="W463" s="5">
        <v>0</v>
      </c>
      <c r="X463" s="5">
        <v>0</v>
      </c>
      <c r="Y463" s="5">
        <v>0</v>
      </c>
      <c r="Z463" s="5">
        <v>0</v>
      </c>
      <c r="AA463" s="5">
        <v>0</v>
      </c>
      <c r="AB463" s="5">
        <v>0</v>
      </c>
      <c r="AC463" s="5">
        <v>0</v>
      </c>
      <c r="AD463" s="5">
        <v>0</v>
      </c>
      <c r="AE463" s="5">
        <v>0</v>
      </c>
      <c r="AF463" s="5">
        <v>0</v>
      </c>
      <c r="AG463" s="5">
        <v>0</v>
      </c>
      <c r="AH463" s="5">
        <v>0</v>
      </c>
      <c r="AI463" s="5">
        <v>0</v>
      </c>
      <c r="AJ463" s="5">
        <v>0</v>
      </c>
      <c r="AK463" s="5">
        <v>0</v>
      </c>
      <c r="AL463" s="5">
        <v>0</v>
      </c>
      <c r="AM463" s="5">
        <v>0</v>
      </c>
      <c r="AN463" s="5">
        <v>0</v>
      </c>
      <c r="AO463" s="5">
        <v>0</v>
      </c>
      <c r="AP463" s="816">
        <v>70</v>
      </c>
      <c r="AQ463" s="816">
        <v>0</v>
      </c>
      <c r="AR463" s="5">
        <v>0</v>
      </c>
      <c r="AS463" s="5">
        <v>0</v>
      </c>
      <c r="AT463" s="5">
        <v>0</v>
      </c>
      <c r="AU463" s="5">
        <v>0</v>
      </c>
      <c r="AV463" s="5">
        <v>0</v>
      </c>
      <c r="AW463" s="815">
        <v>0</v>
      </c>
      <c r="AX463" s="816">
        <v>0</v>
      </c>
      <c r="AY463" s="819">
        <v>0</v>
      </c>
      <c r="AZ463" s="816"/>
      <c r="BA463" s="818"/>
      <c r="BB463" s="802" t="str" cm="1">
        <f t="array" ref="BB463">INDEX(C$4:BA$4,MATCH(TRUE,INDEX(C463:BA463&lt;&gt;0,),0))</f>
        <v>2017-18</v>
      </c>
      <c r="BC463" s="803" t="str" cm="1">
        <f t="array" ref="BC463">LOOKUP(2,1/(C463:BA463&lt;&gt;0),$C$4:$BA$4)</f>
        <v>2017-18</v>
      </c>
      <c r="BD463" s="804">
        <f>COUNTIF(RDprograms[[#This Row],[1978-79]:[2028-29]], "&gt;0")</f>
        <v>1</v>
      </c>
      <c r="BE463" s="805">
        <f>SUM(C463:BA463)/RDprograms[[#This Row],[Years with &gt; $0 investment]]</f>
        <v>70</v>
      </c>
      <c r="BF463" s="806" t="s">
        <v>273</v>
      </c>
      <c r="BG463" s="807" t="s">
        <v>397</v>
      </c>
      <c r="BH463" s="847" t="s">
        <v>241</v>
      </c>
      <c r="BI463" s="809"/>
      <c r="BJ463" s="809"/>
      <c r="BK463" s="809"/>
      <c r="BL463" s="809"/>
      <c r="BM463" s="809"/>
      <c r="BN463" s="810"/>
      <c r="BO463" s="811" t="s">
        <v>251</v>
      </c>
      <c r="BP463" s="812" t="s">
        <v>1229</v>
      </c>
      <c r="BQ463" s="812" t="s">
        <v>1230</v>
      </c>
      <c r="BR463" s="812" t="s">
        <v>1231</v>
      </c>
      <c r="BS463" s="812"/>
      <c r="BT463" s="812" t="s">
        <v>238</v>
      </c>
    </row>
    <row r="464" spans="1:72" ht="12.75" customHeight="1">
      <c r="A464" s="813" t="s">
        <v>1119</v>
      </c>
      <c r="B464" s="820" t="s">
        <v>1232</v>
      </c>
      <c r="C464" s="5">
        <v>0</v>
      </c>
      <c r="D464" s="5">
        <v>0</v>
      </c>
      <c r="E464" s="5">
        <v>0</v>
      </c>
      <c r="F464" s="5">
        <v>0</v>
      </c>
      <c r="G464" s="5">
        <v>0</v>
      </c>
      <c r="H464" s="5">
        <v>0</v>
      </c>
      <c r="I464" s="5">
        <v>0</v>
      </c>
      <c r="J464" s="5">
        <v>0</v>
      </c>
      <c r="K464" s="5">
        <v>0</v>
      </c>
      <c r="L464" s="5">
        <v>0</v>
      </c>
      <c r="M464" s="5">
        <v>0</v>
      </c>
      <c r="N464" s="5">
        <v>0</v>
      </c>
      <c r="O464" s="5">
        <v>0</v>
      </c>
      <c r="P464" s="5">
        <v>0</v>
      </c>
      <c r="Q464" s="5">
        <v>0</v>
      </c>
      <c r="R464" s="5">
        <v>0</v>
      </c>
      <c r="S464" s="5">
        <v>0</v>
      </c>
      <c r="T464" s="5">
        <v>0</v>
      </c>
      <c r="U464" s="5">
        <v>0</v>
      </c>
      <c r="V464" s="5">
        <v>0</v>
      </c>
      <c r="W464" s="5">
        <v>0</v>
      </c>
      <c r="X464" s="5">
        <v>0</v>
      </c>
      <c r="Y464" s="5">
        <v>0</v>
      </c>
      <c r="Z464" s="5">
        <v>0</v>
      </c>
      <c r="AA464" s="5">
        <v>10.3</v>
      </c>
      <c r="AB464" s="5">
        <v>11.3</v>
      </c>
      <c r="AC464" s="5">
        <v>17.2</v>
      </c>
      <c r="AD464" s="5">
        <v>23.5</v>
      </c>
      <c r="AE464" s="5">
        <v>23.97</v>
      </c>
      <c r="AF464" s="5">
        <v>26.849</v>
      </c>
      <c r="AG464" s="5">
        <v>27.338000000000001</v>
      </c>
      <c r="AH464" s="5">
        <v>25.437000000000001</v>
      </c>
      <c r="AI464" s="5">
        <v>25.946000000000002</v>
      </c>
      <c r="AJ464" s="5">
        <v>25</v>
      </c>
      <c r="AK464" s="5">
        <v>23.75</v>
      </c>
      <c r="AL464" s="5">
        <v>22.562999999999999</v>
      </c>
      <c r="AM464" s="5">
        <v>21.434999999999999</v>
      </c>
      <c r="AN464" s="5">
        <v>21</v>
      </c>
      <c r="AO464" s="5">
        <v>0</v>
      </c>
      <c r="AP464" s="816">
        <v>0</v>
      </c>
      <c r="AQ464" s="816">
        <v>0</v>
      </c>
      <c r="AR464" s="5">
        <v>0</v>
      </c>
      <c r="AS464" s="5">
        <v>0</v>
      </c>
      <c r="AT464" s="5">
        <v>0</v>
      </c>
      <c r="AU464" s="5">
        <v>0</v>
      </c>
      <c r="AV464" s="5">
        <v>0</v>
      </c>
      <c r="AW464" s="815">
        <v>0</v>
      </c>
      <c r="AX464" s="816">
        <v>0</v>
      </c>
      <c r="AY464" s="819">
        <v>0</v>
      </c>
      <c r="AZ464" s="816"/>
      <c r="BA464" s="818"/>
      <c r="BB464" s="802" t="str" cm="1">
        <f t="array" ref="BB464">INDEX(C$4:BA$4,MATCH(TRUE,INDEX(C464:BA464&lt;&gt;0,),0))</f>
        <v>2002-03</v>
      </c>
      <c r="BC464" s="803" t="str" cm="1">
        <f t="array" ref="BC464">LOOKUP(2,1/(C464:BA464&lt;&gt;0),$C$4:$BA$4)</f>
        <v>2015-16</v>
      </c>
      <c r="BD464" s="804">
        <f>COUNTIF(RDprograms[[#This Row],[1978-79]:[2028-29]], "&gt;0")</f>
        <v>14</v>
      </c>
      <c r="BE464" s="805">
        <f>SUM(C464:BA464)/RDprograms[[#This Row],[Years with &gt; $0 investment]]</f>
        <v>21.827714285714286</v>
      </c>
      <c r="BF464" s="806" t="s">
        <v>273</v>
      </c>
      <c r="BG464" s="807" t="s">
        <v>389</v>
      </c>
      <c r="BH464" s="847" t="s">
        <v>241</v>
      </c>
      <c r="BI464" s="809"/>
      <c r="BJ464" s="809"/>
      <c r="BK464" s="809"/>
      <c r="BL464" s="809"/>
      <c r="BM464" s="809"/>
      <c r="BN464" s="810"/>
      <c r="BO464" s="811" t="s">
        <v>236</v>
      </c>
      <c r="BP464" s="812" t="s">
        <v>1233</v>
      </c>
      <c r="BQ464" s="812"/>
      <c r="BR464" s="812"/>
      <c r="BS464" s="812"/>
      <c r="BT464" s="812" t="s">
        <v>238</v>
      </c>
    </row>
    <row r="465" spans="1:72" ht="12.75" customHeight="1">
      <c r="A465" s="813" t="s">
        <v>1119</v>
      </c>
      <c r="B465" s="820" t="s">
        <v>1234</v>
      </c>
      <c r="C465" s="5">
        <v>0</v>
      </c>
      <c r="D465" s="5">
        <v>0</v>
      </c>
      <c r="E465" s="5">
        <v>0</v>
      </c>
      <c r="F465" s="5">
        <v>0</v>
      </c>
      <c r="G465" s="5">
        <v>0</v>
      </c>
      <c r="H465" s="5">
        <v>0</v>
      </c>
      <c r="I465" s="5">
        <v>0</v>
      </c>
      <c r="J465" s="5">
        <v>0</v>
      </c>
      <c r="K465" s="5">
        <v>0</v>
      </c>
      <c r="L465" s="5">
        <v>0</v>
      </c>
      <c r="M465" s="5">
        <v>0</v>
      </c>
      <c r="N465" s="5">
        <v>0</v>
      </c>
      <c r="O465" s="5">
        <v>0</v>
      </c>
      <c r="P465" s="5">
        <v>0</v>
      </c>
      <c r="Q465" s="5">
        <v>0</v>
      </c>
      <c r="R465" s="5">
        <v>0</v>
      </c>
      <c r="S465" s="5">
        <v>0</v>
      </c>
      <c r="T465" s="5">
        <v>0</v>
      </c>
      <c r="U465" s="5">
        <v>0</v>
      </c>
      <c r="V465" s="5">
        <v>0</v>
      </c>
      <c r="W465" s="5">
        <v>0</v>
      </c>
      <c r="X465" s="5">
        <v>0</v>
      </c>
      <c r="Y465" s="5">
        <v>0</v>
      </c>
      <c r="Z465" s="5">
        <v>0</v>
      </c>
      <c r="AA465" s="5">
        <v>0</v>
      </c>
      <c r="AB465" s="5">
        <v>0</v>
      </c>
      <c r="AC465" s="5">
        <v>0</v>
      </c>
      <c r="AD465" s="5">
        <v>1.921</v>
      </c>
      <c r="AE465" s="5">
        <v>3.7</v>
      </c>
      <c r="AF465" s="5">
        <v>4.5259999999999998</v>
      </c>
      <c r="AG465" s="5">
        <v>5.2249999999999996</v>
      </c>
      <c r="AH465" s="5">
        <v>4.21</v>
      </c>
      <c r="AI465" s="5">
        <v>1.4</v>
      </c>
      <c r="AJ465" s="5">
        <v>0</v>
      </c>
      <c r="AK465" s="5">
        <v>0</v>
      </c>
      <c r="AL465" s="5">
        <v>0</v>
      </c>
      <c r="AM465" s="5">
        <v>0</v>
      </c>
      <c r="AN465" s="5">
        <v>0</v>
      </c>
      <c r="AO465" s="5">
        <v>0</v>
      </c>
      <c r="AP465" s="5">
        <v>0</v>
      </c>
      <c r="AQ465" s="5">
        <v>0</v>
      </c>
      <c r="AR465" s="5">
        <v>0</v>
      </c>
      <c r="AS465" s="5">
        <v>0</v>
      </c>
      <c r="AT465" s="5">
        <v>0</v>
      </c>
      <c r="AU465" s="5">
        <v>0</v>
      </c>
      <c r="AV465" s="5">
        <v>0</v>
      </c>
      <c r="AW465" s="815">
        <v>0</v>
      </c>
      <c r="AX465" s="816">
        <v>0</v>
      </c>
      <c r="AY465" s="819">
        <v>0</v>
      </c>
      <c r="AZ465" s="816"/>
      <c r="BA465" s="818"/>
      <c r="BB465" s="802" t="str" cm="1">
        <f t="array" ref="BB465">INDEX(C$4:BA$4,MATCH(TRUE,INDEX(C465:BA465&lt;&gt;0,),0))</f>
        <v>2005-06</v>
      </c>
      <c r="BC465" s="803" t="str" cm="1">
        <f t="array" ref="BC465">LOOKUP(2,1/(C465:BA465&lt;&gt;0),$C$4:$BA$4)</f>
        <v>2010-11</v>
      </c>
      <c r="BD465" s="804">
        <f>COUNTIF(RDprograms[[#This Row],[1978-79]:[2028-29]], "&gt;0")</f>
        <v>6</v>
      </c>
      <c r="BE465" s="805">
        <f>SUM(C465:BA465)/RDprograms[[#This Row],[Years with &gt; $0 investment]]</f>
        <v>3.4969999999999999</v>
      </c>
      <c r="BF465" s="806" t="s">
        <v>249</v>
      </c>
      <c r="BG465" s="807" t="s">
        <v>389</v>
      </c>
      <c r="BH465" s="847" t="s">
        <v>264</v>
      </c>
      <c r="BI465" s="809"/>
      <c r="BJ465" s="809"/>
      <c r="BK465" s="809"/>
      <c r="BL465" s="809"/>
      <c r="BM465" s="809"/>
      <c r="BN465" s="810"/>
      <c r="BO465" s="811" t="s">
        <v>236</v>
      </c>
      <c r="BP465" s="812"/>
      <c r="BQ465" s="812"/>
      <c r="BR465" s="812"/>
      <c r="BS465" s="812"/>
      <c r="BT465" s="812" t="s">
        <v>238</v>
      </c>
    </row>
    <row r="466" spans="1:72" ht="12.75" customHeight="1">
      <c r="A466" s="813" t="s">
        <v>1119</v>
      </c>
      <c r="B466" s="820" t="s">
        <v>1235</v>
      </c>
      <c r="C466" s="5">
        <v>0</v>
      </c>
      <c r="D466" s="5">
        <v>0</v>
      </c>
      <c r="E466" s="5">
        <v>0</v>
      </c>
      <c r="F466" s="5">
        <v>0</v>
      </c>
      <c r="G466" s="5">
        <v>0</v>
      </c>
      <c r="H466" s="5">
        <v>0</v>
      </c>
      <c r="I466" s="5">
        <v>0</v>
      </c>
      <c r="J466" s="5">
        <v>0</v>
      </c>
      <c r="K466" s="5">
        <v>0</v>
      </c>
      <c r="L466" s="5">
        <v>0</v>
      </c>
      <c r="M466" s="5">
        <v>0</v>
      </c>
      <c r="N466" s="5">
        <v>0</v>
      </c>
      <c r="O466" s="5">
        <v>0</v>
      </c>
      <c r="P466" s="5">
        <v>0</v>
      </c>
      <c r="Q466" s="5">
        <v>0</v>
      </c>
      <c r="R466" s="5">
        <v>0</v>
      </c>
      <c r="S466" s="5">
        <v>0</v>
      </c>
      <c r="T466" s="5">
        <v>0</v>
      </c>
      <c r="U466" s="5">
        <v>0</v>
      </c>
      <c r="V466" s="5">
        <v>0</v>
      </c>
      <c r="W466" s="5">
        <v>0</v>
      </c>
      <c r="X466" s="5">
        <v>0</v>
      </c>
      <c r="Y466" s="5">
        <v>0</v>
      </c>
      <c r="Z466" s="5">
        <v>0</v>
      </c>
      <c r="AA466" s="5">
        <v>0</v>
      </c>
      <c r="AB466" s="5">
        <v>0</v>
      </c>
      <c r="AC466" s="5">
        <v>0</v>
      </c>
      <c r="AD466" s="5">
        <v>0</v>
      </c>
      <c r="AE466" s="5">
        <v>0</v>
      </c>
      <c r="AF466" s="5">
        <v>0</v>
      </c>
      <c r="AG466" s="5">
        <v>0</v>
      </c>
      <c r="AH466" s="5">
        <v>0</v>
      </c>
      <c r="AI466" s="5">
        <v>0</v>
      </c>
      <c r="AJ466" s="5">
        <v>0</v>
      </c>
      <c r="AK466" s="5">
        <v>0</v>
      </c>
      <c r="AL466" s="5">
        <v>0</v>
      </c>
      <c r="AM466" s="5">
        <v>0</v>
      </c>
      <c r="AN466" s="5">
        <v>1.75</v>
      </c>
      <c r="AO466" s="5">
        <v>4</v>
      </c>
      <c r="AP466" s="816">
        <v>10.75</v>
      </c>
      <c r="AQ466" s="816">
        <v>5.5</v>
      </c>
      <c r="AR466" s="5">
        <v>1.25</v>
      </c>
      <c r="AS466" s="5">
        <v>0</v>
      </c>
      <c r="AT466" s="5">
        <v>0</v>
      </c>
      <c r="AU466" s="5">
        <v>0</v>
      </c>
      <c r="AV466" s="5">
        <v>0</v>
      </c>
      <c r="AW466" s="815">
        <v>0</v>
      </c>
      <c r="AX466" s="816">
        <v>0</v>
      </c>
      <c r="AY466" s="819">
        <v>0</v>
      </c>
      <c r="AZ466" s="816"/>
      <c r="BA466" s="818"/>
      <c r="BB466" s="802" t="str" cm="1">
        <f t="array" ref="BB466">INDEX(C$4:BA$4,MATCH(TRUE,INDEX(C466:BA466&lt;&gt;0,),0))</f>
        <v>2015-16</v>
      </c>
      <c r="BC466" s="803" t="str" cm="1">
        <f t="array" ref="BC466">LOOKUP(2,1/(C466:BA466&lt;&gt;0),$C$4:$BA$4)</f>
        <v>2019-20</v>
      </c>
      <c r="BD466" s="804">
        <f>COUNTIF(RDprograms[[#This Row],[1978-79]:[2028-29]], "&gt;0")</f>
        <v>5</v>
      </c>
      <c r="BE466" s="805">
        <f>SUM(C466:BA466)/RDprograms[[#This Row],[Years with &gt; $0 investment]]</f>
        <v>4.6500000000000004</v>
      </c>
      <c r="BF466" s="806" t="s">
        <v>233</v>
      </c>
      <c r="BG466" s="807" t="s">
        <v>389</v>
      </c>
      <c r="BH466" s="847" t="s">
        <v>264</v>
      </c>
      <c r="BI466" s="809"/>
      <c r="BJ466" s="809"/>
      <c r="BK466" s="809"/>
      <c r="BL466" s="809"/>
      <c r="BM466" s="809"/>
      <c r="BN466" s="810"/>
      <c r="BO466" s="811" t="s">
        <v>236</v>
      </c>
      <c r="BP466" s="812" t="s">
        <v>1236</v>
      </c>
      <c r="BQ466" s="812" t="s">
        <v>1237</v>
      </c>
      <c r="BR466" s="812"/>
      <c r="BS466" s="812"/>
      <c r="BT466" s="812" t="s">
        <v>238</v>
      </c>
    </row>
    <row r="467" spans="1:72" ht="12.75" customHeight="1">
      <c r="A467" s="813" t="s">
        <v>1119</v>
      </c>
      <c r="B467" s="820" t="s">
        <v>1238</v>
      </c>
      <c r="C467" s="5">
        <v>0</v>
      </c>
      <c r="D467" s="5">
        <v>0</v>
      </c>
      <c r="E467" s="5">
        <v>0</v>
      </c>
      <c r="F467" s="5">
        <v>0</v>
      </c>
      <c r="G467" s="5">
        <v>0</v>
      </c>
      <c r="H467" s="5">
        <v>0</v>
      </c>
      <c r="I467" s="5">
        <v>0</v>
      </c>
      <c r="J467" s="5">
        <v>0</v>
      </c>
      <c r="K467" s="5">
        <v>0</v>
      </c>
      <c r="L467" s="5">
        <v>0</v>
      </c>
      <c r="M467" s="5">
        <v>0</v>
      </c>
      <c r="N467" s="5">
        <v>0</v>
      </c>
      <c r="O467" s="5">
        <v>0</v>
      </c>
      <c r="P467" s="5">
        <v>0</v>
      </c>
      <c r="Q467" s="5">
        <v>0</v>
      </c>
      <c r="R467" s="5">
        <v>0</v>
      </c>
      <c r="S467" s="5">
        <v>0</v>
      </c>
      <c r="T467" s="5">
        <v>0</v>
      </c>
      <c r="U467" s="5">
        <v>0</v>
      </c>
      <c r="V467" s="5">
        <v>0</v>
      </c>
      <c r="W467" s="5">
        <v>0</v>
      </c>
      <c r="X467" s="5">
        <v>154.9</v>
      </c>
      <c r="Y467" s="5">
        <v>155.30000000000001</v>
      </c>
      <c r="Z467" s="5">
        <v>207</v>
      </c>
      <c r="AA467" s="5">
        <v>115.5</v>
      </c>
      <c r="AB467" s="5">
        <v>132.80000000000001</v>
      </c>
      <c r="AC467" s="5">
        <v>0</v>
      </c>
      <c r="AD467" s="5">
        <v>0</v>
      </c>
      <c r="AE467" s="5">
        <v>0</v>
      </c>
      <c r="AF467" s="5">
        <v>0</v>
      </c>
      <c r="AG467" s="5">
        <v>0</v>
      </c>
      <c r="AH467" s="5">
        <v>0</v>
      </c>
      <c r="AI467" s="5">
        <v>0</v>
      </c>
      <c r="AJ467" s="5">
        <v>0</v>
      </c>
      <c r="AK467" s="5">
        <v>0</v>
      </c>
      <c r="AL467" s="5">
        <v>0</v>
      </c>
      <c r="AM467" s="5">
        <v>0</v>
      </c>
      <c r="AN467" s="5">
        <v>0</v>
      </c>
      <c r="AO467" s="5">
        <v>0</v>
      </c>
      <c r="AP467" s="5">
        <v>0</v>
      </c>
      <c r="AQ467" s="5">
        <v>0</v>
      </c>
      <c r="AR467" s="5">
        <v>0</v>
      </c>
      <c r="AS467" s="5">
        <v>0</v>
      </c>
      <c r="AT467" s="5">
        <v>0</v>
      </c>
      <c r="AU467" s="5">
        <v>0</v>
      </c>
      <c r="AV467" s="5">
        <v>0</v>
      </c>
      <c r="AW467" s="815">
        <v>0</v>
      </c>
      <c r="AX467" s="816">
        <v>0</v>
      </c>
      <c r="AY467" s="819">
        <v>0</v>
      </c>
      <c r="AZ467" s="816"/>
      <c r="BA467" s="818"/>
      <c r="BB467" s="802" t="str" cm="1">
        <f t="array" ref="BB467">INDEX(C$4:BA$4,MATCH(TRUE,INDEX(C467:BA467&lt;&gt;0,),0))</f>
        <v>1999-00</v>
      </c>
      <c r="BC467" s="803" t="str" cm="1">
        <f t="array" ref="BC467">LOOKUP(2,1/(C467:BA467&lt;&gt;0),$C$4:$BA$4)</f>
        <v>2003-04</v>
      </c>
      <c r="BD467" s="804">
        <f>COUNTIF(RDprograms[[#This Row],[1978-79]:[2028-29]], "&gt;0")</f>
        <v>5</v>
      </c>
      <c r="BE467" s="805">
        <f>SUM(C467:BA467)/RDprograms[[#This Row],[Years with &gt; $0 investment]]</f>
        <v>153.1</v>
      </c>
      <c r="BF467" s="806" t="s">
        <v>273</v>
      </c>
      <c r="BG467" s="807" t="s">
        <v>389</v>
      </c>
      <c r="BH467" s="847" t="s">
        <v>264</v>
      </c>
      <c r="BI467" s="809"/>
      <c r="BJ467" s="809"/>
      <c r="BK467" s="809"/>
      <c r="BL467" s="809"/>
      <c r="BM467" s="809"/>
      <c r="BN467" s="810"/>
      <c r="BO467" s="811" t="s">
        <v>236</v>
      </c>
      <c r="BP467" s="812"/>
      <c r="BQ467" s="812"/>
      <c r="BR467" s="812"/>
      <c r="BS467" s="812"/>
      <c r="BT467" s="812" t="s">
        <v>238</v>
      </c>
    </row>
    <row r="468" spans="1:72" ht="12.75" customHeight="1">
      <c r="A468" s="813" t="s">
        <v>1119</v>
      </c>
      <c r="B468" s="820" t="s">
        <v>1239</v>
      </c>
      <c r="C468" s="5">
        <v>0</v>
      </c>
      <c r="D468" s="5">
        <v>0</v>
      </c>
      <c r="E468" s="5">
        <v>0</v>
      </c>
      <c r="F468" s="5">
        <v>0</v>
      </c>
      <c r="G468" s="5">
        <v>0</v>
      </c>
      <c r="H468" s="5">
        <v>0</v>
      </c>
      <c r="I468" s="5">
        <v>0</v>
      </c>
      <c r="J468" s="5">
        <v>0</v>
      </c>
      <c r="K468" s="5">
        <v>0</v>
      </c>
      <c r="L468" s="5">
        <v>0</v>
      </c>
      <c r="M468" s="5">
        <v>0</v>
      </c>
      <c r="N468" s="5">
        <v>0</v>
      </c>
      <c r="O468" s="5">
        <v>0</v>
      </c>
      <c r="P468" s="5">
        <v>0</v>
      </c>
      <c r="Q468" s="5">
        <v>43.5</v>
      </c>
      <c r="R468" s="5">
        <v>40.299999999999997</v>
      </c>
      <c r="S468" s="5">
        <v>45.6</v>
      </c>
      <c r="T468" s="5">
        <v>50.4</v>
      </c>
      <c r="U468" s="5">
        <v>62.4</v>
      </c>
      <c r="V468" s="5">
        <v>102.7</v>
      </c>
      <c r="W468" s="5">
        <v>130.69999999999999</v>
      </c>
      <c r="X468" s="5">
        <v>0</v>
      </c>
      <c r="Y468" s="5">
        <v>0</v>
      </c>
      <c r="Z468" s="5">
        <v>0</v>
      </c>
      <c r="AA468" s="5">
        <v>0</v>
      </c>
      <c r="AB468" s="5">
        <v>0</v>
      </c>
      <c r="AC468" s="5">
        <v>0</v>
      </c>
      <c r="AD468" s="5">
        <v>0</v>
      </c>
      <c r="AE468" s="5">
        <v>0</v>
      </c>
      <c r="AF468" s="5">
        <v>0</v>
      </c>
      <c r="AG468" s="5">
        <v>0</v>
      </c>
      <c r="AH468" s="5">
        <v>0</v>
      </c>
      <c r="AI468" s="5">
        <v>0</v>
      </c>
      <c r="AJ468" s="5">
        <v>0</v>
      </c>
      <c r="AK468" s="5">
        <v>0</v>
      </c>
      <c r="AL468" s="5">
        <v>0</v>
      </c>
      <c r="AM468" s="5">
        <v>0</v>
      </c>
      <c r="AN468" s="5">
        <v>0</v>
      </c>
      <c r="AO468" s="5">
        <v>0</v>
      </c>
      <c r="AP468" s="5">
        <v>0</v>
      </c>
      <c r="AQ468" s="5">
        <v>0</v>
      </c>
      <c r="AR468" s="5">
        <v>0</v>
      </c>
      <c r="AS468" s="5">
        <v>0</v>
      </c>
      <c r="AT468" s="5">
        <v>0</v>
      </c>
      <c r="AU468" s="5">
        <v>0</v>
      </c>
      <c r="AV468" s="5">
        <v>0</v>
      </c>
      <c r="AW468" s="815">
        <v>0</v>
      </c>
      <c r="AX468" s="816">
        <v>0</v>
      </c>
      <c r="AY468" s="819">
        <v>0</v>
      </c>
      <c r="AZ468" s="816"/>
      <c r="BA468" s="818"/>
      <c r="BB468" s="802" t="str" cm="1">
        <f t="array" ref="BB468">INDEX(C$4:BA$4,MATCH(TRUE,INDEX(C468:BA468&lt;&gt;0,),0))</f>
        <v>1992-93</v>
      </c>
      <c r="BC468" s="803" t="str" cm="1">
        <f t="array" ref="BC468">LOOKUP(2,1/(C468:BA468&lt;&gt;0),$C$4:$BA$4)</f>
        <v>1998-99</v>
      </c>
      <c r="BD468" s="804">
        <f>COUNTIF(RDprograms[[#This Row],[1978-79]:[2028-29]], "&gt;0")</f>
        <v>7</v>
      </c>
      <c r="BE468" s="805">
        <f>SUM(C468:BA468)/RDprograms[[#This Row],[Years with &gt; $0 investment]]</f>
        <v>67.94285714285715</v>
      </c>
      <c r="BF468" s="806" t="s">
        <v>273</v>
      </c>
      <c r="BG468" s="807" t="s">
        <v>389</v>
      </c>
      <c r="BH468" s="847" t="s">
        <v>264</v>
      </c>
      <c r="BI468" s="809"/>
      <c r="BJ468" s="809"/>
      <c r="BK468" s="809"/>
      <c r="BL468" s="809"/>
      <c r="BM468" s="809"/>
      <c r="BN468" s="810"/>
      <c r="BO468" s="811" t="s">
        <v>236</v>
      </c>
      <c r="BP468" s="812"/>
      <c r="BQ468" s="812"/>
      <c r="BR468" s="812"/>
      <c r="BS468" s="812"/>
      <c r="BT468" s="812" t="s">
        <v>238</v>
      </c>
    </row>
    <row r="469" spans="1:72" ht="12.75" customHeight="1">
      <c r="A469" s="813" t="s">
        <v>1119</v>
      </c>
      <c r="B469" s="820" t="s">
        <v>1240</v>
      </c>
      <c r="C469" s="5">
        <v>0</v>
      </c>
      <c r="D469" s="5">
        <v>0</v>
      </c>
      <c r="E469" s="5">
        <v>0</v>
      </c>
      <c r="F469" s="5">
        <v>0</v>
      </c>
      <c r="G469" s="5">
        <v>0</v>
      </c>
      <c r="H469" s="5">
        <v>0</v>
      </c>
      <c r="I469" s="5">
        <v>0</v>
      </c>
      <c r="J469" s="5">
        <v>0</v>
      </c>
      <c r="K469" s="5">
        <v>0</v>
      </c>
      <c r="L469" s="5">
        <v>0</v>
      </c>
      <c r="M469" s="5">
        <v>0</v>
      </c>
      <c r="N469" s="5">
        <v>0</v>
      </c>
      <c r="O469" s="5">
        <v>0</v>
      </c>
      <c r="P469" s="5">
        <v>0</v>
      </c>
      <c r="Q469" s="5">
        <v>0</v>
      </c>
      <c r="R469" s="5">
        <v>0</v>
      </c>
      <c r="S469" s="5">
        <v>0</v>
      </c>
      <c r="T469" s="5">
        <v>0</v>
      </c>
      <c r="U469" s="5">
        <v>0</v>
      </c>
      <c r="V469" s="5">
        <v>0</v>
      </c>
      <c r="W469" s="5">
        <v>0</v>
      </c>
      <c r="X469" s="5">
        <v>1.9</v>
      </c>
      <c r="Y469" s="5">
        <v>1.4</v>
      </c>
      <c r="Z469" s="5">
        <v>0.8</v>
      </c>
      <c r="AA469" s="5">
        <v>2.2999999999999998</v>
      </c>
      <c r="AB469" s="5">
        <v>2.2000000000000002</v>
      </c>
      <c r="AC469" s="5">
        <v>1.9</v>
      </c>
      <c r="AD469" s="5">
        <v>2.2000000000000002</v>
      </c>
      <c r="AE469" s="5">
        <v>1.3</v>
      </c>
      <c r="AF469" s="5">
        <v>0</v>
      </c>
      <c r="AG469" s="5">
        <v>0</v>
      </c>
      <c r="AH469" s="5">
        <v>0</v>
      </c>
      <c r="AI469" s="5">
        <v>0</v>
      </c>
      <c r="AJ469" s="5">
        <v>0</v>
      </c>
      <c r="AK469" s="5">
        <v>0</v>
      </c>
      <c r="AL469" s="5">
        <v>0</v>
      </c>
      <c r="AM469" s="5">
        <v>0</v>
      </c>
      <c r="AN469" s="5">
        <v>0</v>
      </c>
      <c r="AO469" s="5">
        <v>0</v>
      </c>
      <c r="AP469" s="816">
        <v>0</v>
      </c>
      <c r="AQ469" s="816">
        <v>0</v>
      </c>
      <c r="AR469" s="5">
        <v>0</v>
      </c>
      <c r="AS469" s="5">
        <v>0</v>
      </c>
      <c r="AT469" s="5">
        <v>0</v>
      </c>
      <c r="AU469" s="5">
        <v>0</v>
      </c>
      <c r="AV469" s="5">
        <v>0</v>
      </c>
      <c r="AW469" s="815">
        <v>0</v>
      </c>
      <c r="AX469" s="816">
        <v>0</v>
      </c>
      <c r="AY469" s="819">
        <v>0</v>
      </c>
      <c r="AZ469" s="816"/>
      <c r="BA469" s="818"/>
      <c r="BB469" s="802" t="str" cm="1">
        <f t="array" ref="BB469">INDEX(C$4:BA$4,MATCH(TRUE,INDEX(C469:BA469&lt;&gt;0,),0))</f>
        <v>1999-00</v>
      </c>
      <c r="BC469" s="803" t="str" cm="1">
        <f t="array" ref="BC469">LOOKUP(2,1/(C469:BA469&lt;&gt;0),$C$4:$BA$4)</f>
        <v>2006-07</v>
      </c>
      <c r="BD469" s="804">
        <f>COUNTIF(RDprograms[[#This Row],[1978-79]:[2028-29]], "&gt;0")</f>
        <v>8</v>
      </c>
      <c r="BE469" s="805">
        <f>SUM(C469:BA469)/RDprograms[[#This Row],[Years with &gt; $0 investment]]</f>
        <v>1.75</v>
      </c>
      <c r="BF469" s="806" t="s">
        <v>249</v>
      </c>
      <c r="BG469" s="807" t="s">
        <v>510</v>
      </c>
      <c r="BH469" s="847" t="s">
        <v>264</v>
      </c>
      <c r="BI469" s="809"/>
      <c r="BJ469" s="809"/>
      <c r="BK469" s="809"/>
      <c r="BL469" s="809"/>
      <c r="BM469" s="809"/>
      <c r="BN469" s="810"/>
      <c r="BO469" s="811" t="s">
        <v>236</v>
      </c>
      <c r="BP469" s="812"/>
      <c r="BQ469" s="812"/>
      <c r="BR469" s="812"/>
      <c r="BS469" s="812"/>
      <c r="BT469" s="812" t="s">
        <v>238</v>
      </c>
    </row>
    <row r="470" spans="1:72" ht="12.75" customHeight="1">
      <c r="A470" s="813" t="s">
        <v>1119</v>
      </c>
      <c r="B470" s="820" t="s">
        <v>1241</v>
      </c>
      <c r="C470" s="5">
        <v>0</v>
      </c>
      <c r="D470" s="5">
        <v>0</v>
      </c>
      <c r="E470" s="5">
        <v>0</v>
      </c>
      <c r="F470" s="5">
        <v>0</v>
      </c>
      <c r="G470" s="5">
        <v>0</v>
      </c>
      <c r="H470" s="5">
        <v>0</v>
      </c>
      <c r="I470" s="5">
        <v>0</v>
      </c>
      <c r="J470" s="5">
        <v>0</v>
      </c>
      <c r="K470" s="5">
        <v>0</v>
      </c>
      <c r="L470" s="5">
        <v>0</v>
      </c>
      <c r="M470" s="5">
        <v>0</v>
      </c>
      <c r="N470" s="5">
        <v>0</v>
      </c>
      <c r="O470" s="5">
        <v>0</v>
      </c>
      <c r="P470" s="5">
        <v>0</v>
      </c>
      <c r="Q470" s="5">
        <v>0</v>
      </c>
      <c r="R470" s="5">
        <v>0</v>
      </c>
      <c r="S470" s="5">
        <v>0</v>
      </c>
      <c r="T470" s="5">
        <v>0</v>
      </c>
      <c r="U470" s="5">
        <v>0</v>
      </c>
      <c r="V470" s="5">
        <v>0</v>
      </c>
      <c r="W470" s="5">
        <v>0</v>
      </c>
      <c r="X470" s="5">
        <v>0</v>
      </c>
      <c r="Y470" s="5">
        <v>0</v>
      </c>
      <c r="Z470" s="5">
        <v>0</v>
      </c>
      <c r="AA470" s="5">
        <v>5</v>
      </c>
      <c r="AB470" s="5">
        <v>11</v>
      </c>
      <c r="AC470" s="5">
        <v>2.1</v>
      </c>
      <c r="AD470" s="5">
        <v>0</v>
      </c>
      <c r="AE470" s="5">
        <v>0</v>
      </c>
      <c r="AF470" s="5">
        <v>0</v>
      </c>
      <c r="AG470" s="5">
        <v>0</v>
      </c>
      <c r="AH470" s="5">
        <v>0</v>
      </c>
      <c r="AI470" s="5">
        <v>0</v>
      </c>
      <c r="AJ470" s="5">
        <v>0</v>
      </c>
      <c r="AK470" s="5">
        <v>0</v>
      </c>
      <c r="AL470" s="5">
        <v>0</v>
      </c>
      <c r="AM470" s="5">
        <v>0</v>
      </c>
      <c r="AN470" s="5">
        <v>0</v>
      </c>
      <c r="AO470" s="5">
        <v>0</v>
      </c>
      <c r="AP470" s="5">
        <v>0</v>
      </c>
      <c r="AQ470" s="5">
        <v>0</v>
      </c>
      <c r="AR470" s="5">
        <v>0</v>
      </c>
      <c r="AS470" s="5">
        <v>0</v>
      </c>
      <c r="AT470" s="5">
        <v>0</v>
      </c>
      <c r="AU470" s="5">
        <v>0</v>
      </c>
      <c r="AV470" s="5">
        <v>0</v>
      </c>
      <c r="AW470" s="815">
        <v>0</v>
      </c>
      <c r="AX470" s="816">
        <v>0</v>
      </c>
      <c r="AY470" s="819">
        <v>0</v>
      </c>
      <c r="AZ470" s="816"/>
      <c r="BA470" s="818"/>
      <c r="BB470" s="802" t="str" cm="1">
        <f t="array" ref="BB470">INDEX(C$4:BA$4,MATCH(TRUE,INDEX(C470:BA470&lt;&gt;0,),0))</f>
        <v>2002-03</v>
      </c>
      <c r="BC470" s="803" t="str" cm="1">
        <f t="array" ref="BC470">LOOKUP(2,1/(C470:BA470&lt;&gt;0),$C$4:$BA$4)</f>
        <v>2004-05</v>
      </c>
      <c r="BD470" s="804">
        <f>COUNTIF(RDprograms[[#This Row],[1978-79]:[2028-29]], "&gt;0")</f>
        <v>3</v>
      </c>
      <c r="BE470" s="805">
        <f>SUM(C470:BA470)/RDprograms[[#This Row],[Years with &gt; $0 investment]]</f>
        <v>6.0333333333333341</v>
      </c>
      <c r="BF470" s="806" t="s">
        <v>273</v>
      </c>
      <c r="BG470" s="807" t="s">
        <v>389</v>
      </c>
      <c r="BH470" s="847" t="s">
        <v>264</v>
      </c>
      <c r="BI470" s="809"/>
      <c r="BJ470" s="809"/>
      <c r="BK470" s="809"/>
      <c r="BL470" s="809"/>
      <c r="BM470" s="809"/>
      <c r="BN470" s="810"/>
      <c r="BO470" s="811" t="s">
        <v>236</v>
      </c>
      <c r="BP470" s="812"/>
      <c r="BQ470" s="812"/>
      <c r="BR470" s="812"/>
      <c r="BS470" s="812"/>
      <c r="BT470" s="812" t="s">
        <v>238</v>
      </c>
    </row>
    <row r="471" spans="1:72" ht="12.75" customHeight="1">
      <c r="A471" s="813" t="s">
        <v>1119</v>
      </c>
      <c r="B471" s="820" t="s">
        <v>1242</v>
      </c>
      <c r="C471" s="5">
        <v>0</v>
      </c>
      <c r="D471" s="5">
        <v>0</v>
      </c>
      <c r="E471" s="5">
        <v>0</v>
      </c>
      <c r="F471" s="5">
        <v>0</v>
      </c>
      <c r="G471" s="5">
        <v>0</v>
      </c>
      <c r="H471" s="5">
        <v>0</v>
      </c>
      <c r="I471" s="5">
        <v>0</v>
      </c>
      <c r="J471" s="5">
        <v>0</v>
      </c>
      <c r="K471" s="5">
        <v>0</v>
      </c>
      <c r="L471" s="5">
        <v>0</v>
      </c>
      <c r="M471" s="5">
        <v>0</v>
      </c>
      <c r="N471" s="5">
        <v>0</v>
      </c>
      <c r="O471" s="5">
        <v>0</v>
      </c>
      <c r="P471" s="5">
        <v>0</v>
      </c>
      <c r="Q471" s="5">
        <v>0</v>
      </c>
      <c r="R471" s="5">
        <v>0</v>
      </c>
      <c r="S471" s="5">
        <v>0</v>
      </c>
      <c r="T471" s="5">
        <v>0</v>
      </c>
      <c r="U471" s="5">
        <v>0</v>
      </c>
      <c r="V471" s="5">
        <v>0</v>
      </c>
      <c r="W471" s="5">
        <v>0</v>
      </c>
      <c r="X471" s="5">
        <v>0</v>
      </c>
      <c r="Y471" s="5">
        <v>0</v>
      </c>
      <c r="Z471" s="5">
        <v>0</v>
      </c>
      <c r="AA471" s="5">
        <v>0</v>
      </c>
      <c r="AB471" s="5">
        <v>0</v>
      </c>
      <c r="AC471" s="5">
        <v>0</v>
      </c>
      <c r="AD471" s="5">
        <v>0</v>
      </c>
      <c r="AE471" s="5">
        <v>0</v>
      </c>
      <c r="AF471" s="5">
        <v>0</v>
      </c>
      <c r="AG471" s="5">
        <v>0</v>
      </c>
      <c r="AH471" s="5">
        <v>0</v>
      </c>
      <c r="AI471" s="5">
        <v>0</v>
      </c>
      <c r="AJ471" s="5">
        <v>0.45</v>
      </c>
      <c r="AK471" s="5">
        <v>0.45</v>
      </c>
      <c r="AL471" s="5">
        <v>0.45</v>
      </c>
      <c r="AM471" s="5">
        <v>0</v>
      </c>
      <c r="AN471" s="5">
        <v>0</v>
      </c>
      <c r="AO471" s="5">
        <v>0</v>
      </c>
      <c r="AP471" s="816">
        <v>0</v>
      </c>
      <c r="AQ471" s="816">
        <v>0</v>
      </c>
      <c r="AR471" s="5">
        <v>0</v>
      </c>
      <c r="AS471" s="5">
        <v>0</v>
      </c>
      <c r="AT471" s="5">
        <v>0</v>
      </c>
      <c r="AU471" s="5">
        <v>0</v>
      </c>
      <c r="AV471" s="5">
        <v>0</v>
      </c>
      <c r="AW471" s="815">
        <v>0</v>
      </c>
      <c r="AX471" s="816">
        <v>0</v>
      </c>
      <c r="AY471" s="819">
        <v>0</v>
      </c>
      <c r="AZ471" s="816"/>
      <c r="BA471" s="818"/>
      <c r="BB471" s="802" t="str" cm="1">
        <f t="array" ref="BB471">INDEX(C$4:BA$4,MATCH(TRUE,INDEX(C471:BA471&lt;&gt;0,),0))</f>
        <v>2011-12</v>
      </c>
      <c r="BC471" s="803" t="str" cm="1">
        <f t="array" ref="BC471">LOOKUP(2,1/(C471:BA471&lt;&gt;0),$C$4:$BA$4)</f>
        <v>2013-14</v>
      </c>
      <c r="BD471" s="804">
        <f>COUNTIF(RDprograms[[#This Row],[1978-79]:[2028-29]], "&gt;0")</f>
        <v>3</v>
      </c>
      <c r="BE471" s="805">
        <f>SUM(C471:BA471)/RDprograms[[#This Row],[Years with &gt; $0 investment]]</f>
        <v>0.45</v>
      </c>
      <c r="BF471" s="806" t="s">
        <v>273</v>
      </c>
      <c r="BG471" s="807" t="s">
        <v>397</v>
      </c>
      <c r="BH471" s="847" t="s">
        <v>269</v>
      </c>
      <c r="BI471" s="809"/>
      <c r="BJ471" s="809"/>
      <c r="BK471" s="809"/>
      <c r="BL471" s="809"/>
      <c r="BM471" s="809"/>
      <c r="BN471" s="810"/>
      <c r="BO471" s="811" t="s">
        <v>251</v>
      </c>
      <c r="BP471" s="812"/>
      <c r="BQ471" s="812"/>
      <c r="BR471" s="812"/>
      <c r="BS471" s="812"/>
      <c r="BT471" s="812" t="s">
        <v>238</v>
      </c>
    </row>
    <row r="472" spans="1:72" ht="12.75" customHeight="1">
      <c r="A472" s="813" t="s">
        <v>1119</v>
      </c>
      <c r="B472" s="820" t="s">
        <v>1243</v>
      </c>
      <c r="C472" s="5">
        <v>0</v>
      </c>
      <c r="D472" s="5">
        <v>0</v>
      </c>
      <c r="E472" s="5">
        <v>0</v>
      </c>
      <c r="F472" s="5">
        <v>0</v>
      </c>
      <c r="G472" s="5">
        <v>0</v>
      </c>
      <c r="H472" s="5">
        <v>0</v>
      </c>
      <c r="I472" s="5">
        <v>0</v>
      </c>
      <c r="J472" s="5">
        <v>0</v>
      </c>
      <c r="K472" s="5">
        <v>0</v>
      </c>
      <c r="L472" s="5">
        <v>0</v>
      </c>
      <c r="M472" s="5">
        <v>0</v>
      </c>
      <c r="N472" s="5">
        <v>0</v>
      </c>
      <c r="O472" s="5">
        <v>0</v>
      </c>
      <c r="P472" s="5">
        <v>0</v>
      </c>
      <c r="Q472" s="5">
        <v>0</v>
      </c>
      <c r="R472" s="5">
        <v>0</v>
      </c>
      <c r="S472" s="5">
        <v>0</v>
      </c>
      <c r="T472" s="5">
        <v>0</v>
      </c>
      <c r="U472" s="5">
        <v>0</v>
      </c>
      <c r="V472" s="5">
        <v>0</v>
      </c>
      <c r="W472" s="5">
        <v>0</v>
      </c>
      <c r="X472" s="5">
        <v>0</v>
      </c>
      <c r="Y472" s="5">
        <v>0</v>
      </c>
      <c r="Z472" s="5">
        <v>0</v>
      </c>
      <c r="AA472" s="5">
        <v>0</v>
      </c>
      <c r="AB472" s="5">
        <v>0</v>
      </c>
      <c r="AC472" s="5">
        <v>0</v>
      </c>
      <c r="AD472" s="5">
        <v>0</v>
      </c>
      <c r="AE472" s="5">
        <v>1</v>
      </c>
      <c r="AF472" s="5">
        <v>3</v>
      </c>
      <c r="AG472" s="5">
        <v>0</v>
      </c>
      <c r="AH472" s="5">
        <v>0</v>
      </c>
      <c r="AI472" s="5">
        <v>0</v>
      </c>
      <c r="AJ472" s="5">
        <v>0</v>
      </c>
      <c r="AK472" s="5">
        <v>0</v>
      </c>
      <c r="AL472" s="5">
        <v>0</v>
      </c>
      <c r="AM472" s="5">
        <v>0</v>
      </c>
      <c r="AN472" s="5">
        <v>0</v>
      </c>
      <c r="AO472" s="5">
        <v>0</v>
      </c>
      <c r="AP472" s="5">
        <v>0</v>
      </c>
      <c r="AQ472" s="5">
        <v>0</v>
      </c>
      <c r="AR472" s="5">
        <v>0</v>
      </c>
      <c r="AS472" s="5">
        <v>0</v>
      </c>
      <c r="AT472" s="5">
        <v>0</v>
      </c>
      <c r="AU472" s="5">
        <v>0</v>
      </c>
      <c r="AV472" s="5">
        <v>0</v>
      </c>
      <c r="AW472" s="815">
        <v>0</v>
      </c>
      <c r="AX472" s="816">
        <v>0</v>
      </c>
      <c r="AY472" s="819">
        <v>0</v>
      </c>
      <c r="AZ472" s="816"/>
      <c r="BA472" s="818"/>
      <c r="BB472" s="802" t="str" cm="1">
        <f t="array" ref="BB472">INDEX(C$4:BA$4,MATCH(TRUE,INDEX(C472:BA472&lt;&gt;0,),0))</f>
        <v>2006-07</v>
      </c>
      <c r="BC472" s="803" t="str" cm="1">
        <f t="array" ref="BC472">LOOKUP(2,1/(C472:BA472&lt;&gt;0),$C$4:$BA$4)</f>
        <v>2007-08</v>
      </c>
      <c r="BD472" s="804">
        <f>COUNTIF(RDprograms[[#This Row],[1978-79]:[2028-29]], "&gt;0")</f>
        <v>2</v>
      </c>
      <c r="BE472" s="805">
        <f>SUM(C472:BA472)/RDprograms[[#This Row],[Years with &gt; $0 investment]]</f>
        <v>2</v>
      </c>
      <c r="BF472" s="806" t="s">
        <v>249</v>
      </c>
      <c r="BG472" s="807" t="s">
        <v>389</v>
      </c>
      <c r="BH472" s="847" t="s">
        <v>264</v>
      </c>
      <c r="BI472" s="809"/>
      <c r="BJ472" s="809"/>
      <c r="BK472" s="809"/>
      <c r="BL472" s="809"/>
      <c r="BM472" s="809"/>
      <c r="BN472" s="810"/>
      <c r="BO472" s="811" t="s">
        <v>236</v>
      </c>
      <c r="BP472" s="812"/>
      <c r="BQ472" s="812"/>
      <c r="BR472" s="812"/>
      <c r="BS472" s="812"/>
      <c r="BT472" s="812" t="s">
        <v>238</v>
      </c>
    </row>
    <row r="473" spans="1:72" ht="12.75" customHeight="1">
      <c r="A473" s="813" t="s">
        <v>1119</v>
      </c>
      <c r="B473" s="820" t="s">
        <v>1244</v>
      </c>
      <c r="C473" s="5">
        <v>0</v>
      </c>
      <c r="D473" s="5">
        <v>0</v>
      </c>
      <c r="E473" s="5">
        <v>0</v>
      </c>
      <c r="F473" s="5">
        <v>0</v>
      </c>
      <c r="G473" s="5">
        <v>0</v>
      </c>
      <c r="H473" s="5">
        <v>0</v>
      </c>
      <c r="I473" s="5">
        <v>0</v>
      </c>
      <c r="J473" s="5">
        <v>0</v>
      </c>
      <c r="K473" s="5">
        <v>0</v>
      </c>
      <c r="L473" s="5">
        <v>0</v>
      </c>
      <c r="M473" s="5">
        <v>1</v>
      </c>
      <c r="N473" s="5">
        <v>4.0999999999999996</v>
      </c>
      <c r="O473" s="5">
        <v>5</v>
      </c>
      <c r="P473" s="5">
        <v>5.0999999999999996</v>
      </c>
      <c r="Q473" s="5">
        <v>5.3</v>
      </c>
      <c r="R473" s="5">
        <v>5.4</v>
      </c>
      <c r="S473" s="5">
        <v>5.5</v>
      </c>
      <c r="T473" s="5">
        <v>5.6</v>
      </c>
      <c r="U473" s="5">
        <v>5.6</v>
      </c>
      <c r="V473" s="5">
        <v>5.6</v>
      </c>
      <c r="W473" s="5">
        <v>0</v>
      </c>
      <c r="X473" s="5">
        <v>0</v>
      </c>
      <c r="Y473" s="5">
        <v>0</v>
      </c>
      <c r="Z473" s="5">
        <v>4.0999999999999996</v>
      </c>
      <c r="AA473" s="5">
        <v>7.6449999999999996</v>
      </c>
      <c r="AB473" s="5">
        <v>7.5949999999999998</v>
      </c>
      <c r="AC473" s="5">
        <v>9.3070000000000004</v>
      </c>
      <c r="AD473" s="5">
        <v>10.244</v>
      </c>
      <c r="AE473" s="5">
        <v>11.06</v>
      </c>
      <c r="AF473" s="5">
        <v>11.435</v>
      </c>
      <c r="AG473" s="5">
        <v>11.678000000000001</v>
      </c>
      <c r="AH473" s="5">
        <v>10.07</v>
      </c>
      <c r="AI473" s="5">
        <v>12.323</v>
      </c>
      <c r="AJ473" s="5">
        <v>0</v>
      </c>
      <c r="AK473" s="5">
        <v>0</v>
      </c>
      <c r="AL473" s="5">
        <v>0</v>
      </c>
      <c r="AM473" s="5">
        <v>0</v>
      </c>
      <c r="AN473" s="5">
        <v>0</v>
      </c>
      <c r="AO473" s="5">
        <v>0</v>
      </c>
      <c r="AP473" s="5">
        <v>0</v>
      </c>
      <c r="AQ473" s="5">
        <v>0</v>
      </c>
      <c r="AR473" s="5">
        <v>0</v>
      </c>
      <c r="AS473" s="5">
        <v>0</v>
      </c>
      <c r="AT473" s="5">
        <v>0</v>
      </c>
      <c r="AU473" s="5">
        <v>0</v>
      </c>
      <c r="AV473" s="5">
        <v>0</v>
      </c>
      <c r="AW473" s="815">
        <v>0</v>
      </c>
      <c r="AX473" s="816">
        <v>0</v>
      </c>
      <c r="AY473" s="819">
        <v>0</v>
      </c>
      <c r="AZ473" s="816"/>
      <c r="BA473" s="818"/>
      <c r="BB473" s="802" t="str" cm="1">
        <f t="array" ref="BB473">INDEX(C$4:BA$4,MATCH(TRUE,INDEX(C473:BA473&lt;&gt;0,),0))</f>
        <v>1988-89</v>
      </c>
      <c r="BC473" s="803" t="str" cm="1">
        <f t="array" ref="BC473">LOOKUP(2,1/(C473:BA473&lt;&gt;0),$C$4:$BA$4)</f>
        <v>2010-11</v>
      </c>
      <c r="BD473" s="804">
        <f>COUNTIF(RDprograms[[#This Row],[1978-79]:[2028-29]], "&gt;0")</f>
        <v>20</v>
      </c>
      <c r="BE473" s="805">
        <f>SUM(C473:BA473)/RDprograms[[#This Row],[Years with &gt; $0 investment]]</f>
        <v>7.1828500000000002</v>
      </c>
      <c r="BF473" s="806" t="s">
        <v>233</v>
      </c>
      <c r="BG473" s="807" t="s">
        <v>397</v>
      </c>
      <c r="BH473" s="847" t="s">
        <v>241</v>
      </c>
      <c r="BI473" s="809"/>
      <c r="BJ473" s="809"/>
      <c r="BK473" s="809"/>
      <c r="BL473" s="809"/>
      <c r="BM473" s="809"/>
      <c r="BN473" s="810"/>
      <c r="BO473" s="811" t="s">
        <v>236</v>
      </c>
      <c r="BP473" s="812"/>
      <c r="BQ473" s="812"/>
      <c r="BR473" s="812"/>
      <c r="BS473" s="812"/>
      <c r="BT473" s="812" t="s">
        <v>238</v>
      </c>
    </row>
    <row r="474" spans="1:72" ht="12.75" customHeight="1">
      <c r="A474" s="813" t="s">
        <v>1119</v>
      </c>
      <c r="B474" s="820" t="s">
        <v>1245</v>
      </c>
      <c r="C474" s="5">
        <v>2.2000000000000002</v>
      </c>
      <c r="D474" s="5">
        <v>3.7</v>
      </c>
      <c r="E474" s="5">
        <v>2.4</v>
      </c>
      <c r="F474" s="5">
        <v>2.1</v>
      </c>
      <c r="G474" s="5">
        <v>2.2000000000000002</v>
      </c>
      <c r="H474" s="5">
        <v>2.5</v>
      </c>
      <c r="I474" s="5">
        <v>0</v>
      </c>
      <c r="J474" s="5">
        <v>0</v>
      </c>
      <c r="K474" s="5">
        <v>0</v>
      </c>
      <c r="L474" s="5">
        <v>0</v>
      </c>
      <c r="M474" s="5">
        <v>0</v>
      </c>
      <c r="N474" s="5">
        <v>0</v>
      </c>
      <c r="O474" s="5">
        <v>0</v>
      </c>
      <c r="P474" s="5">
        <v>0</v>
      </c>
      <c r="Q474" s="5">
        <v>0</v>
      </c>
      <c r="R474" s="5">
        <v>0</v>
      </c>
      <c r="S474" s="5">
        <v>0</v>
      </c>
      <c r="T474" s="5">
        <v>0</v>
      </c>
      <c r="U474" s="5">
        <v>0</v>
      </c>
      <c r="V474" s="5">
        <v>0</v>
      </c>
      <c r="W474" s="5">
        <v>0</v>
      </c>
      <c r="X474" s="5">
        <v>0</v>
      </c>
      <c r="Y474" s="5">
        <v>0</v>
      </c>
      <c r="Z474" s="5">
        <v>0</v>
      </c>
      <c r="AA474" s="5">
        <v>0</v>
      </c>
      <c r="AB474" s="5">
        <v>0</v>
      </c>
      <c r="AC474" s="5">
        <v>0</v>
      </c>
      <c r="AD474" s="5">
        <v>0</v>
      </c>
      <c r="AE474" s="5">
        <v>0</v>
      </c>
      <c r="AF474" s="5">
        <v>0</v>
      </c>
      <c r="AG474" s="5">
        <v>0</v>
      </c>
      <c r="AH474" s="5">
        <v>0</v>
      </c>
      <c r="AI474" s="5">
        <v>0</v>
      </c>
      <c r="AJ474" s="5">
        <v>0</v>
      </c>
      <c r="AK474" s="5">
        <v>0</v>
      </c>
      <c r="AL474" s="5">
        <v>0</v>
      </c>
      <c r="AM474" s="5">
        <v>0</v>
      </c>
      <c r="AN474" s="5">
        <v>0</v>
      </c>
      <c r="AO474" s="5">
        <v>0</v>
      </c>
      <c r="AP474" s="816">
        <v>0</v>
      </c>
      <c r="AQ474" s="816">
        <v>0</v>
      </c>
      <c r="AR474" s="5">
        <v>0</v>
      </c>
      <c r="AS474" s="5">
        <v>0</v>
      </c>
      <c r="AT474" s="5">
        <v>0</v>
      </c>
      <c r="AU474" s="5">
        <v>0</v>
      </c>
      <c r="AV474" s="5">
        <v>0</v>
      </c>
      <c r="AW474" s="815">
        <v>0</v>
      </c>
      <c r="AX474" s="816">
        <v>0</v>
      </c>
      <c r="AY474" s="819">
        <v>0</v>
      </c>
      <c r="AZ474" s="816"/>
      <c r="BA474" s="818"/>
      <c r="BB474" s="802" t="str" cm="1">
        <f t="array" ref="BB474">INDEX(C$4:BA$4,MATCH(TRUE,INDEX(C474:BA474&lt;&gt;0,),0))</f>
        <v>1978-79</v>
      </c>
      <c r="BC474" s="803" t="str" cm="1">
        <f t="array" ref="BC474">LOOKUP(2,1/(C474:BA474&lt;&gt;0),$C$4:$BA$4)</f>
        <v>1983-84</v>
      </c>
      <c r="BD474" s="804">
        <f>COUNTIF(RDprograms[[#This Row],[1978-79]:[2028-29]], "&gt;0")</f>
        <v>6</v>
      </c>
      <c r="BE474" s="805">
        <f>SUM(C474:BA474)/RDprograms[[#This Row],[Years with &gt; $0 investment]]</f>
        <v>2.5166666666666671</v>
      </c>
      <c r="BF474" s="806" t="s">
        <v>273</v>
      </c>
      <c r="BG474" s="807" t="s">
        <v>389</v>
      </c>
      <c r="BH474" s="847" t="s">
        <v>264</v>
      </c>
      <c r="BI474" s="809"/>
      <c r="BJ474" s="809"/>
      <c r="BK474" s="809"/>
      <c r="BL474" s="809"/>
      <c r="BM474" s="809"/>
      <c r="BN474" s="810"/>
      <c r="BO474" s="811" t="s">
        <v>236</v>
      </c>
      <c r="BP474" s="812" t="s">
        <v>1246</v>
      </c>
      <c r="BQ474" s="812"/>
      <c r="BR474" s="812"/>
      <c r="BS474" s="812"/>
      <c r="BT474" s="812" t="s">
        <v>244</v>
      </c>
    </row>
    <row r="475" spans="1:72" ht="12.75" customHeight="1">
      <c r="A475" s="813" t="s">
        <v>1119</v>
      </c>
      <c r="B475" s="820" t="s">
        <v>1247</v>
      </c>
      <c r="C475" s="5">
        <v>0</v>
      </c>
      <c r="D475" s="5">
        <v>0</v>
      </c>
      <c r="E475" s="5">
        <v>0</v>
      </c>
      <c r="F475" s="5">
        <v>0</v>
      </c>
      <c r="G475" s="5">
        <v>0</v>
      </c>
      <c r="H475" s="5">
        <v>0</v>
      </c>
      <c r="I475" s="5">
        <v>0</v>
      </c>
      <c r="J475" s="5">
        <v>0</v>
      </c>
      <c r="K475" s="5">
        <v>10.8</v>
      </c>
      <c r="L475" s="5">
        <v>25.6</v>
      </c>
      <c r="M475" s="5">
        <v>31.8</v>
      </c>
      <c r="N475" s="5">
        <v>32</v>
      </c>
      <c r="O475" s="5">
        <v>29.6</v>
      </c>
      <c r="P475" s="5">
        <v>32.200000000000003</v>
      </c>
      <c r="Q475" s="5">
        <v>0</v>
      </c>
      <c r="R475" s="5">
        <v>0</v>
      </c>
      <c r="S475" s="5">
        <v>0</v>
      </c>
      <c r="T475" s="5">
        <v>0</v>
      </c>
      <c r="U475" s="5">
        <v>0</v>
      </c>
      <c r="V475" s="5">
        <v>0</v>
      </c>
      <c r="W475" s="5">
        <v>0</v>
      </c>
      <c r="X475" s="5">
        <v>0</v>
      </c>
      <c r="Y475" s="5">
        <v>0</v>
      </c>
      <c r="Z475" s="5">
        <v>0</v>
      </c>
      <c r="AA475" s="5">
        <v>0</v>
      </c>
      <c r="AB475" s="5">
        <v>0</v>
      </c>
      <c r="AC475" s="5">
        <v>0</v>
      </c>
      <c r="AD475" s="5">
        <v>0</v>
      </c>
      <c r="AE475" s="5">
        <v>0</v>
      </c>
      <c r="AF475" s="5">
        <v>0</v>
      </c>
      <c r="AG475" s="5">
        <v>0</v>
      </c>
      <c r="AH475" s="5">
        <v>0</v>
      </c>
      <c r="AI475" s="5">
        <v>0</v>
      </c>
      <c r="AJ475" s="5">
        <v>0</v>
      </c>
      <c r="AK475" s="5">
        <v>0</v>
      </c>
      <c r="AL475" s="5">
        <v>0</v>
      </c>
      <c r="AM475" s="5">
        <v>0</v>
      </c>
      <c r="AN475" s="5">
        <v>0</v>
      </c>
      <c r="AO475" s="5">
        <v>0</v>
      </c>
      <c r="AP475" s="5">
        <v>0</v>
      </c>
      <c r="AQ475" s="5">
        <v>0</v>
      </c>
      <c r="AR475" s="5">
        <v>0</v>
      </c>
      <c r="AS475" s="5">
        <v>0</v>
      </c>
      <c r="AT475" s="5">
        <v>0</v>
      </c>
      <c r="AU475" s="5">
        <v>0</v>
      </c>
      <c r="AV475" s="5">
        <v>0</v>
      </c>
      <c r="AW475" s="815">
        <v>0</v>
      </c>
      <c r="AX475" s="816">
        <v>0</v>
      </c>
      <c r="AY475" s="819">
        <v>0</v>
      </c>
      <c r="AZ475" s="816"/>
      <c r="BA475" s="818"/>
      <c r="BB475" s="802" t="str" cm="1">
        <f t="array" ref="BB475">INDEX(C$4:BA$4,MATCH(TRUE,INDEX(C475:BA475&lt;&gt;0,),0))</f>
        <v>1986-87</v>
      </c>
      <c r="BC475" s="803" t="str" cm="1">
        <f t="array" ref="BC475">LOOKUP(2,1/(C475:BA475&lt;&gt;0),$C$4:$BA$4)</f>
        <v>1991-92</v>
      </c>
      <c r="BD475" s="804">
        <f>COUNTIF(RDprograms[[#This Row],[1978-79]:[2028-29]], "&gt;0")</f>
        <v>6</v>
      </c>
      <c r="BE475" s="805">
        <f>SUM(C475:BA475)/RDprograms[[#This Row],[Years with &gt; $0 investment]]</f>
        <v>27</v>
      </c>
      <c r="BF475" s="806" t="s">
        <v>273</v>
      </c>
      <c r="BG475" s="807" t="s">
        <v>389</v>
      </c>
      <c r="BH475" s="847" t="s">
        <v>264</v>
      </c>
      <c r="BI475" s="809"/>
      <c r="BJ475" s="809"/>
      <c r="BK475" s="809"/>
      <c r="BL475" s="809"/>
      <c r="BM475" s="809"/>
      <c r="BN475" s="810"/>
      <c r="BO475" s="811" t="s">
        <v>236</v>
      </c>
      <c r="BP475" s="812" t="s">
        <v>1248</v>
      </c>
      <c r="BQ475" s="812"/>
      <c r="BR475" s="812"/>
      <c r="BS475" s="812"/>
      <c r="BT475" s="812" t="s">
        <v>238</v>
      </c>
    </row>
    <row r="476" spans="1:72" ht="12.75" customHeight="1">
      <c r="A476" s="813" t="s">
        <v>1119</v>
      </c>
      <c r="B476" s="820" t="s">
        <v>1249</v>
      </c>
      <c r="C476" s="5">
        <v>0</v>
      </c>
      <c r="D476" s="5">
        <v>0</v>
      </c>
      <c r="E476" s="5">
        <v>0</v>
      </c>
      <c r="F476" s="5">
        <v>0</v>
      </c>
      <c r="G476" s="5">
        <v>0</v>
      </c>
      <c r="H476" s="5">
        <v>0</v>
      </c>
      <c r="I476" s="5">
        <v>0</v>
      </c>
      <c r="J476" s="5">
        <v>0</v>
      </c>
      <c r="K476" s="5">
        <v>0</v>
      </c>
      <c r="L476" s="5">
        <v>0</v>
      </c>
      <c r="M476" s="5">
        <v>0</v>
      </c>
      <c r="N476" s="5">
        <v>0.5</v>
      </c>
      <c r="O476" s="5">
        <v>1.4</v>
      </c>
      <c r="P476" s="5">
        <v>1.9</v>
      </c>
      <c r="Q476" s="5">
        <v>1.9</v>
      </c>
      <c r="R476" s="5">
        <v>1.9</v>
      </c>
      <c r="S476" s="5">
        <v>0</v>
      </c>
      <c r="T476" s="5">
        <v>0</v>
      </c>
      <c r="U476" s="5">
        <v>0</v>
      </c>
      <c r="V476" s="5">
        <v>0</v>
      </c>
      <c r="W476" s="5">
        <v>0</v>
      </c>
      <c r="X476" s="5">
        <v>0</v>
      </c>
      <c r="Y476" s="5">
        <v>0</v>
      </c>
      <c r="Z476" s="5">
        <v>0</v>
      </c>
      <c r="AA476" s="5">
        <v>0</v>
      </c>
      <c r="AB476" s="5">
        <v>0</v>
      </c>
      <c r="AC476" s="5">
        <v>0</v>
      </c>
      <c r="AD476" s="5">
        <v>0</v>
      </c>
      <c r="AE476" s="5">
        <v>0</v>
      </c>
      <c r="AF476" s="5">
        <v>0</v>
      </c>
      <c r="AG476" s="5">
        <v>0</v>
      </c>
      <c r="AH476" s="5">
        <v>0</v>
      </c>
      <c r="AI476" s="5">
        <v>0</v>
      </c>
      <c r="AJ476" s="5">
        <v>0</v>
      </c>
      <c r="AK476" s="5">
        <v>0</v>
      </c>
      <c r="AL476" s="5">
        <v>0</v>
      </c>
      <c r="AM476" s="5">
        <v>0</v>
      </c>
      <c r="AN476" s="5">
        <v>0</v>
      </c>
      <c r="AO476" s="5">
        <v>0</v>
      </c>
      <c r="AP476" s="816">
        <v>0</v>
      </c>
      <c r="AQ476" s="816">
        <v>0</v>
      </c>
      <c r="AR476" s="5">
        <v>0</v>
      </c>
      <c r="AS476" s="5">
        <v>0</v>
      </c>
      <c r="AT476" s="5">
        <v>0</v>
      </c>
      <c r="AU476" s="5">
        <v>0</v>
      </c>
      <c r="AV476" s="5">
        <v>0</v>
      </c>
      <c r="AW476" s="815">
        <v>0</v>
      </c>
      <c r="AX476" s="816">
        <v>0</v>
      </c>
      <c r="AY476" s="819">
        <v>0</v>
      </c>
      <c r="AZ476" s="816"/>
      <c r="BA476" s="818"/>
      <c r="BB476" s="802" t="str" cm="1">
        <f t="array" ref="BB476">INDEX(C$4:BA$4,MATCH(TRUE,INDEX(C476:BA476&lt;&gt;0,),0))</f>
        <v>1989-90</v>
      </c>
      <c r="BC476" s="803" t="str" cm="1">
        <f t="array" ref="BC476">LOOKUP(2,1/(C476:BA476&lt;&gt;0),$C$4:$BA$4)</f>
        <v>1993-94</v>
      </c>
      <c r="BD476" s="804">
        <f>COUNTIF(RDprograms[[#This Row],[1978-79]:[2028-29]], "&gt;0")</f>
        <v>5</v>
      </c>
      <c r="BE476" s="805">
        <f>SUM(C476:BA476)/RDprograms[[#This Row],[Years with &gt; $0 investment]]</f>
        <v>1.52</v>
      </c>
      <c r="BF476" s="806" t="s">
        <v>273</v>
      </c>
      <c r="BG476" s="807" t="s">
        <v>389</v>
      </c>
      <c r="BH476" s="847" t="s">
        <v>258</v>
      </c>
      <c r="BI476" s="809"/>
      <c r="BJ476" s="809"/>
      <c r="BK476" s="809"/>
      <c r="BL476" s="809"/>
      <c r="BM476" s="809"/>
      <c r="BN476" s="810"/>
      <c r="BO476" s="811" t="s">
        <v>236</v>
      </c>
      <c r="BP476" s="812"/>
      <c r="BQ476" s="812"/>
      <c r="BR476" s="812"/>
      <c r="BS476" s="812"/>
      <c r="BT476" s="812" t="s">
        <v>238</v>
      </c>
    </row>
    <row r="477" spans="1:72" ht="12.75" customHeight="1">
      <c r="A477" s="813" t="s">
        <v>1119</v>
      </c>
      <c r="B477" s="820" t="s">
        <v>1250</v>
      </c>
      <c r="C477" s="5">
        <v>0</v>
      </c>
      <c r="D477" s="5">
        <v>0</v>
      </c>
      <c r="E477" s="5">
        <v>0</v>
      </c>
      <c r="F477" s="5">
        <v>0</v>
      </c>
      <c r="G477" s="5">
        <v>0</v>
      </c>
      <c r="H477" s="5">
        <v>0</v>
      </c>
      <c r="I477" s="5">
        <v>0</v>
      </c>
      <c r="J477" s="5">
        <v>0</v>
      </c>
      <c r="K477" s="5">
        <v>0</v>
      </c>
      <c r="L477" s="5">
        <v>0</v>
      </c>
      <c r="M477" s="5">
        <v>0</v>
      </c>
      <c r="N477" s="5">
        <v>0</v>
      </c>
      <c r="O477" s="5">
        <v>0</v>
      </c>
      <c r="P477" s="5">
        <v>0</v>
      </c>
      <c r="Q477" s="5">
        <v>0</v>
      </c>
      <c r="R477" s="5">
        <v>0</v>
      </c>
      <c r="S477" s="5">
        <v>0</v>
      </c>
      <c r="T477" s="5">
        <v>0</v>
      </c>
      <c r="U477" s="5">
        <v>0</v>
      </c>
      <c r="V477" s="5">
        <v>0</v>
      </c>
      <c r="W477" s="5">
        <v>0</v>
      </c>
      <c r="X477" s="5">
        <v>0</v>
      </c>
      <c r="Y477" s="5">
        <v>0</v>
      </c>
      <c r="Z477" s="5">
        <v>0</v>
      </c>
      <c r="AA477" s="5">
        <v>0</v>
      </c>
      <c r="AB477" s="5">
        <v>0</v>
      </c>
      <c r="AC477" s="5">
        <v>0.8</v>
      </c>
      <c r="AD477" s="5">
        <v>1.5</v>
      </c>
      <c r="AE477" s="5">
        <v>1.3</v>
      </c>
      <c r="AF477" s="5">
        <v>1</v>
      </c>
      <c r="AG477" s="5">
        <v>0</v>
      </c>
      <c r="AH477" s="5">
        <v>0</v>
      </c>
      <c r="AI477" s="5">
        <v>0</v>
      </c>
      <c r="AJ477" s="5">
        <v>0</v>
      </c>
      <c r="AK477" s="5">
        <v>0</v>
      </c>
      <c r="AL477" s="5">
        <v>20</v>
      </c>
      <c r="AM477" s="5">
        <v>0</v>
      </c>
      <c r="AN477" s="5">
        <v>0</v>
      </c>
      <c r="AO477" s="5">
        <v>40</v>
      </c>
      <c r="AP477" s="816">
        <v>0</v>
      </c>
      <c r="AQ477" s="816">
        <v>0</v>
      </c>
      <c r="AR477" s="5">
        <v>0</v>
      </c>
      <c r="AS477" s="5">
        <v>0</v>
      </c>
      <c r="AT477" s="5">
        <v>0</v>
      </c>
      <c r="AU477" s="5">
        <v>0</v>
      </c>
      <c r="AV477" s="5">
        <v>0</v>
      </c>
      <c r="AW477" s="815">
        <v>0</v>
      </c>
      <c r="AX477" s="816">
        <v>0</v>
      </c>
      <c r="AY477" s="819">
        <v>0</v>
      </c>
      <c r="AZ477" s="816"/>
      <c r="BA477" s="818"/>
      <c r="BB477" s="802" t="str" cm="1">
        <f t="array" ref="BB477">INDEX(C$4:BA$4,MATCH(TRUE,INDEX(C477:BA477&lt;&gt;0,),0))</f>
        <v>2004-05</v>
      </c>
      <c r="BC477" s="803" t="str" cm="1">
        <f t="array" ref="BC477">LOOKUP(2,1/(C477:BA477&lt;&gt;0),$C$4:$BA$4)</f>
        <v>2016-17</v>
      </c>
      <c r="BD477" s="804">
        <f>COUNTIF(RDprograms[[#This Row],[1978-79]:[2028-29]], "&gt;0")</f>
        <v>6</v>
      </c>
      <c r="BE477" s="805">
        <f>SUM(C477:BA477)/RDprograms[[#This Row],[Years with &gt; $0 investment]]</f>
        <v>10.766666666666666</v>
      </c>
      <c r="BF477" s="806" t="s">
        <v>233</v>
      </c>
      <c r="BG477" s="807" t="s">
        <v>409</v>
      </c>
      <c r="BH477" s="847" t="s">
        <v>390</v>
      </c>
      <c r="BI477" s="809"/>
      <c r="BJ477" s="809"/>
      <c r="BK477" s="809"/>
      <c r="BL477" s="809"/>
      <c r="BM477" s="809"/>
      <c r="BN477" s="810"/>
      <c r="BO477" s="811" t="s">
        <v>236</v>
      </c>
      <c r="BP477" s="812" t="s">
        <v>1251</v>
      </c>
      <c r="BQ477" s="812"/>
      <c r="BR477" s="812"/>
      <c r="BS477" s="812"/>
      <c r="BT477" s="812" t="s">
        <v>238</v>
      </c>
    </row>
    <row r="478" spans="1:72" ht="12.75" customHeight="1">
      <c r="A478" s="813" t="s">
        <v>1119</v>
      </c>
      <c r="B478" s="820" t="s">
        <v>1252</v>
      </c>
      <c r="C478" s="5">
        <v>0</v>
      </c>
      <c r="D478" s="5">
        <v>0</v>
      </c>
      <c r="E478" s="5">
        <v>0</v>
      </c>
      <c r="F478" s="5">
        <v>0</v>
      </c>
      <c r="G478" s="5">
        <v>0</v>
      </c>
      <c r="H478" s="5">
        <v>0</v>
      </c>
      <c r="I478" s="5">
        <v>0</v>
      </c>
      <c r="J478" s="5">
        <v>0</v>
      </c>
      <c r="K478" s="5">
        <v>0</v>
      </c>
      <c r="L478" s="5">
        <v>0</v>
      </c>
      <c r="M478" s="5">
        <v>0</v>
      </c>
      <c r="N478" s="5">
        <v>0</v>
      </c>
      <c r="O478" s="5">
        <v>0</v>
      </c>
      <c r="P478" s="5">
        <v>0</v>
      </c>
      <c r="Q478" s="5">
        <v>0</v>
      </c>
      <c r="R478" s="5">
        <v>0</v>
      </c>
      <c r="S478" s="5">
        <v>0</v>
      </c>
      <c r="T478" s="5">
        <v>0</v>
      </c>
      <c r="U478" s="5">
        <v>0</v>
      </c>
      <c r="V478" s="5">
        <v>0</v>
      </c>
      <c r="W478" s="5">
        <v>0</v>
      </c>
      <c r="X478" s="5">
        <v>0</v>
      </c>
      <c r="Y478" s="5">
        <v>0</v>
      </c>
      <c r="Z478" s="5">
        <v>0</v>
      </c>
      <c r="AA478" s="5">
        <v>0</v>
      </c>
      <c r="AB478" s="5">
        <v>0</v>
      </c>
      <c r="AC478" s="5">
        <v>0</v>
      </c>
      <c r="AD478" s="5">
        <v>0</v>
      </c>
      <c r="AE478" s="5">
        <v>0</v>
      </c>
      <c r="AF478" s="5">
        <v>0</v>
      </c>
      <c r="AG478" s="5">
        <v>0</v>
      </c>
      <c r="AH478" s="5">
        <v>0</v>
      </c>
      <c r="AI478" s="5">
        <v>0</v>
      </c>
      <c r="AJ478" s="5">
        <v>0</v>
      </c>
      <c r="AK478" s="5">
        <v>0</v>
      </c>
      <c r="AL478" s="5">
        <v>0</v>
      </c>
      <c r="AM478" s="5">
        <v>0</v>
      </c>
      <c r="AN478" s="5">
        <v>0</v>
      </c>
      <c r="AO478" s="5">
        <v>0</v>
      </c>
      <c r="AP478" s="5">
        <v>1.75</v>
      </c>
      <c r="AQ478" s="5">
        <v>1.25</v>
      </c>
      <c r="AR478" s="5">
        <v>1.25</v>
      </c>
      <c r="AS478" s="5">
        <v>0.75</v>
      </c>
      <c r="AT478" s="5">
        <v>0</v>
      </c>
      <c r="AU478" s="5">
        <v>0</v>
      </c>
      <c r="AV478" s="5">
        <v>0</v>
      </c>
      <c r="AW478" s="815">
        <v>0</v>
      </c>
      <c r="AX478" s="816">
        <v>0</v>
      </c>
      <c r="AY478" s="819">
        <v>0</v>
      </c>
      <c r="AZ478" s="816"/>
      <c r="BA478" s="818"/>
      <c r="BB478" s="802" t="str" cm="1">
        <f t="array" ref="BB478">INDEX(C$4:BA$4,MATCH(TRUE,INDEX(C478:BA478&lt;&gt;0,),0))</f>
        <v>2017-18</v>
      </c>
      <c r="BC478" s="803" t="str" cm="1">
        <f t="array" ref="BC478">LOOKUP(2,1/(C478:BA478&lt;&gt;0),$C$4:$BA$4)</f>
        <v>2020-21</v>
      </c>
      <c r="BD478" s="804">
        <f>COUNTIF(RDprograms[[#This Row],[1978-79]:[2028-29]], "&gt;0")</f>
        <v>4</v>
      </c>
      <c r="BE478" s="805">
        <f>SUM(C478:BA478)/RDprograms[[#This Row],[Years with &gt; $0 investment]]</f>
        <v>1.25</v>
      </c>
      <c r="BF478" s="806" t="s">
        <v>273</v>
      </c>
      <c r="BG478" s="807" t="s">
        <v>389</v>
      </c>
      <c r="BH478" s="847" t="s">
        <v>241</v>
      </c>
      <c r="BI478" s="809"/>
      <c r="BJ478" s="809"/>
      <c r="BK478" s="809"/>
      <c r="BL478" s="809"/>
      <c r="BM478" s="809"/>
      <c r="BN478" s="810"/>
      <c r="BO478" s="811" t="s">
        <v>236</v>
      </c>
      <c r="BP478" s="812" t="s">
        <v>1253</v>
      </c>
      <c r="BQ478" s="812"/>
      <c r="BR478" s="812"/>
      <c r="BS478" s="812"/>
      <c r="BT478" s="812" t="s">
        <v>238</v>
      </c>
    </row>
    <row r="479" spans="1:72" ht="12.75" customHeight="1">
      <c r="A479" s="813" t="s">
        <v>1119</v>
      </c>
      <c r="B479" s="820" t="s">
        <v>1254</v>
      </c>
      <c r="C479" s="5">
        <v>0</v>
      </c>
      <c r="D479" s="5">
        <v>0</v>
      </c>
      <c r="E479" s="5">
        <v>0</v>
      </c>
      <c r="F479" s="5">
        <v>0</v>
      </c>
      <c r="G479" s="5">
        <v>0</v>
      </c>
      <c r="H479" s="5">
        <v>0</v>
      </c>
      <c r="I479" s="5">
        <v>0</v>
      </c>
      <c r="J479" s="5">
        <v>0.3</v>
      </c>
      <c r="K479" s="5">
        <v>0.4</v>
      </c>
      <c r="L479" s="5">
        <v>0.8</v>
      </c>
      <c r="M479" s="5">
        <v>1.2</v>
      </c>
      <c r="N479" s="5">
        <v>0.8</v>
      </c>
      <c r="O479" s="5">
        <v>2.2999999999999998</v>
      </c>
      <c r="P479" s="5">
        <v>9.4</v>
      </c>
      <c r="Q479" s="5">
        <v>0</v>
      </c>
      <c r="R479" s="5">
        <v>0</v>
      </c>
      <c r="S479" s="5">
        <v>0</v>
      </c>
      <c r="T479" s="5">
        <v>0</v>
      </c>
      <c r="U479" s="5">
        <v>0</v>
      </c>
      <c r="V479" s="5">
        <v>0</v>
      </c>
      <c r="W479" s="5">
        <v>0</v>
      </c>
      <c r="X479" s="5">
        <v>0</v>
      </c>
      <c r="Y479" s="5">
        <v>0</v>
      </c>
      <c r="Z479" s="5">
        <v>0</v>
      </c>
      <c r="AA479" s="5">
        <v>0</v>
      </c>
      <c r="AB479" s="5">
        <v>0</v>
      </c>
      <c r="AC479" s="5">
        <v>0</v>
      </c>
      <c r="AD479" s="5">
        <v>0</v>
      </c>
      <c r="AE479" s="5">
        <v>0</v>
      </c>
      <c r="AF479" s="5">
        <v>0</v>
      </c>
      <c r="AG479" s="5">
        <v>0</v>
      </c>
      <c r="AH479" s="5">
        <v>0</v>
      </c>
      <c r="AI479" s="5">
        <v>0</v>
      </c>
      <c r="AJ479" s="5">
        <v>0</v>
      </c>
      <c r="AK479" s="5">
        <v>0</v>
      </c>
      <c r="AL479" s="5">
        <v>0</v>
      </c>
      <c r="AM479" s="5">
        <v>0</v>
      </c>
      <c r="AN479" s="5">
        <v>0</v>
      </c>
      <c r="AO479" s="5">
        <v>0</v>
      </c>
      <c r="AP479" s="5">
        <v>0</v>
      </c>
      <c r="AQ479" s="5">
        <v>0</v>
      </c>
      <c r="AR479" s="5">
        <v>0</v>
      </c>
      <c r="AS479" s="5">
        <v>0</v>
      </c>
      <c r="AT479" s="5">
        <v>0</v>
      </c>
      <c r="AU479" s="5">
        <v>0</v>
      </c>
      <c r="AV479" s="5">
        <v>0</v>
      </c>
      <c r="AW479" s="815">
        <v>0</v>
      </c>
      <c r="AX479" s="816">
        <v>0</v>
      </c>
      <c r="AY479" s="819">
        <v>0</v>
      </c>
      <c r="AZ479" s="816"/>
      <c r="BA479" s="818"/>
      <c r="BB479" s="802" t="str" cm="1">
        <f t="array" ref="BB479">INDEX(C$4:BA$4,MATCH(TRUE,INDEX(C479:BA479&lt;&gt;0,),0))</f>
        <v>1985-86</v>
      </c>
      <c r="BC479" s="803" t="str" cm="1">
        <f t="array" ref="BC479">LOOKUP(2,1/(C479:BA479&lt;&gt;0),$C$4:$BA$4)</f>
        <v>1991-92</v>
      </c>
      <c r="BD479" s="804">
        <f>COUNTIF(RDprograms[[#This Row],[1978-79]:[2028-29]], "&gt;0")</f>
        <v>7</v>
      </c>
      <c r="BE479" s="805">
        <f>SUM(C479:BA479)/RDprograms[[#This Row],[Years with &gt; $0 investment]]</f>
        <v>2.1714285714285713</v>
      </c>
      <c r="BF479" s="806" t="s">
        <v>273</v>
      </c>
      <c r="BG479" s="807" t="s">
        <v>703</v>
      </c>
      <c r="BH479" s="847" t="s">
        <v>241</v>
      </c>
      <c r="BI479" s="809"/>
      <c r="BJ479" s="809"/>
      <c r="BK479" s="809"/>
      <c r="BL479" s="809"/>
      <c r="BM479" s="809"/>
      <c r="BN479" s="810"/>
      <c r="BO479" s="811" t="s">
        <v>236</v>
      </c>
      <c r="BP479" s="812" t="s">
        <v>1255</v>
      </c>
      <c r="BQ479" s="812"/>
      <c r="BR479" s="812"/>
      <c r="BS479" s="812"/>
      <c r="BT479" s="812" t="s">
        <v>238</v>
      </c>
    </row>
    <row r="480" spans="1:72" ht="12.75" customHeight="1">
      <c r="A480" s="813" t="s">
        <v>1119</v>
      </c>
      <c r="B480" s="820" t="s">
        <v>1256</v>
      </c>
      <c r="C480" s="5">
        <v>0</v>
      </c>
      <c r="D480" s="5">
        <v>0</v>
      </c>
      <c r="E480" s="5">
        <v>0</v>
      </c>
      <c r="F480" s="5">
        <v>0</v>
      </c>
      <c r="G480" s="5">
        <v>0</v>
      </c>
      <c r="H480" s="5">
        <v>0</v>
      </c>
      <c r="I480" s="5">
        <v>0</v>
      </c>
      <c r="J480" s="5">
        <v>0</v>
      </c>
      <c r="K480" s="5">
        <v>0</v>
      </c>
      <c r="L480" s="5">
        <v>0</v>
      </c>
      <c r="M480" s="5">
        <v>0</v>
      </c>
      <c r="N480" s="5">
        <v>0</v>
      </c>
      <c r="O480" s="5">
        <v>0</v>
      </c>
      <c r="P480" s="5">
        <v>0</v>
      </c>
      <c r="Q480" s="5">
        <v>0</v>
      </c>
      <c r="R480" s="5">
        <v>0</v>
      </c>
      <c r="S480" s="5">
        <v>0</v>
      </c>
      <c r="T480" s="5">
        <v>0</v>
      </c>
      <c r="U480" s="5">
        <v>0</v>
      </c>
      <c r="V480" s="5">
        <v>0</v>
      </c>
      <c r="W480" s="5">
        <v>0</v>
      </c>
      <c r="X480" s="5">
        <v>0</v>
      </c>
      <c r="Y480" s="5">
        <v>0</v>
      </c>
      <c r="Z480" s="5">
        <v>0</v>
      </c>
      <c r="AA480" s="5">
        <v>0</v>
      </c>
      <c r="AB480" s="5">
        <v>0</v>
      </c>
      <c r="AC480" s="5">
        <v>0</v>
      </c>
      <c r="AD480" s="5">
        <v>6.7</v>
      </c>
      <c r="AE480" s="5">
        <v>12</v>
      </c>
      <c r="AF480" s="5">
        <v>14.955</v>
      </c>
      <c r="AG480" s="5">
        <v>15.917</v>
      </c>
      <c r="AH480" s="5">
        <v>12.67</v>
      </c>
      <c r="AI480" s="5">
        <v>22.536000000000001</v>
      </c>
      <c r="AJ480" s="5">
        <v>0</v>
      </c>
      <c r="AK480" s="5">
        <v>0</v>
      </c>
      <c r="AL480" s="5">
        <v>0</v>
      </c>
      <c r="AM480" s="5">
        <v>0</v>
      </c>
      <c r="AN480" s="5">
        <v>0</v>
      </c>
      <c r="AO480" s="5">
        <v>0</v>
      </c>
      <c r="AP480" s="816">
        <v>0</v>
      </c>
      <c r="AQ480" s="816">
        <v>0</v>
      </c>
      <c r="AR480" s="5">
        <v>0</v>
      </c>
      <c r="AS480" s="5">
        <v>0</v>
      </c>
      <c r="AT480" s="5">
        <v>0</v>
      </c>
      <c r="AU480" s="5">
        <v>0</v>
      </c>
      <c r="AV480" s="5">
        <v>0</v>
      </c>
      <c r="AW480" s="815">
        <v>0</v>
      </c>
      <c r="AX480" s="816">
        <v>0</v>
      </c>
      <c r="AY480" s="819">
        <v>0</v>
      </c>
      <c r="AZ480" s="816"/>
      <c r="BA480" s="818"/>
      <c r="BB480" s="802" t="str" cm="1">
        <f t="array" ref="BB480">INDEX(C$4:BA$4,MATCH(TRUE,INDEX(C480:BA480&lt;&gt;0,),0))</f>
        <v>2005-06</v>
      </c>
      <c r="BC480" s="803" t="str" cm="1">
        <f t="array" ref="BC480">LOOKUP(2,1/(C480:BA480&lt;&gt;0),$C$4:$BA$4)</f>
        <v>2010-11</v>
      </c>
      <c r="BD480" s="804">
        <f>COUNTIF(RDprograms[[#This Row],[1978-79]:[2028-29]], "&gt;0")</f>
        <v>6</v>
      </c>
      <c r="BE480" s="805">
        <f>SUM(C480:BA480)/RDprograms[[#This Row],[Years with &gt; $0 investment]]</f>
        <v>14.129666666666667</v>
      </c>
      <c r="BF480" s="806" t="s">
        <v>249</v>
      </c>
      <c r="BG480" s="807" t="s">
        <v>389</v>
      </c>
      <c r="BH480" s="847" t="s">
        <v>264</v>
      </c>
      <c r="BI480" s="809"/>
      <c r="BJ480" s="809"/>
      <c r="BK480" s="809"/>
      <c r="BL480" s="809"/>
      <c r="BM480" s="809"/>
      <c r="BN480" s="810"/>
      <c r="BO480" s="811" t="s">
        <v>236</v>
      </c>
      <c r="BP480" s="812"/>
      <c r="BQ480" s="812"/>
      <c r="BR480" s="812"/>
      <c r="BS480" s="812"/>
      <c r="BT480" s="812" t="s">
        <v>238</v>
      </c>
    </row>
    <row r="481" spans="1:72" ht="12.75" customHeight="1">
      <c r="A481" s="813" t="s">
        <v>1119</v>
      </c>
      <c r="B481" s="820" t="s">
        <v>1257</v>
      </c>
      <c r="C481" s="5">
        <v>0</v>
      </c>
      <c r="D481" s="5">
        <v>0</v>
      </c>
      <c r="E481" s="5">
        <v>0</v>
      </c>
      <c r="F481" s="5">
        <v>0</v>
      </c>
      <c r="G481" s="5">
        <v>0</v>
      </c>
      <c r="H481" s="5">
        <v>0</v>
      </c>
      <c r="I481" s="5">
        <v>20.6</v>
      </c>
      <c r="J481" s="5">
        <v>22.9</v>
      </c>
      <c r="K481" s="5">
        <v>11.6</v>
      </c>
      <c r="L481" s="5">
        <v>8.4</v>
      </c>
      <c r="M481" s="5">
        <v>8.3000000000000007</v>
      </c>
      <c r="N481" s="5">
        <v>4.7</v>
      </c>
      <c r="O481" s="5">
        <v>2.2999999999999998</v>
      </c>
      <c r="P481" s="5">
        <v>0</v>
      </c>
      <c r="Q481" s="5">
        <v>0</v>
      </c>
      <c r="R481" s="5">
        <v>0</v>
      </c>
      <c r="S481" s="5">
        <v>0</v>
      </c>
      <c r="T481" s="5">
        <v>0</v>
      </c>
      <c r="U481" s="5">
        <v>0</v>
      </c>
      <c r="V481" s="5">
        <v>0</v>
      </c>
      <c r="W481" s="5">
        <v>0</v>
      </c>
      <c r="X481" s="5">
        <v>0</v>
      </c>
      <c r="Y481" s="5">
        <v>0</v>
      </c>
      <c r="Z481" s="5">
        <v>0</v>
      </c>
      <c r="AA481" s="5">
        <v>0</v>
      </c>
      <c r="AB481" s="5">
        <v>0</v>
      </c>
      <c r="AC481" s="5">
        <v>0</v>
      </c>
      <c r="AD481" s="5">
        <v>0</v>
      </c>
      <c r="AE481" s="5">
        <v>0</v>
      </c>
      <c r="AF481" s="5">
        <v>0</v>
      </c>
      <c r="AG481" s="5">
        <v>0</v>
      </c>
      <c r="AH481" s="5">
        <v>0</v>
      </c>
      <c r="AI481" s="5">
        <v>0</v>
      </c>
      <c r="AJ481" s="5">
        <v>0</v>
      </c>
      <c r="AK481" s="5">
        <v>0</v>
      </c>
      <c r="AL481" s="5">
        <v>0</v>
      </c>
      <c r="AM481" s="5">
        <v>0</v>
      </c>
      <c r="AN481" s="5">
        <v>0</v>
      </c>
      <c r="AO481" s="5">
        <v>0</v>
      </c>
      <c r="AP481" s="816">
        <v>0</v>
      </c>
      <c r="AQ481" s="816">
        <v>0</v>
      </c>
      <c r="AR481" s="5">
        <v>0</v>
      </c>
      <c r="AS481" s="5">
        <v>0</v>
      </c>
      <c r="AT481" s="5">
        <v>0</v>
      </c>
      <c r="AU481" s="5">
        <v>0</v>
      </c>
      <c r="AV481" s="5">
        <v>0</v>
      </c>
      <c r="AW481" s="815">
        <v>0</v>
      </c>
      <c r="AX481" s="816">
        <v>0</v>
      </c>
      <c r="AY481" s="819">
        <v>0</v>
      </c>
      <c r="AZ481" s="816"/>
      <c r="BA481" s="818"/>
      <c r="BB481" s="802" t="str" cm="1">
        <f t="array" ref="BB481">INDEX(C$4:BA$4,MATCH(TRUE,INDEX(C481:BA481&lt;&gt;0,),0))</f>
        <v>1984-85</v>
      </c>
      <c r="BC481" s="803" t="str" cm="1">
        <f t="array" ref="BC481">LOOKUP(2,1/(C481:BA481&lt;&gt;0),$C$4:$BA$4)</f>
        <v>1990-91</v>
      </c>
      <c r="BD481" s="804">
        <f>COUNTIF(RDprograms[[#This Row],[1978-79]:[2028-29]], "&gt;0")</f>
        <v>7</v>
      </c>
      <c r="BE481" s="805">
        <f>SUM(C481:BA481)/RDprograms[[#This Row],[Years with &gt; $0 investment]]</f>
        <v>11.257142857142856</v>
      </c>
      <c r="BF481" s="806" t="s">
        <v>273</v>
      </c>
      <c r="BG481" s="807" t="s">
        <v>389</v>
      </c>
      <c r="BH481" s="847" t="s">
        <v>264</v>
      </c>
      <c r="BI481" s="809"/>
      <c r="BJ481" s="809"/>
      <c r="BK481" s="809"/>
      <c r="BL481" s="809"/>
      <c r="BM481" s="809"/>
      <c r="BN481" s="810"/>
      <c r="BO481" s="811" t="s">
        <v>236</v>
      </c>
      <c r="BP481" s="812"/>
      <c r="BQ481" s="812"/>
      <c r="BR481" s="812"/>
      <c r="BS481" s="812"/>
      <c r="BT481" s="812" t="s">
        <v>238</v>
      </c>
    </row>
    <row r="482" spans="1:72" ht="12.75" customHeight="1">
      <c r="A482" s="813" t="s">
        <v>1119</v>
      </c>
      <c r="B482" s="820" t="s">
        <v>1258</v>
      </c>
      <c r="C482" s="5">
        <v>0</v>
      </c>
      <c r="D482" s="5">
        <v>0</v>
      </c>
      <c r="E482" s="5">
        <v>0</v>
      </c>
      <c r="F482" s="5">
        <v>0</v>
      </c>
      <c r="G482" s="5">
        <v>0</v>
      </c>
      <c r="H482" s="5">
        <v>0</v>
      </c>
      <c r="I482" s="5">
        <v>0</v>
      </c>
      <c r="J482" s="5">
        <v>0</v>
      </c>
      <c r="K482" s="5">
        <v>0</v>
      </c>
      <c r="L482" s="5">
        <v>0</v>
      </c>
      <c r="M482" s="5">
        <v>0</v>
      </c>
      <c r="N482" s="5">
        <v>0</v>
      </c>
      <c r="O482" s="5">
        <v>0</v>
      </c>
      <c r="P482" s="5">
        <v>0</v>
      </c>
      <c r="Q482" s="5">
        <v>0</v>
      </c>
      <c r="R482" s="5">
        <v>0</v>
      </c>
      <c r="S482" s="5">
        <v>0</v>
      </c>
      <c r="T482" s="5">
        <v>0</v>
      </c>
      <c r="U482" s="5">
        <v>0</v>
      </c>
      <c r="V482" s="5">
        <v>0</v>
      </c>
      <c r="W482" s="5">
        <v>0</v>
      </c>
      <c r="X482" s="5">
        <v>0</v>
      </c>
      <c r="Y482" s="5">
        <v>0</v>
      </c>
      <c r="Z482" s="5">
        <v>0</v>
      </c>
      <c r="AA482" s="5">
        <v>0</v>
      </c>
      <c r="AB482" s="5">
        <v>0</v>
      </c>
      <c r="AC482" s="5">
        <v>0</v>
      </c>
      <c r="AD482" s="5">
        <v>0</v>
      </c>
      <c r="AE482" s="5">
        <v>0</v>
      </c>
      <c r="AF482" s="5">
        <v>0</v>
      </c>
      <c r="AG482" s="5">
        <v>0</v>
      </c>
      <c r="AH482" s="5">
        <v>0.85</v>
      </c>
      <c r="AI482" s="5">
        <v>0.42099999999999999</v>
      </c>
      <c r="AJ482" s="5">
        <v>0.43099999999999999</v>
      </c>
      <c r="AK482" s="5">
        <v>0.43099999999999999</v>
      </c>
      <c r="AL482" s="5">
        <v>0</v>
      </c>
      <c r="AM482" s="5">
        <v>0</v>
      </c>
      <c r="AN482" s="5">
        <v>0</v>
      </c>
      <c r="AO482" s="5">
        <v>0</v>
      </c>
      <c r="AP482" s="816">
        <v>0</v>
      </c>
      <c r="AQ482" s="816">
        <v>0</v>
      </c>
      <c r="AR482" s="5">
        <v>0</v>
      </c>
      <c r="AS482" s="5">
        <v>0</v>
      </c>
      <c r="AT482" s="5">
        <v>0</v>
      </c>
      <c r="AU482" s="5">
        <v>0</v>
      </c>
      <c r="AV482" s="5">
        <v>0</v>
      </c>
      <c r="AW482" s="815">
        <v>0</v>
      </c>
      <c r="AX482" s="816">
        <v>0</v>
      </c>
      <c r="AY482" s="819">
        <v>0</v>
      </c>
      <c r="AZ482" s="816"/>
      <c r="BA482" s="818"/>
      <c r="BB482" s="802" t="str" cm="1">
        <f t="array" ref="BB482">INDEX(C$4:BA$4,MATCH(TRUE,INDEX(C482:BA482&lt;&gt;0,),0))</f>
        <v>2009-10</v>
      </c>
      <c r="BC482" s="803" t="str" cm="1">
        <f t="array" ref="BC482">LOOKUP(2,1/(C482:BA482&lt;&gt;0),$C$4:$BA$4)</f>
        <v>2012-13</v>
      </c>
      <c r="BD482" s="804">
        <f>COUNTIF(RDprograms[[#This Row],[1978-79]:[2028-29]], "&gt;0")</f>
        <v>4</v>
      </c>
      <c r="BE482" s="805">
        <f>SUM(C482:BA482)/RDprograms[[#This Row],[Years with &gt; $0 investment]]</f>
        <v>0.53325</v>
      </c>
      <c r="BF482" s="806" t="s">
        <v>249</v>
      </c>
      <c r="BG482" s="807" t="s">
        <v>389</v>
      </c>
      <c r="BH482" s="847" t="s">
        <v>264</v>
      </c>
      <c r="BI482" s="809"/>
      <c r="BJ482" s="809"/>
      <c r="BK482" s="809"/>
      <c r="BL482" s="809"/>
      <c r="BM482" s="809"/>
      <c r="BN482" s="810"/>
      <c r="BO482" s="811" t="s">
        <v>236</v>
      </c>
      <c r="BP482" s="812"/>
      <c r="BQ482" s="812"/>
      <c r="BR482" s="812"/>
      <c r="BS482" s="812"/>
      <c r="BT482" s="812" t="s">
        <v>238</v>
      </c>
    </row>
    <row r="483" spans="1:72" ht="12.75" customHeight="1">
      <c r="A483" s="813" t="s">
        <v>1119</v>
      </c>
      <c r="B483" s="820" t="s">
        <v>1259</v>
      </c>
      <c r="C483" s="5">
        <v>0</v>
      </c>
      <c r="D483" s="5">
        <v>0</v>
      </c>
      <c r="E483" s="5">
        <v>0</v>
      </c>
      <c r="F483" s="5">
        <v>0</v>
      </c>
      <c r="G483" s="5">
        <v>0</v>
      </c>
      <c r="H483" s="5">
        <v>0</v>
      </c>
      <c r="I483" s="5">
        <v>0</v>
      </c>
      <c r="J483" s="5">
        <v>0</v>
      </c>
      <c r="K483" s="5">
        <v>0</v>
      </c>
      <c r="L483" s="5">
        <v>0</v>
      </c>
      <c r="M483" s="5">
        <v>0</v>
      </c>
      <c r="N483" s="5">
        <v>0</v>
      </c>
      <c r="O483" s="5">
        <v>0</v>
      </c>
      <c r="P483" s="5">
        <v>0</v>
      </c>
      <c r="Q483" s="5">
        <v>0</v>
      </c>
      <c r="R483" s="5">
        <v>0</v>
      </c>
      <c r="S483" s="5">
        <v>0</v>
      </c>
      <c r="T483" s="5">
        <v>0</v>
      </c>
      <c r="U483" s="5">
        <v>0</v>
      </c>
      <c r="V483" s="5">
        <v>0</v>
      </c>
      <c r="W483" s="5">
        <v>0</v>
      </c>
      <c r="X483" s="5">
        <v>0</v>
      </c>
      <c r="Y483" s="5">
        <v>0</v>
      </c>
      <c r="Z483" s="5">
        <v>0</v>
      </c>
      <c r="AA483" s="5">
        <v>0</v>
      </c>
      <c r="AB483" s="5">
        <v>0</v>
      </c>
      <c r="AC483" s="5">
        <v>0</v>
      </c>
      <c r="AD483" s="5">
        <v>0</v>
      </c>
      <c r="AE483" s="5">
        <v>0</v>
      </c>
      <c r="AF483" s="5">
        <v>14</v>
      </c>
      <c r="AG483" s="5">
        <v>8.6999999999999993</v>
      </c>
      <c r="AH483" s="5">
        <v>32.286999999999999</v>
      </c>
      <c r="AI483" s="5">
        <v>47.63</v>
      </c>
      <c r="AJ483" s="5">
        <v>25.568000000000001</v>
      </c>
      <c r="AK483" s="5">
        <v>22.423999999999999</v>
      </c>
      <c r="AL483" s="5">
        <v>43.811999999999998</v>
      </c>
      <c r="AM483" s="5">
        <v>31.631</v>
      </c>
      <c r="AN483" s="5">
        <v>4.4210000000000003</v>
      </c>
      <c r="AO483" s="5">
        <v>-6.6980000000000004</v>
      </c>
      <c r="AP483" s="5">
        <v>-0.09</v>
      </c>
      <c r="AQ483" s="5">
        <v>-16.065000000000001</v>
      </c>
      <c r="AR483" s="5">
        <v>0</v>
      </c>
      <c r="AS483" s="5">
        <v>0</v>
      </c>
      <c r="AT483" s="5">
        <v>0</v>
      </c>
      <c r="AU483" s="5">
        <v>0</v>
      </c>
      <c r="AV483" s="5">
        <v>0</v>
      </c>
      <c r="AW483" s="815">
        <v>0</v>
      </c>
      <c r="AX483" s="816">
        <v>0</v>
      </c>
      <c r="AY483" s="819">
        <v>0</v>
      </c>
      <c r="AZ483" s="816"/>
      <c r="BA483" s="818"/>
      <c r="BB483" s="802" t="str" cm="1">
        <f t="array" ref="BB483">INDEX(C$4:BA$4,MATCH(TRUE,INDEX(C483:BA483&lt;&gt;0,),0))</f>
        <v>2007-08</v>
      </c>
      <c r="BC483" s="803" t="str" cm="1">
        <f t="array" ref="BC483">LOOKUP(2,1/(C483:BA483&lt;&gt;0),$C$4:$BA$4)</f>
        <v>2018-19</v>
      </c>
      <c r="BD483" s="804">
        <f>COUNTIF(RDprograms[[#This Row],[1978-79]:[2028-29]], "&gt;0")</f>
        <v>9</v>
      </c>
      <c r="BE483" s="805">
        <f>SUM(C483:BA483)/RDprograms[[#This Row],[Years with &gt; $0 investment]]</f>
        <v>23.068888888888885</v>
      </c>
      <c r="BF483" s="806" t="s">
        <v>273</v>
      </c>
      <c r="BG483" s="807" t="s">
        <v>409</v>
      </c>
      <c r="BH483" s="847" t="s">
        <v>390</v>
      </c>
      <c r="BI483" s="809"/>
      <c r="BJ483" s="809"/>
      <c r="BK483" s="809"/>
      <c r="BL483" s="809"/>
      <c r="BM483" s="809"/>
      <c r="BN483" s="810"/>
      <c r="BO483" s="811" t="s">
        <v>236</v>
      </c>
      <c r="BP483" s="812" t="s">
        <v>1260</v>
      </c>
      <c r="BQ483" s="812"/>
      <c r="BR483" s="812"/>
      <c r="BS483" s="812"/>
      <c r="BT483" s="812"/>
    </row>
    <row r="484" spans="1:72" ht="12.75" customHeight="1">
      <c r="A484" s="813" t="s">
        <v>1119</v>
      </c>
      <c r="B484" s="820" t="s">
        <v>1261</v>
      </c>
      <c r="C484" s="5">
        <v>0</v>
      </c>
      <c r="D484" s="5">
        <v>0</v>
      </c>
      <c r="E484" s="5">
        <v>0</v>
      </c>
      <c r="F484" s="5">
        <v>0</v>
      </c>
      <c r="G484" s="5">
        <v>0</v>
      </c>
      <c r="H484" s="5">
        <v>0</v>
      </c>
      <c r="I484" s="5">
        <v>0</v>
      </c>
      <c r="J484" s="5">
        <v>0</v>
      </c>
      <c r="K484" s="5">
        <v>0</v>
      </c>
      <c r="L484" s="5">
        <v>0</v>
      </c>
      <c r="M484" s="5">
        <v>0</v>
      </c>
      <c r="N484" s="5">
        <v>0</v>
      </c>
      <c r="O484" s="5">
        <v>0</v>
      </c>
      <c r="P484" s="5">
        <v>0</v>
      </c>
      <c r="Q484" s="5">
        <v>0</v>
      </c>
      <c r="R484" s="5">
        <v>0</v>
      </c>
      <c r="S484" s="5">
        <v>0</v>
      </c>
      <c r="T484" s="5">
        <v>0</v>
      </c>
      <c r="U484" s="5">
        <v>0</v>
      </c>
      <c r="V484" s="5">
        <v>0</v>
      </c>
      <c r="W484" s="5">
        <v>0</v>
      </c>
      <c r="X484" s="5">
        <v>0</v>
      </c>
      <c r="Y484" s="5">
        <v>0</v>
      </c>
      <c r="Z484" s="5">
        <v>0</v>
      </c>
      <c r="AA484" s="5">
        <v>0</v>
      </c>
      <c r="AB484" s="5">
        <v>0</v>
      </c>
      <c r="AC484" s="5">
        <v>8</v>
      </c>
      <c r="AD484" s="5">
        <v>8</v>
      </c>
      <c r="AE484" s="5">
        <v>8</v>
      </c>
      <c r="AF484" s="5">
        <v>8.5</v>
      </c>
      <c r="AG484" s="5">
        <v>8.5</v>
      </c>
      <c r="AH484" s="5">
        <v>9</v>
      </c>
      <c r="AI484" s="5">
        <v>9.5</v>
      </c>
      <c r="AJ484" s="5">
        <v>9.5</v>
      </c>
      <c r="AK484" s="5">
        <v>9.5</v>
      </c>
      <c r="AL484" s="5">
        <v>7.5</v>
      </c>
      <c r="AM484" s="5">
        <v>7.5</v>
      </c>
      <c r="AN484" s="5">
        <v>7.5</v>
      </c>
      <c r="AO484" s="5">
        <v>6.8</v>
      </c>
      <c r="AP484" s="816">
        <v>6.5</v>
      </c>
      <c r="AQ484" s="816">
        <v>6.5</v>
      </c>
      <c r="AR484" s="5">
        <v>6.5</v>
      </c>
      <c r="AS484" s="5">
        <v>6.5</v>
      </c>
      <c r="AT484" s="5">
        <v>6.7</v>
      </c>
      <c r="AU484" s="5">
        <v>8.1</v>
      </c>
      <c r="AV484" s="5">
        <v>7.782</v>
      </c>
      <c r="AW484" s="815">
        <v>7.7510000000000003</v>
      </c>
      <c r="AX484" s="816">
        <v>7.952</v>
      </c>
      <c r="AY484" s="819">
        <v>7.952</v>
      </c>
      <c r="AZ484" s="816">
        <v>7.952</v>
      </c>
      <c r="BA484" s="818"/>
      <c r="BB484" s="802" t="str" cm="1">
        <f t="array" ref="BB484">INDEX(C$4:BA$4,MATCH(TRUE,INDEX(C484:BA484&lt;&gt;0,),0))</f>
        <v>2004-05</v>
      </c>
      <c r="BC484" s="803" t="str" cm="1">
        <f t="array" ref="BC484">LOOKUP(2,1/(C484:BA484&lt;&gt;0),$C$4:$BA$4)</f>
        <v>2027-28</v>
      </c>
      <c r="BD484" s="804">
        <f>COUNTIF(RDprograms[[#This Row],[1978-79]:[2028-29]], "&gt;0")</f>
        <v>24</v>
      </c>
      <c r="BE484" s="805">
        <f>SUM(C484:BA484)/RDprograms[[#This Row],[Years with &gt; $0 investment]]</f>
        <v>7.8328750000000005</v>
      </c>
      <c r="BF484" s="806" t="s">
        <v>273</v>
      </c>
      <c r="BG484" s="807" t="s">
        <v>389</v>
      </c>
      <c r="BH484" s="847" t="s">
        <v>258</v>
      </c>
      <c r="BI484" s="809">
        <v>1</v>
      </c>
      <c r="BJ484" s="809">
        <v>1</v>
      </c>
      <c r="BK484" s="809">
        <v>1</v>
      </c>
      <c r="BL484" s="809">
        <v>1</v>
      </c>
      <c r="BM484" s="809">
        <v>1</v>
      </c>
      <c r="BN484" s="810"/>
      <c r="BO484" s="811" t="s">
        <v>236</v>
      </c>
      <c r="BP484" s="812" t="s">
        <v>1262</v>
      </c>
      <c r="BQ484" s="812"/>
      <c r="BR484" s="812"/>
      <c r="BS484" s="812"/>
      <c r="BT484" s="812" t="s">
        <v>238</v>
      </c>
    </row>
    <row r="485" spans="1:72" ht="12.75" customHeight="1">
      <c r="A485" s="813" t="s">
        <v>1119</v>
      </c>
      <c r="B485" s="820" t="s">
        <v>1263</v>
      </c>
      <c r="C485" s="5">
        <v>0</v>
      </c>
      <c r="D485" s="5">
        <v>0</v>
      </c>
      <c r="E485" s="5">
        <v>0</v>
      </c>
      <c r="F485" s="5">
        <v>0</v>
      </c>
      <c r="G485" s="5">
        <v>0</v>
      </c>
      <c r="H485" s="5">
        <v>0</v>
      </c>
      <c r="I485" s="5">
        <v>0</v>
      </c>
      <c r="J485" s="5">
        <v>0</v>
      </c>
      <c r="K485" s="5">
        <v>0</v>
      </c>
      <c r="L485" s="5">
        <v>0.7</v>
      </c>
      <c r="M485" s="5">
        <v>3.9</v>
      </c>
      <c r="N485" s="5">
        <v>5.6</v>
      </c>
      <c r="O485" s="5">
        <v>4.2</v>
      </c>
      <c r="P485" s="5">
        <v>4.4000000000000004</v>
      </c>
      <c r="Q485" s="5">
        <v>0</v>
      </c>
      <c r="R485" s="5">
        <v>0</v>
      </c>
      <c r="S485" s="5">
        <v>0</v>
      </c>
      <c r="T485" s="5">
        <v>0</v>
      </c>
      <c r="U485" s="5">
        <v>0</v>
      </c>
      <c r="V485" s="5">
        <v>0</v>
      </c>
      <c r="W485" s="5">
        <v>0</v>
      </c>
      <c r="X485" s="5">
        <v>0</v>
      </c>
      <c r="Y485" s="5">
        <v>0</v>
      </c>
      <c r="Z485" s="5">
        <v>0</v>
      </c>
      <c r="AA485" s="5">
        <v>0</v>
      </c>
      <c r="AB485" s="5">
        <v>0</v>
      </c>
      <c r="AC485" s="5">
        <v>0</v>
      </c>
      <c r="AD485" s="5">
        <v>0</v>
      </c>
      <c r="AE485" s="5">
        <v>0</v>
      </c>
      <c r="AF485" s="5">
        <v>0</v>
      </c>
      <c r="AG485" s="5">
        <v>0</v>
      </c>
      <c r="AH485" s="5">
        <v>0</v>
      </c>
      <c r="AI485" s="5">
        <v>0</v>
      </c>
      <c r="AJ485" s="5">
        <v>0</v>
      </c>
      <c r="AK485" s="5">
        <v>0</v>
      </c>
      <c r="AL485" s="5">
        <v>0</v>
      </c>
      <c r="AM485" s="5">
        <v>0</v>
      </c>
      <c r="AN485" s="5">
        <v>0</v>
      </c>
      <c r="AO485" s="5">
        <v>0</v>
      </c>
      <c r="AP485" s="816">
        <v>0</v>
      </c>
      <c r="AQ485" s="816">
        <v>0</v>
      </c>
      <c r="AR485" s="5">
        <v>0</v>
      </c>
      <c r="AS485" s="5">
        <v>0</v>
      </c>
      <c r="AT485" s="5">
        <v>0</v>
      </c>
      <c r="AU485" s="5">
        <v>0</v>
      </c>
      <c r="AV485" s="5">
        <v>0</v>
      </c>
      <c r="AW485" s="815">
        <v>0</v>
      </c>
      <c r="AX485" s="816">
        <v>0</v>
      </c>
      <c r="AY485" s="819">
        <v>0</v>
      </c>
      <c r="AZ485" s="816"/>
      <c r="BA485" s="818"/>
      <c r="BB485" s="802" t="str" cm="1">
        <f t="array" ref="BB485">INDEX(C$4:BA$4,MATCH(TRUE,INDEX(C485:BA485&lt;&gt;0,),0))</f>
        <v>1987-88</v>
      </c>
      <c r="BC485" s="803" t="str" cm="1">
        <f t="array" ref="BC485">LOOKUP(2,1/(C485:BA485&lt;&gt;0),$C$4:$BA$4)</f>
        <v>1991-92</v>
      </c>
      <c r="BD485" s="804">
        <f>COUNTIF(RDprograms[[#This Row],[1978-79]:[2028-29]], "&gt;0")</f>
        <v>5</v>
      </c>
      <c r="BE485" s="805">
        <f>SUM(C485:BA485)/RDprograms[[#This Row],[Years with &gt; $0 investment]]</f>
        <v>3.7599999999999993</v>
      </c>
      <c r="BF485" s="806" t="s">
        <v>273</v>
      </c>
      <c r="BG485" s="807" t="s">
        <v>389</v>
      </c>
      <c r="BH485" s="847" t="s">
        <v>264</v>
      </c>
      <c r="BI485" s="809"/>
      <c r="BJ485" s="809"/>
      <c r="BK485" s="809"/>
      <c r="BL485" s="809"/>
      <c r="BM485" s="809"/>
      <c r="BN485" s="810"/>
      <c r="BO485" s="811" t="s">
        <v>236</v>
      </c>
      <c r="BP485" s="812" t="s">
        <v>1264</v>
      </c>
      <c r="BQ485" s="812"/>
      <c r="BR485" s="812"/>
      <c r="BS485" s="812"/>
      <c r="BT485" s="812" t="s">
        <v>238</v>
      </c>
    </row>
    <row r="486" spans="1:72" ht="12.75" customHeight="1">
      <c r="A486" s="813" t="s">
        <v>1119</v>
      </c>
      <c r="B486" s="820" t="s">
        <v>1265</v>
      </c>
      <c r="C486" s="5">
        <v>0</v>
      </c>
      <c r="D486" s="5">
        <v>0</v>
      </c>
      <c r="E486" s="5">
        <v>0</v>
      </c>
      <c r="F486" s="5">
        <v>0</v>
      </c>
      <c r="G486" s="5">
        <v>0</v>
      </c>
      <c r="H486" s="5">
        <v>0</v>
      </c>
      <c r="I486" s="5">
        <v>0</v>
      </c>
      <c r="J486" s="5">
        <v>3</v>
      </c>
      <c r="K486" s="5">
        <v>5</v>
      </c>
      <c r="L486" s="5">
        <v>3.2</v>
      </c>
      <c r="M486" s="5">
        <v>5.4</v>
      </c>
      <c r="N486" s="5">
        <v>2.4</v>
      </c>
      <c r="O486" s="5">
        <v>5.5</v>
      </c>
      <c r="P486" s="5">
        <v>5.7</v>
      </c>
      <c r="Q486" s="5">
        <v>5.4</v>
      </c>
      <c r="R486" s="5">
        <v>5.4</v>
      </c>
      <c r="S486" s="5">
        <v>9</v>
      </c>
      <c r="T486" s="5">
        <v>2.7</v>
      </c>
      <c r="U486" s="5">
        <v>1.7</v>
      </c>
      <c r="V486" s="5">
        <v>0.5</v>
      </c>
      <c r="W486" s="5">
        <v>1.5</v>
      </c>
      <c r="X486" s="5">
        <v>0</v>
      </c>
      <c r="Y486" s="5">
        <v>0</v>
      </c>
      <c r="Z486" s="5">
        <v>0</v>
      </c>
      <c r="AA486" s="5">
        <v>0</v>
      </c>
      <c r="AB486" s="5">
        <v>0</v>
      </c>
      <c r="AC486" s="5">
        <v>0</v>
      </c>
      <c r="AD486" s="5">
        <v>0</v>
      </c>
      <c r="AE486" s="5">
        <v>0</v>
      </c>
      <c r="AF486" s="5">
        <v>0</v>
      </c>
      <c r="AG486" s="5">
        <v>0</v>
      </c>
      <c r="AH486" s="5">
        <v>0</v>
      </c>
      <c r="AI486" s="5">
        <v>0</v>
      </c>
      <c r="AJ486" s="5">
        <v>0</v>
      </c>
      <c r="AK486" s="5">
        <v>0</v>
      </c>
      <c r="AL486" s="5">
        <v>0</v>
      </c>
      <c r="AM486" s="5">
        <v>0</v>
      </c>
      <c r="AN486" s="5">
        <v>0</v>
      </c>
      <c r="AO486" s="5">
        <v>0</v>
      </c>
      <c r="AP486" s="5">
        <v>0</v>
      </c>
      <c r="AQ486" s="5">
        <v>0</v>
      </c>
      <c r="AR486" s="5">
        <v>0</v>
      </c>
      <c r="AS486" s="5">
        <v>0</v>
      </c>
      <c r="AT486" s="5">
        <v>0</v>
      </c>
      <c r="AU486" s="5">
        <v>0</v>
      </c>
      <c r="AV486" s="5">
        <v>0</v>
      </c>
      <c r="AW486" s="815">
        <v>0</v>
      </c>
      <c r="AX486" s="816">
        <v>0</v>
      </c>
      <c r="AY486" s="819">
        <v>0</v>
      </c>
      <c r="AZ486" s="816"/>
      <c r="BA486" s="818"/>
      <c r="BB486" s="802" t="str" cm="1">
        <f t="array" ref="BB486">INDEX(C$4:BA$4,MATCH(TRUE,INDEX(C486:BA486&lt;&gt;0,),0))</f>
        <v>1985-86</v>
      </c>
      <c r="BC486" s="803" t="str" cm="1">
        <f t="array" ref="BC486">LOOKUP(2,1/(C486:BA486&lt;&gt;0),$C$4:$BA$4)</f>
        <v>1998-99</v>
      </c>
      <c r="BD486" s="804">
        <f>COUNTIF(RDprograms[[#This Row],[1978-79]:[2028-29]], "&gt;0")</f>
        <v>14</v>
      </c>
      <c r="BE486" s="805">
        <f>SUM(C486:BA486)/RDprograms[[#This Row],[Years with &gt; $0 investment]]</f>
        <v>4.0285714285714294</v>
      </c>
      <c r="BF486" s="806" t="s">
        <v>273</v>
      </c>
      <c r="BG486" s="807" t="s">
        <v>734</v>
      </c>
      <c r="BH486" s="847" t="s">
        <v>264</v>
      </c>
      <c r="BI486" s="809"/>
      <c r="BJ486" s="809"/>
      <c r="BK486" s="809"/>
      <c r="BL486" s="809"/>
      <c r="BM486" s="809"/>
      <c r="BN486" s="810"/>
      <c r="BO486" s="811" t="s">
        <v>236</v>
      </c>
      <c r="BP486" s="812"/>
      <c r="BQ486" s="812"/>
      <c r="BR486" s="812"/>
      <c r="BS486" s="812"/>
      <c r="BT486" s="812" t="s">
        <v>238</v>
      </c>
    </row>
    <row r="487" spans="1:72" ht="12.75" customHeight="1">
      <c r="A487" s="813" t="s">
        <v>1119</v>
      </c>
      <c r="B487" s="820" t="s">
        <v>1111</v>
      </c>
      <c r="C487" s="5">
        <v>0</v>
      </c>
      <c r="D487" s="5">
        <v>0</v>
      </c>
      <c r="E487" s="5">
        <v>0</v>
      </c>
      <c r="F487" s="5">
        <v>0</v>
      </c>
      <c r="G487" s="5">
        <v>0</v>
      </c>
      <c r="H487" s="5">
        <v>0</v>
      </c>
      <c r="I487" s="5">
        <v>0</v>
      </c>
      <c r="J487" s="5">
        <v>0</v>
      </c>
      <c r="K487" s="5">
        <v>0</v>
      </c>
      <c r="L487" s="5">
        <v>0</v>
      </c>
      <c r="M487" s="5">
        <v>0</v>
      </c>
      <c r="N487" s="5">
        <v>0</v>
      </c>
      <c r="O487" s="5">
        <v>0</v>
      </c>
      <c r="P487" s="5">
        <v>0</v>
      </c>
      <c r="Q487" s="5">
        <v>0</v>
      </c>
      <c r="R487" s="5">
        <v>0</v>
      </c>
      <c r="S487" s="5">
        <v>0</v>
      </c>
      <c r="T487" s="5">
        <v>0</v>
      </c>
      <c r="U487" s="5">
        <v>0</v>
      </c>
      <c r="V487" s="5">
        <v>0</v>
      </c>
      <c r="W487" s="5">
        <v>0</v>
      </c>
      <c r="X487" s="5">
        <v>0</v>
      </c>
      <c r="Y487" s="5">
        <v>0</v>
      </c>
      <c r="Z487" s="5">
        <v>0</v>
      </c>
      <c r="AA487" s="5">
        <v>0</v>
      </c>
      <c r="AB487" s="5">
        <v>0</v>
      </c>
      <c r="AC487" s="5">
        <v>0</v>
      </c>
      <c r="AD487" s="5">
        <v>0</v>
      </c>
      <c r="AE487" s="5">
        <v>0</v>
      </c>
      <c r="AF487" s="5">
        <v>0</v>
      </c>
      <c r="AG487" s="5">
        <v>0</v>
      </c>
      <c r="AH487" s="5">
        <v>0</v>
      </c>
      <c r="AI487" s="5">
        <v>0</v>
      </c>
      <c r="AJ487" s="5">
        <v>0</v>
      </c>
      <c r="AK487" s="5">
        <v>0</v>
      </c>
      <c r="AL487" s="5">
        <v>0</v>
      </c>
      <c r="AM487" s="5">
        <v>0</v>
      </c>
      <c r="AN487" s="5">
        <v>0</v>
      </c>
      <c r="AO487" s="5">
        <v>0</v>
      </c>
      <c r="AP487" s="5">
        <v>0</v>
      </c>
      <c r="AQ487" s="5">
        <v>0</v>
      </c>
      <c r="AR487" s="5">
        <v>0</v>
      </c>
      <c r="AS487" s="5">
        <v>0</v>
      </c>
      <c r="AT487" s="5">
        <v>8</v>
      </c>
      <c r="AU487" s="5">
        <v>8</v>
      </c>
      <c r="AV487" s="5">
        <v>8</v>
      </c>
      <c r="AW487" s="815">
        <v>9</v>
      </c>
      <c r="AX487" s="816">
        <v>9</v>
      </c>
      <c r="AY487" s="817">
        <v>9</v>
      </c>
      <c r="AZ487" s="816">
        <v>10</v>
      </c>
      <c r="BA487" s="818">
        <v>10</v>
      </c>
      <c r="BB487" s="802" t="str" cm="1">
        <f t="array" ref="BB487">INDEX(C$4:BA$4,MATCH(TRUE,INDEX(C487:BA487&lt;&gt;0,),0))</f>
        <v>2021-22</v>
      </c>
      <c r="BC487" s="803" t="str" cm="1">
        <f t="array" ref="BC487">LOOKUP(2,1/(C487:BA487&lt;&gt;0),$C$4:$BA$4)</f>
        <v>2028-29</v>
      </c>
      <c r="BD487" s="804">
        <f>COUNTIF(RDprograms[[#This Row],[1978-79]:[2028-29]], "&gt;0")</f>
        <v>8</v>
      </c>
      <c r="BE487" s="805">
        <f>SUM(C487:BA487)/RDprograms[[#This Row],[Years with &gt; $0 investment]]</f>
        <v>8.875</v>
      </c>
      <c r="BF487" s="806" t="s">
        <v>273</v>
      </c>
      <c r="BG487" s="807" t="s">
        <v>397</v>
      </c>
      <c r="BH487" s="847" t="s">
        <v>241</v>
      </c>
      <c r="BI487" s="809"/>
      <c r="BJ487" s="809"/>
      <c r="BK487" s="809"/>
      <c r="BL487" s="809"/>
      <c r="BM487" s="809">
        <v>1</v>
      </c>
      <c r="BN487" s="810"/>
      <c r="BO487" s="811" t="s">
        <v>236</v>
      </c>
      <c r="BP487" s="812" t="s">
        <v>1112</v>
      </c>
      <c r="BQ487" s="812" t="s">
        <v>1266</v>
      </c>
      <c r="BR487" s="812"/>
      <c r="BS487" s="812"/>
      <c r="BT487" s="812" t="s">
        <v>238</v>
      </c>
    </row>
    <row r="488" spans="1:72" ht="12.75" customHeight="1">
      <c r="A488" s="813" t="s">
        <v>1119</v>
      </c>
      <c r="B488" s="820" t="s">
        <v>1267</v>
      </c>
      <c r="C488" s="5">
        <v>0</v>
      </c>
      <c r="D488" s="5">
        <v>0</v>
      </c>
      <c r="E488" s="5">
        <v>0</v>
      </c>
      <c r="F488" s="5">
        <v>0</v>
      </c>
      <c r="G488" s="5">
        <v>0</v>
      </c>
      <c r="H488" s="5">
        <v>0</v>
      </c>
      <c r="I488" s="5">
        <v>0</v>
      </c>
      <c r="J488" s="5">
        <v>0</v>
      </c>
      <c r="K488" s="5">
        <v>0</v>
      </c>
      <c r="L488" s="5">
        <v>0</v>
      </c>
      <c r="M488" s="5">
        <v>0</v>
      </c>
      <c r="N488" s="5">
        <v>0</v>
      </c>
      <c r="O488" s="5">
        <v>0</v>
      </c>
      <c r="P488" s="5">
        <v>0</v>
      </c>
      <c r="Q488" s="5">
        <v>0</v>
      </c>
      <c r="R488" s="5">
        <v>0</v>
      </c>
      <c r="S488" s="5">
        <v>0</v>
      </c>
      <c r="T488" s="5">
        <v>0</v>
      </c>
      <c r="U488" s="5">
        <v>0</v>
      </c>
      <c r="V488" s="5">
        <v>0</v>
      </c>
      <c r="W488" s="5">
        <v>0</v>
      </c>
      <c r="X488" s="5">
        <v>0</v>
      </c>
      <c r="Y488" s="5">
        <v>0</v>
      </c>
      <c r="Z488" s="5">
        <v>0</v>
      </c>
      <c r="AA488" s="5">
        <v>0</v>
      </c>
      <c r="AB488" s="5">
        <v>0</v>
      </c>
      <c r="AC488" s="5">
        <v>0</v>
      </c>
      <c r="AD488" s="5">
        <v>0</v>
      </c>
      <c r="AE488" s="5">
        <v>0</v>
      </c>
      <c r="AF488" s="5">
        <v>2.4445000000000001</v>
      </c>
      <c r="AG488" s="5">
        <v>0</v>
      </c>
      <c r="AH488" s="5">
        <v>0.56899999999999995</v>
      </c>
      <c r="AI488" s="5">
        <v>0</v>
      </c>
      <c r="AJ488" s="5">
        <v>0</v>
      </c>
      <c r="AK488" s="5">
        <v>0</v>
      </c>
      <c r="AL488" s="5">
        <v>0</v>
      </c>
      <c r="AM488" s="5">
        <v>0</v>
      </c>
      <c r="AN488" s="5">
        <v>0</v>
      </c>
      <c r="AO488" s="5">
        <v>0</v>
      </c>
      <c r="AP488" s="5">
        <v>0</v>
      </c>
      <c r="AQ488" s="5">
        <v>0</v>
      </c>
      <c r="AR488" s="5">
        <v>0</v>
      </c>
      <c r="AS488" s="5">
        <v>0</v>
      </c>
      <c r="AT488" s="5">
        <v>0</v>
      </c>
      <c r="AU488" s="5">
        <v>0</v>
      </c>
      <c r="AV488" s="5">
        <v>0</v>
      </c>
      <c r="AW488" s="815">
        <v>0</v>
      </c>
      <c r="AX488" s="816">
        <v>0</v>
      </c>
      <c r="AY488" s="819">
        <v>0</v>
      </c>
      <c r="AZ488" s="816"/>
      <c r="BA488" s="818"/>
      <c r="BB488" s="802" t="str" cm="1">
        <f t="array" ref="BB488">INDEX(C$4:BA$4,MATCH(TRUE,INDEX(C488:BA488&lt;&gt;0,),0))</f>
        <v>2007-08</v>
      </c>
      <c r="BC488" s="803" t="str" cm="1">
        <f t="array" ref="BC488">LOOKUP(2,1/(C488:BA488&lt;&gt;0),$C$4:$BA$4)</f>
        <v>2009-10</v>
      </c>
      <c r="BD488" s="804">
        <f>COUNTIF(RDprograms[[#This Row],[1978-79]:[2028-29]], "&gt;0")</f>
        <v>2</v>
      </c>
      <c r="BE488" s="805">
        <f>SUM(C488:BA488)/RDprograms[[#This Row],[Years with &gt; $0 investment]]</f>
        <v>1.50675</v>
      </c>
      <c r="BF488" s="806" t="s">
        <v>249</v>
      </c>
      <c r="BG488" s="807" t="s">
        <v>409</v>
      </c>
      <c r="BH488" s="847" t="s">
        <v>390</v>
      </c>
      <c r="BI488" s="809"/>
      <c r="BJ488" s="809"/>
      <c r="BK488" s="809"/>
      <c r="BL488" s="809"/>
      <c r="BM488" s="809"/>
      <c r="BN488" s="810"/>
      <c r="BO488" s="811" t="s">
        <v>236</v>
      </c>
      <c r="BP488" s="812"/>
      <c r="BQ488" s="812"/>
      <c r="BR488" s="812"/>
      <c r="BS488" s="812"/>
      <c r="BT488" s="812" t="s">
        <v>238</v>
      </c>
    </row>
    <row r="489" spans="1:72" ht="12.75" customHeight="1">
      <c r="A489" s="813" t="s">
        <v>1119</v>
      </c>
      <c r="B489" s="820" t="s">
        <v>1268</v>
      </c>
      <c r="C489" s="5">
        <v>0</v>
      </c>
      <c r="D489" s="5">
        <v>0</v>
      </c>
      <c r="E489" s="5">
        <v>0</v>
      </c>
      <c r="F489" s="5">
        <v>0</v>
      </c>
      <c r="G489" s="5">
        <v>0</v>
      </c>
      <c r="H489" s="5">
        <v>0</v>
      </c>
      <c r="I489" s="5">
        <v>0</v>
      </c>
      <c r="J489" s="5">
        <v>0</v>
      </c>
      <c r="K489" s="5">
        <v>0</v>
      </c>
      <c r="L489" s="5">
        <v>0</v>
      </c>
      <c r="M489" s="5">
        <v>0</v>
      </c>
      <c r="N489" s="5">
        <v>0</v>
      </c>
      <c r="O489" s="5">
        <v>0</v>
      </c>
      <c r="P489" s="5">
        <v>0</v>
      </c>
      <c r="Q489" s="5">
        <v>0</v>
      </c>
      <c r="R489" s="5">
        <v>0</v>
      </c>
      <c r="S489" s="5">
        <v>0</v>
      </c>
      <c r="T489" s="5">
        <v>0</v>
      </c>
      <c r="U489" s="5">
        <v>0</v>
      </c>
      <c r="V489" s="5">
        <v>0</v>
      </c>
      <c r="W489" s="5">
        <v>0</v>
      </c>
      <c r="X489" s="5">
        <v>6.1</v>
      </c>
      <c r="Y489" s="5">
        <v>8.6999999999999993</v>
      </c>
      <c r="Z489" s="5">
        <v>14</v>
      </c>
      <c r="AA489" s="5">
        <v>16.399999999999999</v>
      </c>
      <c r="AB489" s="5">
        <v>59.3</v>
      </c>
      <c r="AC489" s="5">
        <v>0.4</v>
      </c>
      <c r="AD489" s="5">
        <v>0</v>
      </c>
      <c r="AE489" s="5">
        <v>0</v>
      </c>
      <c r="AF489" s="5">
        <v>0</v>
      </c>
      <c r="AG489" s="5">
        <v>0</v>
      </c>
      <c r="AH489" s="5">
        <v>0</v>
      </c>
      <c r="AI489" s="5">
        <v>0</v>
      </c>
      <c r="AJ489" s="5">
        <v>0</v>
      </c>
      <c r="AK489" s="5">
        <v>0</v>
      </c>
      <c r="AL489" s="5">
        <v>0</v>
      </c>
      <c r="AM489" s="5">
        <v>0</v>
      </c>
      <c r="AN489" s="5">
        <v>0</v>
      </c>
      <c r="AO489" s="5">
        <v>0</v>
      </c>
      <c r="AP489" s="5">
        <v>0</v>
      </c>
      <c r="AQ489" s="5">
        <v>0</v>
      </c>
      <c r="AR489" s="5">
        <v>0</v>
      </c>
      <c r="AS489" s="5">
        <v>0</v>
      </c>
      <c r="AT489" s="5">
        <v>0</v>
      </c>
      <c r="AU489" s="5">
        <v>0</v>
      </c>
      <c r="AV489" s="5">
        <v>0</v>
      </c>
      <c r="AW489" s="815">
        <v>0</v>
      </c>
      <c r="AX489" s="816">
        <v>0</v>
      </c>
      <c r="AY489" s="819">
        <v>0</v>
      </c>
      <c r="AZ489" s="816"/>
      <c r="BA489" s="818"/>
      <c r="BB489" s="802" t="str" cm="1">
        <f t="array" ref="BB489">INDEX(C$4:BA$4,MATCH(TRUE,INDEX(C489:BA489&lt;&gt;0,),0))</f>
        <v>1999-00</v>
      </c>
      <c r="BC489" s="803" t="str" cm="1">
        <f t="array" ref="BC489">LOOKUP(2,1/(C489:BA489&lt;&gt;0),$C$4:$BA$4)</f>
        <v>2004-05</v>
      </c>
      <c r="BD489" s="804">
        <f>COUNTIF(RDprograms[[#This Row],[1978-79]:[2028-29]], "&gt;0")</f>
        <v>6</v>
      </c>
      <c r="BE489" s="805">
        <f>SUM(C489:BA489)/RDprograms[[#This Row],[Years with &gt; $0 investment]]</f>
        <v>17.483333333333334</v>
      </c>
      <c r="BF489" s="806" t="s">
        <v>273</v>
      </c>
      <c r="BG489" s="807" t="s">
        <v>703</v>
      </c>
      <c r="BH489" s="847" t="s">
        <v>264</v>
      </c>
      <c r="BI489" s="809"/>
      <c r="BJ489" s="809"/>
      <c r="BK489" s="809"/>
      <c r="BL489" s="809"/>
      <c r="BM489" s="809"/>
      <c r="BN489" s="810"/>
      <c r="BO489" s="811" t="s">
        <v>236</v>
      </c>
      <c r="BP489" s="812"/>
      <c r="BQ489" s="812"/>
      <c r="BR489" s="812"/>
      <c r="BS489" s="812"/>
      <c r="BT489" s="812" t="s">
        <v>238</v>
      </c>
    </row>
    <row r="490" spans="1:72" ht="12.75" customHeight="1">
      <c r="A490" s="813" t="s">
        <v>1119</v>
      </c>
      <c r="B490" s="820" t="s">
        <v>1269</v>
      </c>
      <c r="C490" s="5">
        <v>0</v>
      </c>
      <c r="D490" s="5">
        <v>0</v>
      </c>
      <c r="E490" s="5">
        <v>0</v>
      </c>
      <c r="F490" s="5">
        <v>0</v>
      </c>
      <c r="G490" s="5">
        <v>0</v>
      </c>
      <c r="H490" s="5">
        <v>0</v>
      </c>
      <c r="I490" s="5">
        <v>0</v>
      </c>
      <c r="J490" s="5">
        <v>0</v>
      </c>
      <c r="K490" s="5">
        <v>0</v>
      </c>
      <c r="L490" s="5">
        <v>0</v>
      </c>
      <c r="M490" s="5">
        <v>0</v>
      </c>
      <c r="N490" s="5">
        <v>0</v>
      </c>
      <c r="O490" s="5">
        <v>0</v>
      </c>
      <c r="P490" s="5">
        <v>0</v>
      </c>
      <c r="Q490" s="5">
        <v>0</v>
      </c>
      <c r="R490" s="5">
        <v>0</v>
      </c>
      <c r="S490" s="5">
        <v>0</v>
      </c>
      <c r="T490" s="5">
        <v>0</v>
      </c>
      <c r="U490" s="5">
        <v>0</v>
      </c>
      <c r="V490" s="5">
        <v>0</v>
      </c>
      <c r="W490" s="5">
        <v>0</v>
      </c>
      <c r="X490" s="5">
        <v>0</v>
      </c>
      <c r="Y490" s="5">
        <v>0</v>
      </c>
      <c r="Z490" s="5">
        <v>0</v>
      </c>
      <c r="AA490" s="5">
        <v>0</v>
      </c>
      <c r="AB490" s="5">
        <v>0</v>
      </c>
      <c r="AC490" s="5">
        <v>4.2</v>
      </c>
      <c r="AD490" s="5">
        <v>12.4</v>
      </c>
      <c r="AE490" s="5">
        <v>21.6</v>
      </c>
      <c r="AF490" s="5">
        <v>26.9</v>
      </c>
      <c r="AG490" s="5">
        <v>25.292000000000002</v>
      </c>
      <c r="AH490" s="5">
        <v>0</v>
      </c>
      <c r="AI490" s="5">
        <v>0</v>
      </c>
      <c r="AJ490" s="5">
        <v>0</v>
      </c>
      <c r="AK490" s="5">
        <v>0</v>
      </c>
      <c r="AL490" s="5">
        <v>0</v>
      </c>
      <c r="AM490" s="5">
        <v>0</v>
      </c>
      <c r="AN490" s="5">
        <v>0</v>
      </c>
      <c r="AO490" s="5">
        <v>0</v>
      </c>
      <c r="AP490" s="816">
        <v>0</v>
      </c>
      <c r="AQ490" s="816">
        <v>0</v>
      </c>
      <c r="AR490" s="5">
        <v>0</v>
      </c>
      <c r="AS490" s="5">
        <v>0</v>
      </c>
      <c r="AT490" s="5">
        <v>0</v>
      </c>
      <c r="AU490" s="5">
        <v>0</v>
      </c>
      <c r="AV490" s="5">
        <v>0</v>
      </c>
      <c r="AW490" s="815">
        <v>0</v>
      </c>
      <c r="AX490" s="816">
        <v>0</v>
      </c>
      <c r="AY490" s="819">
        <v>0</v>
      </c>
      <c r="AZ490" s="816"/>
      <c r="BA490" s="818"/>
      <c r="BB490" s="802" t="str" cm="1">
        <f t="array" ref="BB490">INDEX(C$4:BA$4,MATCH(TRUE,INDEX(C490:BA490&lt;&gt;0,),0))</f>
        <v>2004-05</v>
      </c>
      <c r="BC490" s="803" t="str" cm="1">
        <f t="array" ref="BC490">LOOKUP(2,1/(C490:BA490&lt;&gt;0),$C$4:$BA$4)</f>
        <v>2008-09</v>
      </c>
      <c r="BD490" s="804">
        <f>COUNTIF(RDprograms[[#This Row],[1978-79]:[2028-29]], "&gt;0")</f>
        <v>5</v>
      </c>
      <c r="BE490" s="805">
        <f>SUM(C490:BA490)/RDprograms[[#This Row],[Years with &gt; $0 investment]]</f>
        <v>18.078399999999998</v>
      </c>
      <c r="BF490" s="806" t="s">
        <v>249</v>
      </c>
      <c r="BG490" s="807" t="s">
        <v>703</v>
      </c>
      <c r="BH490" s="847" t="s">
        <v>264</v>
      </c>
      <c r="BI490" s="809"/>
      <c r="BJ490" s="809"/>
      <c r="BK490" s="809"/>
      <c r="BL490" s="809"/>
      <c r="BM490" s="809"/>
      <c r="BN490" s="810"/>
      <c r="BO490" s="811" t="s">
        <v>236</v>
      </c>
      <c r="BP490" s="812"/>
      <c r="BQ490" s="812"/>
      <c r="BR490" s="812"/>
      <c r="BS490" s="812"/>
      <c r="BT490" s="812" t="s">
        <v>238</v>
      </c>
    </row>
    <row r="491" spans="1:72" ht="12.75" customHeight="1">
      <c r="A491" s="813" t="s">
        <v>1119</v>
      </c>
      <c r="B491" s="820" t="s">
        <v>1270</v>
      </c>
      <c r="C491" s="5">
        <v>0</v>
      </c>
      <c r="D491" s="5">
        <v>0</v>
      </c>
      <c r="E491" s="5">
        <v>0</v>
      </c>
      <c r="F491" s="5">
        <v>0</v>
      </c>
      <c r="G491" s="5">
        <v>0</v>
      </c>
      <c r="H491" s="5">
        <v>0</v>
      </c>
      <c r="I491" s="5">
        <v>0</v>
      </c>
      <c r="J491" s="5">
        <v>0</v>
      </c>
      <c r="K491" s="5">
        <v>0</v>
      </c>
      <c r="L491" s="5">
        <v>0</v>
      </c>
      <c r="M491" s="5">
        <v>0</v>
      </c>
      <c r="N491" s="5">
        <v>0</v>
      </c>
      <c r="O491" s="5">
        <v>0</v>
      </c>
      <c r="P491" s="5">
        <v>0</v>
      </c>
      <c r="Q491" s="5">
        <v>0</v>
      </c>
      <c r="R491" s="5">
        <v>0</v>
      </c>
      <c r="S491" s="5">
        <v>0</v>
      </c>
      <c r="T491" s="5">
        <v>0</v>
      </c>
      <c r="U491" s="5">
        <v>0</v>
      </c>
      <c r="V491" s="5">
        <v>0</v>
      </c>
      <c r="W491" s="5">
        <v>0</v>
      </c>
      <c r="X491" s="5">
        <v>0</v>
      </c>
      <c r="Y491" s="5">
        <v>0</v>
      </c>
      <c r="Z491" s="5">
        <v>50</v>
      </c>
      <c r="AA491" s="5">
        <v>85</v>
      </c>
      <c r="AB491" s="5">
        <v>100</v>
      </c>
      <c r="AC491" s="5">
        <v>130</v>
      </c>
      <c r="AD491" s="5">
        <v>225</v>
      </c>
      <c r="AE491" s="5">
        <v>290</v>
      </c>
      <c r="AF491" s="5">
        <v>330</v>
      </c>
      <c r="AG491" s="5">
        <v>500</v>
      </c>
      <c r="AH491" s="5">
        <v>430</v>
      </c>
      <c r="AI491" s="5">
        <v>430</v>
      </c>
      <c r="AJ491" s="5">
        <v>110</v>
      </c>
      <c r="AK491" s="5">
        <v>50</v>
      </c>
      <c r="AL491" s="5">
        <v>0</v>
      </c>
      <c r="AM491" s="5">
        <v>0</v>
      </c>
      <c r="AN491" s="5">
        <v>0</v>
      </c>
      <c r="AO491" s="5">
        <v>0</v>
      </c>
      <c r="AP491" s="5">
        <v>0</v>
      </c>
      <c r="AQ491" s="5">
        <v>0</v>
      </c>
      <c r="AR491" s="5">
        <v>0</v>
      </c>
      <c r="AS491" s="5">
        <v>0</v>
      </c>
      <c r="AT491" s="5">
        <v>0</v>
      </c>
      <c r="AU491" s="5">
        <v>0</v>
      </c>
      <c r="AV491" s="5">
        <v>0</v>
      </c>
      <c r="AW491" s="815">
        <v>0</v>
      </c>
      <c r="AX491" s="816">
        <v>0</v>
      </c>
      <c r="AY491" s="819">
        <v>0</v>
      </c>
      <c r="AZ491" s="816"/>
      <c r="BA491" s="818"/>
      <c r="BB491" s="802" t="str" cm="1">
        <f t="array" ref="BB491">INDEX(C$4:BA$4,MATCH(TRUE,INDEX(C491:BA491&lt;&gt;0,),0))</f>
        <v>2001-02</v>
      </c>
      <c r="BC491" s="803" t="str" cm="1">
        <f t="array" ref="BC491">LOOKUP(2,1/(C491:BA491&lt;&gt;0),$C$4:$BA$4)</f>
        <v>2012-13</v>
      </c>
      <c r="BD491" s="804">
        <f>COUNTIF(RDprograms[[#This Row],[1978-79]:[2028-29]], "&gt;0")</f>
        <v>12</v>
      </c>
      <c r="BE491" s="805">
        <f>SUM(C491:BA491)/RDprograms[[#This Row],[Years with &gt; $0 investment]]</f>
        <v>227.5</v>
      </c>
      <c r="BF491" s="806" t="s">
        <v>1172</v>
      </c>
      <c r="BG491" s="807" t="s">
        <v>403</v>
      </c>
      <c r="BH491" s="847" t="s">
        <v>1271</v>
      </c>
      <c r="BI491" s="809"/>
      <c r="BJ491" s="809"/>
      <c r="BK491" s="809"/>
      <c r="BL491" s="809"/>
      <c r="BM491" s="809"/>
      <c r="BN491" s="810"/>
      <c r="BO491" s="811" t="s">
        <v>251</v>
      </c>
      <c r="BP491" s="812" t="s">
        <v>1272</v>
      </c>
      <c r="BQ491" s="812" t="s">
        <v>1273</v>
      </c>
      <c r="BR491" s="812" t="s">
        <v>1274</v>
      </c>
      <c r="BS491" s="812"/>
      <c r="BT491" s="812" t="s">
        <v>238</v>
      </c>
    </row>
    <row r="492" spans="1:72" ht="12.75" customHeight="1">
      <c r="A492" s="813" t="s">
        <v>1119</v>
      </c>
      <c r="B492" s="820" t="s">
        <v>1275</v>
      </c>
      <c r="C492" s="5">
        <v>16.5</v>
      </c>
      <c r="D492" s="5">
        <v>23</v>
      </c>
      <c r="E492" s="5">
        <v>36.1</v>
      </c>
      <c r="F492" s="5">
        <v>12.1</v>
      </c>
      <c r="G492" s="5">
        <v>34.799999999999997</v>
      </c>
      <c r="H492" s="5">
        <v>43.2</v>
      </c>
      <c r="I492" s="5">
        <v>38.1</v>
      </c>
      <c r="J492" s="5">
        <v>37.700000000000003</v>
      </c>
      <c r="K492" s="5">
        <v>17.899999999999999</v>
      </c>
      <c r="L492" s="5">
        <v>6.4</v>
      </c>
      <c r="M492" s="5">
        <v>2.8</v>
      </c>
      <c r="N492" s="5">
        <v>0.3</v>
      </c>
      <c r="O492" s="5">
        <v>0</v>
      </c>
      <c r="P492" s="5">
        <v>0</v>
      </c>
      <c r="Q492" s="5">
        <v>0</v>
      </c>
      <c r="R492" s="5">
        <v>0</v>
      </c>
      <c r="S492" s="5">
        <v>0</v>
      </c>
      <c r="T492" s="5">
        <v>0</v>
      </c>
      <c r="U492" s="5">
        <v>0</v>
      </c>
      <c r="V492" s="5">
        <v>0</v>
      </c>
      <c r="W492" s="5">
        <v>0</v>
      </c>
      <c r="X492" s="5">
        <v>0</v>
      </c>
      <c r="Y492" s="5">
        <v>0</v>
      </c>
      <c r="Z492" s="5">
        <v>0</v>
      </c>
      <c r="AA492" s="5">
        <v>0</v>
      </c>
      <c r="AB492" s="5">
        <v>0</v>
      </c>
      <c r="AC492" s="5">
        <v>0</v>
      </c>
      <c r="AD492" s="5">
        <v>0</v>
      </c>
      <c r="AE492" s="5">
        <v>0</v>
      </c>
      <c r="AF492" s="5">
        <v>0</v>
      </c>
      <c r="AG492" s="5">
        <v>0</v>
      </c>
      <c r="AH492" s="5">
        <v>0</v>
      </c>
      <c r="AI492" s="5">
        <v>0</v>
      </c>
      <c r="AJ492" s="5">
        <v>0</v>
      </c>
      <c r="AK492" s="5">
        <v>0</v>
      </c>
      <c r="AL492" s="5">
        <v>0</v>
      </c>
      <c r="AM492" s="5">
        <v>0</v>
      </c>
      <c r="AN492" s="5">
        <v>0</v>
      </c>
      <c r="AO492" s="5">
        <v>0</v>
      </c>
      <c r="AP492" s="5">
        <v>0</v>
      </c>
      <c r="AQ492" s="5">
        <v>0</v>
      </c>
      <c r="AR492" s="5">
        <v>0</v>
      </c>
      <c r="AS492" s="5">
        <v>0</v>
      </c>
      <c r="AT492" s="5">
        <v>0</v>
      </c>
      <c r="AU492" s="5">
        <v>0</v>
      </c>
      <c r="AV492" s="5">
        <v>0</v>
      </c>
      <c r="AW492" s="815">
        <v>0</v>
      </c>
      <c r="AX492" s="816">
        <v>0</v>
      </c>
      <c r="AY492" s="819">
        <v>0</v>
      </c>
      <c r="AZ492" s="816"/>
      <c r="BA492" s="818"/>
      <c r="BB492" s="802" t="str" cm="1">
        <f t="array" ref="BB492">INDEX(C$4:BA$4,MATCH(TRUE,INDEX(C492:BA492&lt;&gt;0,),0))</f>
        <v>1978-79</v>
      </c>
      <c r="BC492" s="803" t="str" cm="1">
        <f t="array" ref="BC492">LOOKUP(2,1/(C492:BA492&lt;&gt;0),$C$4:$BA$4)</f>
        <v>1989-90</v>
      </c>
      <c r="BD492" s="804">
        <f>COUNTIF(RDprograms[[#This Row],[1978-79]:[2028-29]], "&gt;0")</f>
        <v>12</v>
      </c>
      <c r="BE492" s="805">
        <f>SUM(C492:BA492)/RDprograms[[#This Row],[Years with &gt; $0 investment]]</f>
        <v>22.408333333333331</v>
      </c>
      <c r="BF492" s="806" t="s">
        <v>233</v>
      </c>
      <c r="BG492" s="807" t="s">
        <v>389</v>
      </c>
      <c r="BH492" s="847" t="s">
        <v>264</v>
      </c>
      <c r="BI492" s="809"/>
      <c r="BJ492" s="809"/>
      <c r="BK492" s="809"/>
      <c r="BL492" s="809"/>
      <c r="BM492" s="809"/>
      <c r="BN492" s="810"/>
      <c r="BO492" s="811" t="s">
        <v>251</v>
      </c>
      <c r="BP492" s="812"/>
      <c r="BQ492" s="812"/>
      <c r="BR492" s="812"/>
      <c r="BS492" s="812"/>
      <c r="BT492" s="812" t="s">
        <v>238</v>
      </c>
    </row>
    <row r="493" spans="1:72" ht="12.75" customHeight="1">
      <c r="A493" s="813" t="s">
        <v>1119</v>
      </c>
      <c r="B493" s="820" t="s">
        <v>1276</v>
      </c>
      <c r="C493" s="5">
        <v>1.2</v>
      </c>
      <c r="D493" s="5">
        <v>4</v>
      </c>
      <c r="E493" s="5">
        <v>5</v>
      </c>
      <c r="F493" s="5">
        <v>2.4</v>
      </c>
      <c r="G493" s="5">
        <v>4.9000000000000004</v>
      </c>
      <c r="H493" s="5">
        <v>8.1</v>
      </c>
      <c r="I493" s="5">
        <v>9.8000000000000007</v>
      </c>
      <c r="J493" s="5">
        <v>6.3</v>
      </c>
      <c r="K493" s="5">
        <v>3.5</v>
      </c>
      <c r="L493" s="5">
        <v>1</v>
      </c>
      <c r="M493" s="5">
        <v>0.3</v>
      </c>
      <c r="N493" s="5">
        <v>0</v>
      </c>
      <c r="O493" s="5">
        <v>0</v>
      </c>
      <c r="P493" s="5">
        <v>0.1</v>
      </c>
      <c r="Q493" s="5">
        <v>0</v>
      </c>
      <c r="R493" s="5">
        <v>0</v>
      </c>
      <c r="S493" s="5">
        <v>0</v>
      </c>
      <c r="T493" s="5">
        <v>0</v>
      </c>
      <c r="U493" s="5">
        <v>0</v>
      </c>
      <c r="V493" s="5">
        <v>0</v>
      </c>
      <c r="W493" s="5">
        <v>0</v>
      </c>
      <c r="X493" s="5">
        <v>0</v>
      </c>
      <c r="Y493" s="5">
        <v>0</v>
      </c>
      <c r="Z493" s="5">
        <v>0</v>
      </c>
      <c r="AA493" s="5">
        <v>0</v>
      </c>
      <c r="AB493" s="5">
        <v>0</v>
      </c>
      <c r="AC493" s="5">
        <v>0</v>
      </c>
      <c r="AD493" s="5">
        <v>0</v>
      </c>
      <c r="AE493" s="5">
        <v>0</v>
      </c>
      <c r="AF493" s="5">
        <v>0</v>
      </c>
      <c r="AG493" s="5">
        <v>0</v>
      </c>
      <c r="AH493" s="5">
        <v>0</v>
      </c>
      <c r="AI493" s="5">
        <v>0</v>
      </c>
      <c r="AJ493" s="5">
        <v>0</v>
      </c>
      <c r="AK493" s="5">
        <v>0</v>
      </c>
      <c r="AL493" s="5">
        <v>0</v>
      </c>
      <c r="AM493" s="5">
        <v>0</v>
      </c>
      <c r="AN493" s="5">
        <v>0</v>
      </c>
      <c r="AO493" s="5">
        <v>0</v>
      </c>
      <c r="AP493" s="5">
        <v>0</v>
      </c>
      <c r="AQ493" s="5">
        <v>0</v>
      </c>
      <c r="AR493" s="5">
        <v>0</v>
      </c>
      <c r="AS493" s="5">
        <v>0</v>
      </c>
      <c r="AT493" s="5">
        <v>0</v>
      </c>
      <c r="AU493" s="5">
        <v>0</v>
      </c>
      <c r="AV493" s="5">
        <v>0</v>
      </c>
      <c r="AW493" s="815">
        <v>0</v>
      </c>
      <c r="AX493" s="816">
        <v>0</v>
      </c>
      <c r="AY493" s="819">
        <v>0</v>
      </c>
      <c r="AZ493" s="816"/>
      <c r="BA493" s="818"/>
      <c r="BB493" s="802" t="str" cm="1">
        <f t="array" ref="BB493">INDEX(C$4:BA$4,MATCH(TRUE,INDEX(C493:BA493&lt;&gt;0,),0))</f>
        <v>1978-79</v>
      </c>
      <c r="BC493" s="803" t="str" cm="1">
        <f t="array" ref="BC493">LOOKUP(2,1/(C493:BA493&lt;&gt;0),$C$4:$BA$4)</f>
        <v>1991-92</v>
      </c>
      <c r="BD493" s="804">
        <f>COUNTIF(RDprograms[[#This Row],[1978-79]:[2028-29]], "&gt;0")</f>
        <v>12</v>
      </c>
      <c r="BE493" s="805">
        <f>SUM(C493:BA493)/RDprograms[[#This Row],[Years with &gt; $0 investment]]</f>
        <v>3.8833333333333333</v>
      </c>
      <c r="BF493" s="806" t="s">
        <v>273</v>
      </c>
      <c r="BG493" s="807" t="s">
        <v>389</v>
      </c>
      <c r="BH493" s="847" t="s">
        <v>264</v>
      </c>
      <c r="BI493" s="809"/>
      <c r="BJ493" s="809"/>
      <c r="BK493" s="809"/>
      <c r="BL493" s="809"/>
      <c r="BM493" s="809"/>
      <c r="BN493" s="810"/>
      <c r="BO493" s="811" t="s">
        <v>251</v>
      </c>
      <c r="BP493" s="812"/>
      <c r="BQ493" s="812"/>
      <c r="BR493" s="812"/>
      <c r="BS493" s="812"/>
      <c r="BT493" s="812" t="s">
        <v>238</v>
      </c>
    </row>
    <row r="494" spans="1:72" ht="12.75" customHeight="1">
      <c r="A494" s="813" t="s">
        <v>1119</v>
      </c>
      <c r="B494" s="820" t="s">
        <v>1277</v>
      </c>
      <c r="C494" s="5">
        <v>0</v>
      </c>
      <c r="D494" s="5">
        <v>0</v>
      </c>
      <c r="E494" s="5">
        <v>0</v>
      </c>
      <c r="F494" s="5">
        <v>0</v>
      </c>
      <c r="G494" s="5">
        <v>0</v>
      </c>
      <c r="H494" s="5">
        <v>0</v>
      </c>
      <c r="I494" s="5">
        <v>0</v>
      </c>
      <c r="J494" s="5">
        <v>0</v>
      </c>
      <c r="K494" s="5">
        <v>0</v>
      </c>
      <c r="L494" s="5">
        <v>0</v>
      </c>
      <c r="M494" s="5">
        <v>0</v>
      </c>
      <c r="N494" s="5">
        <v>0</v>
      </c>
      <c r="O494" s="5">
        <v>0</v>
      </c>
      <c r="P494" s="5">
        <v>0</v>
      </c>
      <c r="Q494" s="5">
        <v>0</v>
      </c>
      <c r="R494" s="5">
        <v>0</v>
      </c>
      <c r="S494" s="5">
        <v>0</v>
      </c>
      <c r="T494" s="5">
        <v>0</v>
      </c>
      <c r="U494" s="5">
        <v>0</v>
      </c>
      <c r="V494" s="5">
        <v>0</v>
      </c>
      <c r="W494" s="5">
        <v>0</v>
      </c>
      <c r="X494" s="5">
        <v>0</v>
      </c>
      <c r="Y494" s="5">
        <v>0</v>
      </c>
      <c r="Z494" s="5">
        <v>0</v>
      </c>
      <c r="AA494" s="5">
        <v>0</v>
      </c>
      <c r="AB494" s="5">
        <v>0</v>
      </c>
      <c r="AC494" s="5">
        <v>0</v>
      </c>
      <c r="AD494" s="5">
        <v>0</v>
      </c>
      <c r="AE494" s="5">
        <v>0</v>
      </c>
      <c r="AF494" s="5">
        <v>0</v>
      </c>
      <c r="AG494" s="5">
        <v>0</v>
      </c>
      <c r="AH494" s="5">
        <v>0</v>
      </c>
      <c r="AI494" s="5">
        <v>0</v>
      </c>
      <c r="AJ494" s="5">
        <v>0</v>
      </c>
      <c r="AK494" s="5">
        <v>0</v>
      </c>
      <c r="AL494" s="5">
        <v>0</v>
      </c>
      <c r="AM494" s="5">
        <v>0</v>
      </c>
      <c r="AN494" s="5">
        <v>0</v>
      </c>
      <c r="AO494" s="5">
        <v>5</v>
      </c>
      <c r="AP494" s="816">
        <v>5</v>
      </c>
      <c r="AQ494" s="816">
        <v>5</v>
      </c>
      <c r="AR494" s="5">
        <v>5</v>
      </c>
      <c r="AS494" s="5">
        <v>5</v>
      </c>
      <c r="AT494" s="5">
        <v>0</v>
      </c>
      <c r="AU494" s="5">
        <v>0</v>
      </c>
      <c r="AV494" s="5">
        <v>0</v>
      </c>
      <c r="AW494" s="815">
        <v>0</v>
      </c>
      <c r="AX494" s="816">
        <v>0</v>
      </c>
      <c r="AY494" s="819">
        <v>0</v>
      </c>
      <c r="AZ494" s="816"/>
      <c r="BA494" s="818"/>
      <c r="BB494" s="802" t="str" cm="1">
        <f t="array" ref="BB494">INDEX(C$4:BA$4,MATCH(TRUE,INDEX(C494:BA494&lt;&gt;0,),0))</f>
        <v>2016-17</v>
      </c>
      <c r="BC494" s="803" t="str" cm="1">
        <f t="array" ref="BC494">LOOKUP(2,1/(C494:BA494&lt;&gt;0),$C$4:$BA$4)</f>
        <v>2020-21</v>
      </c>
      <c r="BD494" s="804">
        <f>COUNTIF(RDprograms[[#This Row],[1978-79]:[2028-29]], "&gt;0")</f>
        <v>5</v>
      </c>
      <c r="BE494" s="805">
        <f>SUM(C494:BA494)/RDprograms[[#This Row],[Years with &gt; $0 investment]]</f>
        <v>5</v>
      </c>
      <c r="BF494" s="806" t="s">
        <v>273</v>
      </c>
      <c r="BG494" s="807" t="s">
        <v>397</v>
      </c>
      <c r="BH494" s="847" t="s">
        <v>264</v>
      </c>
      <c r="BI494" s="809"/>
      <c r="BJ494" s="809"/>
      <c r="BK494" s="809"/>
      <c r="BL494" s="809"/>
      <c r="BM494" s="809"/>
      <c r="BN494" s="810"/>
      <c r="BO494" s="811" t="s">
        <v>236</v>
      </c>
      <c r="BP494" s="812" t="s">
        <v>1278</v>
      </c>
      <c r="BQ494" s="812" t="s">
        <v>1279</v>
      </c>
      <c r="BR494" s="812"/>
      <c r="BS494" s="812" t="s">
        <v>244</v>
      </c>
      <c r="BT494" s="812" t="s">
        <v>238</v>
      </c>
    </row>
    <row r="495" spans="1:72" ht="12.75" customHeight="1">
      <c r="A495" s="813" t="s">
        <v>1119</v>
      </c>
      <c r="B495" s="820" t="s">
        <v>1280</v>
      </c>
      <c r="C495" s="5">
        <v>0</v>
      </c>
      <c r="D495" s="5">
        <v>0</v>
      </c>
      <c r="E495" s="5">
        <v>0</v>
      </c>
      <c r="F495" s="5">
        <v>0</v>
      </c>
      <c r="G495" s="5">
        <v>0</v>
      </c>
      <c r="H495" s="5">
        <v>0</v>
      </c>
      <c r="I495" s="5">
        <v>0</v>
      </c>
      <c r="J495" s="5">
        <v>0</v>
      </c>
      <c r="K495" s="5">
        <v>0</v>
      </c>
      <c r="L495" s="5">
        <v>0</v>
      </c>
      <c r="M495" s="5">
        <v>0</v>
      </c>
      <c r="N495" s="5">
        <v>0</v>
      </c>
      <c r="O495" s="5">
        <v>0</v>
      </c>
      <c r="P495" s="5">
        <v>0</v>
      </c>
      <c r="Q495" s="5">
        <v>0</v>
      </c>
      <c r="R495" s="5">
        <v>0</v>
      </c>
      <c r="S495" s="5">
        <v>0</v>
      </c>
      <c r="T495" s="5">
        <v>0</v>
      </c>
      <c r="U495" s="5">
        <v>0</v>
      </c>
      <c r="V495" s="5">
        <v>0</v>
      </c>
      <c r="W495" s="5">
        <v>0</v>
      </c>
      <c r="X495" s="5">
        <v>0</v>
      </c>
      <c r="Y495" s="5">
        <v>0</v>
      </c>
      <c r="Z495" s="5">
        <v>40</v>
      </c>
      <c r="AA495" s="5">
        <v>182</v>
      </c>
      <c r="AB495" s="5">
        <v>235</v>
      </c>
      <c r="AC495" s="5">
        <v>229</v>
      </c>
      <c r="AD495" s="5">
        <v>242</v>
      </c>
      <c r="AE495" s="5">
        <v>235</v>
      </c>
      <c r="AF495" s="5">
        <v>206</v>
      </c>
      <c r="AG495" s="5">
        <v>269</v>
      </c>
      <c r="AH495" s="5">
        <v>310</v>
      </c>
      <c r="AI495" s="5">
        <v>300</v>
      </c>
      <c r="AJ495" s="5">
        <v>-200</v>
      </c>
      <c r="AK495" s="5">
        <v>-135</v>
      </c>
      <c r="AL495" s="5">
        <v>-85</v>
      </c>
      <c r="AM495" s="5">
        <v>-50</v>
      </c>
      <c r="AN495" s="5">
        <v>-25</v>
      </c>
      <c r="AO495" s="5">
        <v>-25</v>
      </c>
      <c r="AP495" s="5">
        <v>0</v>
      </c>
      <c r="AQ495" s="5">
        <v>0</v>
      </c>
      <c r="AR495" s="5">
        <v>0</v>
      </c>
      <c r="AS495" s="5">
        <v>0</v>
      </c>
      <c r="AT495" s="5">
        <v>0</v>
      </c>
      <c r="AU495" s="5">
        <v>0</v>
      </c>
      <c r="AV495" s="5">
        <v>0</v>
      </c>
      <c r="AW495" s="815">
        <v>0</v>
      </c>
      <c r="AX495" s="816">
        <v>0</v>
      </c>
      <c r="AY495" s="819">
        <v>0</v>
      </c>
      <c r="AZ495" s="816"/>
      <c r="BA495" s="818"/>
      <c r="BB495" s="802" t="str" cm="1">
        <f t="array" ref="BB495">INDEX(C$4:BA$4,MATCH(TRUE,INDEX(C495:BA495&lt;&gt;0,),0))</f>
        <v>2001-02</v>
      </c>
      <c r="BC495" s="803" t="str" cm="1">
        <f t="array" ref="BC495">LOOKUP(2,1/(C495:BA495&lt;&gt;0),$C$4:$BA$4)</f>
        <v>2016-17</v>
      </c>
      <c r="BD495" s="804">
        <f>COUNTIF(RDprograms[[#This Row],[1978-79]:[2028-29]], "&gt;0")</f>
        <v>10</v>
      </c>
      <c r="BE495" s="805">
        <f>SUM(C495:BA495)/RDprograms[[#This Row],[Years with &gt; $0 investment]]</f>
        <v>172.8</v>
      </c>
      <c r="BF495" s="806" t="s">
        <v>1172</v>
      </c>
      <c r="BG495" s="807" t="s">
        <v>403</v>
      </c>
      <c r="BH495" s="847" t="s">
        <v>1271</v>
      </c>
      <c r="BI495" s="809"/>
      <c r="BJ495" s="809"/>
      <c r="BK495" s="809"/>
      <c r="BL495" s="809"/>
      <c r="BM495" s="809"/>
      <c r="BN495" s="810"/>
      <c r="BO495" s="811" t="s">
        <v>251</v>
      </c>
      <c r="BP495" s="812" t="s">
        <v>1281</v>
      </c>
      <c r="BQ495" s="812" t="s">
        <v>1282</v>
      </c>
      <c r="BR495" s="812" t="s">
        <v>1274</v>
      </c>
      <c r="BS495" s="812"/>
      <c r="BT495" s="812" t="s">
        <v>238</v>
      </c>
    </row>
    <row r="496" spans="1:72" ht="12.75" customHeight="1">
      <c r="A496" s="813" t="s">
        <v>1119</v>
      </c>
      <c r="B496" s="820" t="s">
        <v>1283</v>
      </c>
      <c r="C496" s="5">
        <v>0</v>
      </c>
      <c r="D496" s="5">
        <v>0</v>
      </c>
      <c r="E496" s="5">
        <v>0</v>
      </c>
      <c r="F496" s="5">
        <v>0</v>
      </c>
      <c r="G496" s="5">
        <v>0</v>
      </c>
      <c r="H496" s="5">
        <v>0</v>
      </c>
      <c r="I496" s="5">
        <v>0</v>
      </c>
      <c r="J496" s="5">
        <v>0</v>
      </c>
      <c r="K496" s="5">
        <v>0</v>
      </c>
      <c r="L496" s="5">
        <v>0</v>
      </c>
      <c r="M496" s="5">
        <v>0</v>
      </c>
      <c r="N496" s="5">
        <v>0</v>
      </c>
      <c r="O496" s="5">
        <v>0</v>
      </c>
      <c r="P496" s="5">
        <v>0</v>
      </c>
      <c r="Q496" s="5">
        <v>0</v>
      </c>
      <c r="R496" s="5">
        <v>0</v>
      </c>
      <c r="S496" s="5">
        <v>0</v>
      </c>
      <c r="T496" s="5">
        <v>0</v>
      </c>
      <c r="U496" s="5">
        <v>0</v>
      </c>
      <c r="V496" s="5">
        <v>0</v>
      </c>
      <c r="W496" s="5">
        <v>0</v>
      </c>
      <c r="X496" s="5">
        <v>15.9</v>
      </c>
      <c r="Y496" s="5">
        <v>12.8</v>
      </c>
      <c r="Z496" s="5">
        <v>16.100000000000001</v>
      </c>
      <c r="AA496" s="5">
        <v>7.8</v>
      </c>
      <c r="AB496" s="5">
        <v>11.8</v>
      </c>
      <c r="AC496" s="5">
        <v>10.4</v>
      </c>
      <c r="AD496" s="5">
        <v>1.5</v>
      </c>
      <c r="AE496" s="5">
        <v>0</v>
      </c>
      <c r="AF496" s="5">
        <v>0</v>
      </c>
      <c r="AG496" s="5">
        <v>0</v>
      </c>
      <c r="AH496" s="5">
        <v>0</v>
      </c>
      <c r="AI496" s="5">
        <v>0</v>
      </c>
      <c r="AJ496" s="5">
        <v>0</v>
      </c>
      <c r="AK496" s="5">
        <v>0</v>
      </c>
      <c r="AL496" s="5">
        <v>0</v>
      </c>
      <c r="AM496" s="5">
        <v>0</v>
      </c>
      <c r="AN496" s="5">
        <v>0</v>
      </c>
      <c r="AO496" s="5">
        <v>0</v>
      </c>
      <c r="AP496" s="816">
        <v>0</v>
      </c>
      <c r="AQ496" s="816">
        <v>0</v>
      </c>
      <c r="AR496" s="5">
        <v>0</v>
      </c>
      <c r="AS496" s="5">
        <v>0</v>
      </c>
      <c r="AT496" s="5">
        <v>0</v>
      </c>
      <c r="AU496" s="5">
        <v>0</v>
      </c>
      <c r="AV496" s="5">
        <v>0</v>
      </c>
      <c r="AW496" s="815">
        <v>0</v>
      </c>
      <c r="AX496" s="816">
        <v>0</v>
      </c>
      <c r="AY496" s="819">
        <v>0</v>
      </c>
      <c r="AZ496" s="816"/>
      <c r="BA496" s="818"/>
      <c r="BB496" s="802" t="str" cm="1">
        <f t="array" ref="BB496">INDEX(C$4:BA$4,MATCH(TRUE,INDEX(C496:BA496&lt;&gt;0,),0))</f>
        <v>1999-00</v>
      </c>
      <c r="BC496" s="803" t="str" cm="1">
        <f t="array" ref="BC496">LOOKUP(2,1/(C496:BA496&lt;&gt;0),$C$4:$BA$4)</f>
        <v>2005-06</v>
      </c>
      <c r="BD496" s="804">
        <f>COUNTIF(RDprograms[[#This Row],[1978-79]:[2028-29]], "&gt;0")</f>
        <v>7</v>
      </c>
      <c r="BE496" s="805">
        <f>SUM(C496:BA496)/RDprograms[[#This Row],[Years with &gt; $0 investment]]</f>
        <v>10.900000000000002</v>
      </c>
      <c r="BF496" s="806" t="s">
        <v>249</v>
      </c>
      <c r="BG496" s="807" t="s">
        <v>389</v>
      </c>
      <c r="BH496" s="847" t="s">
        <v>264</v>
      </c>
      <c r="BI496" s="809"/>
      <c r="BJ496" s="809"/>
      <c r="BK496" s="809"/>
      <c r="BL496" s="809"/>
      <c r="BM496" s="809"/>
      <c r="BN496" s="810"/>
      <c r="BO496" s="811" t="s">
        <v>236</v>
      </c>
      <c r="BP496" s="812"/>
      <c r="BQ496" s="812"/>
      <c r="BR496" s="812"/>
      <c r="BS496" s="812"/>
      <c r="BT496" s="812" t="s">
        <v>238</v>
      </c>
    </row>
    <row r="497" spans="1:72" ht="12.75" customHeight="1">
      <c r="A497" s="813" t="s">
        <v>1119</v>
      </c>
      <c r="B497" s="820" t="s">
        <v>1284</v>
      </c>
      <c r="C497" s="5">
        <v>0</v>
      </c>
      <c r="D497" s="5">
        <v>0</v>
      </c>
      <c r="E497" s="5">
        <v>0</v>
      </c>
      <c r="F497" s="5">
        <v>0</v>
      </c>
      <c r="G497" s="5">
        <v>0</v>
      </c>
      <c r="H497" s="5">
        <v>0</v>
      </c>
      <c r="I497" s="5">
        <v>0</v>
      </c>
      <c r="J497" s="5">
        <v>0</v>
      </c>
      <c r="K497" s="5">
        <v>0</v>
      </c>
      <c r="L497" s="5">
        <v>0</v>
      </c>
      <c r="M497" s="5">
        <v>0</v>
      </c>
      <c r="N497" s="5">
        <v>0</v>
      </c>
      <c r="O497" s="5">
        <v>0</v>
      </c>
      <c r="P497" s="5">
        <v>0</v>
      </c>
      <c r="Q497" s="5">
        <v>0</v>
      </c>
      <c r="R497" s="5">
        <v>0</v>
      </c>
      <c r="S497" s="5">
        <v>0</v>
      </c>
      <c r="T497" s="5">
        <v>0</v>
      </c>
      <c r="U497" s="5">
        <v>0</v>
      </c>
      <c r="V497" s="5">
        <v>0</v>
      </c>
      <c r="W497" s="5">
        <v>0</v>
      </c>
      <c r="X497" s="5">
        <v>0</v>
      </c>
      <c r="Y497" s="5">
        <v>0</v>
      </c>
      <c r="Z497" s="5">
        <v>0</v>
      </c>
      <c r="AA497" s="5">
        <v>0</v>
      </c>
      <c r="AB497" s="5">
        <v>0</v>
      </c>
      <c r="AC497" s="5">
        <v>0</v>
      </c>
      <c r="AD497" s="5">
        <v>0</v>
      </c>
      <c r="AE497" s="5">
        <v>0</v>
      </c>
      <c r="AF497" s="5">
        <v>0</v>
      </c>
      <c r="AG497" s="5">
        <v>0</v>
      </c>
      <c r="AH497" s="5">
        <v>55</v>
      </c>
      <c r="AI497" s="5">
        <v>55</v>
      </c>
      <c r="AJ497" s="5">
        <v>0</v>
      </c>
      <c r="AK497" s="5">
        <v>0</v>
      </c>
      <c r="AL497" s="5">
        <v>0</v>
      </c>
      <c r="AM497" s="5">
        <v>0</v>
      </c>
      <c r="AN497" s="5">
        <v>0</v>
      </c>
      <c r="AO497" s="5">
        <v>0</v>
      </c>
      <c r="AP497" s="5">
        <v>0</v>
      </c>
      <c r="AQ497" s="5">
        <v>0</v>
      </c>
      <c r="AR497" s="5">
        <v>0</v>
      </c>
      <c r="AS497" s="5">
        <v>0</v>
      </c>
      <c r="AT497" s="5">
        <v>0</v>
      </c>
      <c r="AU497" s="5">
        <v>0</v>
      </c>
      <c r="AV497" s="5">
        <v>0</v>
      </c>
      <c r="AW497" s="815">
        <v>0</v>
      </c>
      <c r="AX497" s="816">
        <v>0</v>
      </c>
      <c r="AY497" s="819">
        <v>0</v>
      </c>
      <c r="AZ497" s="816"/>
      <c r="BA497" s="818"/>
      <c r="BB497" s="802" t="str" cm="1">
        <f t="array" ref="BB497">INDEX(C$4:BA$4,MATCH(TRUE,INDEX(C497:BA497&lt;&gt;0,),0))</f>
        <v>2009-10</v>
      </c>
      <c r="BC497" s="803" t="str" cm="1">
        <f t="array" ref="BC497">LOOKUP(2,1/(C497:BA497&lt;&gt;0),$C$4:$BA$4)</f>
        <v>2010-11</v>
      </c>
      <c r="BD497" s="804">
        <f>COUNTIF(RDprograms[[#This Row],[1978-79]:[2028-29]], "&gt;0")</f>
        <v>2</v>
      </c>
      <c r="BE497" s="805">
        <f>SUM(C497:BA497)/RDprograms[[#This Row],[Years with &gt; $0 investment]]</f>
        <v>55</v>
      </c>
      <c r="BF497" s="806" t="s">
        <v>1172</v>
      </c>
      <c r="BG497" s="807" t="s">
        <v>403</v>
      </c>
      <c r="BH497" s="847" t="s">
        <v>1271</v>
      </c>
      <c r="BI497" s="809"/>
      <c r="BJ497" s="809"/>
      <c r="BK497" s="809"/>
      <c r="BL497" s="809"/>
      <c r="BM497" s="809"/>
      <c r="BN497" s="810"/>
      <c r="BO497" s="811" t="s">
        <v>251</v>
      </c>
      <c r="BP497" s="812" t="s">
        <v>1285</v>
      </c>
      <c r="BQ497" s="812" t="s">
        <v>1286</v>
      </c>
      <c r="BR497" s="812" t="s">
        <v>1274</v>
      </c>
      <c r="BS497" s="812"/>
      <c r="BT497" s="812" t="s">
        <v>238</v>
      </c>
    </row>
    <row r="498" spans="1:72" ht="12.75" customHeight="1">
      <c r="A498" s="813" t="s">
        <v>1119</v>
      </c>
      <c r="B498" s="820" t="s">
        <v>1287</v>
      </c>
      <c r="C498" s="5">
        <v>0</v>
      </c>
      <c r="D498" s="5">
        <v>0</v>
      </c>
      <c r="E498" s="5">
        <v>0</v>
      </c>
      <c r="F498" s="5">
        <v>0</v>
      </c>
      <c r="G498" s="5">
        <v>0</v>
      </c>
      <c r="H498" s="5">
        <v>0</v>
      </c>
      <c r="I498" s="5">
        <v>0</v>
      </c>
      <c r="J498" s="5">
        <v>147</v>
      </c>
      <c r="K498" s="5">
        <v>186</v>
      </c>
      <c r="L498" s="5">
        <v>215</v>
      </c>
      <c r="M498" s="5">
        <v>201</v>
      </c>
      <c r="N498" s="5">
        <v>274</v>
      </c>
      <c r="O498" s="5">
        <v>326</v>
      </c>
      <c r="P498" s="5">
        <v>432</v>
      </c>
      <c r="Q498" s="5">
        <v>505</v>
      </c>
      <c r="R498" s="5">
        <v>685</v>
      </c>
      <c r="S498" s="5">
        <v>675</v>
      </c>
      <c r="T498" s="5">
        <v>800</v>
      </c>
      <c r="U498" s="5">
        <v>500</v>
      </c>
      <c r="V498" s="5">
        <v>390</v>
      </c>
      <c r="W498" s="5">
        <v>340</v>
      </c>
      <c r="X498" s="5">
        <v>430</v>
      </c>
      <c r="Y498" s="5">
        <v>430</v>
      </c>
      <c r="Z498" s="5">
        <v>280</v>
      </c>
      <c r="AA498" s="5">
        <v>320</v>
      </c>
      <c r="AB498" s="5">
        <v>330</v>
      </c>
      <c r="AC498" s="5">
        <v>370</v>
      </c>
      <c r="AD498" s="5">
        <v>430</v>
      </c>
      <c r="AE498" s="5">
        <v>480</v>
      </c>
      <c r="AF498" s="5">
        <v>700</v>
      </c>
      <c r="AG498" s="5">
        <v>980</v>
      </c>
      <c r="AH498" s="5">
        <v>970</v>
      </c>
      <c r="AI498" s="5">
        <v>1110</v>
      </c>
      <c r="AJ498" s="5">
        <v>500</v>
      </c>
      <c r="AK498" s="5">
        <v>170</v>
      </c>
      <c r="AL498" s="5">
        <v>30</v>
      </c>
      <c r="AM498" s="5">
        <v>0</v>
      </c>
      <c r="AN498" s="5">
        <v>0</v>
      </c>
      <c r="AO498" s="5">
        <v>0</v>
      </c>
      <c r="AP498" s="5">
        <v>0</v>
      </c>
      <c r="AQ498" s="5">
        <v>0</v>
      </c>
      <c r="AR498" s="5">
        <v>0</v>
      </c>
      <c r="AS498" s="5">
        <v>0</v>
      </c>
      <c r="AT498" s="5">
        <v>0</v>
      </c>
      <c r="AU498" s="5">
        <v>0</v>
      </c>
      <c r="AV498" s="5">
        <v>0</v>
      </c>
      <c r="AW498" s="815">
        <v>0</v>
      </c>
      <c r="AX498" s="816">
        <v>0</v>
      </c>
      <c r="AY498" s="819">
        <v>0</v>
      </c>
      <c r="AZ498" s="816"/>
      <c r="BA498" s="818"/>
      <c r="BB498" s="802" t="str" cm="1">
        <f t="array" ref="BB498">INDEX(C$4:BA$4,MATCH(TRUE,INDEX(C498:BA498&lt;&gt;0,),0))</f>
        <v>1985-86</v>
      </c>
      <c r="BC498" s="803" t="str" cm="1">
        <f t="array" ref="BC498">LOOKUP(2,1/(C498:BA498&lt;&gt;0),$C$4:$BA$4)</f>
        <v>2013-14</v>
      </c>
      <c r="BD498" s="804">
        <f>COUNTIF(RDprograms[[#This Row],[1978-79]:[2028-29]], "&gt;0")</f>
        <v>29</v>
      </c>
      <c r="BE498" s="805">
        <f>SUM(C498:BA498)/RDprograms[[#This Row],[Years with &gt; $0 investment]]</f>
        <v>455.37931034482756</v>
      </c>
      <c r="BF498" s="806" t="s">
        <v>1172</v>
      </c>
      <c r="BG498" s="807" t="s">
        <v>403</v>
      </c>
      <c r="BH498" s="847" t="s">
        <v>1271</v>
      </c>
      <c r="BI498" s="809"/>
      <c r="BJ498" s="809"/>
      <c r="BK498" s="809"/>
      <c r="BL498" s="809"/>
      <c r="BM498" s="809"/>
      <c r="BN498" s="810"/>
      <c r="BO498" s="811" t="s">
        <v>251</v>
      </c>
      <c r="BP498" s="812" t="s">
        <v>1288</v>
      </c>
      <c r="BQ498" s="812" t="s">
        <v>1289</v>
      </c>
      <c r="BR498" s="812" t="s">
        <v>1274</v>
      </c>
      <c r="BS498" s="812"/>
      <c r="BT498" s="812" t="s">
        <v>238</v>
      </c>
    </row>
    <row r="499" spans="1:72" ht="12.75" customHeight="1">
      <c r="A499" s="813" t="s">
        <v>1119</v>
      </c>
      <c r="B499" s="820" t="s">
        <v>1290</v>
      </c>
      <c r="C499" s="5">
        <v>0</v>
      </c>
      <c r="D499" s="5">
        <v>0</v>
      </c>
      <c r="E499" s="5">
        <v>0</v>
      </c>
      <c r="F499" s="5">
        <v>0</v>
      </c>
      <c r="G499" s="5">
        <v>0</v>
      </c>
      <c r="H499" s="5">
        <v>0</v>
      </c>
      <c r="I499" s="5">
        <v>0</v>
      </c>
      <c r="J499" s="5">
        <v>0</v>
      </c>
      <c r="K499" s="5">
        <v>0</v>
      </c>
      <c r="L499" s="5">
        <v>0</v>
      </c>
      <c r="M499" s="5">
        <v>0</v>
      </c>
      <c r="N499" s="5">
        <v>0</v>
      </c>
      <c r="O499" s="5">
        <v>0</v>
      </c>
      <c r="P499" s="5">
        <v>0</v>
      </c>
      <c r="Q499" s="5">
        <v>0</v>
      </c>
      <c r="R499" s="5">
        <v>0</v>
      </c>
      <c r="S499" s="5">
        <v>0</v>
      </c>
      <c r="T499" s="5">
        <v>0</v>
      </c>
      <c r="U499" s="5">
        <v>0</v>
      </c>
      <c r="V499" s="5">
        <v>0</v>
      </c>
      <c r="W499" s="5">
        <v>0</v>
      </c>
      <c r="X499" s="5">
        <v>0</v>
      </c>
      <c r="Y499" s="5">
        <v>0</v>
      </c>
      <c r="Z499" s="5">
        <v>0</v>
      </c>
      <c r="AA499" s="5">
        <v>0</v>
      </c>
      <c r="AB499" s="5">
        <v>0</v>
      </c>
      <c r="AC499" s="5">
        <v>0</v>
      </c>
      <c r="AD499" s="5">
        <v>0</v>
      </c>
      <c r="AE499" s="5">
        <v>0</v>
      </c>
      <c r="AF499" s="5">
        <v>0</v>
      </c>
      <c r="AG499" s="5">
        <v>0</v>
      </c>
      <c r="AH499" s="5">
        <v>0</v>
      </c>
      <c r="AI499" s="5">
        <v>0</v>
      </c>
      <c r="AJ499" s="5">
        <v>1070</v>
      </c>
      <c r="AK499" s="5">
        <v>1160</v>
      </c>
      <c r="AL499" s="5">
        <v>970</v>
      </c>
      <c r="AM499" s="5">
        <v>810</v>
      </c>
      <c r="AN499" s="5">
        <v>730</v>
      </c>
      <c r="AO499" s="5">
        <v>580</v>
      </c>
      <c r="AP499" s="816">
        <v>520</v>
      </c>
      <c r="AQ499" s="816">
        <v>420</v>
      </c>
      <c r="AR499" s="5">
        <v>440</v>
      </c>
      <c r="AS499" s="5">
        <v>550</v>
      </c>
      <c r="AT499" s="5">
        <v>760</v>
      </c>
      <c r="AU499" s="5">
        <v>780</v>
      </c>
      <c r="AV499" s="5">
        <v>780</v>
      </c>
      <c r="AW499" s="815">
        <v>780</v>
      </c>
      <c r="AX499" s="816">
        <v>770</v>
      </c>
      <c r="AY499" s="819">
        <v>770</v>
      </c>
      <c r="AZ499" s="816">
        <v>770</v>
      </c>
      <c r="BA499" s="818"/>
      <c r="BB499" s="802" t="str" cm="1">
        <f t="array" ref="BB499">INDEX(C$4:BA$4,MATCH(TRUE,INDEX(C499:BA499&lt;&gt;0,),0))</f>
        <v>2011-12</v>
      </c>
      <c r="BC499" s="803" t="str" cm="1">
        <f t="array" ref="BC499">LOOKUP(2,1/(C499:BA499&lt;&gt;0),$C$4:$BA$4)</f>
        <v>2027-28</v>
      </c>
      <c r="BD499" s="804">
        <f>COUNTIF(RDprograms[[#This Row],[1978-79]:[2028-29]], "&gt;0")</f>
        <v>17</v>
      </c>
      <c r="BE499" s="805">
        <f>SUM(C499:BA499)/RDprograms[[#This Row],[Years with &gt; $0 investment]]</f>
        <v>744.70588235294122</v>
      </c>
      <c r="BF499" s="806" t="s">
        <v>1172</v>
      </c>
      <c r="BG499" s="807" t="s">
        <v>403</v>
      </c>
      <c r="BH499" s="847" t="s">
        <v>1271</v>
      </c>
      <c r="BI499" s="809">
        <v>1</v>
      </c>
      <c r="BJ499" s="809">
        <v>1</v>
      </c>
      <c r="BK499" s="809">
        <v>1</v>
      </c>
      <c r="BL499" s="809">
        <v>1</v>
      </c>
      <c r="BM499" s="809">
        <v>1</v>
      </c>
      <c r="BN499" s="810">
        <v>1</v>
      </c>
      <c r="BO499" s="811" t="s">
        <v>251</v>
      </c>
      <c r="BP499" s="812" t="s">
        <v>1291</v>
      </c>
      <c r="BQ499" s="812" t="s">
        <v>1292</v>
      </c>
      <c r="BR499" s="812" t="s">
        <v>1274</v>
      </c>
      <c r="BS499" s="812"/>
      <c r="BT499" s="812"/>
    </row>
    <row r="500" spans="1:72" ht="12.75" customHeight="1">
      <c r="A500" s="813" t="s">
        <v>1119</v>
      </c>
      <c r="B500" s="820" t="s">
        <v>1293</v>
      </c>
      <c r="C500" s="5">
        <v>0</v>
      </c>
      <c r="D500" s="5">
        <v>0</v>
      </c>
      <c r="E500" s="5">
        <v>0</v>
      </c>
      <c r="F500" s="5">
        <v>0</v>
      </c>
      <c r="G500" s="5">
        <v>0</v>
      </c>
      <c r="H500" s="5">
        <v>0</v>
      </c>
      <c r="I500" s="5">
        <v>0</v>
      </c>
      <c r="J500" s="5">
        <v>0</v>
      </c>
      <c r="K500" s="5">
        <v>0</v>
      </c>
      <c r="L500" s="5">
        <v>0</v>
      </c>
      <c r="M500" s="5">
        <v>0</v>
      </c>
      <c r="N500" s="5">
        <v>0</v>
      </c>
      <c r="O500" s="5">
        <v>0</v>
      </c>
      <c r="P500" s="5">
        <v>0</v>
      </c>
      <c r="Q500" s="5">
        <v>0</v>
      </c>
      <c r="R500" s="5">
        <v>0</v>
      </c>
      <c r="S500" s="5">
        <v>0</v>
      </c>
      <c r="T500" s="5">
        <v>0</v>
      </c>
      <c r="U500" s="5">
        <v>0</v>
      </c>
      <c r="V500" s="5">
        <v>0</v>
      </c>
      <c r="W500" s="5">
        <v>0</v>
      </c>
      <c r="X500" s="5">
        <v>0</v>
      </c>
      <c r="Y500" s="5">
        <v>0</v>
      </c>
      <c r="Z500" s="5">
        <v>0</v>
      </c>
      <c r="AA500" s="5">
        <v>0</v>
      </c>
      <c r="AB500" s="5">
        <v>0</v>
      </c>
      <c r="AC500" s="5">
        <v>0</v>
      </c>
      <c r="AD500" s="5">
        <v>0</v>
      </c>
      <c r="AE500" s="5">
        <v>0</v>
      </c>
      <c r="AF500" s="5">
        <v>0</v>
      </c>
      <c r="AG500" s="5">
        <v>0</v>
      </c>
      <c r="AH500" s="5">
        <v>0</v>
      </c>
      <c r="AI500" s="5">
        <v>0</v>
      </c>
      <c r="AJ500" s="5">
        <v>1525</v>
      </c>
      <c r="AK500" s="5">
        <v>1715</v>
      </c>
      <c r="AL500" s="5">
        <v>1858</v>
      </c>
      <c r="AM500" s="5">
        <v>2047</v>
      </c>
      <c r="AN500" s="5">
        <v>2138</v>
      </c>
      <c r="AO500" s="5">
        <v>2043</v>
      </c>
      <c r="AP500" s="5">
        <v>2003</v>
      </c>
      <c r="AQ500" s="5">
        <v>2153</v>
      </c>
      <c r="AR500" s="5">
        <v>2158</v>
      </c>
      <c r="AS500" s="5">
        <v>2316</v>
      </c>
      <c r="AT500" s="5">
        <v>2994</v>
      </c>
      <c r="AU500" s="5">
        <v>3344</v>
      </c>
      <c r="AV500" s="5">
        <v>3618</v>
      </c>
      <c r="AW500" s="815">
        <v>3828</v>
      </c>
      <c r="AX500" s="816">
        <v>3817</v>
      </c>
      <c r="AY500" s="819">
        <v>3851</v>
      </c>
      <c r="AZ500" s="816">
        <v>3995</v>
      </c>
      <c r="BA500" s="818"/>
      <c r="BB500" s="802" t="str" cm="1">
        <f t="array" ref="BB500">INDEX(C$4:BA$4,MATCH(TRUE,INDEX(C500:BA500&lt;&gt;0,),0))</f>
        <v>2011-12</v>
      </c>
      <c r="BC500" s="803" t="str" cm="1">
        <f t="array" ref="BC500">LOOKUP(2,1/(C500:BA500&lt;&gt;0),$C$4:$BA$4)</f>
        <v>2027-28</v>
      </c>
      <c r="BD500" s="804">
        <f>COUNTIF(RDprograms[[#This Row],[1978-79]:[2028-29]], "&gt;0")</f>
        <v>17</v>
      </c>
      <c r="BE500" s="805">
        <f>SUM(C500:BA500)/RDprograms[[#This Row],[Years with &gt; $0 investment]]</f>
        <v>2670.7647058823532</v>
      </c>
      <c r="BF500" s="806" t="s">
        <v>1172</v>
      </c>
      <c r="BG500" s="807" t="s">
        <v>403</v>
      </c>
      <c r="BH500" s="847" t="s">
        <v>1271</v>
      </c>
      <c r="BI500" s="809">
        <v>1</v>
      </c>
      <c r="BJ500" s="809">
        <v>1</v>
      </c>
      <c r="BK500" s="809">
        <v>1</v>
      </c>
      <c r="BL500" s="809">
        <v>1</v>
      </c>
      <c r="BM500" s="809">
        <v>1</v>
      </c>
      <c r="BN500" s="810">
        <v>1</v>
      </c>
      <c r="BO500" s="811" t="s">
        <v>251</v>
      </c>
      <c r="BP500" s="812" t="s">
        <v>1294</v>
      </c>
      <c r="BQ500" s="812" t="s">
        <v>1292</v>
      </c>
      <c r="BR500" s="812" t="s">
        <v>1274</v>
      </c>
      <c r="BS500" s="812"/>
      <c r="BT500" s="812" t="s">
        <v>238</v>
      </c>
    </row>
    <row r="501" spans="1:72" ht="12.75" customHeight="1">
      <c r="A501" s="813" t="s">
        <v>1119</v>
      </c>
      <c r="B501" s="820" t="s">
        <v>1295</v>
      </c>
      <c r="C501" s="5">
        <v>0</v>
      </c>
      <c r="D501" s="5">
        <v>0</v>
      </c>
      <c r="E501" s="5">
        <v>0</v>
      </c>
      <c r="F501" s="5">
        <v>0</v>
      </c>
      <c r="G501" s="5">
        <v>0</v>
      </c>
      <c r="H501" s="5">
        <v>0</v>
      </c>
      <c r="I501" s="5">
        <v>0</v>
      </c>
      <c r="J501" s="5">
        <v>0</v>
      </c>
      <c r="K501" s="5">
        <v>0</v>
      </c>
      <c r="L501" s="5">
        <v>0</v>
      </c>
      <c r="M501" s="5">
        <v>0</v>
      </c>
      <c r="N501" s="5">
        <v>0</v>
      </c>
      <c r="O501" s="5">
        <v>0</v>
      </c>
      <c r="P501" s="5">
        <v>0</v>
      </c>
      <c r="Q501" s="5">
        <v>0</v>
      </c>
      <c r="R501" s="5">
        <v>0</v>
      </c>
      <c r="S501" s="5">
        <v>0</v>
      </c>
      <c r="T501" s="5">
        <v>0</v>
      </c>
      <c r="U501" s="5">
        <v>0</v>
      </c>
      <c r="V501" s="5">
        <v>0</v>
      </c>
      <c r="W501" s="5">
        <v>0</v>
      </c>
      <c r="X501" s="5">
        <v>0</v>
      </c>
      <c r="Y501" s="5">
        <v>0</v>
      </c>
      <c r="Z501" s="5">
        <v>0</v>
      </c>
      <c r="AA501" s="5">
        <v>0</v>
      </c>
      <c r="AB501" s="5">
        <v>0</v>
      </c>
      <c r="AC501" s="5">
        <v>0</v>
      </c>
      <c r="AD501" s="5">
        <v>0</v>
      </c>
      <c r="AE501" s="5">
        <v>0</v>
      </c>
      <c r="AF501" s="5">
        <v>0</v>
      </c>
      <c r="AG501" s="5">
        <v>0</v>
      </c>
      <c r="AH501" s="5">
        <v>0</v>
      </c>
      <c r="AI501" s="5">
        <v>0</v>
      </c>
      <c r="AJ501" s="5">
        <v>0</v>
      </c>
      <c r="AK501" s="5">
        <v>0</v>
      </c>
      <c r="AL501" s="5">
        <v>0</v>
      </c>
      <c r="AM501" s="5">
        <v>0</v>
      </c>
      <c r="AN501" s="5">
        <v>0</v>
      </c>
      <c r="AO501" s="5">
        <v>0</v>
      </c>
      <c r="AP501" s="816">
        <v>0</v>
      </c>
      <c r="AQ501" s="816">
        <v>0</v>
      </c>
      <c r="AR501" s="5">
        <v>3.3650000000000002</v>
      </c>
      <c r="AS501" s="5">
        <v>9.8480000000000008</v>
      </c>
      <c r="AT501" s="5">
        <v>22.26</v>
      </c>
      <c r="AU501" s="5">
        <v>7.2450000000000001</v>
      </c>
      <c r="AV501" s="5">
        <v>4.1509999999999998</v>
      </c>
      <c r="AW501" s="815">
        <v>0.999</v>
      </c>
      <c r="AX501" s="816">
        <v>0</v>
      </c>
      <c r="AY501" s="819">
        <v>0</v>
      </c>
      <c r="AZ501" s="816"/>
      <c r="BA501" s="818"/>
      <c r="BB501" s="802" t="str" cm="1">
        <f t="array" ref="BB501">INDEX(C$4:BA$4,MATCH(TRUE,INDEX(C501:BA501&lt;&gt;0,),0))</f>
        <v>2019-20</v>
      </c>
      <c r="BC501" s="803" t="str" cm="1">
        <f t="array" ref="BC501">LOOKUP(2,1/(C501:BA501&lt;&gt;0),$C$4:$BA$4)</f>
        <v>2024-25</v>
      </c>
      <c r="BD501" s="804">
        <f>COUNTIF(RDprograms[[#This Row],[1978-79]:[2028-29]], "&gt;0")</f>
        <v>6</v>
      </c>
      <c r="BE501" s="805">
        <f>SUM(C501:BA501)/RDprograms[[#This Row],[Years with &gt; $0 investment]]</f>
        <v>7.9780000000000006</v>
      </c>
      <c r="BF501" s="806" t="s">
        <v>233</v>
      </c>
      <c r="BG501" s="807" t="s">
        <v>409</v>
      </c>
      <c r="BH501" s="847" t="s">
        <v>390</v>
      </c>
      <c r="BI501" s="809"/>
      <c r="BJ501" s="809"/>
      <c r="BK501" s="809"/>
      <c r="BL501" s="809"/>
      <c r="BM501" s="809"/>
      <c r="BN501" s="810"/>
      <c r="BO501" s="811" t="s">
        <v>236</v>
      </c>
      <c r="BP501" s="812" t="s">
        <v>1296</v>
      </c>
      <c r="BQ501" s="812"/>
      <c r="BR501" s="812"/>
      <c r="BS501" s="812"/>
      <c r="BT501" s="812" t="s">
        <v>238</v>
      </c>
    </row>
    <row r="502" spans="1:72" ht="12.75" customHeight="1">
      <c r="A502" s="813" t="s">
        <v>1119</v>
      </c>
      <c r="B502" s="820" t="s">
        <v>1297</v>
      </c>
      <c r="C502" s="5">
        <v>0</v>
      </c>
      <c r="D502" s="5">
        <v>0</v>
      </c>
      <c r="E502" s="5">
        <v>0</v>
      </c>
      <c r="F502" s="5">
        <v>0</v>
      </c>
      <c r="G502" s="5">
        <v>0</v>
      </c>
      <c r="H502" s="5">
        <v>0</v>
      </c>
      <c r="I502" s="5">
        <v>0</v>
      </c>
      <c r="J502" s="5">
        <v>0</v>
      </c>
      <c r="K502" s="5">
        <v>0</v>
      </c>
      <c r="L502" s="5">
        <v>0</v>
      </c>
      <c r="M502" s="5">
        <v>0</v>
      </c>
      <c r="N502" s="5">
        <v>0</v>
      </c>
      <c r="O502" s="5">
        <v>0</v>
      </c>
      <c r="P502" s="5">
        <v>0</v>
      </c>
      <c r="Q502" s="5">
        <v>0</v>
      </c>
      <c r="R502" s="5">
        <v>0</v>
      </c>
      <c r="S502" s="5">
        <v>0</v>
      </c>
      <c r="T502" s="5">
        <v>0</v>
      </c>
      <c r="U502" s="5">
        <v>0</v>
      </c>
      <c r="V502" s="5">
        <v>0</v>
      </c>
      <c r="W502" s="5">
        <v>0</v>
      </c>
      <c r="X502" s="5">
        <v>0</v>
      </c>
      <c r="Y502" s="5">
        <v>6.8</v>
      </c>
      <c r="Z502" s="5">
        <v>8.9</v>
      </c>
      <c r="AA502" s="5">
        <v>9.1999999999999993</v>
      </c>
      <c r="AB502" s="5">
        <v>9.1999999999999993</v>
      </c>
      <c r="AC502" s="5">
        <v>2.9</v>
      </c>
      <c r="AD502" s="5">
        <v>1.694</v>
      </c>
      <c r="AE502" s="5">
        <v>1.5189999999999999</v>
      </c>
      <c r="AF502" s="5">
        <v>0</v>
      </c>
      <c r="AG502" s="5">
        <v>0</v>
      </c>
      <c r="AH502" s="5">
        <v>0</v>
      </c>
      <c r="AI502" s="5">
        <v>0</v>
      </c>
      <c r="AJ502" s="5">
        <v>0</v>
      </c>
      <c r="AK502" s="5">
        <v>0</v>
      </c>
      <c r="AL502" s="5">
        <v>0</v>
      </c>
      <c r="AM502" s="5">
        <v>0</v>
      </c>
      <c r="AN502" s="5">
        <v>0</v>
      </c>
      <c r="AO502" s="5">
        <v>0</v>
      </c>
      <c r="AP502" s="5">
        <v>0</v>
      </c>
      <c r="AQ502" s="5">
        <v>0</v>
      </c>
      <c r="AR502" s="5">
        <v>0</v>
      </c>
      <c r="AS502" s="5">
        <v>0</v>
      </c>
      <c r="AT502" s="5">
        <v>0</v>
      </c>
      <c r="AU502" s="5">
        <v>0</v>
      </c>
      <c r="AV502" s="5">
        <v>0</v>
      </c>
      <c r="AW502" s="815">
        <v>0</v>
      </c>
      <c r="AX502" s="816">
        <v>0</v>
      </c>
      <c r="AY502" s="819">
        <v>0</v>
      </c>
      <c r="AZ502" s="816"/>
      <c r="BA502" s="818"/>
      <c r="BB502" s="802" t="str" cm="1">
        <f t="array" ref="BB502">INDEX(C$4:BA$4,MATCH(TRUE,INDEX(C502:BA502&lt;&gt;0,),0))</f>
        <v>2000-01</v>
      </c>
      <c r="BC502" s="803" t="str" cm="1">
        <f t="array" ref="BC502">LOOKUP(2,1/(C502:BA502&lt;&gt;0),$C$4:$BA$4)</f>
        <v>2006-07</v>
      </c>
      <c r="BD502" s="804">
        <f>COUNTIF(RDprograms[[#This Row],[1978-79]:[2028-29]], "&gt;0")</f>
        <v>7</v>
      </c>
      <c r="BE502" s="805">
        <f>SUM(C502:BA502)/RDprograms[[#This Row],[Years with &gt; $0 investment]]</f>
        <v>5.7447142857142852</v>
      </c>
      <c r="BF502" s="806" t="s">
        <v>249</v>
      </c>
      <c r="BG502" s="807" t="s">
        <v>409</v>
      </c>
      <c r="BH502" s="847" t="s">
        <v>390</v>
      </c>
      <c r="BI502" s="809"/>
      <c r="BJ502" s="809"/>
      <c r="BK502" s="809"/>
      <c r="BL502" s="809"/>
      <c r="BM502" s="809"/>
      <c r="BN502" s="810"/>
      <c r="BO502" s="811" t="s">
        <v>236</v>
      </c>
      <c r="BP502" s="812"/>
      <c r="BQ502" s="812"/>
      <c r="BR502" s="812"/>
      <c r="BS502" s="812"/>
      <c r="BT502" s="812" t="s">
        <v>238</v>
      </c>
    </row>
    <row r="503" spans="1:72" ht="12.75" customHeight="1">
      <c r="A503" s="813" t="s">
        <v>1119</v>
      </c>
      <c r="B503" s="820" t="s">
        <v>1298</v>
      </c>
      <c r="C503" s="5">
        <v>0</v>
      </c>
      <c r="D503" s="5">
        <v>0</v>
      </c>
      <c r="E503" s="5">
        <v>0</v>
      </c>
      <c r="F503" s="5">
        <v>0</v>
      </c>
      <c r="G503" s="5">
        <v>0</v>
      </c>
      <c r="H503" s="5">
        <v>0</v>
      </c>
      <c r="I503" s="5">
        <v>0</v>
      </c>
      <c r="J503" s="5">
        <v>0</v>
      </c>
      <c r="K503" s="5">
        <v>0</v>
      </c>
      <c r="L503" s="5">
        <v>0</v>
      </c>
      <c r="M503" s="5">
        <v>0</v>
      </c>
      <c r="N503" s="5">
        <v>0</v>
      </c>
      <c r="O503" s="5">
        <v>0</v>
      </c>
      <c r="P503" s="5">
        <v>0</v>
      </c>
      <c r="Q503" s="5">
        <v>0</v>
      </c>
      <c r="R503" s="5">
        <v>0</v>
      </c>
      <c r="S503" s="5">
        <v>0</v>
      </c>
      <c r="T503" s="5">
        <v>0</v>
      </c>
      <c r="U503" s="5">
        <v>0</v>
      </c>
      <c r="V503" s="5">
        <v>0</v>
      </c>
      <c r="W503" s="5">
        <v>2</v>
      </c>
      <c r="X503" s="5">
        <v>2.7</v>
      </c>
      <c r="Y503" s="5">
        <v>3.2</v>
      </c>
      <c r="Z503" s="5">
        <v>2.5</v>
      </c>
      <c r="AA503" s="5">
        <v>1.9</v>
      </c>
      <c r="AB503" s="5">
        <v>3.4</v>
      </c>
      <c r="AC503" s="5">
        <v>0.4</v>
      </c>
      <c r="AD503" s="5">
        <v>1.3380000000000001</v>
      </c>
      <c r="AE503" s="5">
        <v>0.81899999999999995</v>
      </c>
      <c r="AF503" s="5">
        <v>1.7989999999999999</v>
      </c>
      <c r="AG503" s="5">
        <v>0</v>
      </c>
      <c r="AH503" s="5">
        <v>0</v>
      </c>
      <c r="AI503" s="5">
        <v>0</v>
      </c>
      <c r="AJ503" s="5">
        <v>0</v>
      </c>
      <c r="AK503" s="5">
        <v>0</v>
      </c>
      <c r="AL503" s="5">
        <v>0</v>
      </c>
      <c r="AM503" s="5">
        <v>0</v>
      </c>
      <c r="AN503" s="5">
        <v>0</v>
      </c>
      <c r="AO503" s="5">
        <v>0</v>
      </c>
      <c r="AP503" s="816">
        <v>0</v>
      </c>
      <c r="AQ503" s="816">
        <v>0</v>
      </c>
      <c r="AR503" s="5">
        <v>0</v>
      </c>
      <c r="AS503" s="5">
        <v>0</v>
      </c>
      <c r="AT503" s="5">
        <v>0</v>
      </c>
      <c r="AU503" s="5">
        <v>0</v>
      </c>
      <c r="AV503" s="5">
        <v>0</v>
      </c>
      <c r="AW503" s="815">
        <v>0</v>
      </c>
      <c r="AX503" s="816">
        <v>0</v>
      </c>
      <c r="AY503" s="819">
        <v>0</v>
      </c>
      <c r="AZ503" s="816"/>
      <c r="BA503" s="818"/>
      <c r="BB503" s="802" t="str" cm="1">
        <f t="array" ref="BB503">INDEX(C$4:BA$4,MATCH(TRUE,INDEX(C503:BA503&lt;&gt;0,),0))</f>
        <v>1998-99</v>
      </c>
      <c r="BC503" s="803" t="str" cm="1">
        <f t="array" ref="BC503">LOOKUP(2,1/(C503:BA503&lt;&gt;0),$C$4:$BA$4)</f>
        <v>2007-08</v>
      </c>
      <c r="BD503" s="804">
        <f>COUNTIF(RDprograms[[#This Row],[1978-79]:[2028-29]], "&gt;0")</f>
        <v>10</v>
      </c>
      <c r="BE503" s="805">
        <f>SUM(C503:BA503)/RDprograms[[#This Row],[Years with &gt; $0 investment]]</f>
        <v>2.0056000000000003</v>
      </c>
      <c r="BF503" s="806" t="s">
        <v>249</v>
      </c>
      <c r="BG503" s="807" t="s">
        <v>409</v>
      </c>
      <c r="BH503" s="847" t="s">
        <v>390</v>
      </c>
      <c r="BI503" s="809"/>
      <c r="BJ503" s="809"/>
      <c r="BK503" s="809"/>
      <c r="BL503" s="809"/>
      <c r="BM503" s="809"/>
      <c r="BN503" s="810"/>
      <c r="BO503" s="811" t="s">
        <v>236</v>
      </c>
      <c r="BP503" s="812"/>
      <c r="BQ503" s="812"/>
      <c r="BR503" s="812"/>
      <c r="BS503" s="812"/>
      <c r="BT503" s="812" t="s">
        <v>386</v>
      </c>
    </row>
    <row r="504" spans="1:72" ht="12.75" customHeight="1">
      <c r="A504" s="813" t="s">
        <v>1119</v>
      </c>
      <c r="B504" s="820" t="s">
        <v>1299</v>
      </c>
      <c r="C504" s="5">
        <v>0</v>
      </c>
      <c r="D504" s="5">
        <v>0</v>
      </c>
      <c r="E504" s="5">
        <v>0</v>
      </c>
      <c r="F504" s="5">
        <v>0</v>
      </c>
      <c r="G504" s="5">
        <v>0</v>
      </c>
      <c r="H504" s="5">
        <v>0</v>
      </c>
      <c r="I504" s="5">
        <v>0</v>
      </c>
      <c r="J504" s="5">
        <v>0</v>
      </c>
      <c r="K504" s="5">
        <v>0</v>
      </c>
      <c r="L504" s="5">
        <v>0</v>
      </c>
      <c r="M504" s="5">
        <v>0</v>
      </c>
      <c r="N504" s="5">
        <v>0</v>
      </c>
      <c r="O504" s="5">
        <v>0</v>
      </c>
      <c r="P504" s="5">
        <v>0</v>
      </c>
      <c r="Q504" s="5">
        <v>0</v>
      </c>
      <c r="R504" s="5">
        <v>0</v>
      </c>
      <c r="S504" s="5">
        <v>0</v>
      </c>
      <c r="T504" s="5">
        <v>0</v>
      </c>
      <c r="U504" s="5">
        <v>0</v>
      </c>
      <c r="V504" s="5">
        <v>0</v>
      </c>
      <c r="W504" s="5">
        <v>0</v>
      </c>
      <c r="X504" s="5">
        <v>0</v>
      </c>
      <c r="Y504" s="5">
        <v>0</v>
      </c>
      <c r="Z504" s="5">
        <v>0</v>
      </c>
      <c r="AA504" s="5">
        <v>0</v>
      </c>
      <c r="AB504" s="5">
        <v>0</v>
      </c>
      <c r="AC504" s="5">
        <v>0</v>
      </c>
      <c r="AD504" s="5">
        <v>0</v>
      </c>
      <c r="AE504" s="5">
        <v>0</v>
      </c>
      <c r="AF504" s="5">
        <v>0</v>
      </c>
      <c r="AG504" s="5">
        <v>4.9000000000000004</v>
      </c>
      <c r="AH504" s="5">
        <v>0</v>
      </c>
      <c r="AI504" s="5">
        <v>0</v>
      </c>
      <c r="AJ504" s="5">
        <v>0</v>
      </c>
      <c r="AK504" s="5">
        <v>0</v>
      </c>
      <c r="AL504" s="5">
        <v>0</v>
      </c>
      <c r="AM504" s="5">
        <v>0</v>
      </c>
      <c r="AN504" s="5">
        <v>0</v>
      </c>
      <c r="AO504" s="5">
        <v>0</v>
      </c>
      <c r="AP504" s="5">
        <v>0</v>
      </c>
      <c r="AQ504" s="5">
        <v>0</v>
      </c>
      <c r="AR504" s="5">
        <v>0</v>
      </c>
      <c r="AS504" s="5">
        <v>0</v>
      </c>
      <c r="AT504" s="5">
        <v>0</v>
      </c>
      <c r="AU504" s="5">
        <v>0</v>
      </c>
      <c r="AV504" s="5">
        <v>0</v>
      </c>
      <c r="AW504" s="815">
        <v>0</v>
      </c>
      <c r="AX504" s="816">
        <v>0</v>
      </c>
      <c r="AY504" s="819">
        <v>0</v>
      </c>
      <c r="AZ504" s="816"/>
      <c r="BA504" s="818"/>
      <c r="BB504" s="802" t="str" cm="1">
        <f t="array" ref="BB504">INDEX(C$4:BA$4,MATCH(TRUE,INDEX(C504:BA504&lt;&gt;0,),0))</f>
        <v>2008-09</v>
      </c>
      <c r="BC504" s="803" t="str" cm="1">
        <f t="array" ref="BC504">LOOKUP(2,1/(C504:BA504&lt;&gt;0),$C$4:$BA$4)</f>
        <v>2008-09</v>
      </c>
      <c r="BD504" s="804">
        <f>COUNTIF(RDprograms[[#This Row],[1978-79]:[2028-29]], "&gt;0")</f>
        <v>1</v>
      </c>
      <c r="BE504" s="805">
        <f>SUM(C504:BA504)/RDprograms[[#This Row],[Years with &gt; $0 investment]]</f>
        <v>4.9000000000000004</v>
      </c>
      <c r="BF504" s="806" t="s">
        <v>249</v>
      </c>
      <c r="BG504" s="807" t="s">
        <v>409</v>
      </c>
      <c r="BH504" s="847" t="s">
        <v>390</v>
      </c>
      <c r="BI504" s="809"/>
      <c r="BJ504" s="809"/>
      <c r="BK504" s="809"/>
      <c r="BL504" s="809"/>
      <c r="BM504" s="809"/>
      <c r="BN504" s="810"/>
      <c r="BO504" s="811" t="s">
        <v>236</v>
      </c>
      <c r="BP504" s="812"/>
      <c r="BQ504" s="812"/>
      <c r="BR504" s="812"/>
      <c r="BS504" s="812"/>
      <c r="BT504" s="812" t="s">
        <v>238</v>
      </c>
    </row>
    <row r="505" spans="1:72" ht="12.75" customHeight="1">
      <c r="A505" s="813" t="s">
        <v>1119</v>
      </c>
      <c r="B505" s="820" t="s">
        <v>1300</v>
      </c>
      <c r="C505" s="5">
        <v>0</v>
      </c>
      <c r="D505" s="5">
        <v>0</v>
      </c>
      <c r="E505" s="5">
        <v>0</v>
      </c>
      <c r="F505" s="5">
        <v>1.2</v>
      </c>
      <c r="G505" s="5">
        <v>1.3</v>
      </c>
      <c r="H505" s="5">
        <v>1.7</v>
      </c>
      <c r="I505" s="5">
        <v>1.9</v>
      </c>
      <c r="J505" s="5">
        <v>1.9</v>
      </c>
      <c r="K505" s="5">
        <v>2</v>
      </c>
      <c r="L505" s="5">
        <v>2</v>
      </c>
      <c r="M505" s="5">
        <v>0</v>
      </c>
      <c r="N505" s="5">
        <v>0</v>
      </c>
      <c r="O505" s="5">
        <v>0</v>
      </c>
      <c r="P505" s="5">
        <v>0</v>
      </c>
      <c r="Q505" s="5">
        <v>0</v>
      </c>
      <c r="R505" s="5">
        <v>0</v>
      </c>
      <c r="S505" s="5">
        <v>0</v>
      </c>
      <c r="T505" s="5">
        <v>0</v>
      </c>
      <c r="U505" s="5">
        <v>0</v>
      </c>
      <c r="V505" s="5">
        <v>0</v>
      </c>
      <c r="W505" s="5">
        <v>0</v>
      </c>
      <c r="X505" s="5">
        <v>0</v>
      </c>
      <c r="Y505" s="5">
        <v>0</v>
      </c>
      <c r="Z505" s="5">
        <v>0</v>
      </c>
      <c r="AA505" s="5">
        <v>0</v>
      </c>
      <c r="AB505" s="5">
        <v>0</v>
      </c>
      <c r="AC505" s="5">
        <v>0</v>
      </c>
      <c r="AD505" s="5">
        <v>0</v>
      </c>
      <c r="AE505" s="5">
        <v>0</v>
      </c>
      <c r="AF505" s="5">
        <v>0</v>
      </c>
      <c r="AG505" s="5">
        <v>0</v>
      </c>
      <c r="AH505" s="5">
        <v>0</v>
      </c>
      <c r="AI505" s="5">
        <v>0</v>
      </c>
      <c r="AJ505" s="5">
        <v>0</v>
      </c>
      <c r="AK505" s="5">
        <v>0</v>
      </c>
      <c r="AL505" s="5">
        <v>0</v>
      </c>
      <c r="AM505" s="5">
        <v>0</v>
      </c>
      <c r="AN505" s="5">
        <v>0</v>
      </c>
      <c r="AO505" s="5">
        <v>0</v>
      </c>
      <c r="AP505" s="5">
        <v>0</v>
      </c>
      <c r="AQ505" s="5">
        <v>0</v>
      </c>
      <c r="AR505" s="5">
        <v>0</v>
      </c>
      <c r="AS505" s="5">
        <v>0</v>
      </c>
      <c r="AT505" s="5">
        <v>0</v>
      </c>
      <c r="AU505" s="5">
        <v>0</v>
      </c>
      <c r="AV505" s="5">
        <v>0</v>
      </c>
      <c r="AW505" s="815">
        <v>0</v>
      </c>
      <c r="AX505" s="816">
        <v>0</v>
      </c>
      <c r="AY505" s="819">
        <v>0</v>
      </c>
      <c r="AZ505" s="816"/>
      <c r="BA505" s="818"/>
      <c r="BB505" s="802" t="str" cm="1">
        <f t="array" ref="BB505">INDEX(C$4:BA$4,MATCH(TRUE,INDEX(C505:BA505&lt;&gt;0,),0))</f>
        <v>1981-82</v>
      </c>
      <c r="BC505" s="803" t="str" cm="1">
        <f t="array" ref="BC505">LOOKUP(2,1/(C505:BA505&lt;&gt;0),$C$4:$BA$4)</f>
        <v>1987-88</v>
      </c>
      <c r="BD505" s="804">
        <f>COUNTIF(RDprograms[[#This Row],[1978-79]:[2028-29]], "&gt;0")</f>
        <v>7</v>
      </c>
      <c r="BE505" s="805">
        <f>SUM(C505:BA505)/RDprograms[[#This Row],[Years with &gt; $0 investment]]</f>
        <v>1.7142857142857142</v>
      </c>
      <c r="BF505" s="806" t="s">
        <v>273</v>
      </c>
      <c r="BG505" s="807" t="s">
        <v>389</v>
      </c>
      <c r="BH505" s="847" t="s">
        <v>264</v>
      </c>
      <c r="BI505" s="809"/>
      <c r="BJ505" s="809"/>
      <c r="BK505" s="809"/>
      <c r="BL505" s="809"/>
      <c r="BM505" s="809"/>
      <c r="BN505" s="810"/>
      <c r="BO505" s="811" t="s">
        <v>236</v>
      </c>
      <c r="BP505" s="812"/>
      <c r="BQ505" s="812" t="s">
        <v>1301</v>
      </c>
      <c r="BR505" s="812"/>
      <c r="BS505" s="812"/>
      <c r="BT505" s="812" t="s">
        <v>238</v>
      </c>
    </row>
    <row r="506" spans="1:72" ht="12.75" customHeight="1">
      <c r="A506" s="813" t="s">
        <v>1119</v>
      </c>
      <c r="B506" s="820" t="s">
        <v>1302</v>
      </c>
      <c r="C506" s="5">
        <v>0</v>
      </c>
      <c r="D506" s="5">
        <v>0</v>
      </c>
      <c r="E506" s="5">
        <v>0</v>
      </c>
      <c r="F506" s="5">
        <v>0</v>
      </c>
      <c r="G506" s="5">
        <v>0</v>
      </c>
      <c r="H506" s="5">
        <v>0</v>
      </c>
      <c r="I506" s="5">
        <v>0</v>
      </c>
      <c r="J506" s="5">
        <v>0</v>
      </c>
      <c r="K506" s="5">
        <v>0</v>
      </c>
      <c r="L506" s="5">
        <v>0</v>
      </c>
      <c r="M506" s="5">
        <v>0</v>
      </c>
      <c r="N506" s="5">
        <v>0</v>
      </c>
      <c r="O506" s="5">
        <v>0</v>
      </c>
      <c r="P506" s="5">
        <v>0</v>
      </c>
      <c r="Q506" s="5">
        <v>0</v>
      </c>
      <c r="R506" s="5">
        <v>0</v>
      </c>
      <c r="S506" s="5">
        <v>0</v>
      </c>
      <c r="T506" s="5">
        <v>0</v>
      </c>
      <c r="U506" s="5">
        <v>0</v>
      </c>
      <c r="V506" s="5">
        <v>0</v>
      </c>
      <c r="W506" s="5">
        <v>0</v>
      </c>
      <c r="X506" s="5">
        <v>5.5</v>
      </c>
      <c r="Y506" s="5">
        <v>7.8</v>
      </c>
      <c r="Z506" s="5">
        <v>6.4</v>
      </c>
      <c r="AA506" s="5">
        <v>8.6999999999999993</v>
      </c>
      <c r="AB506" s="5">
        <v>7</v>
      </c>
      <c r="AC506" s="5">
        <v>2.9</v>
      </c>
      <c r="AD506" s="5">
        <v>0</v>
      </c>
      <c r="AE506" s="5">
        <v>0</v>
      </c>
      <c r="AF506" s="5">
        <v>0</v>
      </c>
      <c r="AG506" s="5">
        <v>0</v>
      </c>
      <c r="AH506" s="5">
        <v>0</v>
      </c>
      <c r="AI506" s="5">
        <v>0</v>
      </c>
      <c r="AJ506" s="5">
        <v>0</v>
      </c>
      <c r="AK506" s="5">
        <v>0</v>
      </c>
      <c r="AL506" s="5">
        <v>0</v>
      </c>
      <c r="AM506" s="5">
        <v>0</v>
      </c>
      <c r="AN506" s="5">
        <v>0</v>
      </c>
      <c r="AO506" s="5">
        <v>0</v>
      </c>
      <c r="AP506" s="816">
        <v>0</v>
      </c>
      <c r="AQ506" s="816">
        <v>0</v>
      </c>
      <c r="AR506" s="5">
        <v>0</v>
      </c>
      <c r="AS506" s="5">
        <v>0</v>
      </c>
      <c r="AT506" s="5">
        <v>0</v>
      </c>
      <c r="AU506" s="5">
        <v>0</v>
      </c>
      <c r="AV506" s="5">
        <v>0</v>
      </c>
      <c r="AW506" s="815">
        <v>0</v>
      </c>
      <c r="AX506" s="816">
        <v>0</v>
      </c>
      <c r="AY506" s="819">
        <v>0</v>
      </c>
      <c r="AZ506" s="816"/>
      <c r="BA506" s="818"/>
      <c r="BB506" s="802" t="str" cm="1">
        <f t="array" ref="BB506">INDEX(C$4:BA$4,MATCH(TRUE,INDEX(C506:BA506&lt;&gt;0,),0))</f>
        <v>1999-00</v>
      </c>
      <c r="BC506" s="803" t="str" cm="1">
        <f t="array" ref="BC506">LOOKUP(2,1/(C506:BA506&lt;&gt;0),$C$4:$BA$4)</f>
        <v>2004-05</v>
      </c>
      <c r="BD506" s="804">
        <f>COUNTIF(RDprograms[[#This Row],[1978-79]:[2028-29]], "&gt;0")</f>
        <v>6</v>
      </c>
      <c r="BE506" s="805">
        <f>SUM(C506:BA506)/RDprograms[[#This Row],[Years with &gt; $0 investment]]</f>
        <v>6.3833333333333337</v>
      </c>
      <c r="BF506" s="806" t="s">
        <v>273</v>
      </c>
      <c r="BG506" s="807" t="s">
        <v>510</v>
      </c>
      <c r="BH506" s="847" t="s">
        <v>264</v>
      </c>
      <c r="BI506" s="809"/>
      <c r="BJ506" s="809"/>
      <c r="BK506" s="809"/>
      <c r="BL506" s="809"/>
      <c r="BM506" s="809"/>
      <c r="BN506" s="810"/>
      <c r="BO506" s="811" t="s">
        <v>236</v>
      </c>
      <c r="BP506" s="812"/>
      <c r="BQ506" s="812"/>
      <c r="BR506" s="812"/>
      <c r="BS506" s="812"/>
      <c r="BT506" s="812" t="s">
        <v>238</v>
      </c>
    </row>
    <row r="507" spans="1:72" ht="12.75" customHeight="1">
      <c r="A507" s="813" t="s">
        <v>1119</v>
      </c>
      <c r="B507" s="820" t="s">
        <v>1303</v>
      </c>
      <c r="C507" s="5">
        <v>0</v>
      </c>
      <c r="D507" s="5">
        <v>0</v>
      </c>
      <c r="E507" s="5">
        <v>0</v>
      </c>
      <c r="F507" s="5">
        <v>0</v>
      </c>
      <c r="G507" s="5">
        <v>0</v>
      </c>
      <c r="H507" s="5">
        <v>0</v>
      </c>
      <c r="I507" s="5">
        <v>0</v>
      </c>
      <c r="J507" s="5">
        <v>0</v>
      </c>
      <c r="K507" s="5">
        <v>0</v>
      </c>
      <c r="L507" s="5">
        <v>0</v>
      </c>
      <c r="M507" s="5">
        <v>0</v>
      </c>
      <c r="N507" s="5">
        <v>0</v>
      </c>
      <c r="O507" s="5">
        <v>0</v>
      </c>
      <c r="P507" s="5">
        <v>0</v>
      </c>
      <c r="Q507" s="5">
        <v>0</v>
      </c>
      <c r="R507" s="5">
        <v>0</v>
      </c>
      <c r="S507" s="5">
        <v>0</v>
      </c>
      <c r="T507" s="5">
        <v>0</v>
      </c>
      <c r="U507" s="5">
        <v>0</v>
      </c>
      <c r="V507" s="5">
        <v>0</v>
      </c>
      <c r="W507" s="5">
        <v>0</v>
      </c>
      <c r="X507" s="5">
        <v>0</v>
      </c>
      <c r="Y507" s="5">
        <v>0</v>
      </c>
      <c r="Z507" s="5">
        <v>0</v>
      </c>
      <c r="AA507" s="5">
        <v>0</v>
      </c>
      <c r="AB507" s="5">
        <v>0</v>
      </c>
      <c r="AC507" s="5">
        <v>0</v>
      </c>
      <c r="AD507" s="5">
        <v>0</v>
      </c>
      <c r="AE507" s="5">
        <v>0</v>
      </c>
      <c r="AF507" s="5">
        <v>0</v>
      </c>
      <c r="AG507" s="5">
        <v>0</v>
      </c>
      <c r="AH507" s="5">
        <v>0</v>
      </c>
      <c r="AI507" s="5">
        <v>0</v>
      </c>
      <c r="AJ507" s="5">
        <v>0</v>
      </c>
      <c r="AK507" s="5">
        <v>0</v>
      </c>
      <c r="AL507" s="5">
        <v>0</v>
      </c>
      <c r="AM507" s="5">
        <v>0</v>
      </c>
      <c r="AN507" s="5">
        <v>0</v>
      </c>
      <c r="AO507" s="5">
        <v>0</v>
      </c>
      <c r="AP507" s="5">
        <v>0</v>
      </c>
      <c r="AQ507" s="5">
        <v>0</v>
      </c>
      <c r="AR507" s="5">
        <v>0</v>
      </c>
      <c r="AS507" s="5">
        <v>0</v>
      </c>
      <c r="AT507" s="5">
        <v>0</v>
      </c>
      <c r="AU507" s="5">
        <v>0</v>
      </c>
      <c r="AV507" s="5">
        <v>15</v>
      </c>
      <c r="AW507" s="815">
        <v>0</v>
      </c>
      <c r="AX507" s="816">
        <v>0</v>
      </c>
      <c r="AY507" s="819">
        <v>0</v>
      </c>
      <c r="AZ507" s="826">
        <v>0</v>
      </c>
      <c r="BA507" s="838"/>
      <c r="BB507" s="802" t="str" cm="1">
        <f t="array" ref="BB507">INDEX(C$4:BA$4,MATCH(TRUE,INDEX(C507:BA507&lt;&gt;0,),0))</f>
        <v>2023-24</v>
      </c>
      <c r="BC507" s="803" t="str" cm="1">
        <f t="array" ref="BC507">LOOKUP(2,1/(C507:BA507&lt;&gt;0),$C$4:$BA$4)</f>
        <v>2023-24</v>
      </c>
      <c r="BD507" s="839">
        <f>COUNTIF(RDprograms[[#This Row],[1978-79]:[2028-29]], "&gt;0")</f>
        <v>1</v>
      </c>
      <c r="BE507" s="805">
        <f>SUM(C507:BA507)/RDprograms[[#This Row],[Years with &gt; $0 investment]]</f>
        <v>15</v>
      </c>
      <c r="BF507" s="806" t="s">
        <v>273</v>
      </c>
      <c r="BG507" s="807" t="s">
        <v>397</v>
      </c>
      <c r="BH507" s="847" t="s">
        <v>264</v>
      </c>
      <c r="BI507" s="809"/>
      <c r="BJ507" s="809"/>
      <c r="BK507" s="809"/>
      <c r="BL507" s="809"/>
      <c r="BM507" s="809"/>
      <c r="BN507" s="810"/>
      <c r="BO507" s="811" t="s">
        <v>236</v>
      </c>
      <c r="BP507" s="812" t="s">
        <v>1304</v>
      </c>
      <c r="BQ507" s="812"/>
      <c r="BR507" s="812"/>
      <c r="BS507" s="812"/>
      <c r="BT507" s="828" t="s">
        <v>277</v>
      </c>
    </row>
    <row r="508" spans="1:72" ht="12.75" customHeight="1">
      <c r="A508" s="813" t="s">
        <v>1119</v>
      </c>
      <c r="B508" s="820" t="s">
        <v>1305</v>
      </c>
      <c r="C508" s="5">
        <v>0</v>
      </c>
      <c r="D508" s="5">
        <v>0</v>
      </c>
      <c r="E508" s="5">
        <v>0</v>
      </c>
      <c r="F508" s="5">
        <v>0</v>
      </c>
      <c r="G508" s="5">
        <v>0</v>
      </c>
      <c r="H508" s="5">
        <v>0</v>
      </c>
      <c r="I508" s="5">
        <v>0</v>
      </c>
      <c r="J508" s="5">
        <v>0</v>
      </c>
      <c r="K508" s="5">
        <v>0</v>
      </c>
      <c r="L508" s="5">
        <v>0</v>
      </c>
      <c r="M508" s="5">
        <v>0</v>
      </c>
      <c r="N508" s="5">
        <v>0</v>
      </c>
      <c r="O508" s="5">
        <v>0</v>
      </c>
      <c r="P508" s="5">
        <v>0</v>
      </c>
      <c r="Q508" s="5">
        <v>0</v>
      </c>
      <c r="R508" s="5">
        <v>0</v>
      </c>
      <c r="S508" s="5">
        <v>0</v>
      </c>
      <c r="T508" s="5">
        <v>0</v>
      </c>
      <c r="U508" s="5">
        <v>0</v>
      </c>
      <c r="V508" s="5">
        <v>0</v>
      </c>
      <c r="W508" s="5">
        <v>0</v>
      </c>
      <c r="X508" s="5">
        <v>0</v>
      </c>
      <c r="Y508" s="5">
        <v>0</v>
      </c>
      <c r="Z508" s="5">
        <v>0</v>
      </c>
      <c r="AA508" s="5">
        <v>0</v>
      </c>
      <c r="AB508" s="5">
        <v>0</v>
      </c>
      <c r="AC508" s="5">
        <v>0</v>
      </c>
      <c r="AD508" s="5">
        <v>0</v>
      </c>
      <c r="AE508" s="5">
        <v>0</v>
      </c>
      <c r="AF508" s="5">
        <v>0</v>
      </c>
      <c r="AG508" s="5">
        <v>0</v>
      </c>
      <c r="AH508" s="5">
        <v>1</v>
      </c>
      <c r="AI508" s="5">
        <v>1</v>
      </c>
      <c r="AJ508" s="5">
        <v>4</v>
      </c>
      <c r="AK508" s="5">
        <v>4</v>
      </c>
      <c r="AL508" s="5">
        <v>0</v>
      </c>
      <c r="AM508" s="5">
        <v>0</v>
      </c>
      <c r="AN508" s="5">
        <v>0</v>
      </c>
      <c r="AO508" s="5">
        <v>0</v>
      </c>
      <c r="AP508" s="5">
        <v>0</v>
      </c>
      <c r="AQ508" s="5">
        <v>0</v>
      </c>
      <c r="AR508" s="5">
        <v>0</v>
      </c>
      <c r="AS508" s="5">
        <v>0</v>
      </c>
      <c r="AT508" s="5">
        <v>0</v>
      </c>
      <c r="AU508" s="5">
        <v>0</v>
      </c>
      <c r="AV508" s="5">
        <v>0</v>
      </c>
      <c r="AW508" s="815">
        <v>0</v>
      </c>
      <c r="AX508" s="816">
        <v>0</v>
      </c>
      <c r="AY508" s="819">
        <v>0</v>
      </c>
      <c r="AZ508" s="816"/>
      <c r="BA508" s="818"/>
      <c r="BB508" s="802" t="str" cm="1">
        <f t="array" ref="BB508">INDEX(C$4:BA$4,MATCH(TRUE,INDEX(C508:BA508&lt;&gt;0,),0))</f>
        <v>2009-10</v>
      </c>
      <c r="BC508" s="803" t="str" cm="1">
        <f t="array" ref="BC508">LOOKUP(2,1/(C508:BA508&lt;&gt;0),$C$4:$BA$4)</f>
        <v>2012-13</v>
      </c>
      <c r="BD508" s="804">
        <f>COUNTIF(RDprograms[[#This Row],[1978-79]:[2028-29]], "&gt;0")</f>
        <v>4</v>
      </c>
      <c r="BE508" s="805">
        <f>SUM(C508:BA508)/RDprograms[[#This Row],[Years with &gt; $0 investment]]</f>
        <v>2.5</v>
      </c>
      <c r="BF508" s="806" t="s">
        <v>273</v>
      </c>
      <c r="BG508" s="807" t="s">
        <v>397</v>
      </c>
      <c r="BH508" s="847" t="s">
        <v>264</v>
      </c>
      <c r="BI508" s="809"/>
      <c r="BJ508" s="809"/>
      <c r="BK508" s="809"/>
      <c r="BL508" s="809"/>
      <c r="BM508" s="809"/>
      <c r="BN508" s="810"/>
      <c r="BO508" s="811" t="s">
        <v>236</v>
      </c>
      <c r="BP508" s="812"/>
      <c r="BQ508" s="812"/>
      <c r="BR508" s="812"/>
      <c r="BS508" s="812"/>
      <c r="BT508" s="812" t="s">
        <v>238</v>
      </c>
    </row>
    <row r="509" spans="1:72" ht="12.75" customHeight="1">
      <c r="A509" s="813" t="s">
        <v>1119</v>
      </c>
      <c r="B509" s="820" t="s">
        <v>1306</v>
      </c>
      <c r="C509" s="5">
        <v>0</v>
      </c>
      <c r="D509" s="5">
        <v>0</v>
      </c>
      <c r="E509" s="5">
        <v>0</v>
      </c>
      <c r="F509" s="5">
        <v>0</v>
      </c>
      <c r="G509" s="5">
        <v>0</v>
      </c>
      <c r="H509" s="5">
        <v>0</v>
      </c>
      <c r="I509" s="5">
        <v>0</v>
      </c>
      <c r="J509" s="5">
        <v>0</v>
      </c>
      <c r="K509" s="5">
        <v>0</v>
      </c>
      <c r="L509" s="5">
        <v>0</v>
      </c>
      <c r="M509" s="5">
        <v>0</v>
      </c>
      <c r="N509" s="5">
        <v>0</v>
      </c>
      <c r="O509" s="5">
        <v>0</v>
      </c>
      <c r="P509" s="5">
        <v>0</v>
      </c>
      <c r="Q509" s="5">
        <v>0</v>
      </c>
      <c r="R509" s="5">
        <v>0</v>
      </c>
      <c r="S509" s="5">
        <v>0</v>
      </c>
      <c r="T509" s="5">
        <v>0</v>
      </c>
      <c r="U509" s="5">
        <v>0</v>
      </c>
      <c r="V509" s="5">
        <v>0</v>
      </c>
      <c r="W509" s="5">
        <v>1.2</v>
      </c>
      <c r="X509" s="5">
        <v>2.2000000000000002</v>
      </c>
      <c r="Y509" s="5">
        <v>1.7</v>
      </c>
      <c r="Z509" s="5">
        <v>2.2999999999999998</v>
      </c>
      <c r="AA509" s="5">
        <v>1.7</v>
      </c>
      <c r="AB509" s="5">
        <v>0.3</v>
      </c>
      <c r="AC509" s="5">
        <v>0</v>
      </c>
      <c r="AD509" s="5">
        <v>0</v>
      </c>
      <c r="AE509" s="5">
        <v>0</v>
      </c>
      <c r="AF509" s="5">
        <v>0</v>
      </c>
      <c r="AG509" s="5">
        <v>0</v>
      </c>
      <c r="AH509" s="5">
        <v>0</v>
      </c>
      <c r="AI509" s="5">
        <v>0</v>
      </c>
      <c r="AJ509" s="5">
        <v>0</v>
      </c>
      <c r="AK509" s="5">
        <v>0</v>
      </c>
      <c r="AL509" s="5">
        <v>0</v>
      </c>
      <c r="AM509" s="5">
        <v>0</v>
      </c>
      <c r="AN509" s="5">
        <v>0</v>
      </c>
      <c r="AO509" s="5">
        <v>0</v>
      </c>
      <c r="AP509" s="816">
        <v>0</v>
      </c>
      <c r="AQ509" s="816">
        <v>0</v>
      </c>
      <c r="AR509" s="5">
        <v>0</v>
      </c>
      <c r="AS509" s="5">
        <v>0</v>
      </c>
      <c r="AT509" s="5">
        <v>0</v>
      </c>
      <c r="AU509" s="5">
        <v>0</v>
      </c>
      <c r="AV509" s="5">
        <v>0</v>
      </c>
      <c r="AW509" s="815">
        <v>0</v>
      </c>
      <c r="AX509" s="816">
        <v>0</v>
      </c>
      <c r="AY509" s="819">
        <v>0</v>
      </c>
      <c r="AZ509" s="816"/>
      <c r="BA509" s="818"/>
      <c r="BB509" s="802" t="str" cm="1">
        <f t="array" ref="BB509">INDEX(C$4:BA$4,MATCH(TRUE,INDEX(C509:BA509&lt;&gt;0,),0))</f>
        <v>1998-99</v>
      </c>
      <c r="BC509" s="803" t="str" cm="1">
        <f t="array" ref="BC509">LOOKUP(2,1/(C509:BA509&lt;&gt;0),$C$4:$BA$4)</f>
        <v>2003-04</v>
      </c>
      <c r="BD509" s="804">
        <f>COUNTIF(RDprograms[[#This Row],[1978-79]:[2028-29]], "&gt;0")</f>
        <v>6</v>
      </c>
      <c r="BE509" s="805">
        <f>SUM(C509:BA509)/RDprograms[[#This Row],[Years with &gt; $0 investment]]</f>
        <v>1.5666666666666667</v>
      </c>
      <c r="BF509" s="806" t="s">
        <v>273</v>
      </c>
      <c r="BG509" s="807" t="s">
        <v>510</v>
      </c>
      <c r="BH509" s="847" t="s">
        <v>474</v>
      </c>
      <c r="BI509" s="809"/>
      <c r="BJ509" s="809"/>
      <c r="BK509" s="809"/>
      <c r="BL509" s="809"/>
      <c r="BM509" s="809"/>
      <c r="BN509" s="810"/>
      <c r="BO509" s="811" t="s">
        <v>236</v>
      </c>
      <c r="BP509" s="812"/>
      <c r="BQ509" s="812"/>
      <c r="BR509" s="812"/>
      <c r="BS509" s="812"/>
      <c r="BT509" s="812" t="s">
        <v>238</v>
      </c>
    </row>
    <row r="510" spans="1:72" ht="12.75" customHeight="1">
      <c r="A510" s="813" t="s">
        <v>1119</v>
      </c>
      <c r="B510" s="820" t="s">
        <v>1307</v>
      </c>
      <c r="C510" s="5">
        <v>0</v>
      </c>
      <c r="D510" s="5">
        <v>0</v>
      </c>
      <c r="E510" s="5">
        <v>0</v>
      </c>
      <c r="F510" s="5">
        <v>0</v>
      </c>
      <c r="G510" s="5">
        <v>0</v>
      </c>
      <c r="H510" s="5">
        <v>0</v>
      </c>
      <c r="I510" s="5">
        <v>0</v>
      </c>
      <c r="J510" s="5">
        <v>0</v>
      </c>
      <c r="K510" s="5">
        <v>0</v>
      </c>
      <c r="L510" s="5">
        <v>0</v>
      </c>
      <c r="M510" s="5">
        <v>0</v>
      </c>
      <c r="N510" s="5">
        <v>0</v>
      </c>
      <c r="O510" s="5">
        <v>0</v>
      </c>
      <c r="P510" s="5">
        <v>0</v>
      </c>
      <c r="Q510" s="5">
        <v>0</v>
      </c>
      <c r="R510" s="5">
        <v>0</v>
      </c>
      <c r="S510" s="5">
        <v>0</v>
      </c>
      <c r="T510" s="5">
        <v>0</v>
      </c>
      <c r="U510" s="5">
        <v>0</v>
      </c>
      <c r="V510" s="5">
        <v>0</v>
      </c>
      <c r="W510" s="5">
        <v>1.2</v>
      </c>
      <c r="X510" s="5">
        <v>5.2</v>
      </c>
      <c r="Y510" s="5">
        <v>5.4</v>
      </c>
      <c r="Z510" s="5">
        <v>3.3</v>
      </c>
      <c r="AA510" s="5">
        <v>2</v>
      </c>
      <c r="AB510" s="5">
        <v>1.1000000000000001</v>
      </c>
      <c r="AC510" s="5">
        <v>0</v>
      </c>
      <c r="AD510" s="5">
        <v>0</v>
      </c>
      <c r="AE510" s="5">
        <v>0</v>
      </c>
      <c r="AF510" s="5">
        <v>0</v>
      </c>
      <c r="AG510" s="5">
        <v>0</v>
      </c>
      <c r="AH510" s="5">
        <v>0</v>
      </c>
      <c r="AI510" s="5">
        <v>0</v>
      </c>
      <c r="AJ510" s="5">
        <v>0</v>
      </c>
      <c r="AK510" s="5">
        <v>0</v>
      </c>
      <c r="AL510" s="5">
        <v>0</v>
      </c>
      <c r="AM510" s="5">
        <v>0</v>
      </c>
      <c r="AN510" s="5">
        <v>0</v>
      </c>
      <c r="AO510" s="5">
        <v>0</v>
      </c>
      <c r="AP510" s="5">
        <v>0</v>
      </c>
      <c r="AQ510" s="5">
        <v>0</v>
      </c>
      <c r="AR510" s="5">
        <v>0</v>
      </c>
      <c r="AS510" s="5">
        <v>0</v>
      </c>
      <c r="AT510" s="5">
        <v>0</v>
      </c>
      <c r="AU510" s="5">
        <v>0</v>
      </c>
      <c r="AV510" s="5">
        <v>0</v>
      </c>
      <c r="AW510" s="815">
        <v>0</v>
      </c>
      <c r="AX510" s="816">
        <v>0</v>
      </c>
      <c r="AY510" s="819">
        <v>0</v>
      </c>
      <c r="AZ510" s="816"/>
      <c r="BA510" s="818"/>
      <c r="BB510" s="802" t="str" cm="1">
        <f t="array" ref="BB510">INDEX(C$4:BA$4,MATCH(TRUE,INDEX(C510:BA510&lt;&gt;0,),0))</f>
        <v>1998-99</v>
      </c>
      <c r="BC510" s="803" t="str" cm="1">
        <f t="array" ref="BC510">LOOKUP(2,1/(C510:BA510&lt;&gt;0),$C$4:$BA$4)</f>
        <v>2003-04</v>
      </c>
      <c r="BD510" s="804">
        <f>COUNTIF(RDprograms[[#This Row],[1978-79]:[2028-29]], "&gt;0")</f>
        <v>6</v>
      </c>
      <c r="BE510" s="805">
        <f>SUM(C510:BA510)/RDprograms[[#This Row],[Years with &gt; $0 investment]]</f>
        <v>3.0333333333333337</v>
      </c>
      <c r="BF510" s="806" t="s">
        <v>273</v>
      </c>
      <c r="BG510" s="807" t="s">
        <v>389</v>
      </c>
      <c r="BH510" s="847" t="s">
        <v>264</v>
      </c>
      <c r="BI510" s="809"/>
      <c r="BJ510" s="809"/>
      <c r="BK510" s="809"/>
      <c r="BL510" s="809"/>
      <c r="BM510" s="809"/>
      <c r="BN510" s="810"/>
      <c r="BO510" s="811" t="s">
        <v>236</v>
      </c>
      <c r="BP510" s="812"/>
      <c r="BQ510" s="812"/>
      <c r="BR510" s="812"/>
      <c r="BS510" s="812"/>
      <c r="BT510" s="812" t="s">
        <v>238</v>
      </c>
    </row>
    <row r="511" spans="1:72" ht="12.75" customHeight="1">
      <c r="A511" s="813" t="s">
        <v>1119</v>
      </c>
      <c r="B511" s="820" t="s">
        <v>1308</v>
      </c>
      <c r="C511" s="5">
        <v>0</v>
      </c>
      <c r="D511" s="5">
        <v>0</v>
      </c>
      <c r="E511" s="5">
        <v>0</v>
      </c>
      <c r="F511" s="5">
        <v>0</v>
      </c>
      <c r="G511" s="5">
        <v>0</v>
      </c>
      <c r="H511" s="5">
        <v>0</v>
      </c>
      <c r="I511" s="5">
        <v>0</v>
      </c>
      <c r="J511" s="5">
        <v>0</v>
      </c>
      <c r="K511" s="5">
        <v>0</v>
      </c>
      <c r="L511" s="5">
        <v>0</v>
      </c>
      <c r="M511" s="5">
        <v>0</v>
      </c>
      <c r="N511" s="5">
        <v>0</v>
      </c>
      <c r="O511" s="5">
        <v>0</v>
      </c>
      <c r="P511" s="5">
        <v>0</v>
      </c>
      <c r="Q511" s="5">
        <v>0</v>
      </c>
      <c r="R511" s="5">
        <v>0</v>
      </c>
      <c r="S511" s="5">
        <v>0</v>
      </c>
      <c r="T511" s="5">
        <v>0</v>
      </c>
      <c r="U511" s="5">
        <v>0</v>
      </c>
      <c r="V511" s="5">
        <v>0</v>
      </c>
      <c r="W511" s="5">
        <v>0</v>
      </c>
      <c r="X511" s="5">
        <v>0</v>
      </c>
      <c r="Y511" s="5">
        <v>0</v>
      </c>
      <c r="Z511" s="5">
        <v>0</v>
      </c>
      <c r="AA511" s="5">
        <v>0</v>
      </c>
      <c r="AB511" s="5">
        <v>0</v>
      </c>
      <c r="AC511" s="5">
        <v>0</v>
      </c>
      <c r="AD511" s="5">
        <v>0</v>
      </c>
      <c r="AE511" s="5">
        <v>0</v>
      </c>
      <c r="AF511" s="5">
        <v>0</v>
      </c>
      <c r="AG511" s="5">
        <v>0</v>
      </c>
      <c r="AH511" s="5">
        <v>0</v>
      </c>
      <c r="AI511" s="5">
        <v>0</v>
      </c>
      <c r="AJ511" s="5">
        <v>1.613</v>
      </c>
      <c r="AK511" s="5">
        <v>1.5549999999999999</v>
      </c>
      <c r="AL511" s="5">
        <v>8.3640000000000008</v>
      </c>
      <c r="AM511" s="5">
        <v>9.5039999999999996</v>
      </c>
      <c r="AN511" s="5">
        <v>8.4380000000000006</v>
      </c>
      <c r="AO511" s="5">
        <v>7</v>
      </c>
      <c r="AP511" s="816">
        <v>4.0990000000000002</v>
      </c>
      <c r="AQ511" s="816">
        <v>19.48</v>
      </c>
      <c r="AR511" s="5">
        <v>15.427</v>
      </c>
      <c r="AS511" s="5">
        <v>9.5299999999999994</v>
      </c>
      <c r="AT511" s="5">
        <v>114.825</v>
      </c>
      <c r="AU511" s="5">
        <v>141.785</v>
      </c>
      <c r="AV511" s="5">
        <v>83.373999999999995</v>
      </c>
      <c r="AW511" s="815">
        <v>132.86199999999999</v>
      </c>
      <c r="AX511" s="816">
        <v>6.21</v>
      </c>
      <c r="AY511" s="819">
        <v>12.236000000000001</v>
      </c>
      <c r="AZ511" s="816">
        <v>54.216999999999999</v>
      </c>
      <c r="BA511" s="818">
        <v>41.180999999999997</v>
      </c>
      <c r="BB511" s="802" t="str" cm="1">
        <f t="array" ref="BB511">INDEX(C$4:BA$4,MATCH(TRUE,INDEX(C511:BA511&lt;&gt;0,),0))</f>
        <v>2011-12</v>
      </c>
      <c r="BC511" s="803" t="str" cm="1">
        <f t="array" ref="BC511">LOOKUP(2,1/(C511:BA511&lt;&gt;0),$C$4:$BA$4)</f>
        <v>2028-29</v>
      </c>
      <c r="BD511" s="804">
        <f>COUNTIF(RDprograms[[#This Row],[1978-79]:[2028-29]], "&gt;0")</f>
        <v>18</v>
      </c>
      <c r="BE511" s="805">
        <f>SUM(C511:BA511)/RDprograms[[#This Row],[Years with &gt; $0 investment]]</f>
        <v>37.31666666666667</v>
      </c>
      <c r="BF511" s="806" t="s">
        <v>273</v>
      </c>
      <c r="BG511" s="807" t="s">
        <v>734</v>
      </c>
      <c r="BH511" s="847" t="s">
        <v>241</v>
      </c>
      <c r="BI511" s="809"/>
      <c r="BJ511" s="809"/>
      <c r="BK511" s="809"/>
      <c r="BL511" s="809"/>
      <c r="BM511" s="809"/>
      <c r="BN511" s="810">
        <v>1</v>
      </c>
      <c r="BO511" s="811" t="s">
        <v>236</v>
      </c>
      <c r="BP511" s="812" t="s">
        <v>1309</v>
      </c>
      <c r="BQ511" s="812" t="s">
        <v>1310</v>
      </c>
      <c r="BR511" s="812"/>
      <c r="BS511" s="812" t="s">
        <v>244</v>
      </c>
      <c r="BT511" s="812" t="s">
        <v>238</v>
      </c>
    </row>
    <row r="512" spans="1:72" ht="12.75" customHeight="1">
      <c r="A512" s="813" t="s">
        <v>1119</v>
      </c>
      <c r="B512" s="820" t="s">
        <v>1311</v>
      </c>
      <c r="C512" s="5">
        <v>0</v>
      </c>
      <c r="D512" s="5">
        <v>0</v>
      </c>
      <c r="E512" s="5">
        <v>0</v>
      </c>
      <c r="F512" s="5">
        <v>0</v>
      </c>
      <c r="G512" s="5">
        <v>0</v>
      </c>
      <c r="H512" s="5">
        <v>0</v>
      </c>
      <c r="I512" s="5">
        <v>20</v>
      </c>
      <c r="J512" s="5">
        <v>20</v>
      </c>
      <c r="K512" s="5">
        <v>20</v>
      </c>
      <c r="L512" s="5">
        <v>20</v>
      </c>
      <c r="M512" s="5">
        <v>7</v>
      </c>
      <c r="N512" s="5">
        <v>19</v>
      </c>
      <c r="O512" s="5">
        <v>34</v>
      </c>
      <c r="P512" s="5">
        <v>0</v>
      </c>
      <c r="Q512" s="5">
        <v>0</v>
      </c>
      <c r="R512" s="5">
        <v>0</v>
      </c>
      <c r="S512" s="5">
        <v>0</v>
      </c>
      <c r="T512" s="5">
        <v>0</v>
      </c>
      <c r="U512" s="5">
        <v>0</v>
      </c>
      <c r="V512" s="5">
        <v>0</v>
      </c>
      <c r="W512" s="5">
        <v>0</v>
      </c>
      <c r="X512" s="5">
        <v>0</v>
      </c>
      <c r="Y512" s="5">
        <v>0</v>
      </c>
      <c r="Z512" s="5">
        <v>0</v>
      </c>
      <c r="AA512" s="5">
        <v>0</v>
      </c>
      <c r="AB512" s="5">
        <v>0</v>
      </c>
      <c r="AC512" s="5">
        <v>0</v>
      </c>
      <c r="AD512" s="5">
        <v>0</v>
      </c>
      <c r="AE512" s="5">
        <v>0</v>
      </c>
      <c r="AF512" s="5">
        <v>0</v>
      </c>
      <c r="AG512" s="5">
        <v>0</v>
      </c>
      <c r="AH512" s="5">
        <v>0</v>
      </c>
      <c r="AI512" s="5">
        <v>0</v>
      </c>
      <c r="AJ512" s="5">
        <v>0</v>
      </c>
      <c r="AK512" s="5">
        <v>0</v>
      </c>
      <c r="AL512" s="5">
        <v>0</v>
      </c>
      <c r="AM512" s="5">
        <v>0</v>
      </c>
      <c r="AN512" s="5">
        <v>0</v>
      </c>
      <c r="AO512" s="5">
        <v>0</v>
      </c>
      <c r="AP512" s="816">
        <v>0</v>
      </c>
      <c r="AQ512" s="816">
        <v>0</v>
      </c>
      <c r="AR512" s="5">
        <v>0</v>
      </c>
      <c r="AS512" s="5">
        <v>0</v>
      </c>
      <c r="AT512" s="5">
        <v>0</v>
      </c>
      <c r="AU512" s="5">
        <v>0</v>
      </c>
      <c r="AV512" s="5">
        <v>0</v>
      </c>
      <c r="AW512" s="815">
        <v>0</v>
      </c>
      <c r="AX512" s="816">
        <v>0</v>
      </c>
      <c r="AY512" s="819">
        <v>0</v>
      </c>
      <c r="AZ512" s="816"/>
      <c r="BA512" s="818"/>
      <c r="BB512" s="802" t="str" cm="1">
        <f t="array" ref="BB512">INDEX(C$4:BA$4,MATCH(TRUE,INDEX(C512:BA512&lt;&gt;0,),0))</f>
        <v>1984-85</v>
      </c>
      <c r="BC512" s="803" t="str" cm="1">
        <f t="array" ref="BC512">LOOKUP(2,1/(C512:BA512&lt;&gt;0),$C$4:$BA$4)</f>
        <v>1990-91</v>
      </c>
      <c r="BD512" s="804">
        <f>COUNTIF(RDprograms[[#This Row],[1978-79]:[2028-29]], "&gt;0")</f>
        <v>7</v>
      </c>
      <c r="BE512" s="805">
        <f>SUM(C512:BA512)/RDprograms[[#This Row],[Years with &gt; $0 investment]]</f>
        <v>20</v>
      </c>
      <c r="BF512" s="806" t="s">
        <v>1172</v>
      </c>
      <c r="BG512" s="807" t="s">
        <v>389</v>
      </c>
      <c r="BH512" s="847" t="s">
        <v>1271</v>
      </c>
      <c r="BI512" s="809"/>
      <c r="BJ512" s="809"/>
      <c r="BK512" s="809"/>
      <c r="BL512" s="809"/>
      <c r="BM512" s="809"/>
      <c r="BN512" s="810"/>
      <c r="BO512" s="811" t="s">
        <v>251</v>
      </c>
      <c r="BP512" s="812" t="s">
        <v>1312</v>
      </c>
      <c r="BQ512" s="812"/>
      <c r="BR512" s="812"/>
      <c r="BS512" s="812"/>
      <c r="BT512" s="812" t="s">
        <v>238</v>
      </c>
    </row>
    <row r="513" spans="1:72" ht="12.75" customHeight="1">
      <c r="A513" s="813" t="s">
        <v>1119</v>
      </c>
      <c r="B513" s="820" t="s">
        <v>1313</v>
      </c>
      <c r="C513" s="5">
        <v>0</v>
      </c>
      <c r="D513" s="5">
        <v>0</v>
      </c>
      <c r="E513" s="5">
        <v>0</v>
      </c>
      <c r="F513" s="5">
        <v>0</v>
      </c>
      <c r="G513" s="5">
        <v>0</v>
      </c>
      <c r="H513" s="5">
        <v>0</v>
      </c>
      <c r="I513" s="5">
        <v>0</v>
      </c>
      <c r="J513" s="5">
        <v>0</v>
      </c>
      <c r="K513" s="5">
        <v>0</v>
      </c>
      <c r="L513" s="5">
        <v>0</v>
      </c>
      <c r="M513" s="5">
        <v>0</v>
      </c>
      <c r="N513" s="5">
        <v>0</v>
      </c>
      <c r="O513" s="5">
        <v>0</v>
      </c>
      <c r="P513" s="5">
        <v>0</v>
      </c>
      <c r="Q513" s="5">
        <v>0</v>
      </c>
      <c r="R513" s="5">
        <v>0</v>
      </c>
      <c r="S513" s="5">
        <v>23</v>
      </c>
      <c r="T513" s="5">
        <v>25</v>
      </c>
      <c r="U513" s="5">
        <v>25</v>
      </c>
      <c r="V513" s="5">
        <v>30</v>
      </c>
      <c r="W513" s="5">
        <v>30</v>
      </c>
      <c r="X513" s="5">
        <v>30</v>
      </c>
      <c r="Y513" s="5">
        <v>30</v>
      </c>
      <c r="Z513" s="5">
        <v>0</v>
      </c>
      <c r="AA513" s="5">
        <v>0</v>
      </c>
      <c r="AB513" s="5">
        <v>0</v>
      </c>
      <c r="AC513" s="5">
        <v>0</v>
      </c>
      <c r="AD513" s="5">
        <v>0</v>
      </c>
      <c r="AE513" s="5">
        <v>0</v>
      </c>
      <c r="AF513" s="5">
        <v>0</v>
      </c>
      <c r="AG513" s="5">
        <v>0</v>
      </c>
      <c r="AH513" s="5">
        <v>0</v>
      </c>
      <c r="AI513" s="5">
        <v>0</v>
      </c>
      <c r="AJ513" s="5">
        <v>0</v>
      </c>
      <c r="AK513" s="5">
        <v>0</v>
      </c>
      <c r="AL513" s="5">
        <v>0</v>
      </c>
      <c r="AM513" s="5">
        <v>0</v>
      </c>
      <c r="AN513" s="5">
        <v>0</v>
      </c>
      <c r="AO513" s="5">
        <v>0</v>
      </c>
      <c r="AP513" s="5">
        <v>0</v>
      </c>
      <c r="AQ513" s="5">
        <v>0</v>
      </c>
      <c r="AR513" s="5">
        <v>0</v>
      </c>
      <c r="AS513" s="5">
        <v>0</v>
      </c>
      <c r="AT513" s="5">
        <v>0</v>
      </c>
      <c r="AU513" s="5">
        <v>0</v>
      </c>
      <c r="AV513" s="5">
        <v>0</v>
      </c>
      <c r="AW513" s="815">
        <v>0</v>
      </c>
      <c r="AX513" s="816">
        <v>0</v>
      </c>
      <c r="AY513" s="819">
        <v>0</v>
      </c>
      <c r="AZ513" s="816"/>
      <c r="BA513" s="818"/>
      <c r="BB513" s="802" t="str" cm="1">
        <f t="array" ref="BB513">INDEX(C$4:BA$4,MATCH(TRUE,INDEX(C513:BA513&lt;&gt;0,),0))</f>
        <v>1994-95</v>
      </c>
      <c r="BC513" s="803" t="str" cm="1">
        <f t="array" ref="BC513">LOOKUP(2,1/(C513:BA513&lt;&gt;0),$C$4:$BA$4)</f>
        <v>2000-01</v>
      </c>
      <c r="BD513" s="804">
        <f>COUNTIF(RDprograms[[#This Row],[1978-79]:[2028-29]], "&gt;0")</f>
        <v>7</v>
      </c>
      <c r="BE513" s="805">
        <f>SUM(C513:BA513)/RDprograms[[#This Row],[Years with &gt; $0 investment]]</f>
        <v>27.571428571428573</v>
      </c>
      <c r="BF513" s="806" t="s">
        <v>1172</v>
      </c>
      <c r="BG513" s="807" t="s">
        <v>389</v>
      </c>
      <c r="BH513" s="847" t="s">
        <v>1271</v>
      </c>
      <c r="BI513" s="809"/>
      <c r="BJ513" s="809"/>
      <c r="BK513" s="809"/>
      <c r="BL513" s="809"/>
      <c r="BM513" s="809"/>
      <c r="BN513" s="810"/>
      <c r="BO513" s="811" t="s">
        <v>251</v>
      </c>
      <c r="BP513" s="812"/>
      <c r="BQ513" s="812"/>
      <c r="BR513" s="812"/>
      <c r="BS513" s="812"/>
      <c r="BT513" s="812" t="s">
        <v>238</v>
      </c>
    </row>
    <row r="514" spans="1:72" ht="12.75" customHeight="1">
      <c r="A514" s="813" t="s">
        <v>1119</v>
      </c>
      <c r="B514" s="820" t="s">
        <v>1314</v>
      </c>
      <c r="C514" s="5">
        <v>0</v>
      </c>
      <c r="D514" s="5">
        <v>0</v>
      </c>
      <c r="E514" s="5">
        <v>0</v>
      </c>
      <c r="F514" s="5">
        <v>0</v>
      </c>
      <c r="G514" s="5">
        <v>0.2</v>
      </c>
      <c r="H514" s="5">
        <v>0.7</v>
      </c>
      <c r="I514" s="5">
        <v>0.9</v>
      </c>
      <c r="J514" s="5">
        <v>0.8</v>
      </c>
      <c r="K514" s="5">
        <v>1.2</v>
      </c>
      <c r="L514" s="5">
        <v>1.4</v>
      </c>
      <c r="M514" s="5">
        <v>1.1000000000000001</v>
      </c>
      <c r="N514" s="5">
        <v>1.9</v>
      </c>
      <c r="O514" s="5">
        <v>3</v>
      </c>
      <c r="P514" s="5">
        <v>3.2</v>
      </c>
      <c r="Q514" s="5">
        <v>0</v>
      </c>
      <c r="R514" s="5">
        <v>0</v>
      </c>
      <c r="S514" s="5">
        <v>0</v>
      </c>
      <c r="T514" s="5">
        <v>0</v>
      </c>
      <c r="U514" s="5">
        <v>0</v>
      </c>
      <c r="V514" s="5">
        <v>0</v>
      </c>
      <c r="W514" s="5">
        <v>0</v>
      </c>
      <c r="X514" s="5">
        <v>0</v>
      </c>
      <c r="Y514" s="5">
        <v>0</v>
      </c>
      <c r="Z514" s="5">
        <v>0</v>
      </c>
      <c r="AA514" s="5">
        <v>0</v>
      </c>
      <c r="AB514" s="5">
        <v>0</v>
      </c>
      <c r="AC514" s="5">
        <v>0</v>
      </c>
      <c r="AD514" s="5">
        <v>0</v>
      </c>
      <c r="AE514" s="5">
        <v>0</v>
      </c>
      <c r="AF514" s="5">
        <v>0</v>
      </c>
      <c r="AG514" s="5">
        <v>0</v>
      </c>
      <c r="AH514" s="5">
        <v>0</v>
      </c>
      <c r="AI514" s="5">
        <v>0</v>
      </c>
      <c r="AJ514" s="5">
        <v>0</v>
      </c>
      <c r="AK514" s="5">
        <v>0</v>
      </c>
      <c r="AL514" s="5">
        <v>0</v>
      </c>
      <c r="AM514" s="5">
        <v>0</v>
      </c>
      <c r="AN514" s="5">
        <v>0</v>
      </c>
      <c r="AO514" s="5">
        <v>0</v>
      </c>
      <c r="AP514" s="816">
        <v>0</v>
      </c>
      <c r="AQ514" s="816">
        <v>0</v>
      </c>
      <c r="AR514" s="5">
        <v>0</v>
      </c>
      <c r="AS514" s="5">
        <v>0</v>
      </c>
      <c r="AT514" s="5">
        <v>0</v>
      </c>
      <c r="AU514" s="5">
        <v>0</v>
      </c>
      <c r="AV514" s="5">
        <v>0</v>
      </c>
      <c r="AW514" s="815">
        <v>0</v>
      </c>
      <c r="AX514" s="816">
        <v>0</v>
      </c>
      <c r="AY514" s="819">
        <v>0</v>
      </c>
      <c r="AZ514" s="816"/>
      <c r="BA514" s="818"/>
      <c r="BB514" s="802" t="str" cm="1">
        <f t="array" ref="BB514">INDEX(C$4:BA$4,MATCH(TRUE,INDEX(C514:BA514&lt;&gt;0,),0))</f>
        <v>1982-83</v>
      </c>
      <c r="BC514" s="803" t="str" cm="1">
        <f t="array" ref="BC514">LOOKUP(2,1/(C514:BA514&lt;&gt;0),$C$4:$BA$4)</f>
        <v>1991-92</v>
      </c>
      <c r="BD514" s="804">
        <f>COUNTIF(RDprograms[[#This Row],[1978-79]:[2028-29]], "&gt;0")</f>
        <v>10</v>
      </c>
      <c r="BE514" s="805">
        <f>SUM(C514:BA514)/RDprograms[[#This Row],[Years with &gt; $0 investment]]</f>
        <v>1.44</v>
      </c>
      <c r="BF514" s="806" t="s">
        <v>273</v>
      </c>
      <c r="BG514" s="807" t="s">
        <v>389</v>
      </c>
      <c r="BH514" s="847" t="s">
        <v>264</v>
      </c>
      <c r="BI514" s="809"/>
      <c r="BJ514" s="809"/>
      <c r="BK514" s="809"/>
      <c r="BL514" s="809"/>
      <c r="BM514" s="809"/>
      <c r="BN514" s="810"/>
      <c r="BO514" s="811" t="s">
        <v>236</v>
      </c>
      <c r="BP514" s="812"/>
      <c r="BQ514" s="812"/>
      <c r="BR514" s="812"/>
      <c r="BS514" s="812"/>
      <c r="BT514" s="812" t="s">
        <v>238</v>
      </c>
    </row>
    <row r="515" spans="1:72" ht="12.75" customHeight="1">
      <c r="A515" s="813" t="s">
        <v>1119</v>
      </c>
      <c r="B515" s="820" t="s">
        <v>1315</v>
      </c>
      <c r="C515" s="5">
        <v>0</v>
      </c>
      <c r="D515" s="5">
        <v>0</v>
      </c>
      <c r="E515" s="5">
        <v>0</v>
      </c>
      <c r="F515" s="5">
        <v>0</v>
      </c>
      <c r="G515" s="5">
        <v>0</v>
      </c>
      <c r="H515" s="5">
        <v>0</v>
      </c>
      <c r="I515" s="5">
        <v>0</v>
      </c>
      <c r="J515" s="5">
        <v>0</v>
      </c>
      <c r="K515" s="5">
        <v>0</v>
      </c>
      <c r="L515" s="5">
        <v>0</v>
      </c>
      <c r="M515" s="5">
        <v>0</v>
      </c>
      <c r="N515" s="5">
        <v>0</v>
      </c>
      <c r="O515" s="5">
        <v>0</v>
      </c>
      <c r="P515" s="5">
        <v>0</v>
      </c>
      <c r="Q515" s="5">
        <v>0</v>
      </c>
      <c r="R515" s="5">
        <v>0</v>
      </c>
      <c r="S515" s="5">
        <v>0</v>
      </c>
      <c r="T515" s="5">
        <v>0</v>
      </c>
      <c r="U515" s="5">
        <v>0</v>
      </c>
      <c r="V515" s="5">
        <v>0</v>
      </c>
      <c r="W515" s="5">
        <v>12.8</v>
      </c>
      <c r="X515" s="5">
        <v>15.9</v>
      </c>
      <c r="Y515" s="5">
        <v>14.2</v>
      </c>
      <c r="Z515" s="5">
        <v>14.2</v>
      </c>
      <c r="AA515" s="5">
        <v>12.9</v>
      </c>
      <c r="AB515" s="5">
        <v>4.2</v>
      </c>
      <c r="AC515" s="5">
        <v>0</v>
      </c>
      <c r="AD515" s="5">
        <v>0</v>
      </c>
      <c r="AE515" s="5">
        <v>0</v>
      </c>
      <c r="AF515" s="5">
        <v>0</v>
      </c>
      <c r="AG515" s="5">
        <v>0</v>
      </c>
      <c r="AH515" s="5">
        <v>0</v>
      </c>
      <c r="AI515" s="5">
        <v>0</v>
      </c>
      <c r="AJ515" s="5">
        <v>0</v>
      </c>
      <c r="AK515" s="5">
        <v>0</v>
      </c>
      <c r="AL515" s="5">
        <v>0</v>
      </c>
      <c r="AM515" s="5">
        <v>0</v>
      </c>
      <c r="AN515" s="5">
        <v>0</v>
      </c>
      <c r="AO515" s="5">
        <v>0</v>
      </c>
      <c r="AP515" s="816">
        <v>0</v>
      </c>
      <c r="AQ515" s="816">
        <v>0</v>
      </c>
      <c r="AR515" s="5">
        <v>0</v>
      </c>
      <c r="AS515" s="5">
        <v>0</v>
      </c>
      <c r="AT515" s="5">
        <v>0</v>
      </c>
      <c r="AU515" s="5">
        <v>0</v>
      </c>
      <c r="AV515" s="5">
        <v>0</v>
      </c>
      <c r="AW515" s="815">
        <v>0</v>
      </c>
      <c r="AX515" s="816">
        <v>0</v>
      </c>
      <c r="AY515" s="819">
        <v>0</v>
      </c>
      <c r="AZ515" s="816"/>
      <c r="BA515" s="818"/>
      <c r="BB515" s="802" t="str" cm="1">
        <f t="array" ref="BB515">INDEX(C$4:BA$4,MATCH(TRUE,INDEX(C515:BA515&lt;&gt;0,),0))</f>
        <v>1998-99</v>
      </c>
      <c r="BC515" s="803" t="str" cm="1">
        <f t="array" ref="BC515">LOOKUP(2,1/(C515:BA515&lt;&gt;0),$C$4:$BA$4)</f>
        <v>2003-04</v>
      </c>
      <c r="BD515" s="804">
        <f>COUNTIF(RDprograms[[#This Row],[1978-79]:[2028-29]], "&gt;0")</f>
        <v>6</v>
      </c>
      <c r="BE515" s="805">
        <f>SUM(C515:BA515)/RDprograms[[#This Row],[Years with &gt; $0 investment]]</f>
        <v>12.366666666666669</v>
      </c>
      <c r="BF515" s="806" t="s">
        <v>273</v>
      </c>
      <c r="BG515" s="807" t="s">
        <v>389</v>
      </c>
      <c r="BH515" s="847" t="s">
        <v>264</v>
      </c>
      <c r="BI515" s="809"/>
      <c r="BJ515" s="809"/>
      <c r="BK515" s="809"/>
      <c r="BL515" s="809"/>
      <c r="BM515" s="809"/>
      <c r="BN515" s="810"/>
      <c r="BO515" s="811" t="s">
        <v>236</v>
      </c>
      <c r="BP515" s="812"/>
      <c r="BQ515" s="812"/>
      <c r="BR515" s="812"/>
      <c r="BS515" s="812"/>
      <c r="BT515" s="812" t="s">
        <v>238</v>
      </c>
    </row>
    <row r="516" spans="1:72" ht="12.75" customHeight="1">
      <c r="A516" s="813" t="s">
        <v>1119</v>
      </c>
      <c r="B516" s="820" t="s">
        <v>1316</v>
      </c>
      <c r="C516" s="5">
        <v>0</v>
      </c>
      <c r="D516" s="5">
        <v>0</v>
      </c>
      <c r="E516" s="5">
        <v>0</v>
      </c>
      <c r="F516" s="5">
        <v>0</v>
      </c>
      <c r="G516" s="5">
        <v>0</v>
      </c>
      <c r="H516" s="5">
        <v>0</v>
      </c>
      <c r="I516" s="5">
        <v>0</v>
      </c>
      <c r="J516" s="5">
        <v>0</v>
      </c>
      <c r="K516" s="5">
        <v>0</v>
      </c>
      <c r="L516" s="5">
        <v>0</v>
      </c>
      <c r="M516" s="5">
        <v>0</v>
      </c>
      <c r="N516" s="5">
        <v>0</v>
      </c>
      <c r="O516" s="5">
        <v>0</v>
      </c>
      <c r="P516" s="5">
        <v>0</v>
      </c>
      <c r="Q516" s="5">
        <v>0</v>
      </c>
      <c r="R516" s="5">
        <v>0</v>
      </c>
      <c r="S516" s="5">
        <v>3.9</v>
      </c>
      <c r="T516" s="5">
        <v>12.2</v>
      </c>
      <c r="U516" s="5">
        <v>7.2</v>
      </c>
      <c r="V516" s="5">
        <v>13.7</v>
      </c>
      <c r="W516" s="5">
        <v>0</v>
      </c>
      <c r="X516" s="5">
        <v>0</v>
      </c>
      <c r="Y516" s="5">
        <v>0</v>
      </c>
      <c r="Z516" s="5">
        <v>0</v>
      </c>
      <c r="AA516" s="5">
        <v>0</v>
      </c>
      <c r="AB516" s="5">
        <v>0</v>
      </c>
      <c r="AC516" s="5">
        <v>0</v>
      </c>
      <c r="AD516" s="5">
        <v>0</v>
      </c>
      <c r="AE516" s="5">
        <v>0</v>
      </c>
      <c r="AF516" s="5">
        <v>0</v>
      </c>
      <c r="AG516" s="5">
        <v>0</v>
      </c>
      <c r="AH516" s="5">
        <v>0</v>
      </c>
      <c r="AI516" s="5">
        <v>0</v>
      </c>
      <c r="AJ516" s="5">
        <v>0</v>
      </c>
      <c r="AK516" s="5">
        <v>0</v>
      </c>
      <c r="AL516" s="5">
        <v>0</v>
      </c>
      <c r="AM516" s="5">
        <v>0</v>
      </c>
      <c r="AN516" s="5">
        <v>0</v>
      </c>
      <c r="AO516" s="5">
        <v>0</v>
      </c>
      <c r="AP516" s="5">
        <v>0</v>
      </c>
      <c r="AQ516" s="5">
        <v>0</v>
      </c>
      <c r="AR516" s="5">
        <v>0</v>
      </c>
      <c r="AS516" s="5">
        <v>0</v>
      </c>
      <c r="AT516" s="5">
        <v>0</v>
      </c>
      <c r="AU516" s="5">
        <v>0</v>
      </c>
      <c r="AV516" s="5">
        <v>0</v>
      </c>
      <c r="AW516" s="815">
        <v>0</v>
      </c>
      <c r="AX516" s="816">
        <v>0</v>
      </c>
      <c r="AY516" s="819">
        <v>0</v>
      </c>
      <c r="AZ516" s="816"/>
      <c r="BA516" s="818"/>
      <c r="BB516" s="802" t="str" cm="1">
        <f t="array" ref="BB516">INDEX(C$4:BA$4,MATCH(TRUE,INDEX(C516:BA516&lt;&gt;0,),0))</f>
        <v>1994-95</v>
      </c>
      <c r="BC516" s="803" t="str" cm="1">
        <f t="array" ref="BC516">LOOKUP(2,1/(C516:BA516&lt;&gt;0),$C$4:$BA$4)</f>
        <v>1997-98</v>
      </c>
      <c r="BD516" s="804">
        <f>COUNTIF(RDprograms[[#This Row],[1978-79]:[2028-29]], "&gt;0")</f>
        <v>4</v>
      </c>
      <c r="BE516" s="805">
        <f>SUM(C516:BA516)/RDprograms[[#This Row],[Years with &gt; $0 investment]]</f>
        <v>9.25</v>
      </c>
      <c r="BF516" s="806" t="s">
        <v>273</v>
      </c>
      <c r="BG516" s="807" t="s">
        <v>389</v>
      </c>
      <c r="BH516" s="847" t="s">
        <v>264</v>
      </c>
      <c r="BI516" s="809"/>
      <c r="BJ516" s="809"/>
      <c r="BK516" s="809"/>
      <c r="BL516" s="809"/>
      <c r="BM516" s="809"/>
      <c r="BN516" s="810"/>
      <c r="BO516" s="811" t="s">
        <v>236</v>
      </c>
      <c r="BP516" s="812"/>
      <c r="BQ516" s="812"/>
      <c r="BR516" s="812"/>
      <c r="BS516" s="812"/>
      <c r="BT516" s="812" t="s">
        <v>238</v>
      </c>
    </row>
    <row r="517" spans="1:72" ht="12.75" customHeight="1">
      <c r="A517" s="813" t="s">
        <v>1119</v>
      </c>
      <c r="B517" s="820" t="s">
        <v>1317</v>
      </c>
      <c r="C517" s="5">
        <v>0</v>
      </c>
      <c r="D517" s="5">
        <v>0</v>
      </c>
      <c r="E517" s="5">
        <v>0</v>
      </c>
      <c r="F517" s="5">
        <v>0</v>
      </c>
      <c r="G517" s="5">
        <v>0</v>
      </c>
      <c r="H517" s="5">
        <v>0</v>
      </c>
      <c r="I517" s="5">
        <v>0</v>
      </c>
      <c r="J517" s="5">
        <v>0</v>
      </c>
      <c r="K517" s="5">
        <v>0</v>
      </c>
      <c r="L517" s="5">
        <v>0</v>
      </c>
      <c r="M517" s="5">
        <v>0</v>
      </c>
      <c r="N517" s="5">
        <v>0</v>
      </c>
      <c r="O517" s="5">
        <v>0</v>
      </c>
      <c r="P517" s="5">
        <v>0</v>
      </c>
      <c r="Q517" s="5">
        <v>0</v>
      </c>
      <c r="R517" s="5">
        <v>0</v>
      </c>
      <c r="S517" s="5">
        <v>0</v>
      </c>
      <c r="T517" s="5">
        <v>0</v>
      </c>
      <c r="U517" s="5">
        <v>0</v>
      </c>
      <c r="V517" s="5">
        <v>0</v>
      </c>
      <c r="W517" s="5">
        <v>0</v>
      </c>
      <c r="X517" s="5">
        <v>0.5</v>
      </c>
      <c r="Y517" s="5">
        <v>1.5</v>
      </c>
      <c r="Z517" s="5">
        <v>0.7</v>
      </c>
      <c r="AA517" s="5">
        <v>0.4</v>
      </c>
      <c r="AB517" s="5">
        <v>0</v>
      </c>
      <c r="AC517" s="5">
        <v>0</v>
      </c>
      <c r="AD517" s="5">
        <v>0</v>
      </c>
      <c r="AE517" s="5">
        <v>0</v>
      </c>
      <c r="AF517" s="5">
        <v>0</v>
      </c>
      <c r="AG517" s="5">
        <v>0</v>
      </c>
      <c r="AH517" s="5">
        <v>0</v>
      </c>
      <c r="AI517" s="5">
        <v>0</v>
      </c>
      <c r="AJ517" s="5">
        <v>0</v>
      </c>
      <c r="AK517" s="5">
        <v>0</v>
      </c>
      <c r="AL517" s="5">
        <v>0</v>
      </c>
      <c r="AM517" s="5">
        <v>0</v>
      </c>
      <c r="AN517" s="5">
        <v>0</v>
      </c>
      <c r="AO517" s="5">
        <v>0</v>
      </c>
      <c r="AP517" s="816">
        <v>0</v>
      </c>
      <c r="AQ517" s="816">
        <v>0</v>
      </c>
      <c r="AR517" s="5">
        <v>0</v>
      </c>
      <c r="AS517" s="5">
        <v>0</v>
      </c>
      <c r="AT517" s="5">
        <v>0</v>
      </c>
      <c r="AU517" s="5">
        <v>0</v>
      </c>
      <c r="AV517" s="5">
        <v>0</v>
      </c>
      <c r="AW517" s="815">
        <v>0</v>
      </c>
      <c r="AX517" s="816">
        <v>0</v>
      </c>
      <c r="AY517" s="819">
        <v>0</v>
      </c>
      <c r="AZ517" s="816"/>
      <c r="BA517" s="818"/>
      <c r="BB517" s="802" t="str" cm="1">
        <f t="array" ref="BB517">INDEX(C$4:BA$4,MATCH(TRUE,INDEX(C517:BA517&lt;&gt;0,),0))</f>
        <v>1999-00</v>
      </c>
      <c r="BC517" s="803" t="str" cm="1">
        <f t="array" ref="BC517">LOOKUP(2,1/(C517:BA517&lt;&gt;0),$C$4:$BA$4)</f>
        <v>2002-03</v>
      </c>
      <c r="BD517" s="804">
        <f>COUNTIF(RDprograms[[#This Row],[1978-79]:[2028-29]], "&gt;0")</f>
        <v>4</v>
      </c>
      <c r="BE517" s="805">
        <f>SUM(C517:BA517)/RDprograms[[#This Row],[Years with &gt; $0 investment]]</f>
        <v>0.77500000000000002</v>
      </c>
      <c r="BF517" s="806" t="s">
        <v>273</v>
      </c>
      <c r="BG517" s="807" t="s">
        <v>389</v>
      </c>
      <c r="BH517" s="847" t="s">
        <v>264</v>
      </c>
      <c r="BI517" s="809"/>
      <c r="BJ517" s="809"/>
      <c r="BK517" s="809"/>
      <c r="BL517" s="809"/>
      <c r="BM517" s="809"/>
      <c r="BN517" s="810"/>
      <c r="BO517" s="811" t="s">
        <v>251</v>
      </c>
      <c r="BP517" s="812"/>
      <c r="BQ517" s="812"/>
      <c r="BR517" s="812"/>
      <c r="BS517" s="812"/>
      <c r="BT517" s="812" t="s">
        <v>238</v>
      </c>
    </row>
    <row r="518" spans="1:72" ht="12.75" customHeight="1">
      <c r="A518" s="813" t="s">
        <v>1119</v>
      </c>
      <c r="B518" s="820" t="s">
        <v>1318</v>
      </c>
      <c r="C518" s="5">
        <v>0</v>
      </c>
      <c r="D518" s="5">
        <v>0</v>
      </c>
      <c r="E518" s="5">
        <v>0</v>
      </c>
      <c r="F518" s="5">
        <v>0</v>
      </c>
      <c r="G518" s="5">
        <v>0</v>
      </c>
      <c r="H518" s="5">
        <v>0</v>
      </c>
      <c r="I518" s="5">
        <v>0</v>
      </c>
      <c r="J518" s="5">
        <v>0</v>
      </c>
      <c r="K518" s="5">
        <v>0</v>
      </c>
      <c r="L518" s="5">
        <v>0</v>
      </c>
      <c r="M518" s="5">
        <v>0</v>
      </c>
      <c r="N518" s="5">
        <v>0</v>
      </c>
      <c r="O518" s="5">
        <v>0</v>
      </c>
      <c r="P518" s="5">
        <v>0</v>
      </c>
      <c r="Q518" s="5">
        <v>0</v>
      </c>
      <c r="R518" s="5">
        <v>0</v>
      </c>
      <c r="S518" s="5">
        <v>0</v>
      </c>
      <c r="T518" s="5">
        <v>0</v>
      </c>
      <c r="U518" s="5">
        <v>0</v>
      </c>
      <c r="V518" s="5">
        <v>0</v>
      </c>
      <c r="W518" s="5">
        <v>0</v>
      </c>
      <c r="X518" s="5">
        <v>0</v>
      </c>
      <c r="Y518" s="5">
        <v>0</v>
      </c>
      <c r="Z518" s="5">
        <v>0</v>
      </c>
      <c r="AA518" s="5">
        <v>0</v>
      </c>
      <c r="AB518" s="5">
        <v>0</v>
      </c>
      <c r="AC518" s="5">
        <v>0.9</v>
      </c>
      <c r="AD518" s="5">
        <v>4.5</v>
      </c>
      <c r="AE518" s="5">
        <v>4</v>
      </c>
      <c r="AF518" s="5">
        <v>3.2</v>
      </c>
      <c r="AG518" s="5">
        <v>1.3</v>
      </c>
      <c r="AH518" s="5">
        <v>0</v>
      </c>
      <c r="AI518" s="5">
        <v>0</v>
      </c>
      <c r="AJ518" s="5">
        <v>0</v>
      </c>
      <c r="AK518" s="5">
        <v>0</v>
      </c>
      <c r="AL518" s="5">
        <v>0</v>
      </c>
      <c r="AM518" s="5">
        <v>0</v>
      </c>
      <c r="AN518" s="5">
        <v>0</v>
      </c>
      <c r="AO518" s="5">
        <v>0</v>
      </c>
      <c r="AP518" s="5">
        <v>0</v>
      </c>
      <c r="AQ518" s="5">
        <v>0</v>
      </c>
      <c r="AR518" s="5">
        <v>0</v>
      </c>
      <c r="AS518" s="5">
        <v>0</v>
      </c>
      <c r="AT518" s="5">
        <v>0</v>
      </c>
      <c r="AU518" s="5">
        <v>0</v>
      </c>
      <c r="AV518" s="5">
        <v>0</v>
      </c>
      <c r="AW518" s="815">
        <v>0</v>
      </c>
      <c r="AX518" s="816">
        <v>0</v>
      </c>
      <c r="AY518" s="819">
        <v>0</v>
      </c>
      <c r="AZ518" s="816"/>
      <c r="BA518" s="818"/>
      <c r="BB518" s="802" t="str" cm="1">
        <f t="array" ref="BB518">INDEX(C$4:BA$4,MATCH(TRUE,INDEX(C518:BA518&lt;&gt;0,),0))</f>
        <v>2004-05</v>
      </c>
      <c r="BC518" s="803" t="str" cm="1">
        <f t="array" ref="BC518">LOOKUP(2,1/(C518:BA518&lt;&gt;0),$C$4:$BA$4)</f>
        <v>2008-09</v>
      </c>
      <c r="BD518" s="804">
        <f>COUNTIF(RDprograms[[#This Row],[1978-79]:[2028-29]], "&gt;0")</f>
        <v>5</v>
      </c>
      <c r="BE518" s="805">
        <f>SUM(C518:BA518)/RDprograms[[#This Row],[Years with &gt; $0 investment]]</f>
        <v>2.7800000000000002</v>
      </c>
      <c r="BF518" s="806" t="s">
        <v>249</v>
      </c>
      <c r="BG518" s="807" t="s">
        <v>409</v>
      </c>
      <c r="BH518" s="847" t="s">
        <v>390</v>
      </c>
      <c r="BI518" s="809"/>
      <c r="BJ518" s="809"/>
      <c r="BK518" s="809"/>
      <c r="BL518" s="809"/>
      <c r="BM518" s="809"/>
      <c r="BN518" s="810"/>
      <c r="BO518" s="811" t="s">
        <v>236</v>
      </c>
      <c r="BP518" s="812"/>
      <c r="BQ518" s="812"/>
      <c r="BR518" s="812"/>
      <c r="BS518" s="812"/>
      <c r="BT518" s="812" t="s">
        <v>238</v>
      </c>
    </row>
    <row r="519" spans="1:72" ht="12.75" customHeight="1">
      <c r="A519" s="813" t="s">
        <v>1319</v>
      </c>
      <c r="B519" s="820" t="s">
        <v>1320</v>
      </c>
      <c r="C519" s="5">
        <v>0</v>
      </c>
      <c r="D519" s="5">
        <v>0</v>
      </c>
      <c r="E519" s="5">
        <v>0</v>
      </c>
      <c r="F519" s="5">
        <v>0</v>
      </c>
      <c r="G519" s="5">
        <v>0</v>
      </c>
      <c r="H519" s="5">
        <v>0</v>
      </c>
      <c r="I519" s="5">
        <v>0</v>
      </c>
      <c r="J519" s="5">
        <v>0</v>
      </c>
      <c r="K519" s="5">
        <v>0</v>
      </c>
      <c r="L519" s="5">
        <v>0</v>
      </c>
      <c r="M519" s="5">
        <v>0</v>
      </c>
      <c r="N519" s="5">
        <v>0</v>
      </c>
      <c r="O519" s="5">
        <v>0</v>
      </c>
      <c r="P519" s="5">
        <v>0</v>
      </c>
      <c r="Q519" s="5">
        <v>0</v>
      </c>
      <c r="R519" s="5">
        <v>0</v>
      </c>
      <c r="S519" s="5">
        <v>0</v>
      </c>
      <c r="T519" s="5">
        <v>0</v>
      </c>
      <c r="U519" s="5">
        <v>0</v>
      </c>
      <c r="V519" s="5">
        <v>0</v>
      </c>
      <c r="W519" s="5">
        <v>0</v>
      </c>
      <c r="X519" s="5">
        <v>0</v>
      </c>
      <c r="Y519" s="5">
        <v>0</v>
      </c>
      <c r="Z519" s="5">
        <v>0</v>
      </c>
      <c r="AA519" s="5">
        <v>0</v>
      </c>
      <c r="AB519" s="5">
        <v>0</v>
      </c>
      <c r="AC519" s="5">
        <v>0</v>
      </c>
      <c r="AD519" s="5">
        <v>0</v>
      </c>
      <c r="AE519" s="5">
        <v>4.9320000000000004</v>
      </c>
      <c r="AF519" s="5">
        <v>3.82</v>
      </c>
      <c r="AG519" s="5">
        <v>0</v>
      </c>
      <c r="AH519" s="5">
        <v>0</v>
      </c>
      <c r="AI519" s="5">
        <v>0</v>
      </c>
      <c r="AJ519" s="5">
        <v>0</v>
      </c>
      <c r="AK519" s="5">
        <v>0</v>
      </c>
      <c r="AL519" s="5">
        <v>0</v>
      </c>
      <c r="AM519" s="5">
        <v>0</v>
      </c>
      <c r="AN519" s="5">
        <v>0</v>
      </c>
      <c r="AO519" s="5">
        <v>0</v>
      </c>
      <c r="AP519" s="816">
        <v>0</v>
      </c>
      <c r="AQ519" s="816">
        <v>0</v>
      </c>
      <c r="AR519" s="5">
        <v>0</v>
      </c>
      <c r="AS519" s="5">
        <v>0</v>
      </c>
      <c r="AT519" s="5">
        <v>0</v>
      </c>
      <c r="AU519" s="5">
        <v>0</v>
      </c>
      <c r="AV519" s="5">
        <v>0</v>
      </c>
      <c r="AW519" s="815">
        <v>0</v>
      </c>
      <c r="AX519" s="816">
        <v>0</v>
      </c>
      <c r="AY519" s="819">
        <v>0</v>
      </c>
      <c r="AZ519" s="816"/>
      <c r="BA519" s="818"/>
      <c r="BB519" s="802" t="str" cm="1">
        <f t="array" ref="BB519">INDEX(C$4:BA$4,MATCH(TRUE,INDEX(C519:BA519&lt;&gt;0,),0))</f>
        <v>2006-07</v>
      </c>
      <c r="BC519" s="803" t="str" cm="1">
        <f t="array" ref="BC519">LOOKUP(2,1/(C519:BA519&lt;&gt;0),$C$4:$BA$4)</f>
        <v>2007-08</v>
      </c>
      <c r="BD519" s="804">
        <f>COUNTIF(RDprograms[[#This Row],[1978-79]:[2028-29]], "&gt;0")</f>
        <v>2</v>
      </c>
      <c r="BE519" s="805">
        <f>SUM(C519:BA519)/RDprograms[[#This Row],[Years with &gt; $0 investment]]</f>
        <v>4.3760000000000003</v>
      </c>
      <c r="BF519" s="806" t="s">
        <v>273</v>
      </c>
      <c r="BG519" s="807" t="s">
        <v>510</v>
      </c>
      <c r="BH519" s="847" t="s">
        <v>241</v>
      </c>
      <c r="BI519" s="809"/>
      <c r="BJ519" s="809"/>
      <c r="BK519" s="809"/>
      <c r="BL519" s="809"/>
      <c r="BM519" s="809"/>
      <c r="BN519" s="810"/>
      <c r="BO519" s="811" t="s">
        <v>236</v>
      </c>
      <c r="BP519" s="812"/>
      <c r="BQ519" s="812"/>
      <c r="BR519" s="812"/>
      <c r="BS519" s="812"/>
      <c r="BT519" s="812" t="s">
        <v>238</v>
      </c>
    </row>
    <row r="520" spans="1:72" ht="12.75" customHeight="1">
      <c r="A520" s="813" t="s">
        <v>1319</v>
      </c>
      <c r="B520" s="820" t="s">
        <v>1321</v>
      </c>
      <c r="C520" s="5">
        <v>0</v>
      </c>
      <c r="D520" s="5">
        <v>0</v>
      </c>
      <c r="E520" s="5">
        <v>0</v>
      </c>
      <c r="F520" s="5">
        <v>0</v>
      </c>
      <c r="G520" s="5">
        <v>0</v>
      </c>
      <c r="H520" s="5">
        <v>0</v>
      </c>
      <c r="I520" s="5">
        <v>0</v>
      </c>
      <c r="J520" s="5">
        <v>0</v>
      </c>
      <c r="K520" s="5">
        <v>0</v>
      </c>
      <c r="L520" s="5">
        <v>0</v>
      </c>
      <c r="M520" s="5">
        <v>0</v>
      </c>
      <c r="N520" s="5">
        <v>0</v>
      </c>
      <c r="O520" s="5">
        <v>0</v>
      </c>
      <c r="P520" s="5">
        <v>0</v>
      </c>
      <c r="Q520" s="5">
        <v>0</v>
      </c>
      <c r="R520" s="5">
        <v>0</v>
      </c>
      <c r="S520" s="5">
        <v>0</v>
      </c>
      <c r="T520" s="5">
        <v>0</v>
      </c>
      <c r="U520" s="5">
        <v>0</v>
      </c>
      <c r="V520" s="5">
        <v>0</v>
      </c>
      <c r="W520" s="5">
        <v>0</v>
      </c>
      <c r="X520" s="5">
        <v>0</v>
      </c>
      <c r="Y520" s="5">
        <v>0</v>
      </c>
      <c r="Z520" s="5">
        <v>0</v>
      </c>
      <c r="AA520" s="5">
        <v>0</v>
      </c>
      <c r="AB520" s="5">
        <v>0</v>
      </c>
      <c r="AC520" s="5">
        <v>0</v>
      </c>
      <c r="AD520" s="5">
        <v>0</v>
      </c>
      <c r="AE520" s="5">
        <v>0</v>
      </c>
      <c r="AF520" s="5">
        <v>0</v>
      </c>
      <c r="AG520" s="5">
        <v>0</v>
      </c>
      <c r="AH520" s="5">
        <v>0.55000000000000004</v>
      </c>
      <c r="AI520" s="5">
        <v>1.1000000000000001</v>
      </c>
      <c r="AJ520" s="5">
        <v>1.1000000000000001</v>
      </c>
      <c r="AK520" s="5">
        <v>1.1000000000000001</v>
      </c>
      <c r="AL520" s="5">
        <v>1.1000000000000001</v>
      </c>
      <c r="AM520" s="5">
        <v>1.1000000000000001</v>
      </c>
      <c r="AN520" s="5">
        <v>1.1000000000000001</v>
      </c>
      <c r="AO520" s="5">
        <v>1.1000000000000001</v>
      </c>
      <c r="AP520" s="816">
        <v>1.1000000000000001</v>
      </c>
      <c r="AQ520" s="816">
        <v>1.3280000000000001</v>
      </c>
      <c r="AR520" s="5">
        <v>1.3280000000000001</v>
      </c>
      <c r="AS520" s="5">
        <v>1.3879999999999999</v>
      </c>
      <c r="AT520" s="5">
        <v>1.3580000000000001</v>
      </c>
      <c r="AU520" s="5">
        <v>1.3580000000000001</v>
      </c>
      <c r="AV520" s="5">
        <v>0</v>
      </c>
      <c r="AW520" s="815">
        <v>0</v>
      </c>
      <c r="AX520" s="816">
        <v>0</v>
      </c>
      <c r="AY520" s="819">
        <v>0</v>
      </c>
      <c r="AZ520" s="816"/>
      <c r="BA520" s="818"/>
      <c r="BB520" s="802" t="str" cm="1">
        <f t="array" ref="BB520">INDEX(C$4:BA$4,MATCH(TRUE,INDEX(C520:BA520&lt;&gt;0,),0))</f>
        <v>2009-10</v>
      </c>
      <c r="BC520" s="803" t="str" cm="1">
        <f t="array" ref="BC520">LOOKUP(2,1/(C520:BA520&lt;&gt;0),$C$4:$BA$4)</f>
        <v>2022-23</v>
      </c>
      <c r="BD520" s="804">
        <f>COUNTIF(RDprograms[[#This Row],[1978-79]:[2028-29]], "&gt;0")</f>
        <v>14</v>
      </c>
      <c r="BE520" s="805">
        <f>SUM(C520:BA520)/RDprograms[[#This Row],[Years with &gt; $0 investment]]</f>
        <v>1.1507142857142856</v>
      </c>
      <c r="BF520" s="806" t="s">
        <v>273</v>
      </c>
      <c r="BG520" s="807" t="s">
        <v>510</v>
      </c>
      <c r="BH520" s="847" t="s">
        <v>241</v>
      </c>
      <c r="BI520" s="809"/>
      <c r="BJ520" s="809"/>
      <c r="BK520" s="809"/>
      <c r="BL520" s="809"/>
      <c r="BM520" s="809"/>
      <c r="BN520" s="810"/>
      <c r="BO520" s="811" t="s">
        <v>236</v>
      </c>
      <c r="BP520" s="812" t="s">
        <v>1322</v>
      </c>
      <c r="BQ520" s="812"/>
      <c r="BR520" s="812"/>
      <c r="BS520" s="812"/>
      <c r="BT520" s="812" t="s">
        <v>238</v>
      </c>
    </row>
    <row r="521" spans="1:72" ht="12.75" customHeight="1">
      <c r="A521" s="813" t="s">
        <v>1319</v>
      </c>
      <c r="B521" s="820" t="s">
        <v>1323</v>
      </c>
      <c r="C521" s="5">
        <v>0</v>
      </c>
      <c r="D521" s="5">
        <v>0</v>
      </c>
      <c r="E521" s="5">
        <v>0</v>
      </c>
      <c r="F521" s="5">
        <v>0</v>
      </c>
      <c r="G521" s="5">
        <v>0</v>
      </c>
      <c r="H521" s="5">
        <v>0</v>
      </c>
      <c r="I521" s="5">
        <v>0</v>
      </c>
      <c r="J521" s="5">
        <v>0</v>
      </c>
      <c r="K521" s="5">
        <v>0</v>
      </c>
      <c r="L521" s="5">
        <v>0</v>
      </c>
      <c r="M521" s="5">
        <v>0</v>
      </c>
      <c r="N521" s="5">
        <v>0</v>
      </c>
      <c r="O521" s="5">
        <v>0</v>
      </c>
      <c r="P521" s="5">
        <v>0</v>
      </c>
      <c r="Q521" s="5">
        <v>0</v>
      </c>
      <c r="R521" s="5">
        <v>0</v>
      </c>
      <c r="S521" s="5">
        <v>0</v>
      </c>
      <c r="T521" s="5">
        <v>0</v>
      </c>
      <c r="U521" s="5">
        <v>0</v>
      </c>
      <c r="V521" s="5">
        <v>0</v>
      </c>
      <c r="W521" s="5">
        <v>0</v>
      </c>
      <c r="X521" s="5">
        <v>0</v>
      </c>
      <c r="Y521" s="5">
        <v>0</v>
      </c>
      <c r="Z521" s="5">
        <v>0</v>
      </c>
      <c r="AA521" s="5">
        <v>0</v>
      </c>
      <c r="AB521" s="5">
        <v>0</v>
      </c>
      <c r="AC521" s="5">
        <v>0</v>
      </c>
      <c r="AD521" s="5">
        <v>0</v>
      </c>
      <c r="AE521" s="5">
        <v>0</v>
      </c>
      <c r="AF521" s="5">
        <v>0</v>
      </c>
      <c r="AG521" s="5">
        <v>0</v>
      </c>
      <c r="AH521" s="5">
        <v>0</v>
      </c>
      <c r="AI521" s="5">
        <v>0</v>
      </c>
      <c r="AJ521" s="5">
        <v>8.6999999999999994E-2</v>
      </c>
      <c r="AK521" s="5">
        <v>0.14699999999999999</v>
      </c>
      <c r="AL521" s="5">
        <v>0.11899999999999999</v>
      </c>
      <c r="AM521" s="5">
        <v>0</v>
      </c>
      <c r="AN521" s="5">
        <v>0</v>
      </c>
      <c r="AO521" s="5">
        <v>0</v>
      </c>
      <c r="AP521" s="816">
        <v>0</v>
      </c>
      <c r="AQ521" s="816">
        <v>0</v>
      </c>
      <c r="AR521" s="5">
        <v>0</v>
      </c>
      <c r="AS521" s="5">
        <v>0</v>
      </c>
      <c r="AT521" s="5">
        <v>0</v>
      </c>
      <c r="AU521" s="5">
        <v>0</v>
      </c>
      <c r="AV521" s="5">
        <v>0</v>
      </c>
      <c r="AW521" s="815">
        <v>0</v>
      </c>
      <c r="AX521" s="816">
        <v>0</v>
      </c>
      <c r="AY521" s="819">
        <v>0</v>
      </c>
      <c r="AZ521" s="816"/>
      <c r="BA521" s="818"/>
      <c r="BB521" s="802" t="str" cm="1">
        <f t="array" ref="BB521">INDEX(C$4:BA$4,MATCH(TRUE,INDEX(C521:BA521&lt;&gt;0,),0))</f>
        <v>2011-12</v>
      </c>
      <c r="BC521" s="803" t="str" cm="1">
        <f t="array" ref="BC521">LOOKUP(2,1/(C521:BA521&lt;&gt;0),$C$4:$BA$4)</f>
        <v>2013-14</v>
      </c>
      <c r="BD521" s="804">
        <f>COUNTIF(RDprograms[[#This Row],[1978-79]:[2028-29]], "&gt;0")</f>
        <v>3</v>
      </c>
      <c r="BE521" s="805">
        <f>SUM(C521:BA521)/RDprograms[[#This Row],[Years with &gt; $0 investment]]</f>
        <v>0.11766666666666666</v>
      </c>
      <c r="BF521" s="806" t="s">
        <v>273</v>
      </c>
      <c r="BG521" s="807" t="s">
        <v>1324</v>
      </c>
      <c r="BH521" s="847" t="s">
        <v>269</v>
      </c>
      <c r="BI521" s="809"/>
      <c r="BJ521" s="809"/>
      <c r="BK521" s="809"/>
      <c r="BL521" s="809"/>
      <c r="BM521" s="809"/>
      <c r="BN521" s="810"/>
      <c r="BO521" s="811" t="s">
        <v>236</v>
      </c>
      <c r="BP521" s="812"/>
      <c r="BQ521" s="812" t="s">
        <v>1325</v>
      </c>
      <c r="BR521" s="812"/>
      <c r="BS521" s="812"/>
      <c r="BT521" s="812" t="s">
        <v>238</v>
      </c>
    </row>
    <row r="522" spans="1:72" ht="12.75" customHeight="1">
      <c r="A522" s="813" t="s">
        <v>1319</v>
      </c>
      <c r="B522" s="820" t="s">
        <v>1326</v>
      </c>
      <c r="C522" s="5">
        <v>0</v>
      </c>
      <c r="D522" s="5">
        <v>0</v>
      </c>
      <c r="E522" s="5">
        <v>0</v>
      </c>
      <c r="F522" s="5">
        <v>0</v>
      </c>
      <c r="G522" s="5">
        <v>0</v>
      </c>
      <c r="H522" s="5">
        <v>0</v>
      </c>
      <c r="I522" s="5">
        <v>0</v>
      </c>
      <c r="J522" s="5">
        <v>0</v>
      </c>
      <c r="K522" s="5">
        <v>0</v>
      </c>
      <c r="L522" s="5">
        <v>0</v>
      </c>
      <c r="M522" s="5">
        <v>0</v>
      </c>
      <c r="N522" s="5">
        <v>0</v>
      </c>
      <c r="O522" s="5">
        <v>0</v>
      </c>
      <c r="P522" s="5">
        <v>0</v>
      </c>
      <c r="Q522" s="5">
        <v>0</v>
      </c>
      <c r="R522" s="5">
        <v>0</v>
      </c>
      <c r="S522" s="5">
        <v>0</v>
      </c>
      <c r="T522" s="5">
        <v>0</v>
      </c>
      <c r="U522" s="5">
        <v>0</v>
      </c>
      <c r="V522" s="5">
        <v>0</v>
      </c>
      <c r="W522" s="5">
        <v>0</v>
      </c>
      <c r="X522" s="5">
        <v>0</v>
      </c>
      <c r="Y522" s="5">
        <v>0</v>
      </c>
      <c r="Z522" s="5">
        <v>0</v>
      </c>
      <c r="AA522" s="5">
        <v>0</v>
      </c>
      <c r="AB522" s="5">
        <v>0</v>
      </c>
      <c r="AC522" s="5">
        <v>0</v>
      </c>
      <c r="AD522" s="5">
        <v>0</v>
      </c>
      <c r="AE522" s="5">
        <v>0</v>
      </c>
      <c r="AF522" s="5">
        <v>0</v>
      </c>
      <c r="AG522" s="5">
        <v>0</v>
      </c>
      <c r="AH522" s="5">
        <v>0</v>
      </c>
      <c r="AI522" s="5">
        <v>0</v>
      </c>
      <c r="AJ522" s="5">
        <v>0</v>
      </c>
      <c r="AK522" s="5">
        <v>0</v>
      </c>
      <c r="AL522" s="5">
        <v>0</v>
      </c>
      <c r="AM522" s="5">
        <v>0</v>
      </c>
      <c r="AN522" s="5">
        <v>0</v>
      </c>
      <c r="AO522" s="5">
        <v>0</v>
      </c>
      <c r="AP522" s="5">
        <v>0.1</v>
      </c>
      <c r="AQ522" s="5">
        <v>0.1</v>
      </c>
      <c r="AR522" s="5">
        <v>0</v>
      </c>
      <c r="AS522" s="5">
        <v>0</v>
      </c>
      <c r="AT522" s="5">
        <v>0</v>
      </c>
      <c r="AU522" s="5">
        <v>0</v>
      </c>
      <c r="AV522" s="5">
        <v>0</v>
      </c>
      <c r="AW522" s="815">
        <v>0</v>
      </c>
      <c r="AX522" s="816">
        <v>0</v>
      </c>
      <c r="AY522" s="819">
        <v>0</v>
      </c>
      <c r="AZ522" s="816"/>
      <c r="BA522" s="818"/>
      <c r="BB522" s="802" t="str" cm="1">
        <f t="array" ref="BB522">INDEX(C$4:BA$4,MATCH(TRUE,INDEX(C522:BA522&lt;&gt;0,),0))</f>
        <v>2017-18</v>
      </c>
      <c r="BC522" s="803" t="str" cm="1">
        <f t="array" ref="BC522">LOOKUP(2,1/(C522:BA522&lt;&gt;0),$C$4:$BA$4)</f>
        <v>2018-19</v>
      </c>
      <c r="BD522" s="804">
        <f>COUNTIF(RDprograms[[#This Row],[1978-79]:[2028-29]], "&gt;0")</f>
        <v>2</v>
      </c>
      <c r="BE522" s="805">
        <f>SUM(C522:BA522)/RDprograms[[#This Row],[Years with &gt; $0 investment]]</f>
        <v>0.1</v>
      </c>
      <c r="BF522" s="806" t="s">
        <v>273</v>
      </c>
      <c r="BG522" s="807" t="s">
        <v>1324</v>
      </c>
      <c r="BH522" s="847" t="s">
        <v>269</v>
      </c>
      <c r="BI522" s="809"/>
      <c r="BJ522" s="809"/>
      <c r="BK522" s="809"/>
      <c r="BL522" s="809"/>
      <c r="BM522" s="809"/>
      <c r="BN522" s="810"/>
      <c r="BO522" s="811" t="s">
        <v>236</v>
      </c>
      <c r="BP522" s="812" t="s">
        <v>1327</v>
      </c>
      <c r="BQ522" s="812" t="s">
        <v>1325</v>
      </c>
      <c r="BR522" s="812"/>
      <c r="BS522" s="812"/>
      <c r="BT522" s="812" t="s">
        <v>238</v>
      </c>
    </row>
    <row r="523" spans="1:72" ht="12.75" customHeight="1">
      <c r="A523" s="813" t="s">
        <v>1319</v>
      </c>
      <c r="B523" s="820" t="s">
        <v>1328</v>
      </c>
      <c r="C523" s="5">
        <v>0</v>
      </c>
      <c r="D523" s="5">
        <v>0</v>
      </c>
      <c r="E523" s="5">
        <v>0</v>
      </c>
      <c r="F523" s="5">
        <v>0</v>
      </c>
      <c r="G523" s="5">
        <v>0</v>
      </c>
      <c r="H523" s="5">
        <v>0</v>
      </c>
      <c r="I523" s="5">
        <v>0</v>
      </c>
      <c r="J523" s="5">
        <v>0</v>
      </c>
      <c r="K523" s="5">
        <v>0</v>
      </c>
      <c r="L523" s="5">
        <v>0</v>
      </c>
      <c r="M523" s="5">
        <v>0</v>
      </c>
      <c r="N523" s="5">
        <v>0</v>
      </c>
      <c r="O523" s="5">
        <v>0</v>
      </c>
      <c r="P523" s="5">
        <v>0</v>
      </c>
      <c r="Q523" s="5">
        <v>0</v>
      </c>
      <c r="R523" s="5">
        <v>0</v>
      </c>
      <c r="S523" s="5">
        <v>0</v>
      </c>
      <c r="T523" s="5">
        <v>0</v>
      </c>
      <c r="U523" s="5">
        <v>0</v>
      </c>
      <c r="V523" s="5">
        <v>0</v>
      </c>
      <c r="W523" s="5">
        <v>0</v>
      </c>
      <c r="X523" s="5">
        <v>0</v>
      </c>
      <c r="Y523" s="5">
        <v>0</v>
      </c>
      <c r="Z523" s="5">
        <v>0</v>
      </c>
      <c r="AA523" s="5">
        <v>0</v>
      </c>
      <c r="AB523" s="5">
        <v>0</v>
      </c>
      <c r="AC523" s="5">
        <v>0</v>
      </c>
      <c r="AD523" s="5">
        <v>0</v>
      </c>
      <c r="AE523" s="5">
        <v>0</v>
      </c>
      <c r="AF523" s="5">
        <v>0</v>
      </c>
      <c r="AG523" s="5">
        <v>0</v>
      </c>
      <c r="AH523" s="5">
        <v>0</v>
      </c>
      <c r="AI523" s="5">
        <v>0</v>
      </c>
      <c r="AJ523" s="5">
        <v>0</v>
      </c>
      <c r="AK523" s="5">
        <v>0</v>
      </c>
      <c r="AL523" s="5">
        <v>0.1075</v>
      </c>
      <c r="AM523" s="5">
        <v>0.115</v>
      </c>
      <c r="AN523" s="5">
        <v>0.1075</v>
      </c>
      <c r="AO523" s="5">
        <v>0</v>
      </c>
      <c r="AP523" s="816">
        <v>0</v>
      </c>
      <c r="AQ523" s="816">
        <v>0</v>
      </c>
      <c r="AR523" s="5">
        <v>0</v>
      </c>
      <c r="AS523" s="5">
        <v>0</v>
      </c>
      <c r="AT523" s="5">
        <v>0</v>
      </c>
      <c r="AU523" s="5">
        <v>0</v>
      </c>
      <c r="AV523" s="5">
        <v>0</v>
      </c>
      <c r="AW523" s="815">
        <v>0</v>
      </c>
      <c r="AX523" s="816">
        <v>0</v>
      </c>
      <c r="AY523" s="819">
        <v>0</v>
      </c>
      <c r="AZ523" s="816"/>
      <c r="BA523" s="818"/>
      <c r="BB523" s="802" t="str" cm="1">
        <f t="array" ref="BB523">INDEX(C$4:BA$4,MATCH(TRUE,INDEX(C523:BA523&lt;&gt;0,),0))</f>
        <v>2013-14</v>
      </c>
      <c r="BC523" s="803" t="str" cm="1">
        <f t="array" ref="BC523">LOOKUP(2,1/(C523:BA523&lt;&gt;0),$C$4:$BA$4)</f>
        <v>2015-16</v>
      </c>
      <c r="BD523" s="804">
        <f>COUNTIF(RDprograms[[#This Row],[1978-79]:[2028-29]], "&gt;0")</f>
        <v>3</v>
      </c>
      <c r="BE523" s="805">
        <f>SUM(C523:BA523)/RDprograms[[#This Row],[Years with &gt; $0 investment]]</f>
        <v>0.11</v>
      </c>
      <c r="BF523" s="806" t="s">
        <v>273</v>
      </c>
      <c r="BG523" s="807" t="s">
        <v>1324</v>
      </c>
      <c r="BH523" s="847" t="s">
        <v>269</v>
      </c>
      <c r="BI523" s="809"/>
      <c r="BJ523" s="809"/>
      <c r="BK523" s="809"/>
      <c r="BL523" s="809"/>
      <c r="BM523" s="809"/>
      <c r="BN523" s="810"/>
      <c r="BO523" s="811" t="s">
        <v>236</v>
      </c>
      <c r="BP523" s="812" t="s">
        <v>1329</v>
      </c>
      <c r="BQ523" s="812" t="s">
        <v>1330</v>
      </c>
      <c r="BR523" s="812"/>
      <c r="BS523" s="812"/>
      <c r="BT523" s="812" t="s">
        <v>238</v>
      </c>
    </row>
    <row r="524" spans="1:72" ht="12.75" customHeight="1">
      <c r="A524" s="813" t="s">
        <v>1319</v>
      </c>
      <c r="B524" s="820" t="s">
        <v>1331</v>
      </c>
      <c r="C524" s="5">
        <v>0</v>
      </c>
      <c r="D524" s="5">
        <v>0</v>
      </c>
      <c r="E524" s="5">
        <v>0</v>
      </c>
      <c r="F524" s="5">
        <v>0</v>
      </c>
      <c r="G524" s="5">
        <v>0</v>
      </c>
      <c r="H524" s="5">
        <v>0</v>
      </c>
      <c r="I524" s="5">
        <v>0</v>
      </c>
      <c r="J524" s="5">
        <v>0</v>
      </c>
      <c r="K524" s="5">
        <v>0</v>
      </c>
      <c r="L524" s="5">
        <v>0</v>
      </c>
      <c r="M524" s="5">
        <v>0</v>
      </c>
      <c r="N524" s="5">
        <v>0</v>
      </c>
      <c r="O524" s="5">
        <v>0</v>
      </c>
      <c r="P524" s="5">
        <v>0</v>
      </c>
      <c r="Q524" s="5">
        <v>0</v>
      </c>
      <c r="R524" s="5">
        <v>0</v>
      </c>
      <c r="S524" s="5">
        <v>0</v>
      </c>
      <c r="T524" s="5">
        <v>0</v>
      </c>
      <c r="U524" s="5">
        <v>0</v>
      </c>
      <c r="V524" s="5">
        <v>0</v>
      </c>
      <c r="W524" s="5">
        <v>0</v>
      </c>
      <c r="X524" s="5">
        <v>0</v>
      </c>
      <c r="Y524" s="5">
        <v>0</v>
      </c>
      <c r="Z524" s="5">
        <v>0</v>
      </c>
      <c r="AA524" s="5">
        <v>0</v>
      </c>
      <c r="AB524" s="5">
        <v>0</v>
      </c>
      <c r="AC524" s="5">
        <v>0</v>
      </c>
      <c r="AD524" s="5">
        <v>0</v>
      </c>
      <c r="AE524" s="5">
        <v>0</v>
      </c>
      <c r="AF524" s="5">
        <v>0</v>
      </c>
      <c r="AG524" s="5">
        <v>0</v>
      </c>
      <c r="AH524" s="5">
        <v>0</v>
      </c>
      <c r="AI524" s="5">
        <v>0</v>
      </c>
      <c r="AJ524" s="5">
        <v>0</v>
      </c>
      <c r="AK524" s="5">
        <v>0</v>
      </c>
      <c r="AL524" s="5">
        <v>0</v>
      </c>
      <c r="AM524" s="5">
        <v>0</v>
      </c>
      <c r="AN524" s="5">
        <v>8.7999999999999995E-2</v>
      </c>
      <c r="AO524" s="5">
        <v>0.01</v>
      </c>
      <c r="AP524" s="5">
        <v>8.0000000000000002E-3</v>
      </c>
      <c r="AQ524" s="5">
        <v>0</v>
      </c>
      <c r="AR524" s="5">
        <v>0</v>
      </c>
      <c r="AS524" s="5">
        <v>0</v>
      </c>
      <c r="AT524" s="5">
        <v>0</v>
      </c>
      <c r="AU524" s="5">
        <v>0</v>
      </c>
      <c r="AV524" s="5">
        <v>0</v>
      </c>
      <c r="AW524" s="815">
        <v>0</v>
      </c>
      <c r="AX524" s="816">
        <v>0</v>
      </c>
      <c r="AY524" s="819">
        <v>0</v>
      </c>
      <c r="AZ524" s="816"/>
      <c r="BA524" s="818"/>
      <c r="BB524" s="802" t="str" cm="1">
        <f t="array" ref="BB524">INDEX(C$4:BA$4,MATCH(TRUE,INDEX(C524:BA524&lt;&gt;0,),0))</f>
        <v>2015-16</v>
      </c>
      <c r="BC524" s="803" t="str" cm="1">
        <f t="array" ref="BC524">LOOKUP(2,1/(C524:BA524&lt;&gt;0),$C$4:$BA$4)</f>
        <v>2017-18</v>
      </c>
      <c r="BD524" s="804">
        <f>COUNTIF(RDprograms[[#This Row],[1978-79]:[2028-29]], "&gt;0")</f>
        <v>3</v>
      </c>
      <c r="BE524" s="805">
        <f>SUM(C524:BA524)/RDprograms[[#This Row],[Years with &gt; $0 investment]]</f>
        <v>3.5333333333333328E-2</v>
      </c>
      <c r="BF524" s="806" t="s">
        <v>273</v>
      </c>
      <c r="BG524" s="807" t="s">
        <v>1324</v>
      </c>
      <c r="BH524" s="847" t="s">
        <v>258</v>
      </c>
      <c r="BI524" s="809"/>
      <c r="BJ524" s="809"/>
      <c r="BK524" s="809"/>
      <c r="BL524" s="809"/>
      <c r="BM524" s="809"/>
      <c r="BN524" s="810"/>
      <c r="BO524" s="811" t="s">
        <v>236</v>
      </c>
      <c r="BP524" s="812" t="s">
        <v>1332</v>
      </c>
      <c r="BQ524" s="812" t="s">
        <v>1333</v>
      </c>
      <c r="BR524" s="812"/>
      <c r="BS524" s="812"/>
      <c r="BT524" s="812" t="s">
        <v>238</v>
      </c>
    </row>
    <row r="525" spans="1:72" ht="12.75" customHeight="1">
      <c r="A525" s="813" t="s">
        <v>1319</v>
      </c>
      <c r="B525" s="820" t="s">
        <v>1334</v>
      </c>
      <c r="C525" s="5">
        <v>0</v>
      </c>
      <c r="D525" s="5">
        <v>0</v>
      </c>
      <c r="E525" s="5">
        <v>0</v>
      </c>
      <c r="F525" s="5">
        <v>0</v>
      </c>
      <c r="G525" s="5">
        <v>0</v>
      </c>
      <c r="H525" s="5">
        <v>0</v>
      </c>
      <c r="I525" s="5">
        <v>0</v>
      </c>
      <c r="J525" s="5">
        <v>0</v>
      </c>
      <c r="K525" s="5">
        <v>0</v>
      </c>
      <c r="L525" s="5">
        <v>0</v>
      </c>
      <c r="M525" s="5">
        <v>0</v>
      </c>
      <c r="N525" s="5">
        <v>0</v>
      </c>
      <c r="O525" s="5">
        <v>0</v>
      </c>
      <c r="P525" s="5">
        <v>0</v>
      </c>
      <c r="Q525" s="5">
        <v>0</v>
      </c>
      <c r="R525" s="5">
        <v>0</v>
      </c>
      <c r="S525" s="5">
        <v>0</v>
      </c>
      <c r="T525" s="5">
        <v>0</v>
      </c>
      <c r="U525" s="5">
        <v>0</v>
      </c>
      <c r="V525" s="5">
        <v>0</v>
      </c>
      <c r="W525" s="5">
        <v>0</v>
      </c>
      <c r="X525" s="5">
        <v>0</v>
      </c>
      <c r="Y525" s="5">
        <v>0</v>
      </c>
      <c r="Z525" s="5">
        <v>0</v>
      </c>
      <c r="AA525" s="5">
        <v>0</v>
      </c>
      <c r="AB525" s="5">
        <v>0</v>
      </c>
      <c r="AC525" s="5">
        <v>0</v>
      </c>
      <c r="AD525" s="5">
        <v>4.5999999999999999E-2</v>
      </c>
      <c r="AE525" s="5">
        <v>7.8E-2</v>
      </c>
      <c r="AF525" s="5">
        <v>5.3999999999999999E-2</v>
      </c>
      <c r="AG525" s="5">
        <v>2.4E-2</v>
      </c>
      <c r="AH525" s="5">
        <v>0</v>
      </c>
      <c r="AI525" s="5">
        <v>0.09</v>
      </c>
      <c r="AJ525" s="5">
        <v>7.1999999999999995E-2</v>
      </c>
      <c r="AK525" s="5">
        <v>8.2000000000000003E-2</v>
      </c>
      <c r="AL525" s="5">
        <v>5.1999999999999998E-2</v>
      </c>
      <c r="AM525" s="5">
        <v>1.7999999999999999E-2</v>
      </c>
      <c r="AN525" s="5">
        <v>5.0999999999999997E-2</v>
      </c>
      <c r="AO525" s="5">
        <v>2.7E-2</v>
      </c>
      <c r="AP525" s="5">
        <v>2E-3</v>
      </c>
      <c r="AQ525" s="5">
        <v>1.0999999999999999E-2</v>
      </c>
      <c r="AR525" s="5">
        <v>6.5000000000000002E-2</v>
      </c>
      <c r="AS525" s="5">
        <v>5.0000000000000001E-3</v>
      </c>
      <c r="AT525" s="5">
        <v>1.2999999999999999E-2</v>
      </c>
      <c r="AU525" s="5">
        <v>0</v>
      </c>
      <c r="AV525" s="5">
        <v>0</v>
      </c>
      <c r="AW525" s="815">
        <v>0</v>
      </c>
      <c r="AX525" s="816">
        <v>0</v>
      </c>
      <c r="AY525" s="819">
        <v>0</v>
      </c>
      <c r="AZ525" s="816"/>
      <c r="BA525" s="818"/>
      <c r="BB525" s="802" t="str" cm="1">
        <f t="array" ref="BB525">INDEX(C$4:BA$4,MATCH(TRUE,INDEX(C525:BA525&lt;&gt;0,),0))</f>
        <v>2005-06</v>
      </c>
      <c r="BC525" s="803" t="str" cm="1">
        <f t="array" ref="BC525">LOOKUP(2,1/(C525:BA525&lt;&gt;0),$C$4:$BA$4)</f>
        <v>2021-22</v>
      </c>
      <c r="BD525" s="804">
        <f>COUNTIF(RDprograms[[#This Row],[1978-79]:[2028-29]], "&gt;0")</f>
        <v>16</v>
      </c>
      <c r="BE525" s="805">
        <f>SUM(C525:BA525)/RDprograms[[#This Row],[Years with &gt; $0 investment]]</f>
        <v>4.3125000000000011E-2</v>
      </c>
      <c r="BF525" s="806" t="s">
        <v>273</v>
      </c>
      <c r="BG525" s="807" t="s">
        <v>1324</v>
      </c>
      <c r="BH525" s="847" t="s">
        <v>258</v>
      </c>
      <c r="BI525" s="809"/>
      <c r="BJ525" s="809"/>
      <c r="BK525" s="809"/>
      <c r="BL525" s="809"/>
      <c r="BM525" s="809"/>
      <c r="BN525" s="810"/>
      <c r="BO525" s="811" t="s">
        <v>236</v>
      </c>
      <c r="BP525" s="812"/>
      <c r="BQ525" s="812"/>
      <c r="BR525" s="812"/>
      <c r="BS525" s="812"/>
      <c r="BT525" s="812" t="s">
        <v>238</v>
      </c>
    </row>
    <row r="526" spans="1:72" ht="12.75" customHeight="1">
      <c r="A526" s="813" t="s">
        <v>1319</v>
      </c>
      <c r="B526" s="820" t="s">
        <v>1335</v>
      </c>
      <c r="C526" s="5">
        <v>0</v>
      </c>
      <c r="D526" s="5">
        <v>0</v>
      </c>
      <c r="E526" s="5">
        <v>0</v>
      </c>
      <c r="F526" s="5">
        <v>0</v>
      </c>
      <c r="G526" s="5">
        <v>0</v>
      </c>
      <c r="H526" s="5">
        <v>0</v>
      </c>
      <c r="I526" s="5">
        <v>0</v>
      </c>
      <c r="J526" s="5">
        <v>0</v>
      </c>
      <c r="K526" s="5">
        <v>0</v>
      </c>
      <c r="L526" s="5">
        <v>0</v>
      </c>
      <c r="M526" s="5">
        <v>0</v>
      </c>
      <c r="N526" s="5">
        <v>0</v>
      </c>
      <c r="O526" s="5">
        <v>0</v>
      </c>
      <c r="P526" s="5">
        <v>0</v>
      </c>
      <c r="Q526" s="5">
        <v>0</v>
      </c>
      <c r="R526" s="5">
        <v>0</v>
      </c>
      <c r="S526" s="5">
        <v>0</v>
      </c>
      <c r="T526" s="5">
        <v>0</v>
      </c>
      <c r="U526" s="5">
        <v>0</v>
      </c>
      <c r="V526" s="5">
        <v>0</v>
      </c>
      <c r="W526" s="5">
        <v>0</v>
      </c>
      <c r="X526" s="5">
        <v>0</v>
      </c>
      <c r="Y526" s="5">
        <v>0</v>
      </c>
      <c r="Z526" s="5">
        <v>0</v>
      </c>
      <c r="AA526" s="5">
        <v>0</v>
      </c>
      <c r="AB526" s="5">
        <v>0.1</v>
      </c>
      <c r="AC526" s="5">
        <v>0</v>
      </c>
      <c r="AD526" s="5">
        <v>0.3</v>
      </c>
      <c r="AE526" s="5">
        <v>0.1</v>
      </c>
      <c r="AF526" s="5">
        <v>0.1</v>
      </c>
      <c r="AG526" s="5">
        <v>0.155</v>
      </c>
      <c r="AH526" s="5">
        <v>0.17699999999999999</v>
      </c>
      <c r="AI526" s="5">
        <v>0.09</v>
      </c>
      <c r="AJ526" s="5">
        <v>0.158</v>
      </c>
      <c r="AK526" s="5">
        <v>7.4999999999999997E-2</v>
      </c>
      <c r="AL526" s="5">
        <v>7.4999999999999997E-2</v>
      </c>
      <c r="AM526" s="5">
        <v>0.15</v>
      </c>
      <c r="AN526" s="5">
        <v>6.5000000000000002E-2</v>
      </c>
      <c r="AO526" s="5">
        <v>0</v>
      </c>
      <c r="AP526" s="816">
        <v>0</v>
      </c>
      <c r="AQ526" s="816">
        <v>0</v>
      </c>
      <c r="AR526" s="5">
        <v>0</v>
      </c>
      <c r="AS526" s="5">
        <v>0</v>
      </c>
      <c r="AT526" s="5">
        <v>0</v>
      </c>
      <c r="AU526" s="5">
        <v>0</v>
      </c>
      <c r="AV526" s="5">
        <v>0</v>
      </c>
      <c r="AW526" s="815">
        <v>0</v>
      </c>
      <c r="AX526" s="816">
        <v>0</v>
      </c>
      <c r="AY526" s="819">
        <v>0</v>
      </c>
      <c r="AZ526" s="816"/>
      <c r="BA526" s="818"/>
      <c r="BB526" s="802" t="str" cm="1">
        <f t="array" ref="BB526">INDEX(C$4:BA$4,MATCH(TRUE,INDEX(C526:BA526&lt;&gt;0,),0))</f>
        <v>2003-04</v>
      </c>
      <c r="BC526" s="803" t="str" cm="1">
        <f t="array" ref="BC526">LOOKUP(2,1/(C526:BA526&lt;&gt;0),$C$4:$BA$4)</f>
        <v>2015-16</v>
      </c>
      <c r="BD526" s="804">
        <f>COUNTIF(RDprograms[[#This Row],[1978-79]:[2028-29]], "&gt;0")</f>
        <v>12</v>
      </c>
      <c r="BE526" s="805">
        <f>SUM(C526:BA526)/RDprograms[[#This Row],[Years with &gt; $0 investment]]</f>
        <v>0.12874999999999998</v>
      </c>
      <c r="BF526" s="806" t="s">
        <v>233</v>
      </c>
      <c r="BG526" s="807" t="s">
        <v>1324</v>
      </c>
      <c r="BH526" s="847" t="s">
        <v>241</v>
      </c>
      <c r="BI526" s="809"/>
      <c r="BJ526" s="809"/>
      <c r="BK526" s="809"/>
      <c r="BL526" s="809"/>
      <c r="BM526" s="809"/>
      <c r="BN526" s="810"/>
      <c r="BO526" s="811" t="s">
        <v>236</v>
      </c>
      <c r="BP526" s="812" t="s">
        <v>1336</v>
      </c>
      <c r="BQ526" s="812"/>
      <c r="BR526" s="812"/>
      <c r="BS526" s="812"/>
      <c r="BT526" s="812" t="s">
        <v>238</v>
      </c>
    </row>
    <row r="527" spans="1:72" ht="12.75" customHeight="1">
      <c r="A527" s="813" t="s">
        <v>1319</v>
      </c>
      <c r="B527" s="820" t="s">
        <v>1337</v>
      </c>
      <c r="C527" s="5">
        <v>0</v>
      </c>
      <c r="D527" s="5">
        <v>0</v>
      </c>
      <c r="E527" s="5">
        <v>0</v>
      </c>
      <c r="F527" s="5">
        <v>0</v>
      </c>
      <c r="G527" s="5">
        <v>0</v>
      </c>
      <c r="H527" s="5">
        <v>0</v>
      </c>
      <c r="I527" s="5">
        <v>0</v>
      </c>
      <c r="J527" s="5">
        <v>0</v>
      </c>
      <c r="K527" s="5">
        <v>0</v>
      </c>
      <c r="L527" s="5">
        <v>0</v>
      </c>
      <c r="M527" s="5">
        <v>0</v>
      </c>
      <c r="N527" s="5">
        <v>0</v>
      </c>
      <c r="O527" s="5">
        <v>0</v>
      </c>
      <c r="P527" s="5">
        <v>0</v>
      </c>
      <c r="Q527" s="5">
        <v>0</v>
      </c>
      <c r="R527" s="5">
        <v>0</v>
      </c>
      <c r="S527" s="5">
        <v>0</v>
      </c>
      <c r="T527" s="5">
        <v>0</v>
      </c>
      <c r="U527" s="5">
        <v>0</v>
      </c>
      <c r="V527" s="5">
        <v>0</v>
      </c>
      <c r="W527" s="5">
        <v>0</v>
      </c>
      <c r="X527" s="5">
        <v>0</v>
      </c>
      <c r="Y527" s="5">
        <v>0</v>
      </c>
      <c r="Z527" s="5">
        <v>0</v>
      </c>
      <c r="AA527" s="5">
        <v>0</v>
      </c>
      <c r="AB527" s="5">
        <v>0</v>
      </c>
      <c r="AC527" s="5">
        <v>0</v>
      </c>
      <c r="AD527" s="5">
        <v>0</v>
      </c>
      <c r="AE527" s="5">
        <v>0</v>
      </c>
      <c r="AF527" s="5">
        <v>0</v>
      </c>
      <c r="AG527" s="5">
        <v>0.19900000000000001</v>
      </c>
      <c r="AH527" s="5">
        <v>0.127</v>
      </c>
      <c r="AI527" s="5">
        <v>0.113</v>
      </c>
      <c r="AJ527" s="5">
        <v>0.112</v>
      </c>
      <c r="AK527" s="5">
        <v>0.122</v>
      </c>
      <c r="AL527" s="5">
        <v>0.19500000000000001</v>
      </c>
      <c r="AM527" s="5">
        <v>0.22600000000000001</v>
      </c>
      <c r="AN527" s="5">
        <v>0.24399999999999999</v>
      </c>
      <c r="AO527" s="5">
        <v>0.311</v>
      </c>
      <c r="AP527" s="5">
        <v>0.3</v>
      </c>
      <c r="AQ527" s="5">
        <v>0</v>
      </c>
      <c r="AR527" s="5">
        <v>0</v>
      </c>
      <c r="AS527" s="5">
        <v>0.17899999999999999</v>
      </c>
      <c r="AT527" s="5">
        <v>0.17899999999999999</v>
      </c>
      <c r="AU527" s="5">
        <v>0.10299999999999999</v>
      </c>
      <c r="AV527" s="5">
        <v>0</v>
      </c>
      <c r="AW527" s="815">
        <v>0</v>
      </c>
      <c r="AX527" s="816">
        <v>0</v>
      </c>
      <c r="AY527" s="819">
        <v>0</v>
      </c>
      <c r="AZ527" s="816"/>
      <c r="BA527" s="818"/>
      <c r="BB527" s="802" t="str" cm="1">
        <f t="array" ref="BB527">INDEX(C$4:BA$4,MATCH(TRUE,INDEX(C527:BA527&lt;&gt;0,),0))</f>
        <v>2008-09</v>
      </c>
      <c r="BC527" s="803" t="str" cm="1">
        <f t="array" ref="BC527">LOOKUP(2,1/(C527:BA527&lt;&gt;0),$C$4:$BA$4)</f>
        <v>2022-23</v>
      </c>
      <c r="BD527" s="804">
        <f>COUNTIF(RDprograms[[#This Row],[1978-79]:[2028-29]], "&gt;0")</f>
        <v>13</v>
      </c>
      <c r="BE527" s="805">
        <f>SUM(C527:BA527)/RDprograms[[#This Row],[Years with &gt; $0 investment]]</f>
        <v>0.1853846153846154</v>
      </c>
      <c r="BF527" s="806" t="s">
        <v>273</v>
      </c>
      <c r="BG527" s="807" t="s">
        <v>1324</v>
      </c>
      <c r="BH527" s="847" t="s">
        <v>258</v>
      </c>
      <c r="BI527" s="809"/>
      <c r="BJ527" s="809"/>
      <c r="BK527" s="809"/>
      <c r="BL527" s="809"/>
      <c r="BM527" s="809"/>
      <c r="BN527" s="810"/>
      <c r="BO527" s="811" t="s">
        <v>236</v>
      </c>
      <c r="BP527" s="812" t="s">
        <v>1338</v>
      </c>
      <c r="BQ527" s="812"/>
      <c r="BR527" s="812"/>
      <c r="BS527" s="812"/>
      <c r="BT527" s="812" t="s">
        <v>238</v>
      </c>
    </row>
    <row r="528" spans="1:72" ht="12.75" customHeight="1">
      <c r="A528" s="813" t="s">
        <v>1319</v>
      </c>
      <c r="B528" s="820" t="s">
        <v>1339</v>
      </c>
      <c r="C528" s="5">
        <v>0</v>
      </c>
      <c r="D528" s="5">
        <v>0</v>
      </c>
      <c r="E528" s="5">
        <v>0</v>
      </c>
      <c r="F528" s="5">
        <v>0.8</v>
      </c>
      <c r="G528" s="5">
        <v>0.5</v>
      </c>
      <c r="H528" s="5">
        <v>0.4</v>
      </c>
      <c r="I528" s="5">
        <v>0.5</v>
      </c>
      <c r="J528" s="5">
        <v>0.6</v>
      </c>
      <c r="K528" s="5">
        <v>0</v>
      </c>
      <c r="L528" s="5">
        <v>0</v>
      </c>
      <c r="M528" s="5">
        <v>0</v>
      </c>
      <c r="N528" s="5">
        <v>0</v>
      </c>
      <c r="O528" s="5">
        <v>0</v>
      </c>
      <c r="P528" s="5">
        <v>0</v>
      </c>
      <c r="Q528" s="5">
        <v>0</v>
      </c>
      <c r="R528" s="5">
        <v>0</v>
      </c>
      <c r="S528" s="5">
        <v>0</v>
      </c>
      <c r="T528" s="5">
        <v>0</v>
      </c>
      <c r="U528" s="5">
        <v>0</v>
      </c>
      <c r="V528" s="5">
        <v>0</v>
      </c>
      <c r="W528" s="5">
        <v>0</v>
      </c>
      <c r="X528" s="5">
        <v>0</v>
      </c>
      <c r="Y528" s="5">
        <v>0</v>
      </c>
      <c r="Z528" s="5">
        <v>0</v>
      </c>
      <c r="AA528" s="5">
        <v>0</v>
      </c>
      <c r="AB528" s="5">
        <v>0</v>
      </c>
      <c r="AC528" s="5">
        <v>0</v>
      </c>
      <c r="AD528" s="5">
        <v>0</v>
      </c>
      <c r="AE528" s="5">
        <v>0</v>
      </c>
      <c r="AF528" s="5">
        <v>0</v>
      </c>
      <c r="AG528" s="5">
        <v>0</v>
      </c>
      <c r="AH528" s="5">
        <v>0</v>
      </c>
      <c r="AI528" s="5">
        <v>0</v>
      </c>
      <c r="AJ528" s="5">
        <v>0</v>
      </c>
      <c r="AK528" s="5">
        <v>0</v>
      </c>
      <c r="AL528" s="5">
        <v>0</v>
      </c>
      <c r="AM528" s="5">
        <v>0</v>
      </c>
      <c r="AN528" s="5">
        <v>0</v>
      </c>
      <c r="AO528" s="5">
        <v>0</v>
      </c>
      <c r="AP528" s="816">
        <v>0</v>
      </c>
      <c r="AQ528" s="816">
        <v>0</v>
      </c>
      <c r="AR528" s="5">
        <v>0</v>
      </c>
      <c r="AS528" s="5">
        <v>0</v>
      </c>
      <c r="AT528" s="5">
        <v>0</v>
      </c>
      <c r="AU528" s="5">
        <v>0</v>
      </c>
      <c r="AV528" s="5">
        <v>0</v>
      </c>
      <c r="AW528" s="815">
        <v>0</v>
      </c>
      <c r="AX528" s="816">
        <v>0</v>
      </c>
      <c r="AY528" s="819">
        <v>0</v>
      </c>
      <c r="AZ528" s="816"/>
      <c r="BA528" s="818"/>
      <c r="BB528" s="802" t="str" cm="1">
        <f t="array" ref="BB528">INDEX(C$4:BA$4,MATCH(TRUE,INDEX(C528:BA528&lt;&gt;0,),0))</f>
        <v>1981-82</v>
      </c>
      <c r="BC528" s="803" t="str" cm="1">
        <f t="array" ref="BC528">LOOKUP(2,1/(C528:BA528&lt;&gt;0),$C$4:$BA$4)</f>
        <v>1985-86</v>
      </c>
      <c r="BD528" s="804">
        <f>COUNTIF(RDprograms[[#This Row],[1978-79]:[2028-29]], "&gt;0")</f>
        <v>5</v>
      </c>
      <c r="BE528" s="805">
        <f>SUM(C528:BA528)/RDprograms[[#This Row],[Years with &gt; $0 investment]]</f>
        <v>0.56000000000000005</v>
      </c>
      <c r="BF528" s="806" t="s">
        <v>273</v>
      </c>
      <c r="BG528" s="807" t="s">
        <v>510</v>
      </c>
      <c r="BH528" s="847" t="s">
        <v>241</v>
      </c>
      <c r="BI528" s="809"/>
      <c r="BJ528" s="809"/>
      <c r="BK528" s="809"/>
      <c r="BL528" s="809"/>
      <c r="BM528" s="809"/>
      <c r="BN528" s="810"/>
      <c r="BO528" s="811" t="s">
        <v>236</v>
      </c>
      <c r="BP528" s="812"/>
      <c r="BQ528" s="812"/>
      <c r="BR528" s="812"/>
      <c r="BS528" s="812"/>
      <c r="BT528" s="812" t="s">
        <v>238</v>
      </c>
    </row>
    <row r="529" spans="1:72" ht="12.75" customHeight="1">
      <c r="A529" s="813" t="s">
        <v>1319</v>
      </c>
      <c r="B529" s="820" t="s">
        <v>1340</v>
      </c>
      <c r="C529" s="5">
        <v>0</v>
      </c>
      <c r="D529" s="5">
        <v>0</v>
      </c>
      <c r="E529" s="5">
        <v>0</v>
      </c>
      <c r="F529" s="5">
        <v>0</v>
      </c>
      <c r="G529" s="5">
        <v>0</v>
      </c>
      <c r="H529" s="5">
        <v>0</v>
      </c>
      <c r="I529" s="5">
        <v>0</v>
      </c>
      <c r="J529" s="5">
        <v>0</v>
      </c>
      <c r="K529" s="5">
        <v>0</v>
      </c>
      <c r="L529" s="5">
        <v>0</v>
      </c>
      <c r="M529" s="5">
        <v>0</v>
      </c>
      <c r="N529" s="5">
        <v>0</v>
      </c>
      <c r="O529" s="5">
        <v>0</v>
      </c>
      <c r="P529" s="5">
        <v>0</v>
      </c>
      <c r="Q529" s="5">
        <v>0</v>
      </c>
      <c r="R529" s="5">
        <v>0</v>
      </c>
      <c r="S529" s="5">
        <v>0</v>
      </c>
      <c r="T529" s="5">
        <v>0</v>
      </c>
      <c r="U529" s="5">
        <v>0</v>
      </c>
      <c r="V529" s="5">
        <v>0</v>
      </c>
      <c r="W529" s="5">
        <v>0</v>
      </c>
      <c r="X529" s="5">
        <v>0</v>
      </c>
      <c r="Y529" s="5">
        <v>0</v>
      </c>
      <c r="Z529" s="5">
        <v>0</v>
      </c>
      <c r="AA529" s="5">
        <v>0</v>
      </c>
      <c r="AB529" s="5">
        <v>0</v>
      </c>
      <c r="AC529" s="5">
        <v>0</v>
      </c>
      <c r="AD529" s="5">
        <v>0</v>
      </c>
      <c r="AE529" s="5">
        <v>0</v>
      </c>
      <c r="AF529" s="5">
        <v>0</v>
      </c>
      <c r="AG529" s="5">
        <v>0</v>
      </c>
      <c r="AH529" s="5">
        <v>0</v>
      </c>
      <c r="AI529" s="5">
        <v>0</v>
      </c>
      <c r="AJ529" s="5">
        <v>0</v>
      </c>
      <c r="AK529" s="5">
        <v>0</v>
      </c>
      <c r="AL529" s="5">
        <v>0</v>
      </c>
      <c r="AM529" s="5">
        <v>0</v>
      </c>
      <c r="AN529" s="5">
        <v>0</v>
      </c>
      <c r="AO529" s="5">
        <v>0</v>
      </c>
      <c r="AP529" s="5">
        <v>0</v>
      </c>
      <c r="AQ529" s="5">
        <v>0</v>
      </c>
      <c r="AR529" s="5">
        <v>0</v>
      </c>
      <c r="AS529" s="5">
        <v>0</v>
      </c>
      <c r="AT529" s="5">
        <v>0</v>
      </c>
      <c r="AU529" s="5">
        <v>0</v>
      </c>
      <c r="AV529" s="5">
        <v>3.21</v>
      </c>
      <c r="AW529" s="815">
        <v>3.27</v>
      </c>
      <c r="AX529" s="816">
        <v>3.68</v>
      </c>
      <c r="AY529" s="819">
        <v>3.04</v>
      </c>
      <c r="AZ529" s="816">
        <v>3.35</v>
      </c>
      <c r="BA529" s="818"/>
      <c r="BB529" s="802" t="str" cm="1">
        <f t="array" ref="BB529">INDEX(C$4:BA$4,MATCH(TRUE,INDEX(C529:BA529&lt;&gt;0,),0))</f>
        <v>2023-24</v>
      </c>
      <c r="BC529" s="803" t="str" cm="1">
        <f t="array" ref="BC529">LOOKUP(2,1/(C529:BA529&lt;&gt;0),$C$4:$BA$4)</f>
        <v>2027-28</v>
      </c>
      <c r="BD529" s="804">
        <f>COUNTIF(RDprograms[[#This Row],[1978-79]:[2028-29]], "&gt;0")</f>
        <v>5</v>
      </c>
      <c r="BE529" s="805">
        <f>SUM(C529:BA529)/RDprograms[[#This Row],[Years with &gt; $0 investment]]</f>
        <v>3.31</v>
      </c>
      <c r="BF529" s="806" t="s">
        <v>273</v>
      </c>
      <c r="BG529" s="807" t="s">
        <v>510</v>
      </c>
      <c r="BH529" s="847" t="s">
        <v>241</v>
      </c>
      <c r="BI529" s="809"/>
      <c r="BJ529" s="809"/>
      <c r="BK529" s="809"/>
      <c r="BL529" s="809"/>
      <c r="BM529" s="809"/>
      <c r="BN529" s="810">
        <v>1</v>
      </c>
      <c r="BO529" s="811" t="s">
        <v>236</v>
      </c>
      <c r="BP529" s="812" t="s">
        <v>1341</v>
      </c>
      <c r="BQ529" s="812"/>
      <c r="BR529" s="812"/>
      <c r="BS529" s="812"/>
      <c r="BT529" s="812"/>
    </row>
    <row r="530" spans="1:72" ht="12.75" customHeight="1">
      <c r="A530" s="813" t="s">
        <v>1319</v>
      </c>
      <c r="B530" s="820" t="s">
        <v>1342</v>
      </c>
      <c r="C530" s="5">
        <v>0</v>
      </c>
      <c r="D530" s="5">
        <v>0</v>
      </c>
      <c r="E530" s="5">
        <v>0</v>
      </c>
      <c r="F530" s="5">
        <v>0</v>
      </c>
      <c r="G530" s="5">
        <v>0</v>
      </c>
      <c r="H530" s="5">
        <v>0</v>
      </c>
      <c r="I530" s="5">
        <v>0</v>
      </c>
      <c r="J530" s="5">
        <v>0</v>
      </c>
      <c r="K530" s="5">
        <v>0</v>
      </c>
      <c r="L530" s="5">
        <v>0</v>
      </c>
      <c r="M530" s="5">
        <v>0</v>
      </c>
      <c r="N530" s="5">
        <v>0</v>
      </c>
      <c r="O530" s="5">
        <v>0</v>
      </c>
      <c r="P530" s="5">
        <v>0</v>
      </c>
      <c r="Q530" s="5">
        <v>0</v>
      </c>
      <c r="R530" s="5">
        <v>0</v>
      </c>
      <c r="S530" s="5">
        <v>0</v>
      </c>
      <c r="T530" s="5">
        <v>0</v>
      </c>
      <c r="U530" s="5">
        <v>0</v>
      </c>
      <c r="V530" s="5">
        <v>0</v>
      </c>
      <c r="W530" s="5">
        <v>0</v>
      </c>
      <c r="X530" s="5">
        <v>0</v>
      </c>
      <c r="Y530" s="5">
        <v>0</v>
      </c>
      <c r="Z530" s="5">
        <v>0</v>
      </c>
      <c r="AA530" s="5">
        <v>0</v>
      </c>
      <c r="AB530" s="5">
        <v>0</v>
      </c>
      <c r="AC530" s="5">
        <v>0</v>
      </c>
      <c r="AD530" s="5">
        <v>0</v>
      </c>
      <c r="AE530" s="5">
        <v>0</v>
      </c>
      <c r="AF530" s="5">
        <v>0</v>
      </c>
      <c r="AG530" s="5">
        <v>0</v>
      </c>
      <c r="AH530" s="5">
        <v>0</v>
      </c>
      <c r="AI530" s="5">
        <v>0</v>
      </c>
      <c r="AJ530" s="5">
        <v>0</v>
      </c>
      <c r="AK530" s="5">
        <v>0</v>
      </c>
      <c r="AL530" s="5">
        <v>0</v>
      </c>
      <c r="AM530" s="5">
        <v>0</v>
      </c>
      <c r="AN530" s="5">
        <v>0</v>
      </c>
      <c r="AO530" s="5">
        <v>0</v>
      </c>
      <c r="AP530" s="5">
        <v>0</v>
      </c>
      <c r="AQ530" s="5">
        <v>1.35</v>
      </c>
      <c r="AR530" s="5">
        <v>0</v>
      </c>
      <c r="AS530" s="5">
        <v>1.625</v>
      </c>
      <c r="AT530" s="5">
        <v>0</v>
      </c>
      <c r="AU530" s="5">
        <v>0</v>
      </c>
      <c r="AV530" s="5">
        <v>0.39400000000000002</v>
      </c>
      <c r="AW530" s="815">
        <v>0.185</v>
      </c>
      <c r="AX530" s="816">
        <v>0</v>
      </c>
      <c r="AY530" s="819">
        <v>0</v>
      </c>
      <c r="AZ530" s="816"/>
      <c r="BA530" s="818"/>
      <c r="BB530" s="802" t="str" cm="1">
        <f t="array" ref="BB530">INDEX(C$4:BA$4,MATCH(TRUE,INDEX(C530:BA530&lt;&gt;0,),0))</f>
        <v>2018-19</v>
      </c>
      <c r="BC530" s="803" t="str" cm="1">
        <f t="array" ref="BC530">LOOKUP(2,1/(C530:BA530&lt;&gt;0),$C$4:$BA$4)</f>
        <v>2024-25</v>
      </c>
      <c r="BD530" s="804">
        <f>COUNTIF(RDprograms[[#This Row],[1978-79]:[2028-29]], "&gt;0")</f>
        <v>4</v>
      </c>
      <c r="BE530" s="805">
        <f>SUM(C530:BA530)/RDprograms[[#This Row],[Years with &gt; $0 investment]]</f>
        <v>0.88850000000000007</v>
      </c>
      <c r="BF530" s="806" t="s">
        <v>273</v>
      </c>
      <c r="BG530" s="807" t="s">
        <v>510</v>
      </c>
      <c r="BH530" s="847" t="s">
        <v>269</v>
      </c>
      <c r="BI530" s="809"/>
      <c r="BJ530" s="809"/>
      <c r="BK530" s="809"/>
      <c r="BL530" s="809"/>
      <c r="BM530" s="809"/>
      <c r="BN530" s="810"/>
      <c r="BO530" s="811" t="s">
        <v>236</v>
      </c>
      <c r="BP530" s="812" t="s">
        <v>1343</v>
      </c>
      <c r="BQ530" s="812"/>
      <c r="BR530" s="812"/>
      <c r="BS530" s="812"/>
      <c r="BT530" s="812" t="s">
        <v>238</v>
      </c>
    </row>
    <row r="531" spans="1:72" ht="12.75" customHeight="1">
      <c r="A531" s="813" t="s">
        <v>1319</v>
      </c>
      <c r="B531" s="820" t="s">
        <v>1344</v>
      </c>
      <c r="C531" s="5">
        <v>0</v>
      </c>
      <c r="D531" s="5">
        <v>0</v>
      </c>
      <c r="E531" s="5">
        <v>0</v>
      </c>
      <c r="F531" s="5">
        <v>0</v>
      </c>
      <c r="G531" s="5">
        <v>0</v>
      </c>
      <c r="H531" s="5">
        <v>0</v>
      </c>
      <c r="I531" s="5">
        <v>0</v>
      </c>
      <c r="J531" s="5">
        <v>0</v>
      </c>
      <c r="K531" s="5">
        <v>0</v>
      </c>
      <c r="L531" s="5">
        <v>0</v>
      </c>
      <c r="M531" s="5">
        <v>0</v>
      </c>
      <c r="N531" s="5">
        <v>0</v>
      </c>
      <c r="O531" s="5">
        <v>0</v>
      </c>
      <c r="P531" s="5">
        <v>0</v>
      </c>
      <c r="Q531" s="5">
        <v>0</v>
      </c>
      <c r="R531" s="5">
        <v>0</v>
      </c>
      <c r="S531" s="5">
        <v>0</v>
      </c>
      <c r="T531" s="5">
        <v>0</v>
      </c>
      <c r="U531" s="5">
        <v>0</v>
      </c>
      <c r="V531" s="5">
        <v>0</v>
      </c>
      <c r="W531" s="5">
        <v>0</v>
      </c>
      <c r="X531" s="5">
        <v>0</v>
      </c>
      <c r="Y531" s="5">
        <v>0</v>
      </c>
      <c r="Z531" s="5">
        <v>0</v>
      </c>
      <c r="AA531" s="5">
        <v>0</v>
      </c>
      <c r="AB531" s="5">
        <v>0</v>
      </c>
      <c r="AC531" s="5">
        <v>0</v>
      </c>
      <c r="AD531" s="5">
        <v>0</v>
      </c>
      <c r="AE531" s="5">
        <v>0</v>
      </c>
      <c r="AF531" s="5">
        <v>0</v>
      </c>
      <c r="AG531" s="5">
        <v>0</v>
      </c>
      <c r="AH531" s="5">
        <v>0</v>
      </c>
      <c r="AI531" s="5">
        <v>0</v>
      </c>
      <c r="AJ531" s="5">
        <v>0</v>
      </c>
      <c r="AK531" s="5">
        <v>0</v>
      </c>
      <c r="AL531" s="5">
        <v>0</v>
      </c>
      <c r="AM531" s="5">
        <v>0</v>
      </c>
      <c r="AN531" s="5">
        <v>0</v>
      </c>
      <c r="AO531" s="5">
        <v>0</v>
      </c>
      <c r="AP531" s="816">
        <v>0</v>
      </c>
      <c r="AQ531" s="816">
        <v>0</v>
      </c>
      <c r="AR531" s="5">
        <v>0</v>
      </c>
      <c r="AS531" s="5">
        <v>0</v>
      </c>
      <c r="AT531" s="5">
        <v>11.849</v>
      </c>
      <c r="AU531" s="5">
        <v>7.8979999999999997</v>
      </c>
      <c r="AV531" s="5">
        <v>10.933999999999999</v>
      </c>
      <c r="AW531" s="815">
        <v>4.7300000000000004</v>
      </c>
      <c r="AX531" s="816">
        <v>0</v>
      </c>
      <c r="AY531" s="819">
        <v>0</v>
      </c>
      <c r="AZ531" s="816"/>
      <c r="BA531" s="818"/>
      <c r="BB531" s="802" t="str" cm="1">
        <f t="array" ref="BB531">INDEX(C$4:BA$4,MATCH(TRUE,INDEX(C531:BA531&lt;&gt;0,),0))</f>
        <v>2021-22</v>
      </c>
      <c r="BC531" s="803" t="str" cm="1">
        <f t="array" ref="BC531">LOOKUP(2,1/(C531:BA531&lt;&gt;0),$C$4:$BA$4)</f>
        <v>2024-25</v>
      </c>
      <c r="BD531" s="804">
        <f>COUNTIF(RDprograms[[#This Row],[1978-79]:[2028-29]], "&gt;0")</f>
        <v>4</v>
      </c>
      <c r="BE531" s="805">
        <f>SUM(C531:BA531)/RDprograms[[#This Row],[Years with &gt; $0 investment]]</f>
        <v>8.8527500000000003</v>
      </c>
      <c r="BF531" s="806" t="s">
        <v>273</v>
      </c>
      <c r="BG531" s="807" t="s">
        <v>389</v>
      </c>
      <c r="BH531" s="847" t="s">
        <v>241</v>
      </c>
      <c r="BI531" s="809"/>
      <c r="BJ531" s="809"/>
      <c r="BK531" s="809"/>
      <c r="BL531" s="809"/>
      <c r="BM531" s="809"/>
      <c r="BN531" s="810"/>
      <c r="BO531" s="811" t="s">
        <v>236</v>
      </c>
      <c r="BP531" s="812" t="s">
        <v>1345</v>
      </c>
      <c r="BQ531" s="812"/>
      <c r="BR531" s="812"/>
      <c r="BS531" s="812"/>
      <c r="BT531" s="812" t="s">
        <v>244</v>
      </c>
    </row>
    <row r="532" spans="1:72" ht="12.75" customHeight="1">
      <c r="A532" s="813" t="s">
        <v>1319</v>
      </c>
      <c r="B532" s="820" t="s">
        <v>1346</v>
      </c>
      <c r="C532" s="5">
        <v>0</v>
      </c>
      <c r="D532" s="5">
        <v>0</v>
      </c>
      <c r="E532" s="5">
        <v>0</v>
      </c>
      <c r="F532" s="5">
        <v>0</v>
      </c>
      <c r="G532" s="5">
        <v>0</v>
      </c>
      <c r="H532" s="5">
        <v>0</v>
      </c>
      <c r="I532" s="5">
        <v>0</v>
      </c>
      <c r="J532" s="5">
        <v>0</v>
      </c>
      <c r="K532" s="5">
        <v>0</v>
      </c>
      <c r="L532" s="5">
        <v>0</v>
      </c>
      <c r="M532" s="5">
        <v>0</v>
      </c>
      <c r="N532" s="5">
        <v>0</v>
      </c>
      <c r="O532" s="5">
        <v>0</v>
      </c>
      <c r="P532" s="5">
        <v>0</v>
      </c>
      <c r="Q532" s="5">
        <v>0</v>
      </c>
      <c r="R532" s="5">
        <v>0</v>
      </c>
      <c r="S532" s="5">
        <v>0</v>
      </c>
      <c r="T532" s="5">
        <v>0</v>
      </c>
      <c r="U532" s="5">
        <v>0</v>
      </c>
      <c r="V532" s="5">
        <v>0</v>
      </c>
      <c r="W532" s="5">
        <v>0</v>
      </c>
      <c r="X532" s="5">
        <v>0</v>
      </c>
      <c r="Y532" s="5">
        <v>0</v>
      </c>
      <c r="Z532" s="5">
        <v>0</v>
      </c>
      <c r="AA532" s="5">
        <v>0</v>
      </c>
      <c r="AB532" s="5">
        <v>0</v>
      </c>
      <c r="AC532" s="5">
        <v>0</v>
      </c>
      <c r="AD532" s="5">
        <v>0</v>
      </c>
      <c r="AE532" s="5">
        <v>0</v>
      </c>
      <c r="AF532" s="5">
        <v>0</v>
      </c>
      <c r="AG532" s="5">
        <v>0</v>
      </c>
      <c r="AH532" s="5">
        <v>1.0489999999999999</v>
      </c>
      <c r="AI532" s="5">
        <v>1.0169999999999999</v>
      </c>
      <c r="AJ532" s="5">
        <v>0.73799999999999999</v>
      </c>
      <c r="AK532" s="5">
        <v>0.495</v>
      </c>
      <c r="AL532" s="5">
        <v>0.29399999999999998</v>
      </c>
      <c r="AM532" s="5">
        <v>0.51900000000000002</v>
      </c>
      <c r="AN532" s="5">
        <v>0.46700000000000003</v>
      </c>
      <c r="AO532" s="5">
        <v>0.48499999999999999</v>
      </c>
      <c r="AP532" s="816">
        <v>0.42099999999999999</v>
      </c>
      <c r="AQ532" s="816">
        <v>0.495</v>
      </c>
      <c r="AR532" s="5">
        <v>0.53200000000000003</v>
      </c>
      <c r="AS532" s="5">
        <v>0.52600000000000002</v>
      </c>
      <c r="AT532" s="5">
        <v>0.53900000000000003</v>
      </c>
      <c r="AU532" s="5">
        <v>0.55300000000000005</v>
      </c>
      <c r="AV532" s="5">
        <v>0.502</v>
      </c>
      <c r="AW532" s="815">
        <v>0.502</v>
      </c>
      <c r="AX532" s="816">
        <v>0</v>
      </c>
      <c r="AY532" s="819">
        <v>0</v>
      </c>
      <c r="AZ532" s="816"/>
      <c r="BA532" s="818"/>
      <c r="BB532" s="802" t="str" cm="1">
        <f t="array" ref="BB532">INDEX(C$4:BA$4,MATCH(TRUE,INDEX(C532:BA532&lt;&gt;0,),0))</f>
        <v>2009-10</v>
      </c>
      <c r="BC532" s="803" t="str" cm="1">
        <f t="array" ref="BC532">LOOKUP(2,1/(C532:BA532&lt;&gt;0),$C$4:$BA$4)</f>
        <v>2024-25</v>
      </c>
      <c r="BD532" s="804">
        <f>COUNTIF(RDprograms[[#This Row],[1978-79]:[2028-29]], "&gt;0")</f>
        <v>16</v>
      </c>
      <c r="BE532" s="805">
        <f>SUM(C532:BA532)/RDprograms[[#This Row],[Years with &gt; $0 investment]]</f>
        <v>0.57087500000000013</v>
      </c>
      <c r="BF532" s="806" t="s">
        <v>273</v>
      </c>
      <c r="BG532" s="807" t="s">
        <v>510</v>
      </c>
      <c r="BH532" s="847" t="s">
        <v>241</v>
      </c>
      <c r="BI532" s="809"/>
      <c r="BJ532" s="809"/>
      <c r="BK532" s="809"/>
      <c r="BL532" s="809"/>
      <c r="BM532" s="809"/>
      <c r="BN532" s="810"/>
      <c r="BO532" s="811" t="s">
        <v>236</v>
      </c>
      <c r="BP532" s="812" t="s">
        <v>1347</v>
      </c>
      <c r="BQ532" s="812"/>
      <c r="BR532" s="812"/>
      <c r="BS532" s="812"/>
      <c r="BT532" s="812" t="s">
        <v>238</v>
      </c>
    </row>
    <row r="533" spans="1:72" ht="12.75" customHeight="1">
      <c r="A533" s="813" t="s">
        <v>1319</v>
      </c>
      <c r="B533" s="820" t="s">
        <v>1348</v>
      </c>
      <c r="C533" s="5">
        <v>0</v>
      </c>
      <c r="D533" s="5">
        <v>0</v>
      </c>
      <c r="E533" s="5">
        <v>0</v>
      </c>
      <c r="F533" s="5">
        <v>0</v>
      </c>
      <c r="G533" s="5">
        <v>0</v>
      </c>
      <c r="H533" s="5">
        <v>0</v>
      </c>
      <c r="I533" s="5">
        <v>0</v>
      </c>
      <c r="J533" s="5">
        <v>0</v>
      </c>
      <c r="K533" s="5">
        <v>0</v>
      </c>
      <c r="L533" s="5">
        <v>0</v>
      </c>
      <c r="M533" s="5">
        <v>0</v>
      </c>
      <c r="N533" s="5">
        <v>0</v>
      </c>
      <c r="O533" s="5">
        <v>0</v>
      </c>
      <c r="P533" s="5">
        <v>0</v>
      </c>
      <c r="Q533" s="5">
        <v>0</v>
      </c>
      <c r="R533" s="5">
        <v>0</v>
      </c>
      <c r="S533" s="5">
        <v>0</v>
      </c>
      <c r="T533" s="5">
        <v>0</v>
      </c>
      <c r="U533" s="5">
        <v>0</v>
      </c>
      <c r="V533" s="5">
        <v>0</v>
      </c>
      <c r="W533" s="5">
        <v>0</v>
      </c>
      <c r="X533" s="5">
        <v>0</v>
      </c>
      <c r="Y533" s="5">
        <v>0</v>
      </c>
      <c r="Z533" s="5">
        <v>0</v>
      </c>
      <c r="AA533" s="5">
        <v>0</v>
      </c>
      <c r="AB533" s="5">
        <v>0</v>
      </c>
      <c r="AC533" s="5">
        <v>0</v>
      </c>
      <c r="AD533" s="5">
        <v>0</v>
      </c>
      <c r="AE533" s="5">
        <v>0</v>
      </c>
      <c r="AF533" s="5">
        <v>0</v>
      </c>
      <c r="AG533" s="5">
        <v>0</v>
      </c>
      <c r="AH533" s="5">
        <v>0</v>
      </c>
      <c r="AI533" s="5">
        <v>0</v>
      </c>
      <c r="AJ533" s="5">
        <v>0</v>
      </c>
      <c r="AK533" s="5">
        <v>0</v>
      </c>
      <c r="AL533" s="5">
        <v>0</v>
      </c>
      <c r="AM533" s="5">
        <v>0</v>
      </c>
      <c r="AN533" s="5">
        <v>0</v>
      </c>
      <c r="AO533" s="5">
        <v>0</v>
      </c>
      <c r="AP533" s="5">
        <v>0.66500000000000004</v>
      </c>
      <c r="AQ533" s="5">
        <v>0.66500000000000004</v>
      </c>
      <c r="AR533" s="5">
        <v>0.67</v>
      </c>
      <c r="AS533" s="5">
        <v>0</v>
      </c>
      <c r="AT533" s="5">
        <v>1.7000000000000001E-2</v>
      </c>
      <c r="AU533" s="5">
        <v>0.45700000000000002</v>
      </c>
      <c r="AV533" s="5">
        <v>0.79700000000000004</v>
      </c>
      <c r="AW533" s="815">
        <v>0.9</v>
      </c>
      <c r="AX533" s="816">
        <v>0.9</v>
      </c>
      <c r="AY533" s="819">
        <v>0.9</v>
      </c>
      <c r="AZ533" s="816"/>
      <c r="BA533" s="818"/>
      <c r="BB533" s="802" t="str" cm="1">
        <f t="array" ref="BB533">INDEX(C$4:BA$4,MATCH(TRUE,INDEX(C533:BA533&lt;&gt;0,),0))</f>
        <v>2017-18</v>
      </c>
      <c r="BC533" s="803" t="str" cm="1">
        <f t="array" ref="BC533">LOOKUP(2,1/(C533:BA533&lt;&gt;0),$C$4:$BA$4)</f>
        <v>2026-27</v>
      </c>
      <c r="BD533" s="804">
        <f>COUNTIF(RDprograms[[#This Row],[1978-79]:[2028-29]], "&gt;0")</f>
        <v>9</v>
      </c>
      <c r="BE533" s="805">
        <f>SUM(C533:BA533)/RDprograms[[#This Row],[Years with &gt; $0 investment]]</f>
        <v>0.6634444444444445</v>
      </c>
      <c r="BF533" s="806" t="s">
        <v>273</v>
      </c>
      <c r="BG533" s="807" t="s">
        <v>510</v>
      </c>
      <c r="BH533" s="847" t="s">
        <v>241</v>
      </c>
      <c r="BI533" s="809"/>
      <c r="BJ533" s="809"/>
      <c r="BK533" s="809"/>
      <c r="BL533" s="809"/>
      <c r="BM533" s="809"/>
      <c r="BN533" s="810">
        <v>1</v>
      </c>
      <c r="BO533" s="811" t="s">
        <v>236</v>
      </c>
      <c r="BP533" s="812" t="s">
        <v>1349</v>
      </c>
      <c r="BQ533" s="812"/>
      <c r="BR533" s="812"/>
      <c r="BS533" s="812"/>
      <c r="BT533" s="812" t="s">
        <v>238</v>
      </c>
    </row>
    <row r="534" spans="1:72" ht="12.75" customHeight="1">
      <c r="A534" s="813" t="s">
        <v>1319</v>
      </c>
      <c r="B534" s="820" t="s">
        <v>1350</v>
      </c>
      <c r="C534" s="5">
        <v>0</v>
      </c>
      <c r="D534" s="5">
        <v>0</v>
      </c>
      <c r="E534" s="5">
        <v>0</v>
      </c>
      <c r="F534" s="5">
        <v>0</v>
      </c>
      <c r="G534" s="5">
        <v>0</v>
      </c>
      <c r="H534" s="5">
        <v>0</v>
      </c>
      <c r="I534" s="5">
        <v>0</v>
      </c>
      <c r="J534" s="5">
        <v>0</v>
      </c>
      <c r="K534" s="5">
        <v>0</v>
      </c>
      <c r="L534" s="5">
        <v>0</v>
      </c>
      <c r="M534" s="5">
        <v>0</v>
      </c>
      <c r="N534" s="5">
        <v>0</v>
      </c>
      <c r="O534" s="5">
        <v>0</v>
      </c>
      <c r="P534" s="5">
        <v>0</v>
      </c>
      <c r="Q534" s="5">
        <v>0</v>
      </c>
      <c r="R534" s="5">
        <v>0</v>
      </c>
      <c r="S534" s="5">
        <v>0</v>
      </c>
      <c r="T534" s="5">
        <v>0</v>
      </c>
      <c r="U534" s="5">
        <v>0</v>
      </c>
      <c r="V534" s="5">
        <v>0</v>
      </c>
      <c r="W534" s="5">
        <v>0</v>
      </c>
      <c r="X534" s="5">
        <v>0</v>
      </c>
      <c r="Y534" s="5">
        <v>0</v>
      </c>
      <c r="Z534" s="5">
        <v>0</v>
      </c>
      <c r="AA534" s="5">
        <v>0</v>
      </c>
      <c r="AB534" s="5">
        <v>0</v>
      </c>
      <c r="AC534" s="5">
        <v>0</v>
      </c>
      <c r="AD534" s="5">
        <v>0</v>
      </c>
      <c r="AE534" s="5">
        <v>0</v>
      </c>
      <c r="AF534" s="5">
        <v>0</v>
      </c>
      <c r="AG534" s="5">
        <v>0</v>
      </c>
      <c r="AH534" s="5">
        <v>0</v>
      </c>
      <c r="AI534" s="5">
        <v>0</v>
      </c>
      <c r="AJ534" s="5">
        <v>0</v>
      </c>
      <c r="AK534" s="5">
        <v>0</v>
      </c>
      <c r="AL534" s="5">
        <v>3.6360000000000003E-2</v>
      </c>
      <c r="AM534" s="5">
        <v>0</v>
      </c>
      <c r="AN534" s="5">
        <v>0</v>
      </c>
      <c r="AO534" s="5">
        <v>0</v>
      </c>
      <c r="AP534" s="5">
        <v>0</v>
      </c>
      <c r="AQ534" s="5">
        <v>0</v>
      </c>
      <c r="AR534" s="5">
        <v>0</v>
      </c>
      <c r="AS534" s="5">
        <v>0</v>
      </c>
      <c r="AT534" s="5">
        <v>0</v>
      </c>
      <c r="AU534" s="5">
        <v>0</v>
      </c>
      <c r="AV534" s="5">
        <v>0</v>
      </c>
      <c r="AW534" s="815">
        <v>0</v>
      </c>
      <c r="AX534" s="816">
        <v>0</v>
      </c>
      <c r="AY534" s="819">
        <v>0</v>
      </c>
      <c r="AZ534" s="816"/>
      <c r="BA534" s="818"/>
      <c r="BB534" s="802" t="str" cm="1">
        <f t="array" ref="BB534">INDEX(C$4:BA$4,MATCH(TRUE,INDEX(C534:BA534&lt;&gt;0,),0))</f>
        <v>2013-14</v>
      </c>
      <c r="BC534" s="803" t="str" cm="1">
        <f t="array" ref="BC534">LOOKUP(2,1/(C534:BA534&lt;&gt;0),$C$4:$BA$4)</f>
        <v>2013-14</v>
      </c>
      <c r="BD534" s="804">
        <f>COUNTIF(RDprograms[[#This Row],[1978-79]:[2028-29]], "&gt;0")</f>
        <v>1</v>
      </c>
      <c r="BE534" s="805">
        <f>SUM(C534:BA534)/RDprograms[[#This Row],[Years with &gt; $0 investment]]</f>
        <v>3.6360000000000003E-2</v>
      </c>
      <c r="BF534" s="806" t="s">
        <v>273</v>
      </c>
      <c r="BG534" s="807" t="s">
        <v>510</v>
      </c>
      <c r="BH534" s="847" t="s">
        <v>474</v>
      </c>
      <c r="BI534" s="809"/>
      <c r="BJ534" s="809"/>
      <c r="BK534" s="809"/>
      <c r="BL534" s="809"/>
      <c r="BM534" s="809"/>
      <c r="BN534" s="810"/>
      <c r="BO534" s="811" t="s">
        <v>236</v>
      </c>
      <c r="BP534" s="812"/>
      <c r="BQ534" s="812"/>
      <c r="BR534" s="812"/>
      <c r="BS534" s="812"/>
      <c r="BT534" s="812" t="s">
        <v>238</v>
      </c>
    </row>
    <row r="535" spans="1:72" ht="12.75" customHeight="1">
      <c r="A535" s="813" t="s">
        <v>1319</v>
      </c>
      <c r="B535" s="820" t="s">
        <v>1351</v>
      </c>
      <c r="C535" s="5">
        <v>0</v>
      </c>
      <c r="D535" s="5">
        <v>0</v>
      </c>
      <c r="E535" s="5">
        <v>0</v>
      </c>
      <c r="F535" s="5">
        <v>0</v>
      </c>
      <c r="G535" s="5">
        <v>0</v>
      </c>
      <c r="H535" s="5">
        <v>0</v>
      </c>
      <c r="I535" s="5">
        <v>0</v>
      </c>
      <c r="J535" s="5">
        <v>0</v>
      </c>
      <c r="K535" s="5">
        <v>0</v>
      </c>
      <c r="L535" s="5">
        <v>0</v>
      </c>
      <c r="M535" s="5">
        <v>0</v>
      </c>
      <c r="N535" s="5">
        <v>0</v>
      </c>
      <c r="O535" s="5">
        <v>0</v>
      </c>
      <c r="P535" s="5">
        <v>0</v>
      </c>
      <c r="Q535" s="5">
        <v>0</v>
      </c>
      <c r="R535" s="5">
        <v>0</v>
      </c>
      <c r="S535" s="5">
        <v>0</v>
      </c>
      <c r="T535" s="5">
        <v>0</v>
      </c>
      <c r="U535" s="5">
        <v>0</v>
      </c>
      <c r="V535" s="5">
        <v>0</v>
      </c>
      <c r="W535" s="5">
        <v>0</v>
      </c>
      <c r="X535" s="5">
        <v>0</v>
      </c>
      <c r="Y535" s="5">
        <v>0</v>
      </c>
      <c r="Z535" s="5">
        <v>0</v>
      </c>
      <c r="AA535" s="5">
        <v>0</v>
      </c>
      <c r="AB535" s="5">
        <v>0</v>
      </c>
      <c r="AC535" s="5">
        <v>0</v>
      </c>
      <c r="AD535" s="5">
        <v>0</v>
      </c>
      <c r="AE535" s="5">
        <v>0</v>
      </c>
      <c r="AF535" s="5">
        <v>0</v>
      </c>
      <c r="AG535" s="5">
        <v>0</v>
      </c>
      <c r="AH535" s="5">
        <v>0</v>
      </c>
      <c r="AI535" s="5">
        <v>0</v>
      </c>
      <c r="AJ535" s="5">
        <v>0</v>
      </c>
      <c r="AK535" s="5">
        <v>7.0000000000000007E-2</v>
      </c>
      <c r="AL535" s="5">
        <v>0</v>
      </c>
      <c r="AM535" s="5">
        <v>0</v>
      </c>
      <c r="AN535" s="5">
        <v>0</v>
      </c>
      <c r="AO535" s="5">
        <v>0</v>
      </c>
      <c r="AP535" s="5">
        <v>0</v>
      </c>
      <c r="AQ535" s="5">
        <v>0</v>
      </c>
      <c r="AR535" s="5">
        <v>0</v>
      </c>
      <c r="AS535" s="5">
        <v>0</v>
      </c>
      <c r="AT535" s="5">
        <v>0</v>
      </c>
      <c r="AU535" s="5">
        <v>0</v>
      </c>
      <c r="AV535" s="5">
        <v>0</v>
      </c>
      <c r="AW535" s="815">
        <v>0</v>
      </c>
      <c r="AX535" s="816">
        <v>0</v>
      </c>
      <c r="AY535" s="819">
        <v>0</v>
      </c>
      <c r="AZ535" s="816"/>
      <c r="BA535" s="818"/>
      <c r="BB535" s="802" t="str" cm="1">
        <f t="array" ref="BB535">INDEX(C$4:BA$4,MATCH(TRUE,INDEX(C535:BA535&lt;&gt;0,),0))</f>
        <v>2012-13</v>
      </c>
      <c r="BC535" s="803" t="str" cm="1">
        <f t="array" ref="BC535">LOOKUP(2,1/(C535:BA535&lt;&gt;0),$C$4:$BA$4)</f>
        <v>2012-13</v>
      </c>
      <c r="BD535" s="804">
        <f>COUNTIF(RDprograms[[#This Row],[1978-79]:[2028-29]], "&gt;0")</f>
        <v>1</v>
      </c>
      <c r="BE535" s="805">
        <f>SUM(C535:BA535)/RDprograms[[#This Row],[Years with &gt; $0 investment]]</f>
        <v>7.0000000000000007E-2</v>
      </c>
      <c r="BF535" s="806" t="s">
        <v>273</v>
      </c>
      <c r="BG535" s="807" t="s">
        <v>510</v>
      </c>
      <c r="BH535" s="847" t="s">
        <v>474</v>
      </c>
      <c r="BI535" s="809"/>
      <c r="BJ535" s="809"/>
      <c r="BK535" s="809"/>
      <c r="BL535" s="809"/>
      <c r="BM535" s="809"/>
      <c r="BN535" s="810"/>
      <c r="BO535" s="811" t="s">
        <v>236</v>
      </c>
      <c r="BP535" s="812"/>
      <c r="BQ535" s="812"/>
      <c r="BR535" s="812"/>
      <c r="BS535" s="812"/>
      <c r="BT535" s="812" t="s">
        <v>238</v>
      </c>
    </row>
    <row r="536" spans="1:72" ht="12.75" customHeight="1">
      <c r="A536" s="813" t="s">
        <v>1319</v>
      </c>
      <c r="B536" s="820" t="s">
        <v>1352</v>
      </c>
      <c r="C536" s="5">
        <v>0</v>
      </c>
      <c r="D536" s="5">
        <v>0</v>
      </c>
      <c r="E536" s="5">
        <v>0</v>
      </c>
      <c r="F536" s="5">
        <v>0</v>
      </c>
      <c r="G536" s="5">
        <v>0</v>
      </c>
      <c r="H536" s="5">
        <v>0</v>
      </c>
      <c r="I536" s="5">
        <v>0</v>
      </c>
      <c r="J536" s="5">
        <v>0</v>
      </c>
      <c r="K536" s="5">
        <v>0</v>
      </c>
      <c r="L536" s="5">
        <v>0</v>
      </c>
      <c r="M536" s="5">
        <v>0</v>
      </c>
      <c r="N536" s="5">
        <v>0</v>
      </c>
      <c r="O536" s="5">
        <v>0</v>
      </c>
      <c r="P536" s="5">
        <v>0</v>
      </c>
      <c r="Q536" s="5">
        <v>0</v>
      </c>
      <c r="R536" s="5">
        <v>0</v>
      </c>
      <c r="S536" s="5">
        <v>0</v>
      </c>
      <c r="T536" s="5">
        <v>0</v>
      </c>
      <c r="U536" s="5">
        <v>0</v>
      </c>
      <c r="V536" s="5">
        <v>0</v>
      </c>
      <c r="W536" s="5">
        <v>0</v>
      </c>
      <c r="X536" s="5">
        <v>0</v>
      </c>
      <c r="Y536" s="5">
        <v>0</v>
      </c>
      <c r="Z536" s="5">
        <v>0</v>
      </c>
      <c r="AA536" s="5">
        <v>0</v>
      </c>
      <c r="AB536" s="5">
        <v>0</v>
      </c>
      <c r="AC536" s="5">
        <v>0</v>
      </c>
      <c r="AD536" s="5">
        <v>0</v>
      </c>
      <c r="AE536" s="5">
        <v>0</v>
      </c>
      <c r="AF536" s="5">
        <v>0</v>
      </c>
      <c r="AG536" s="5">
        <v>0</v>
      </c>
      <c r="AH536" s="5">
        <v>0</v>
      </c>
      <c r="AI536" s="5">
        <v>0.19600000000000001</v>
      </c>
      <c r="AJ536" s="5">
        <v>0</v>
      </c>
      <c r="AK536" s="5">
        <v>0</v>
      </c>
      <c r="AL536" s="5">
        <v>0</v>
      </c>
      <c r="AM536" s="5">
        <v>0</v>
      </c>
      <c r="AN536" s="5">
        <v>0</v>
      </c>
      <c r="AO536" s="5">
        <v>0</v>
      </c>
      <c r="AP536" s="5">
        <v>0</v>
      </c>
      <c r="AQ536" s="5">
        <v>0</v>
      </c>
      <c r="AR536" s="5">
        <v>0</v>
      </c>
      <c r="AS536" s="5">
        <v>0</v>
      </c>
      <c r="AT536" s="5">
        <v>0</v>
      </c>
      <c r="AU536" s="5">
        <v>0</v>
      </c>
      <c r="AV536" s="5">
        <v>0</v>
      </c>
      <c r="AW536" s="815">
        <v>0</v>
      </c>
      <c r="AX536" s="816">
        <v>0</v>
      </c>
      <c r="AY536" s="819">
        <v>0</v>
      </c>
      <c r="AZ536" s="816"/>
      <c r="BA536" s="818"/>
      <c r="BB536" s="802" t="str" cm="1">
        <f t="array" ref="BB536">INDEX(C$4:BA$4,MATCH(TRUE,INDEX(C536:BA536&lt;&gt;0,),0))</f>
        <v>2010-11</v>
      </c>
      <c r="BC536" s="803" t="str" cm="1">
        <f t="array" ref="BC536">LOOKUP(2,1/(C536:BA536&lt;&gt;0),$C$4:$BA$4)</f>
        <v>2010-11</v>
      </c>
      <c r="BD536" s="804">
        <f>COUNTIF(RDprograms[[#This Row],[1978-79]:[2028-29]], "&gt;0")</f>
        <v>1</v>
      </c>
      <c r="BE536" s="805">
        <f>SUM(C536:BA536)/RDprograms[[#This Row],[Years with &gt; $0 investment]]</f>
        <v>0.19600000000000001</v>
      </c>
      <c r="BF536" s="806" t="s">
        <v>273</v>
      </c>
      <c r="BG536" s="807" t="s">
        <v>510</v>
      </c>
      <c r="BH536" s="847" t="s">
        <v>241</v>
      </c>
      <c r="BI536" s="809"/>
      <c r="BJ536" s="809"/>
      <c r="BK536" s="809"/>
      <c r="BL536" s="809"/>
      <c r="BM536" s="809"/>
      <c r="BN536" s="810"/>
      <c r="BO536" s="811" t="s">
        <v>236</v>
      </c>
      <c r="BP536" s="812"/>
      <c r="BQ536" s="812"/>
      <c r="BR536" s="812"/>
      <c r="BS536" s="812"/>
      <c r="BT536" s="812" t="s">
        <v>238</v>
      </c>
    </row>
    <row r="537" spans="1:72" ht="12.75" customHeight="1">
      <c r="A537" s="813" t="s">
        <v>1319</v>
      </c>
      <c r="B537" s="820" t="s">
        <v>1353</v>
      </c>
      <c r="C537" s="5">
        <v>0</v>
      </c>
      <c r="D537" s="5">
        <v>0</v>
      </c>
      <c r="E537" s="5">
        <v>0</v>
      </c>
      <c r="F537" s="5">
        <v>0</v>
      </c>
      <c r="G537" s="5">
        <v>0</v>
      </c>
      <c r="H537" s="5">
        <v>0</v>
      </c>
      <c r="I537" s="5">
        <v>0</v>
      </c>
      <c r="J537" s="5">
        <v>0</v>
      </c>
      <c r="K537" s="5">
        <v>0</v>
      </c>
      <c r="L537" s="5">
        <v>0</v>
      </c>
      <c r="M537" s="5">
        <v>0</v>
      </c>
      <c r="N537" s="5">
        <v>0</v>
      </c>
      <c r="O537" s="5">
        <v>0</v>
      </c>
      <c r="P537" s="5">
        <v>0</v>
      </c>
      <c r="Q537" s="5">
        <v>0</v>
      </c>
      <c r="R537" s="5">
        <v>0</v>
      </c>
      <c r="S537" s="5">
        <v>0</v>
      </c>
      <c r="T537" s="5">
        <v>0</v>
      </c>
      <c r="U537" s="5">
        <v>0</v>
      </c>
      <c r="V537" s="5">
        <v>0</v>
      </c>
      <c r="W537" s="5">
        <v>0</v>
      </c>
      <c r="X537" s="5">
        <v>0</v>
      </c>
      <c r="Y537" s="5">
        <v>0</v>
      </c>
      <c r="Z537" s="5">
        <v>0</v>
      </c>
      <c r="AA537" s="5">
        <v>0</v>
      </c>
      <c r="AB537" s="5">
        <v>0</v>
      </c>
      <c r="AC537" s="5">
        <v>0</v>
      </c>
      <c r="AD537" s="5">
        <v>0</v>
      </c>
      <c r="AE537" s="5">
        <v>0</v>
      </c>
      <c r="AF537" s="5">
        <v>0.88600000000000001</v>
      </c>
      <c r="AG537" s="5">
        <v>3.5019999999999998</v>
      </c>
      <c r="AH537" s="5">
        <v>0</v>
      </c>
      <c r="AI537" s="5">
        <v>0</v>
      </c>
      <c r="AJ537" s="5">
        <v>0</v>
      </c>
      <c r="AK537" s="5">
        <v>0</v>
      </c>
      <c r="AL537" s="5">
        <v>0</v>
      </c>
      <c r="AM537" s="5">
        <v>0</v>
      </c>
      <c r="AN537" s="5">
        <v>0</v>
      </c>
      <c r="AO537" s="5">
        <v>0</v>
      </c>
      <c r="AP537" s="5">
        <v>0</v>
      </c>
      <c r="AQ537" s="5">
        <v>0</v>
      </c>
      <c r="AR537" s="5">
        <v>0</v>
      </c>
      <c r="AS537" s="5">
        <v>0</v>
      </c>
      <c r="AT537" s="5">
        <v>0</v>
      </c>
      <c r="AU537" s="5">
        <v>0</v>
      </c>
      <c r="AV537" s="5">
        <v>0</v>
      </c>
      <c r="AW537" s="815">
        <v>0</v>
      </c>
      <c r="AX537" s="816">
        <v>0</v>
      </c>
      <c r="AY537" s="819">
        <v>0</v>
      </c>
      <c r="AZ537" s="816"/>
      <c r="BA537" s="818"/>
      <c r="BB537" s="802" t="str" cm="1">
        <f t="array" ref="BB537">INDEX(C$4:BA$4,MATCH(TRUE,INDEX(C537:BA537&lt;&gt;0,),0))</f>
        <v>2007-08</v>
      </c>
      <c r="BC537" s="803" t="str" cm="1">
        <f t="array" ref="BC537">LOOKUP(2,1/(C537:BA537&lt;&gt;0),$C$4:$BA$4)</f>
        <v>2008-09</v>
      </c>
      <c r="BD537" s="804">
        <f>COUNTIF(RDprograms[[#This Row],[1978-79]:[2028-29]], "&gt;0")</f>
        <v>2</v>
      </c>
      <c r="BE537" s="805">
        <f>SUM(C537:BA537)/RDprograms[[#This Row],[Years with &gt; $0 investment]]</f>
        <v>2.194</v>
      </c>
      <c r="BF537" s="806" t="s">
        <v>273</v>
      </c>
      <c r="BG537" s="807" t="s">
        <v>510</v>
      </c>
      <c r="BH537" s="847" t="s">
        <v>241</v>
      </c>
      <c r="BI537" s="809"/>
      <c r="BJ537" s="809"/>
      <c r="BK537" s="809"/>
      <c r="BL537" s="809"/>
      <c r="BM537" s="809"/>
      <c r="BN537" s="810"/>
      <c r="BO537" s="811" t="s">
        <v>236</v>
      </c>
      <c r="BP537" s="812"/>
      <c r="BQ537" s="812"/>
      <c r="BR537" s="812"/>
      <c r="BS537" s="812"/>
      <c r="BT537" s="812" t="s">
        <v>238</v>
      </c>
    </row>
    <row r="538" spans="1:72" ht="12.75" customHeight="1">
      <c r="A538" s="813" t="s">
        <v>1319</v>
      </c>
      <c r="B538" s="820" t="s">
        <v>1354</v>
      </c>
      <c r="C538" s="5">
        <v>0</v>
      </c>
      <c r="D538" s="5">
        <v>0</v>
      </c>
      <c r="E538" s="5">
        <v>0</v>
      </c>
      <c r="F538" s="5">
        <v>0</v>
      </c>
      <c r="G538" s="5">
        <v>0</v>
      </c>
      <c r="H538" s="5">
        <v>0</v>
      </c>
      <c r="I538" s="5">
        <v>0</v>
      </c>
      <c r="J538" s="5">
        <v>0</v>
      </c>
      <c r="K538" s="5">
        <v>0</v>
      </c>
      <c r="L538" s="5">
        <v>0</v>
      </c>
      <c r="M538" s="5">
        <v>0</v>
      </c>
      <c r="N538" s="5">
        <v>0</v>
      </c>
      <c r="O538" s="5">
        <v>0</v>
      </c>
      <c r="P538" s="5">
        <v>0</v>
      </c>
      <c r="Q538" s="5">
        <v>0</v>
      </c>
      <c r="R538" s="5">
        <v>0</v>
      </c>
      <c r="S538" s="5">
        <v>0</v>
      </c>
      <c r="T538" s="5">
        <v>0</v>
      </c>
      <c r="U538" s="5">
        <v>0</v>
      </c>
      <c r="V538" s="5">
        <v>0</v>
      </c>
      <c r="W538" s="5">
        <v>0</v>
      </c>
      <c r="X538" s="5">
        <v>0</v>
      </c>
      <c r="Y538" s="5">
        <v>0</v>
      </c>
      <c r="Z538" s="5">
        <v>0</v>
      </c>
      <c r="AA538" s="5">
        <v>0</v>
      </c>
      <c r="AB538" s="5">
        <v>0</v>
      </c>
      <c r="AC538" s="5">
        <v>0</v>
      </c>
      <c r="AD538" s="5">
        <v>0</v>
      </c>
      <c r="AE538" s="5">
        <v>0</v>
      </c>
      <c r="AF538" s="5">
        <v>1.6</v>
      </c>
      <c r="AG538" s="5">
        <v>0.6</v>
      </c>
      <c r="AH538" s="5">
        <v>0.27500000000000002</v>
      </c>
      <c r="AI538" s="5">
        <v>7.1999999999999995E-2</v>
      </c>
      <c r="AJ538" s="5">
        <v>0</v>
      </c>
      <c r="AK538" s="5">
        <v>0</v>
      </c>
      <c r="AL538" s="5">
        <v>0</v>
      </c>
      <c r="AM538" s="5">
        <v>0</v>
      </c>
      <c r="AN538" s="5">
        <v>0</v>
      </c>
      <c r="AO538" s="5">
        <v>0</v>
      </c>
      <c r="AP538" s="5">
        <v>0</v>
      </c>
      <c r="AQ538" s="5">
        <v>0</v>
      </c>
      <c r="AR538" s="5">
        <v>0</v>
      </c>
      <c r="AS538" s="5">
        <v>0</v>
      </c>
      <c r="AT538" s="5">
        <v>0</v>
      </c>
      <c r="AU538" s="5">
        <v>0</v>
      </c>
      <c r="AV538" s="5">
        <v>0</v>
      </c>
      <c r="AW538" s="815">
        <v>0</v>
      </c>
      <c r="AX538" s="816">
        <v>0</v>
      </c>
      <c r="AY538" s="819">
        <v>0</v>
      </c>
      <c r="AZ538" s="816"/>
      <c r="BA538" s="818"/>
      <c r="BB538" s="802" t="str" cm="1">
        <f t="array" ref="BB538">INDEX(C$4:BA$4,MATCH(TRUE,INDEX(C538:BA538&lt;&gt;0,),0))</f>
        <v>2007-08</v>
      </c>
      <c r="BC538" s="803" t="str" cm="1">
        <f t="array" ref="BC538">LOOKUP(2,1/(C538:BA538&lt;&gt;0),$C$4:$BA$4)</f>
        <v>2010-11</v>
      </c>
      <c r="BD538" s="804">
        <f>COUNTIF(RDprograms[[#This Row],[1978-79]:[2028-29]], "&gt;0")</f>
        <v>4</v>
      </c>
      <c r="BE538" s="805">
        <f>SUM(C538:BA538)/RDprograms[[#This Row],[Years with &gt; $0 investment]]</f>
        <v>0.63675000000000004</v>
      </c>
      <c r="BF538" s="806" t="s">
        <v>273</v>
      </c>
      <c r="BG538" s="807" t="s">
        <v>510</v>
      </c>
      <c r="BH538" s="847" t="s">
        <v>241</v>
      </c>
      <c r="BI538" s="809"/>
      <c r="BJ538" s="809"/>
      <c r="BK538" s="809"/>
      <c r="BL538" s="809"/>
      <c r="BM538" s="809"/>
      <c r="BN538" s="810"/>
      <c r="BO538" s="811" t="s">
        <v>236</v>
      </c>
      <c r="BP538" s="812"/>
      <c r="BQ538" s="812"/>
      <c r="BR538" s="812"/>
      <c r="BS538" s="812"/>
      <c r="BT538" s="812" t="s">
        <v>238</v>
      </c>
    </row>
    <row r="539" spans="1:72" ht="12.75" customHeight="1">
      <c r="A539" s="813" t="s">
        <v>1319</v>
      </c>
      <c r="B539" s="820" t="s">
        <v>1355</v>
      </c>
      <c r="C539" s="5">
        <v>0</v>
      </c>
      <c r="D539" s="5">
        <v>0</v>
      </c>
      <c r="E539" s="5">
        <v>0</v>
      </c>
      <c r="F539" s="5">
        <v>0</v>
      </c>
      <c r="G539" s="5">
        <v>0</v>
      </c>
      <c r="H539" s="5">
        <v>0</v>
      </c>
      <c r="I539" s="5">
        <v>0</v>
      </c>
      <c r="J539" s="5">
        <v>0</v>
      </c>
      <c r="K539" s="5">
        <v>0</v>
      </c>
      <c r="L539" s="5">
        <v>0</v>
      </c>
      <c r="M539" s="5">
        <v>0</v>
      </c>
      <c r="N539" s="5">
        <v>0</v>
      </c>
      <c r="O539" s="5">
        <v>0</v>
      </c>
      <c r="P539" s="5">
        <v>0</v>
      </c>
      <c r="Q539" s="5">
        <v>0</v>
      </c>
      <c r="R539" s="5">
        <v>0</v>
      </c>
      <c r="S539" s="5">
        <v>0</v>
      </c>
      <c r="T539" s="5">
        <v>0</v>
      </c>
      <c r="U539" s="5">
        <v>0</v>
      </c>
      <c r="V539" s="5">
        <v>0</v>
      </c>
      <c r="W539" s="5">
        <v>0</v>
      </c>
      <c r="X539" s="5">
        <v>0</v>
      </c>
      <c r="Y539" s="5">
        <v>0</v>
      </c>
      <c r="Z539" s="5">
        <v>0</v>
      </c>
      <c r="AA539" s="5">
        <v>0</v>
      </c>
      <c r="AB539" s="5">
        <v>0</v>
      </c>
      <c r="AC539" s="5">
        <v>0</v>
      </c>
      <c r="AD539" s="5">
        <v>0</v>
      </c>
      <c r="AE539" s="5">
        <v>0</v>
      </c>
      <c r="AF539" s="5">
        <v>0</v>
      </c>
      <c r="AG539" s="5">
        <v>0</v>
      </c>
      <c r="AH539" s="5">
        <v>0</v>
      </c>
      <c r="AI539" s="5">
        <v>0</v>
      </c>
      <c r="AJ539" s="5">
        <v>0</v>
      </c>
      <c r="AK539" s="5">
        <v>0</v>
      </c>
      <c r="AL539" s="5">
        <v>0</v>
      </c>
      <c r="AM539" s="5">
        <v>0</v>
      </c>
      <c r="AN539" s="5">
        <v>0</v>
      </c>
      <c r="AO539" s="5">
        <v>3.8519999999999999</v>
      </c>
      <c r="AP539" s="816">
        <v>3.8679999999999999</v>
      </c>
      <c r="AQ539" s="816">
        <v>3.8940000000000001</v>
      </c>
      <c r="AR539" s="5">
        <v>5.4169999999999998</v>
      </c>
      <c r="AS539" s="5">
        <v>5.484</v>
      </c>
      <c r="AT539" s="5">
        <v>5.5279999999999996</v>
      </c>
      <c r="AU539" s="5">
        <v>5.6959999999999997</v>
      </c>
      <c r="AV539" s="5">
        <v>4.37</v>
      </c>
      <c r="AW539" s="815">
        <v>4.4880000000000004</v>
      </c>
      <c r="AX539" s="816">
        <v>4.5730000000000004</v>
      </c>
      <c r="AY539" s="819">
        <v>4.6660000000000004</v>
      </c>
      <c r="AZ539" s="816">
        <v>4.7629999999999999</v>
      </c>
      <c r="BA539" s="818"/>
      <c r="BB539" s="802" t="str" cm="1">
        <f t="array" ref="BB539">INDEX(C$4:BA$4,MATCH(TRUE,INDEX(C539:BA539&lt;&gt;0,),0))</f>
        <v>2016-17</v>
      </c>
      <c r="BC539" s="803" t="str" cm="1">
        <f t="array" ref="BC539">LOOKUP(2,1/(C539:BA539&lt;&gt;0),$C$4:$BA$4)</f>
        <v>2027-28</v>
      </c>
      <c r="BD539" s="804">
        <f>COUNTIF(RDprograms[[#This Row],[1978-79]:[2028-29]], "&gt;0")</f>
        <v>12</v>
      </c>
      <c r="BE539" s="805">
        <f>SUM(C539:BA539)/RDprograms[[#This Row],[Years with &gt; $0 investment]]</f>
        <v>4.7165833333333333</v>
      </c>
      <c r="BF539" s="806" t="s">
        <v>273</v>
      </c>
      <c r="BG539" s="807" t="s">
        <v>510</v>
      </c>
      <c r="BH539" s="847" t="s">
        <v>258</v>
      </c>
      <c r="BI539" s="809"/>
      <c r="BJ539" s="809"/>
      <c r="BK539" s="809"/>
      <c r="BL539" s="809"/>
      <c r="BM539" s="809"/>
      <c r="BN539" s="810">
        <v>1</v>
      </c>
      <c r="BO539" s="811" t="s">
        <v>236</v>
      </c>
      <c r="BP539" s="812" t="s">
        <v>1356</v>
      </c>
      <c r="BQ539" s="812"/>
      <c r="BR539" s="812"/>
      <c r="BS539" s="812"/>
      <c r="BT539" s="812" t="s">
        <v>238</v>
      </c>
    </row>
    <row r="540" spans="1:72" ht="12.75" customHeight="1">
      <c r="A540" s="813" t="s">
        <v>1319</v>
      </c>
      <c r="B540" s="820" t="s">
        <v>1357</v>
      </c>
      <c r="C540" s="5">
        <v>0</v>
      </c>
      <c r="D540" s="5">
        <v>0</v>
      </c>
      <c r="E540" s="5">
        <v>0</v>
      </c>
      <c r="F540" s="5">
        <v>0</v>
      </c>
      <c r="G540" s="5">
        <v>0</v>
      </c>
      <c r="H540" s="5">
        <v>0</v>
      </c>
      <c r="I540" s="5">
        <v>0</v>
      </c>
      <c r="J540" s="5">
        <v>0</v>
      </c>
      <c r="K540" s="5">
        <v>0</v>
      </c>
      <c r="L540" s="5">
        <v>0</v>
      </c>
      <c r="M540" s="5">
        <v>0</v>
      </c>
      <c r="N540" s="5">
        <v>0</v>
      </c>
      <c r="O540" s="5">
        <v>0</v>
      </c>
      <c r="P540" s="5">
        <v>0</v>
      </c>
      <c r="Q540" s="5">
        <v>0</v>
      </c>
      <c r="R540" s="5">
        <v>0</v>
      </c>
      <c r="S540" s="5">
        <v>0</v>
      </c>
      <c r="T540" s="5">
        <v>0</v>
      </c>
      <c r="U540" s="5">
        <v>0</v>
      </c>
      <c r="V540" s="5">
        <v>0</v>
      </c>
      <c r="W540" s="5">
        <v>0</v>
      </c>
      <c r="X540" s="5">
        <v>0</v>
      </c>
      <c r="Y540" s="5">
        <v>0</v>
      </c>
      <c r="Z540" s="5">
        <v>0</v>
      </c>
      <c r="AA540" s="5">
        <v>0</v>
      </c>
      <c r="AB540" s="5">
        <v>0</v>
      </c>
      <c r="AC540" s="5">
        <v>0</v>
      </c>
      <c r="AD540" s="5">
        <v>0</v>
      </c>
      <c r="AE540" s="5">
        <v>0</v>
      </c>
      <c r="AF540" s="5">
        <v>0</v>
      </c>
      <c r="AG540" s="5">
        <v>0</v>
      </c>
      <c r="AH540" s="5">
        <v>0</v>
      </c>
      <c r="AI540" s="5">
        <v>0</v>
      </c>
      <c r="AJ540" s="5">
        <v>0</v>
      </c>
      <c r="AK540" s="5">
        <v>0</v>
      </c>
      <c r="AL540" s="5">
        <v>0</v>
      </c>
      <c r="AM540" s="5">
        <v>0</v>
      </c>
      <c r="AN540" s="5">
        <v>0</v>
      </c>
      <c r="AO540" s="5">
        <v>0</v>
      </c>
      <c r="AP540" s="816">
        <v>0</v>
      </c>
      <c r="AQ540" s="816">
        <v>0</v>
      </c>
      <c r="AR540" s="5">
        <v>3.98</v>
      </c>
      <c r="AS540" s="5">
        <v>3.98</v>
      </c>
      <c r="AT540" s="5">
        <v>4</v>
      </c>
      <c r="AU540" s="5">
        <v>4</v>
      </c>
      <c r="AV540" s="5">
        <v>4</v>
      </c>
      <c r="AW540" s="815">
        <v>7.5</v>
      </c>
      <c r="AX540" s="816">
        <v>9.0500000000000007</v>
      </c>
      <c r="AY540" s="819">
        <v>5.35</v>
      </c>
      <c r="AZ540" s="816"/>
      <c r="BA540" s="818"/>
      <c r="BB540" s="802" t="str" cm="1">
        <f t="array" ref="BB540">INDEX(C$4:BA$4,MATCH(TRUE,INDEX(C540:BA540&lt;&gt;0,),0))</f>
        <v>2019-20</v>
      </c>
      <c r="BC540" s="803" t="str" cm="1">
        <f t="array" ref="BC540">LOOKUP(2,1/(C540:BA540&lt;&gt;0),$C$4:$BA$4)</f>
        <v>2026-27</v>
      </c>
      <c r="BD540" s="804">
        <f>COUNTIF(RDprograms[[#This Row],[1978-79]:[2028-29]], "&gt;0")</f>
        <v>8</v>
      </c>
      <c r="BE540" s="805">
        <f>SUM(C540:BA540)/RDprograms[[#This Row],[Years with &gt; $0 investment]]</f>
        <v>5.2325000000000008</v>
      </c>
      <c r="BF540" s="806" t="s">
        <v>273</v>
      </c>
      <c r="BG540" s="807" t="s">
        <v>510</v>
      </c>
      <c r="BH540" s="847" t="s">
        <v>258</v>
      </c>
      <c r="BI540" s="809"/>
      <c r="BJ540" s="809"/>
      <c r="BK540" s="809"/>
      <c r="BL540" s="809"/>
      <c r="BM540" s="809">
        <v>1</v>
      </c>
      <c r="BN540" s="810"/>
      <c r="BO540" s="811" t="s">
        <v>236</v>
      </c>
      <c r="BP540" s="812" t="s">
        <v>1358</v>
      </c>
      <c r="BQ540" s="812"/>
      <c r="BR540" s="812"/>
      <c r="BS540" s="812"/>
      <c r="BT540" s="812" t="s">
        <v>238</v>
      </c>
    </row>
    <row r="541" spans="1:72" ht="12.75" customHeight="1">
      <c r="A541" s="813" t="s">
        <v>1319</v>
      </c>
      <c r="B541" s="820" t="s">
        <v>1359</v>
      </c>
      <c r="C541" s="5">
        <v>0</v>
      </c>
      <c r="D541" s="5">
        <v>0</v>
      </c>
      <c r="E541" s="5">
        <v>0</v>
      </c>
      <c r="F541" s="5">
        <v>0</v>
      </c>
      <c r="G541" s="5">
        <v>0</v>
      </c>
      <c r="H541" s="5">
        <v>0</v>
      </c>
      <c r="I541" s="5">
        <v>0</v>
      </c>
      <c r="J541" s="5">
        <v>0</v>
      </c>
      <c r="K541" s="5">
        <v>0</v>
      </c>
      <c r="L541" s="5">
        <v>0</v>
      </c>
      <c r="M541" s="5">
        <v>0</v>
      </c>
      <c r="N541" s="5">
        <v>0</v>
      </c>
      <c r="O541" s="5">
        <v>0</v>
      </c>
      <c r="P541" s="5">
        <v>0</v>
      </c>
      <c r="Q541" s="5">
        <v>0</v>
      </c>
      <c r="R541" s="5">
        <v>0</v>
      </c>
      <c r="S541" s="5">
        <v>0</v>
      </c>
      <c r="T541" s="5">
        <v>0</v>
      </c>
      <c r="U541" s="5">
        <v>0</v>
      </c>
      <c r="V541" s="5">
        <v>0</v>
      </c>
      <c r="W541" s="5">
        <v>0</v>
      </c>
      <c r="X541" s="5">
        <v>0</v>
      </c>
      <c r="Y541" s="5">
        <v>0</v>
      </c>
      <c r="Z541" s="5">
        <v>0</v>
      </c>
      <c r="AA541" s="5">
        <v>0</v>
      </c>
      <c r="AB541" s="5">
        <v>0</v>
      </c>
      <c r="AC541" s="5">
        <v>0</v>
      </c>
      <c r="AD541" s="5">
        <v>0</v>
      </c>
      <c r="AE541" s="5">
        <v>0</v>
      </c>
      <c r="AF541" s="5">
        <v>0</v>
      </c>
      <c r="AG541" s="5">
        <v>0</v>
      </c>
      <c r="AH541" s="5">
        <v>0</v>
      </c>
      <c r="AI541" s="5">
        <v>0</v>
      </c>
      <c r="AJ541" s="5">
        <v>0</v>
      </c>
      <c r="AK541" s="5">
        <v>0</v>
      </c>
      <c r="AL541" s="5">
        <v>0</v>
      </c>
      <c r="AM541" s="5">
        <v>0</v>
      </c>
      <c r="AN541" s="5">
        <v>0</v>
      </c>
      <c r="AO541" s="5">
        <v>0</v>
      </c>
      <c r="AP541" s="816">
        <v>0</v>
      </c>
      <c r="AQ541" s="816">
        <v>0</v>
      </c>
      <c r="AR541" s="5">
        <v>0</v>
      </c>
      <c r="AS541" s="5">
        <v>0</v>
      </c>
      <c r="AT541" s="5">
        <v>0</v>
      </c>
      <c r="AU541" s="5">
        <v>3</v>
      </c>
      <c r="AV541" s="5">
        <v>3.1869999999999998</v>
      </c>
      <c r="AW541" s="815">
        <v>15.7</v>
      </c>
      <c r="AX541" s="816">
        <v>14.45</v>
      </c>
      <c r="AY541" s="819">
        <v>7.25</v>
      </c>
      <c r="AZ541" s="816"/>
      <c r="BA541" s="818"/>
      <c r="BB541" s="802" t="str" cm="1">
        <f t="array" ref="BB541">INDEX(C$4:BA$4,MATCH(TRUE,INDEX(C541:BA541&lt;&gt;0,),0))</f>
        <v>2022-23</v>
      </c>
      <c r="BC541" s="803" t="str" cm="1">
        <f t="array" ref="BC541">LOOKUP(2,1/(C541:BA541&lt;&gt;0),$C$4:$BA$4)</f>
        <v>2026-27</v>
      </c>
      <c r="BD541" s="804">
        <f>COUNTIF(RDprograms[[#This Row],[1978-79]:[2028-29]], "&gt;0")</f>
        <v>5</v>
      </c>
      <c r="BE541" s="805">
        <f>SUM(C541:BA541)/RDprograms[[#This Row],[Years with &gt; $0 investment]]</f>
        <v>8.7174000000000014</v>
      </c>
      <c r="BF541" s="806" t="s">
        <v>233</v>
      </c>
      <c r="BG541" s="807" t="s">
        <v>510</v>
      </c>
      <c r="BH541" s="847" t="s">
        <v>241</v>
      </c>
      <c r="BI541" s="809"/>
      <c r="BJ541" s="809"/>
      <c r="BK541" s="809"/>
      <c r="BL541" s="809"/>
      <c r="BM541" s="809"/>
      <c r="BN541" s="810">
        <v>1</v>
      </c>
      <c r="BO541" s="811" t="s">
        <v>236</v>
      </c>
      <c r="BP541" s="812" t="s">
        <v>1360</v>
      </c>
      <c r="BQ541" s="812" t="s">
        <v>1361</v>
      </c>
      <c r="BR541" s="812"/>
      <c r="BS541" s="812"/>
      <c r="BT541" s="812"/>
    </row>
    <row r="542" spans="1:72" ht="12.75" customHeight="1">
      <c r="A542" s="813" t="s">
        <v>1319</v>
      </c>
      <c r="B542" s="820" t="s">
        <v>1362</v>
      </c>
      <c r="C542" s="5">
        <v>0</v>
      </c>
      <c r="D542" s="5">
        <v>0</v>
      </c>
      <c r="E542" s="5">
        <v>0</v>
      </c>
      <c r="F542" s="5">
        <v>0</v>
      </c>
      <c r="G542" s="5">
        <v>0</v>
      </c>
      <c r="H542" s="5">
        <v>0</v>
      </c>
      <c r="I542" s="5">
        <v>0</v>
      </c>
      <c r="J542" s="5">
        <v>0</v>
      </c>
      <c r="K542" s="5">
        <v>0</v>
      </c>
      <c r="L542" s="5">
        <v>0</v>
      </c>
      <c r="M542" s="5">
        <v>0</v>
      </c>
      <c r="N542" s="5">
        <v>0</v>
      </c>
      <c r="O542" s="5">
        <v>0</v>
      </c>
      <c r="P542" s="5">
        <v>0</v>
      </c>
      <c r="Q542" s="5">
        <v>0</v>
      </c>
      <c r="R542" s="5">
        <v>0</v>
      </c>
      <c r="S542" s="5">
        <v>0</v>
      </c>
      <c r="T542" s="5">
        <v>0</v>
      </c>
      <c r="U542" s="5">
        <v>0</v>
      </c>
      <c r="V542" s="5">
        <v>0</v>
      </c>
      <c r="W542" s="5">
        <v>0</v>
      </c>
      <c r="X542" s="5">
        <v>0</v>
      </c>
      <c r="Y542" s="5">
        <v>0</v>
      </c>
      <c r="Z542" s="5">
        <v>0</v>
      </c>
      <c r="AA542" s="5">
        <v>0</v>
      </c>
      <c r="AB542" s="5">
        <v>0</v>
      </c>
      <c r="AC542" s="5">
        <v>0</v>
      </c>
      <c r="AD542" s="5">
        <v>0</v>
      </c>
      <c r="AE542" s="5">
        <v>0</v>
      </c>
      <c r="AF542" s="5">
        <v>0</v>
      </c>
      <c r="AG542" s="5">
        <v>0</v>
      </c>
      <c r="AH542" s="5">
        <v>0</v>
      </c>
      <c r="AI542" s="5">
        <v>0</v>
      </c>
      <c r="AJ542" s="5">
        <v>0</v>
      </c>
      <c r="AK542" s="5">
        <v>0</v>
      </c>
      <c r="AL542" s="5">
        <v>0</v>
      </c>
      <c r="AM542" s="5">
        <v>0</v>
      </c>
      <c r="AN542" s="5">
        <v>0</v>
      </c>
      <c r="AO542" s="5">
        <v>0</v>
      </c>
      <c r="AP542" s="5">
        <v>0</v>
      </c>
      <c r="AQ542" s="5">
        <v>0</v>
      </c>
      <c r="AR542" s="5">
        <v>0</v>
      </c>
      <c r="AS542" s="5">
        <v>0</v>
      </c>
      <c r="AT542" s="5">
        <v>0</v>
      </c>
      <c r="AU542" s="5">
        <v>0.06</v>
      </c>
      <c r="AV542" s="5">
        <v>0.03</v>
      </c>
      <c r="AW542" s="815">
        <v>0</v>
      </c>
      <c r="AX542" s="816">
        <v>0</v>
      </c>
      <c r="AY542" s="819">
        <v>0</v>
      </c>
      <c r="AZ542" s="816"/>
      <c r="BA542" s="818"/>
      <c r="BB542" s="802" t="str" cm="1">
        <f t="array" ref="BB542">INDEX(C$4:BA$4,MATCH(TRUE,INDEX(C542:BA542&lt;&gt;0,),0))</f>
        <v>2022-23</v>
      </c>
      <c r="BC542" s="803" t="str" cm="1">
        <f t="array" ref="BC542">LOOKUP(2,1/(C542:BA542&lt;&gt;0),$C$4:$BA$4)</f>
        <v>2023-24</v>
      </c>
      <c r="BD542" s="804">
        <f>COUNTIF(RDprograms[[#This Row],[1978-79]:[2028-29]], "&gt;0")</f>
        <v>2</v>
      </c>
      <c r="BE542" s="805">
        <f>SUM(C542:BA542)/RDprograms[[#This Row],[Years with &gt; $0 investment]]</f>
        <v>4.4999999999999998E-2</v>
      </c>
      <c r="BF542" s="806" t="s">
        <v>273</v>
      </c>
      <c r="BG542" s="807" t="s">
        <v>703</v>
      </c>
      <c r="BH542" s="847" t="s">
        <v>834</v>
      </c>
      <c r="BI542" s="809"/>
      <c r="BJ542" s="809"/>
      <c r="BK542" s="809"/>
      <c r="BL542" s="809"/>
      <c r="BM542" s="809"/>
      <c r="BN542" s="810"/>
      <c r="BO542" s="811" t="s">
        <v>236</v>
      </c>
      <c r="BP542" s="812" t="s">
        <v>1363</v>
      </c>
      <c r="BQ542" s="812" t="s">
        <v>1364</v>
      </c>
      <c r="BR542" s="812"/>
      <c r="BS542" s="812"/>
      <c r="BT542" s="812" t="s">
        <v>238</v>
      </c>
    </row>
    <row r="543" spans="1:72" ht="12.75" customHeight="1">
      <c r="A543" s="813" t="s">
        <v>1319</v>
      </c>
      <c r="B543" s="820" t="s">
        <v>1365</v>
      </c>
      <c r="C543" s="5">
        <v>0.3</v>
      </c>
      <c r="D543" s="5">
        <v>0.3</v>
      </c>
      <c r="E543" s="5">
        <v>0.3</v>
      </c>
      <c r="F543" s="5">
        <v>1.9</v>
      </c>
      <c r="G543" s="5">
        <v>2</v>
      </c>
      <c r="H543" s="5">
        <v>3</v>
      </c>
      <c r="I543" s="5">
        <v>2</v>
      </c>
      <c r="J543" s="5">
        <v>2</v>
      </c>
      <c r="K543" s="5">
        <v>2</v>
      </c>
      <c r="L543" s="5">
        <v>2</v>
      </c>
      <c r="M543" s="5">
        <v>2</v>
      </c>
      <c r="N543" s="5">
        <v>2</v>
      </c>
      <c r="O543" s="5">
        <v>2.2000000000000002</v>
      </c>
      <c r="P543" s="5">
        <v>2.2000000000000002</v>
      </c>
      <c r="Q543" s="5">
        <v>2.2000000000000002</v>
      </c>
      <c r="R543" s="5">
        <v>2.2000000000000002</v>
      </c>
      <c r="S543" s="5">
        <v>2.2000000000000002</v>
      </c>
      <c r="T543" s="5">
        <v>2.2999999999999998</v>
      </c>
      <c r="U543" s="5">
        <v>2.1</v>
      </c>
      <c r="V543" s="5">
        <v>2.2000000000000002</v>
      </c>
      <c r="W543" s="5">
        <v>1.4</v>
      </c>
      <c r="X543" s="5">
        <v>2.2000000000000002</v>
      </c>
      <c r="Y543" s="5">
        <v>1.8</v>
      </c>
      <c r="Z543" s="5">
        <v>1.8</v>
      </c>
      <c r="AA543" s="5">
        <v>1.8</v>
      </c>
      <c r="AB543" s="5">
        <v>1.9</v>
      </c>
      <c r="AC543" s="5">
        <v>1.9</v>
      </c>
      <c r="AD543" s="5">
        <v>2.2000000000000002</v>
      </c>
      <c r="AE543" s="5">
        <v>2.2000000000000002</v>
      </c>
      <c r="AF543" s="5">
        <v>2.8</v>
      </c>
      <c r="AG543" s="5">
        <v>2.74</v>
      </c>
      <c r="AH543" s="5">
        <v>3.1309999999999998</v>
      </c>
      <c r="AI543" s="5">
        <v>3.214</v>
      </c>
      <c r="AJ543" s="5">
        <v>3.3109999999999999</v>
      </c>
      <c r="AK543" s="5">
        <v>3.387</v>
      </c>
      <c r="AL543" s="5">
        <v>3.0259999999999998</v>
      </c>
      <c r="AM543" s="5">
        <v>3.0760000000000001</v>
      </c>
      <c r="AN543" s="5">
        <v>3.742</v>
      </c>
      <c r="AO543" s="5">
        <v>3.6469999999999998</v>
      </c>
      <c r="AP543" s="5">
        <v>3.72</v>
      </c>
      <c r="AQ543" s="5">
        <v>3.5950000000000002</v>
      </c>
      <c r="AR543" s="5">
        <v>3.339</v>
      </c>
      <c r="AS543" s="5">
        <v>4.391</v>
      </c>
      <c r="AT543" s="5">
        <v>5.2889999999999997</v>
      </c>
      <c r="AU543" s="5">
        <v>4.0780000000000003</v>
      </c>
      <c r="AV543" s="5">
        <v>3.53</v>
      </c>
      <c r="AW543" s="815">
        <v>3.4820000000000002</v>
      </c>
      <c r="AX543" s="816">
        <v>0</v>
      </c>
      <c r="AY543" s="819">
        <v>0</v>
      </c>
      <c r="AZ543" s="816"/>
      <c r="BA543" s="818"/>
      <c r="BB543" s="802" t="str" cm="1">
        <f t="array" ref="BB543">INDEX(C$4:BA$4,MATCH(TRUE,INDEX(C543:BA543&lt;&gt;0,),0))</f>
        <v>1978-79</v>
      </c>
      <c r="BC543" s="803" t="str" cm="1">
        <f t="array" ref="BC543">LOOKUP(2,1/(C543:BA543&lt;&gt;0),$C$4:$BA$4)</f>
        <v>2024-25</v>
      </c>
      <c r="BD543" s="804">
        <f>COUNTIF(RDprograms[[#This Row],[1978-79]:[2028-29]], "&gt;0")</f>
        <v>47</v>
      </c>
      <c r="BE543" s="805">
        <f>SUM(C543:BA543)/RDprograms[[#This Row],[Years with &gt; $0 investment]]</f>
        <v>2.5127234042553193</v>
      </c>
      <c r="BF543" s="806" t="s">
        <v>273</v>
      </c>
      <c r="BG543" s="807" t="s">
        <v>510</v>
      </c>
      <c r="BH543" s="847" t="s">
        <v>241</v>
      </c>
      <c r="BI543" s="809"/>
      <c r="BJ543" s="809"/>
      <c r="BK543" s="809"/>
      <c r="BL543" s="809"/>
      <c r="BM543" s="809"/>
      <c r="BN543" s="810"/>
      <c r="BO543" s="811" t="s">
        <v>236</v>
      </c>
      <c r="BP543" s="812" t="s">
        <v>1366</v>
      </c>
      <c r="BQ543" s="812"/>
      <c r="BR543" s="812"/>
      <c r="BS543" s="812"/>
      <c r="BT543" s="812" t="s">
        <v>238</v>
      </c>
    </row>
    <row r="544" spans="1:72" ht="12.75" customHeight="1">
      <c r="A544" s="813" t="s">
        <v>1319</v>
      </c>
      <c r="B544" s="820" t="s">
        <v>1367</v>
      </c>
      <c r="C544" s="5">
        <v>0</v>
      </c>
      <c r="D544" s="5">
        <v>0</v>
      </c>
      <c r="E544" s="5">
        <v>0</v>
      </c>
      <c r="F544" s="5">
        <v>0</v>
      </c>
      <c r="G544" s="5">
        <v>0</v>
      </c>
      <c r="H544" s="5">
        <v>0</v>
      </c>
      <c r="I544" s="5">
        <v>0</v>
      </c>
      <c r="J544" s="5">
        <v>0</v>
      </c>
      <c r="K544" s="5">
        <v>0</v>
      </c>
      <c r="L544" s="5">
        <v>0</v>
      </c>
      <c r="M544" s="5">
        <v>0</v>
      </c>
      <c r="N544" s="5">
        <v>0</v>
      </c>
      <c r="O544" s="5">
        <v>0</v>
      </c>
      <c r="P544" s="5">
        <v>0</v>
      </c>
      <c r="Q544" s="5">
        <v>0</v>
      </c>
      <c r="R544" s="5">
        <v>0</v>
      </c>
      <c r="S544" s="5">
        <v>0</v>
      </c>
      <c r="T544" s="5">
        <v>0</v>
      </c>
      <c r="U544" s="5">
        <v>0</v>
      </c>
      <c r="V544" s="5">
        <v>0</v>
      </c>
      <c r="W544" s="5">
        <v>0</v>
      </c>
      <c r="X544" s="5">
        <v>0</v>
      </c>
      <c r="Y544" s="5">
        <v>0</v>
      </c>
      <c r="Z544" s="5">
        <v>0</v>
      </c>
      <c r="AA544" s="5">
        <v>0.13703218</v>
      </c>
      <c r="AB544" s="5">
        <v>0.17095959999999999</v>
      </c>
      <c r="AC544" s="5">
        <v>0.16</v>
      </c>
      <c r="AD544" s="5">
        <v>0.183</v>
      </c>
      <c r="AE544" s="5">
        <v>0.216</v>
      </c>
      <c r="AF544" s="5">
        <v>0.223</v>
      </c>
      <c r="AG544" s="5">
        <v>0.125</v>
      </c>
      <c r="AH544" s="5">
        <v>0.19500000000000001</v>
      </c>
      <c r="AI544" s="5">
        <v>0.22800000000000001</v>
      </c>
      <c r="AJ544" s="5">
        <v>0.22800000000000001</v>
      </c>
      <c r="AK544" s="5">
        <v>0</v>
      </c>
      <c r="AL544" s="5">
        <v>0.22700000000000001</v>
      </c>
      <c r="AM544" s="5">
        <v>0</v>
      </c>
      <c r="AN544" s="5">
        <v>0</v>
      </c>
      <c r="AO544" s="5">
        <v>0</v>
      </c>
      <c r="AP544" s="5">
        <v>0</v>
      </c>
      <c r="AQ544" s="5">
        <v>0</v>
      </c>
      <c r="AR544" s="5">
        <v>0</v>
      </c>
      <c r="AS544" s="5">
        <v>0</v>
      </c>
      <c r="AT544" s="5">
        <v>0</v>
      </c>
      <c r="AU544" s="5">
        <v>0</v>
      </c>
      <c r="AV544" s="5">
        <v>0</v>
      </c>
      <c r="AW544" s="815">
        <v>0</v>
      </c>
      <c r="AX544" s="816">
        <v>0</v>
      </c>
      <c r="AY544" s="819">
        <v>0</v>
      </c>
      <c r="AZ544" s="816"/>
      <c r="BA544" s="818"/>
      <c r="BB544" s="802" t="str" cm="1">
        <f t="array" ref="BB544">INDEX(C$4:BA$4,MATCH(TRUE,INDEX(C544:BA544&lt;&gt;0,),0))</f>
        <v>2002-03</v>
      </c>
      <c r="BC544" s="803" t="str" cm="1">
        <f t="array" ref="BC544">LOOKUP(2,1/(C544:BA544&lt;&gt;0),$C$4:$BA$4)</f>
        <v>2013-14</v>
      </c>
      <c r="BD544" s="804">
        <f>COUNTIF(RDprograms[[#This Row],[1978-79]:[2028-29]], "&gt;0")</f>
        <v>11</v>
      </c>
      <c r="BE544" s="805">
        <f>SUM(C544:BA544)/RDprograms[[#This Row],[Years with &gt; $0 investment]]</f>
        <v>0.19027198000000001</v>
      </c>
      <c r="BF544" s="806" t="s">
        <v>273</v>
      </c>
      <c r="BG544" s="807" t="s">
        <v>397</v>
      </c>
      <c r="BH544" s="847" t="s">
        <v>235</v>
      </c>
      <c r="BI544" s="809"/>
      <c r="BJ544" s="809"/>
      <c r="BK544" s="809"/>
      <c r="BL544" s="809"/>
      <c r="BM544" s="809"/>
      <c r="BN544" s="810"/>
      <c r="BO544" s="811" t="s">
        <v>236</v>
      </c>
      <c r="BP544" s="812"/>
      <c r="BQ544" s="812"/>
      <c r="BR544" s="812"/>
      <c r="BS544" s="812"/>
      <c r="BT544" s="812" t="s">
        <v>238</v>
      </c>
    </row>
    <row r="545" spans="1:74" ht="12.75" customHeight="1">
      <c r="A545" s="813" t="s">
        <v>1319</v>
      </c>
      <c r="B545" s="820" t="s">
        <v>1368</v>
      </c>
      <c r="C545" s="5">
        <v>0</v>
      </c>
      <c r="D545" s="5">
        <v>0</v>
      </c>
      <c r="E545" s="5">
        <v>0</v>
      </c>
      <c r="F545" s="5">
        <v>0</v>
      </c>
      <c r="G545" s="5">
        <v>0</v>
      </c>
      <c r="H545" s="5">
        <v>0</v>
      </c>
      <c r="I545" s="5">
        <v>0</v>
      </c>
      <c r="J545" s="5">
        <v>0</v>
      </c>
      <c r="K545" s="5">
        <v>0</v>
      </c>
      <c r="L545" s="5">
        <v>0</v>
      </c>
      <c r="M545" s="5">
        <v>0</v>
      </c>
      <c r="N545" s="5">
        <v>0</v>
      </c>
      <c r="O545" s="5">
        <v>0</v>
      </c>
      <c r="P545" s="5">
        <v>0</v>
      </c>
      <c r="Q545" s="5">
        <v>0</v>
      </c>
      <c r="R545" s="5">
        <v>0</v>
      </c>
      <c r="S545" s="5">
        <v>0</v>
      </c>
      <c r="T545" s="5">
        <v>0</v>
      </c>
      <c r="U545" s="5">
        <v>0</v>
      </c>
      <c r="V545" s="5">
        <v>0</v>
      </c>
      <c r="W545" s="5">
        <v>0</v>
      </c>
      <c r="X545" s="5">
        <v>0</v>
      </c>
      <c r="Y545" s="5">
        <v>0</v>
      </c>
      <c r="Z545" s="5">
        <v>0</v>
      </c>
      <c r="AA545" s="5">
        <v>5.4219999999999997E-2</v>
      </c>
      <c r="AB545" s="5">
        <v>6.6545439999999997E-2</v>
      </c>
      <c r="AC545" s="5">
        <v>6.6000000000000003E-2</v>
      </c>
      <c r="AD545" s="5">
        <v>0</v>
      </c>
      <c r="AE545" s="5">
        <v>0</v>
      </c>
      <c r="AF545" s="5">
        <v>0</v>
      </c>
      <c r="AG545" s="5">
        <v>0</v>
      </c>
      <c r="AH545" s="5">
        <v>0</v>
      </c>
      <c r="AI545" s="5">
        <v>0</v>
      </c>
      <c r="AJ545" s="5">
        <v>0</v>
      </c>
      <c r="AK545" s="5">
        <v>0</v>
      </c>
      <c r="AL545" s="5">
        <v>0</v>
      </c>
      <c r="AM545" s="5">
        <v>0</v>
      </c>
      <c r="AN545" s="5">
        <v>0</v>
      </c>
      <c r="AO545" s="5">
        <v>0</v>
      </c>
      <c r="AP545" s="5">
        <v>0</v>
      </c>
      <c r="AQ545" s="5">
        <v>0</v>
      </c>
      <c r="AR545" s="5">
        <v>0</v>
      </c>
      <c r="AS545" s="5">
        <v>0</v>
      </c>
      <c r="AT545" s="5">
        <v>0</v>
      </c>
      <c r="AU545" s="5">
        <v>0</v>
      </c>
      <c r="AV545" s="5">
        <v>0</v>
      </c>
      <c r="AW545" s="815">
        <v>0</v>
      </c>
      <c r="AX545" s="816">
        <v>0</v>
      </c>
      <c r="AY545" s="819">
        <v>0</v>
      </c>
      <c r="AZ545" s="816"/>
      <c r="BA545" s="818"/>
      <c r="BB545" s="802" t="str" cm="1">
        <f t="array" ref="BB545">INDEX(C$4:BA$4,MATCH(TRUE,INDEX(C545:BA545&lt;&gt;0,),0))</f>
        <v>2002-03</v>
      </c>
      <c r="BC545" s="803" t="str" cm="1">
        <f t="array" ref="BC545">LOOKUP(2,1/(C545:BA545&lt;&gt;0),$C$4:$BA$4)</f>
        <v>2004-05</v>
      </c>
      <c r="BD545" s="804">
        <f>COUNTIF(RDprograms[[#This Row],[1978-79]:[2028-29]], "&gt;0")</f>
        <v>3</v>
      </c>
      <c r="BE545" s="805">
        <f>SUM(C545:BA545)/RDprograms[[#This Row],[Years with &gt; $0 investment]]</f>
        <v>6.2255146666666671E-2</v>
      </c>
      <c r="BF545" s="806" t="s">
        <v>273</v>
      </c>
      <c r="BG545" s="807" t="s">
        <v>389</v>
      </c>
      <c r="BH545" s="847" t="s">
        <v>235</v>
      </c>
      <c r="BI545" s="33"/>
      <c r="BJ545" s="33"/>
      <c r="BK545" s="33"/>
      <c r="BL545" s="33"/>
      <c r="BM545" s="33"/>
      <c r="BN545" s="842"/>
      <c r="BO545" s="811" t="s">
        <v>236</v>
      </c>
      <c r="BP545" s="843"/>
      <c r="BQ545" s="812"/>
      <c r="BR545" s="812"/>
      <c r="BS545" s="812"/>
      <c r="BT545" s="812" t="s">
        <v>238</v>
      </c>
    </row>
    <row r="546" spans="1:74" ht="12.75" customHeight="1">
      <c r="A546" s="813" t="s">
        <v>1319</v>
      </c>
      <c r="B546" s="820" t="s">
        <v>1369</v>
      </c>
      <c r="C546" s="5">
        <v>0</v>
      </c>
      <c r="D546" s="5">
        <v>0</v>
      </c>
      <c r="E546" s="5">
        <v>0</v>
      </c>
      <c r="F546" s="5">
        <v>0</v>
      </c>
      <c r="G546" s="5">
        <v>0</v>
      </c>
      <c r="H546" s="5">
        <v>0</v>
      </c>
      <c r="I546" s="5">
        <v>0</v>
      </c>
      <c r="J546" s="5">
        <v>0</v>
      </c>
      <c r="K546" s="5">
        <v>0</v>
      </c>
      <c r="L546" s="5">
        <v>0</v>
      </c>
      <c r="M546" s="5">
        <v>0</v>
      </c>
      <c r="N546" s="5">
        <v>0</v>
      </c>
      <c r="O546" s="5">
        <v>0</v>
      </c>
      <c r="P546" s="5">
        <v>0</v>
      </c>
      <c r="Q546" s="5">
        <v>0</v>
      </c>
      <c r="R546" s="5">
        <v>0</v>
      </c>
      <c r="S546" s="5">
        <v>0</v>
      </c>
      <c r="T546" s="5">
        <v>0</v>
      </c>
      <c r="U546" s="5">
        <v>0</v>
      </c>
      <c r="V546" s="5">
        <v>0</v>
      </c>
      <c r="W546" s="5">
        <v>0</v>
      </c>
      <c r="X546" s="5">
        <v>0</v>
      </c>
      <c r="Y546" s="5">
        <v>0</v>
      </c>
      <c r="Z546" s="5">
        <v>0</v>
      </c>
      <c r="AA546" s="5">
        <v>0</v>
      </c>
      <c r="AB546" s="5">
        <v>0</v>
      </c>
      <c r="AC546" s="5">
        <v>0</v>
      </c>
      <c r="AD546" s="5">
        <v>0</v>
      </c>
      <c r="AE546" s="5">
        <v>0</v>
      </c>
      <c r="AF546" s="5">
        <v>0</v>
      </c>
      <c r="AG546" s="5">
        <v>0</v>
      </c>
      <c r="AH546" s="5">
        <v>0</v>
      </c>
      <c r="AI546" s="5">
        <v>0</v>
      </c>
      <c r="AJ546" s="5">
        <v>0</v>
      </c>
      <c r="AK546" s="5">
        <v>0</v>
      </c>
      <c r="AL546" s="5">
        <v>0</v>
      </c>
      <c r="AM546" s="5">
        <v>0</v>
      </c>
      <c r="AN546" s="5">
        <v>0</v>
      </c>
      <c r="AO546" s="5">
        <v>0</v>
      </c>
      <c r="AP546" s="5">
        <v>0.4</v>
      </c>
      <c r="AQ546" s="5">
        <v>0.4</v>
      </c>
      <c r="AR546" s="5">
        <v>0.4</v>
      </c>
      <c r="AS546" s="5">
        <v>0</v>
      </c>
      <c r="AT546" s="5">
        <v>0.4</v>
      </c>
      <c r="AU546" s="5">
        <v>1</v>
      </c>
      <c r="AV546" s="5">
        <v>2</v>
      </c>
      <c r="AW546" s="849">
        <v>2</v>
      </c>
      <c r="AX546" s="5">
        <v>2</v>
      </c>
      <c r="AY546" s="850">
        <v>0</v>
      </c>
      <c r="AZ546" s="816"/>
      <c r="BA546" s="818"/>
      <c r="BB546" s="802" t="str" cm="1">
        <f t="array" ref="BB546">INDEX(C$4:BA$4,MATCH(TRUE,INDEX(C546:BA546&lt;&gt;0,),0))</f>
        <v>2017-18</v>
      </c>
      <c r="BC546" s="803" t="str" cm="1">
        <f t="array" ref="BC546">LOOKUP(2,1/(C546:BA546&lt;&gt;0),$C$4:$BA$4)</f>
        <v>2025-26</v>
      </c>
      <c r="BD546" s="804">
        <f>COUNTIF(RDprograms[[#This Row],[1978-79]:[2028-29]], "&gt;0")</f>
        <v>8</v>
      </c>
      <c r="BE546" s="805">
        <f>SUM(C546:BA546)/RDprograms[[#This Row],[Years with &gt; $0 investment]]</f>
        <v>1.075</v>
      </c>
      <c r="BF546" s="806" t="s">
        <v>273</v>
      </c>
      <c r="BG546" s="807" t="s">
        <v>362</v>
      </c>
      <c r="BH546" s="847" t="s">
        <v>241</v>
      </c>
      <c r="BI546" s="809"/>
      <c r="BJ546" s="809"/>
      <c r="BK546" s="809"/>
      <c r="BL546" s="809"/>
      <c r="BM546" s="809"/>
      <c r="BN546" s="810">
        <v>1</v>
      </c>
      <c r="BO546" s="811" t="s">
        <v>236</v>
      </c>
      <c r="BP546" s="812" t="s">
        <v>1370</v>
      </c>
      <c r="BQ546" s="812"/>
      <c r="BR546" s="812"/>
      <c r="BS546" s="812"/>
      <c r="BT546" s="812" t="s">
        <v>238</v>
      </c>
    </row>
    <row r="547" spans="1:74" ht="12.75" customHeight="1">
      <c r="A547" s="813" t="s">
        <v>1319</v>
      </c>
      <c r="B547" s="820" t="s">
        <v>1371</v>
      </c>
      <c r="C547" s="5">
        <v>0</v>
      </c>
      <c r="D547" s="5">
        <v>0</v>
      </c>
      <c r="E547" s="5">
        <v>0</v>
      </c>
      <c r="F547" s="5">
        <v>0</v>
      </c>
      <c r="G547" s="5">
        <v>0</v>
      </c>
      <c r="H547" s="5">
        <v>0</v>
      </c>
      <c r="I547" s="5">
        <v>0</v>
      </c>
      <c r="J547" s="5">
        <v>0</v>
      </c>
      <c r="K547" s="5">
        <v>0</v>
      </c>
      <c r="L547" s="5">
        <v>0</v>
      </c>
      <c r="M547" s="5">
        <v>0</v>
      </c>
      <c r="N547" s="5">
        <v>0</v>
      </c>
      <c r="O547" s="5">
        <v>0</v>
      </c>
      <c r="P547" s="5">
        <v>0</v>
      </c>
      <c r="Q547" s="5">
        <v>0</v>
      </c>
      <c r="R547" s="5">
        <v>0</v>
      </c>
      <c r="S547" s="5">
        <v>0</v>
      </c>
      <c r="T547" s="5">
        <v>0</v>
      </c>
      <c r="U547" s="5">
        <v>0</v>
      </c>
      <c r="V547" s="5">
        <v>0</v>
      </c>
      <c r="W547" s="5">
        <v>0</v>
      </c>
      <c r="X547" s="5">
        <v>0</v>
      </c>
      <c r="Y547" s="5">
        <v>0</v>
      </c>
      <c r="Z547" s="5">
        <v>0</v>
      </c>
      <c r="AA547" s="5">
        <v>0</v>
      </c>
      <c r="AB547" s="5">
        <v>0</v>
      </c>
      <c r="AC547" s="5">
        <v>0</v>
      </c>
      <c r="AD547" s="5">
        <v>0</v>
      </c>
      <c r="AE547" s="5">
        <v>0</v>
      </c>
      <c r="AF547" s="5">
        <v>0</v>
      </c>
      <c r="AG547" s="5">
        <v>0</v>
      </c>
      <c r="AH547" s="5">
        <v>0</v>
      </c>
      <c r="AI547" s="5">
        <v>0</v>
      </c>
      <c r="AJ547" s="5">
        <v>0</v>
      </c>
      <c r="AK547" s="5">
        <v>0</v>
      </c>
      <c r="AL547" s="5">
        <v>0</v>
      </c>
      <c r="AM547" s="5">
        <v>0</v>
      </c>
      <c r="AN547" s="5">
        <v>0</v>
      </c>
      <c r="AO547" s="5">
        <v>0</v>
      </c>
      <c r="AP547" s="5">
        <v>0</v>
      </c>
      <c r="AQ547" s="5">
        <v>0</v>
      </c>
      <c r="AR547" s="5">
        <v>0</v>
      </c>
      <c r="AS547" s="5">
        <v>0</v>
      </c>
      <c r="AT547" s="5">
        <v>0</v>
      </c>
      <c r="AU547" s="5">
        <v>1.2813000000000001</v>
      </c>
      <c r="AV547" s="816">
        <v>1.1383019999999999</v>
      </c>
      <c r="AW547" s="815">
        <v>2.3998650000000001</v>
      </c>
      <c r="AX547" s="816">
        <v>1.5</v>
      </c>
      <c r="AY547" s="817">
        <v>0</v>
      </c>
      <c r="AZ547" s="826"/>
      <c r="BA547" s="838"/>
      <c r="BB547" s="802" t="str" cm="1">
        <f t="array" ref="BB547">INDEX(C$4:BA$4,MATCH(TRUE,INDEX(C547:BA547&lt;&gt;0,),0))</f>
        <v>2022-23</v>
      </c>
      <c r="BC547" s="803" t="str" cm="1">
        <f t="array" ref="BC547">LOOKUP(2,1/(C547:BA547&lt;&gt;0),$C$4:$BA$4)</f>
        <v>2025-26</v>
      </c>
      <c r="BD547" s="839">
        <f>COUNTIF(RDprograms[[#This Row],[1978-79]:[2028-29]], "&gt;0")</f>
        <v>4</v>
      </c>
      <c r="BE547" s="805">
        <f>SUM(C547:BA547)/RDprograms[[#This Row],[Years with &gt; $0 investment]]</f>
        <v>1.5798667500000001</v>
      </c>
      <c r="BF547" s="806" t="s">
        <v>273</v>
      </c>
      <c r="BG547" s="807" t="s">
        <v>510</v>
      </c>
      <c r="BH547" s="847" t="s">
        <v>241</v>
      </c>
      <c r="BI547" s="809"/>
      <c r="BJ547" s="809"/>
      <c r="BK547" s="809"/>
      <c r="BL547" s="809"/>
      <c r="BM547" s="809"/>
      <c r="BN547" s="810">
        <v>1</v>
      </c>
      <c r="BO547" s="811" t="s">
        <v>236</v>
      </c>
      <c r="BP547" s="812" t="s">
        <v>1372</v>
      </c>
      <c r="BQ547" s="812"/>
      <c r="BR547" s="812"/>
      <c r="BS547" s="812"/>
      <c r="BT547" s="812"/>
      <c r="BU547" s="454"/>
      <c r="BV547" s="455"/>
    </row>
    <row r="548" spans="1:74" ht="12.75" customHeight="1">
      <c r="A548" s="813" t="s">
        <v>1319</v>
      </c>
      <c r="B548" s="820" t="s">
        <v>1373</v>
      </c>
      <c r="C548" s="5">
        <v>0</v>
      </c>
      <c r="D548" s="5">
        <v>0</v>
      </c>
      <c r="E548" s="5">
        <v>0</v>
      </c>
      <c r="F548" s="5">
        <v>0</v>
      </c>
      <c r="G548" s="5">
        <v>0</v>
      </c>
      <c r="H548" s="5">
        <v>0</v>
      </c>
      <c r="I548" s="5">
        <v>0</v>
      </c>
      <c r="J548" s="5">
        <v>0</v>
      </c>
      <c r="K548" s="5">
        <v>0</v>
      </c>
      <c r="L548" s="5">
        <v>0</v>
      </c>
      <c r="M548" s="5">
        <v>0</v>
      </c>
      <c r="N548" s="5">
        <v>0</v>
      </c>
      <c r="O548" s="5">
        <v>0</v>
      </c>
      <c r="P548" s="5">
        <v>0</v>
      </c>
      <c r="Q548" s="5">
        <v>0</v>
      </c>
      <c r="R548" s="5">
        <v>0</v>
      </c>
      <c r="S548" s="5">
        <v>0</v>
      </c>
      <c r="T548" s="5">
        <v>0</v>
      </c>
      <c r="U548" s="5">
        <v>0</v>
      </c>
      <c r="V548" s="5">
        <v>0</v>
      </c>
      <c r="W548" s="5">
        <v>0</v>
      </c>
      <c r="X548" s="5">
        <v>0</v>
      </c>
      <c r="Y548" s="5">
        <v>0</v>
      </c>
      <c r="Z548" s="5">
        <v>0</v>
      </c>
      <c r="AA548" s="5">
        <v>0</v>
      </c>
      <c r="AB548" s="5">
        <v>0</v>
      </c>
      <c r="AC548" s="5">
        <v>0</v>
      </c>
      <c r="AD548" s="5">
        <v>0</v>
      </c>
      <c r="AE548" s="5">
        <v>0</v>
      </c>
      <c r="AF548" s="5">
        <v>0</v>
      </c>
      <c r="AG548" s="5">
        <v>0</v>
      </c>
      <c r="AH548" s="5">
        <v>0</v>
      </c>
      <c r="AI548" s="5">
        <v>0</v>
      </c>
      <c r="AJ548" s="5">
        <v>0</v>
      </c>
      <c r="AK548" s="5">
        <v>0</v>
      </c>
      <c r="AL548" s="5">
        <v>0</v>
      </c>
      <c r="AM548" s="5">
        <v>0</v>
      </c>
      <c r="AN548" s="5">
        <v>0</v>
      </c>
      <c r="AO548" s="5">
        <v>0</v>
      </c>
      <c r="AP548" s="5">
        <v>0</v>
      </c>
      <c r="AQ548" s="5">
        <v>0</v>
      </c>
      <c r="AR548" s="5">
        <v>0</v>
      </c>
      <c r="AS548" s="5">
        <v>4.9690000000000003</v>
      </c>
      <c r="AT548" s="5">
        <v>2.7440000000000002</v>
      </c>
      <c r="AU548" s="5">
        <v>4.2859999999999996</v>
      </c>
      <c r="AV548" s="5">
        <v>0</v>
      </c>
      <c r="AW548" s="815">
        <v>0</v>
      </c>
      <c r="AX548" s="816">
        <v>0</v>
      </c>
      <c r="AY548" s="819">
        <v>0</v>
      </c>
      <c r="AZ548" s="816"/>
      <c r="BA548" s="818"/>
      <c r="BB548" s="802" t="str" cm="1">
        <f t="array" ref="BB548">INDEX(C$4:BA$4,MATCH(TRUE,INDEX(C548:BA548&lt;&gt;0,),0))</f>
        <v>2020-21</v>
      </c>
      <c r="BC548" s="803" t="str" cm="1">
        <f t="array" ref="BC548">LOOKUP(2,1/(C548:BA548&lt;&gt;0),$C$4:$BA$4)</f>
        <v>2022-23</v>
      </c>
      <c r="BD548" s="804">
        <f>COUNTIF(RDprograms[[#This Row],[1978-79]:[2028-29]], "&gt;0")</f>
        <v>3</v>
      </c>
      <c r="BE548" s="805">
        <f>SUM(C548:BA548)/RDprograms[[#This Row],[Years with &gt; $0 investment]]</f>
        <v>3.9996666666666667</v>
      </c>
      <c r="BF548" s="806" t="s">
        <v>233</v>
      </c>
      <c r="BG548" s="807" t="s">
        <v>510</v>
      </c>
      <c r="BH548" s="847" t="s">
        <v>241</v>
      </c>
      <c r="BI548" s="809"/>
      <c r="BJ548" s="809"/>
      <c r="BK548" s="809"/>
      <c r="BL548" s="809"/>
      <c r="BM548" s="809"/>
      <c r="BN548" s="810"/>
      <c r="BO548" s="811" t="s">
        <v>251</v>
      </c>
      <c r="BP548" s="812" t="s">
        <v>1374</v>
      </c>
      <c r="BQ548" s="812" t="s">
        <v>1375</v>
      </c>
      <c r="BR548" s="812"/>
      <c r="BS548" s="812"/>
      <c r="BT548" s="812" t="s">
        <v>238</v>
      </c>
    </row>
    <row r="549" spans="1:74" ht="12.75" customHeight="1">
      <c r="A549" s="854" t="s">
        <v>1319</v>
      </c>
      <c r="B549" s="873" t="s">
        <v>1376</v>
      </c>
      <c r="C549" s="883">
        <v>0</v>
      </c>
      <c r="D549" s="883">
        <v>0</v>
      </c>
      <c r="E549" s="883">
        <v>0</v>
      </c>
      <c r="F549" s="883">
        <v>0</v>
      </c>
      <c r="G549" s="883">
        <v>0</v>
      </c>
      <c r="H549" s="883">
        <v>0</v>
      </c>
      <c r="I549" s="883">
        <v>0</v>
      </c>
      <c r="J549" s="883">
        <v>0</v>
      </c>
      <c r="K549" s="883">
        <v>0</v>
      </c>
      <c r="L549" s="883">
        <v>0</v>
      </c>
      <c r="M549" s="883">
        <v>0</v>
      </c>
      <c r="N549" s="883">
        <v>0</v>
      </c>
      <c r="O549" s="883">
        <v>0</v>
      </c>
      <c r="P549" s="883">
        <v>0</v>
      </c>
      <c r="Q549" s="883">
        <v>0</v>
      </c>
      <c r="R549" s="883">
        <v>0</v>
      </c>
      <c r="S549" s="883">
        <v>0</v>
      </c>
      <c r="T549" s="883">
        <v>0</v>
      </c>
      <c r="U549" s="883">
        <v>0</v>
      </c>
      <c r="V549" s="883">
        <v>0</v>
      </c>
      <c r="W549" s="883">
        <v>0</v>
      </c>
      <c r="X549" s="883">
        <v>0</v>
      </c>
      <c r="Y549" s="883">
        <v>0</v>
      </c>
      <c r="Z549" s="883">
        <v>0</v>
      </c>
      <c r="AA549" s="883">
        <v>0</v>
      </c>
      <c r="AB549" s="883">
        <v>0</v>
      </c>
      <c r="AC549" s="883">
        <v>0</v>
      </c>
      <c r="AD549" s="883">
        <v>0</v>
      </c>
      <c r="AE549" s="883">
        <v>0</v>
      </c>
      <c r="AF549" s="883">
        <v>0</v>
      </c>
      <c r="AG549" s="883">
        <v>0</v>
      </c>
      <c r="AH549" s="883">
        <v>0</v>
      </c>
      <c r="AI549" s="883">
        <v>0</v>
      </c>
      <c r="AJ549" s="883">
        <v>0</v>
      </c>
      <c r="AK549" s="883">
        <v>0</v>
      </c>
      <c r="AL549" s="883">
        <v>0</v>
      </c>
      <c r="AM549" s="883">
        <v>0</v>
      </c>
      <c r="AN549" s="883">
        <v>0</v>
      </c>
      <c r="AO549" s="883">
        <v>0</v>
      </c>
      <c r="AP549" s="884">
        <v>0</v>
      </c>
      <c r="AQ549" s="884">
        <v>0</v>
      </c>
      <c r="AR549" s="883">
        <v>3.98</v>
      </c>
      <c r="AS549" s="883">
        <v>3.98</v>
      </c>
      <c r="AT549" s="883">
        <v>4</v>
      </c>
      <c r="AU549" s="883">
        <v>4</v>
      </c>
      <c r="AV549" s="883">
        <v>4</v>
      </c>
      <c r="AW549" s="885">
        <v>7.5</v>
      </c>
      <c r="AX549" s="884">
        <v>9.0500000000000007</v>
      </c>
      <c r="AY549" s="886">
        <v>5.35</v>
      </c>
      <c r="AZ549" s="884"/>
      <c r="BA549" s="887"/>
      <c r="BB549" s="888" t="str" cm="1">
        <f t="array" ref="BB549">INDEX(C$4:BA$4,MATCH(TRUE,INDEX(C549:BA549&lt;&gt;0,),0))</f>
        <v>2019-20</v>
      </c>
      <c r="BC549" s="889" t="str" cm="1">
        <f t="array" ref="BC549">LOOKUP(2,1/(C549:BA549&lt;&gt;0),$C$4:$BA$4)</f>
        <v>2026-27</v>
      </c>
      <c r="BD549" s="890">
        <f>COUNTIF(RDprograms[[#This Row],[1978-79]:[2028-29]], "&gt;0")</f>
        <v>8</v>
      </c>
      <c r="BE549" s="805">
        <f>SUM(C549:BA549)/RDprograms[[#This Row],[Years with &gt; $0 investment]]</f>
        <v>5.2325000000000008</v>
      </c>
      <c r="BF549" s="891" t="s">
        <v>273</v>
      </c>
      <c r="BG549" s="892" t="s">
        <v>510</v>
      </c>
      <c r="BH549" s="893" t="s">
        <v>258</v>
      </c>
      <c r="BI549" s="894"/>
      <c r="BJ549" s="894"/>
      <c r="BK549" s="894"/>
      <c r="BL549" s="894"/>
      <c r="BM549" s="894"/>
      <c r="BN549" s="878">
        <v>1</v>
      </c>
      <c r="BO549" s="895" t="s">
        <v>236</v>
      </c>
      <c r="BP549" s="896" t="s">
        <v>1358</v>
      </c>
      <c r="BQ549" s="896" t="s">
        <v>1377</v>
      </c>
      <c r="BR549" s="896"/>
      <c r="BS549" s="896"/>
      <c r="BT549" s="852"/>
    </row>
    <row r="550" spans="1:74" ht="12.75" customHeight="1">
      <c r="A550" s="813" t="s">
        <v>1319</v>
      </c>
      <c r="B550" s="820" t="s">
        <v>1378</v>
      </c>
      <c r="C550" s="5">
        <v>0</v>
      </c>
      <c r="D550" s="5">
        <v>0</v>
      </c>
      <c r="E550" s="5">
        <v>0</v>
      </c>
      <c r="F550" s="5">
        <v>0</v>
      </c>
      <c r="G550" s="5">
        <v>0</v>
      </c>
      <c r="H550" s="5">
        <v>0</v>
      </c>
      <c r="I550" s="5">
        <v>0</v>
      </c>
      <c r="J550" s="5">
        <v>0</v>
      </c>
      <c r="K550" s="5">
        <v>0</v>
      </c>
      <c r="L550" s="5">
        <v>0</v>
      </c>
      <c r="M550" s="5">
        <v>0</v>
      </c>
      <c r="N550" s="5">
        <v>0</v>
      </c>
      <c r="O550" s="5">
        <v>0</v>
      </c>
      <c r="P550" s="5">
        <v>0</v>
      </c>
      <c r="Q550" s="5">
        <v>0</v>
      </c>
      <c r="R550" s="5">
        <v>0</v>
      </c>
      <c r="S550" s="5">
        <v>0</v>
      </c>
      <c r="T550" s="5">
        <v>0</v>
      </c>
      <c r="U550" s="5">
        <v>0</v>
      </c>
      <c r="V550" s="5">
        <v>0</v>
      </c>
      <c r="W550" s="5">
        <v>0</v>
      </c>
      <c r="X550" s="5">
        <v>0</v>
      </c>
      <c r="Y550" s="5">
        <v>0</v>
      </c>
      <c r="Z550" s="5">
        <v>0</v>
      </c>
      <c r="AA550" s="5">
        <v>0</v>
      </c>
      <c r="AB550" s="5">
        <v>0</v>
      </c>
      <c r="AC550" s="5">
        <v>0</v>
      </c>
      <c r="AD550" s="5">
        <v>0</v>
      </c>
      <c r="AE550" s="5">
        <v>0</v>
      </c>
      <c r="AF550" s="5">
        <v>0</v>
      </c>
      <c r="AG550" s="5">
        <v>0</v>
      </c>
      <c r="AH550" s="5">
        <v>0</v>
      </c>
      <c r="AI550" s="5">
        <v>0</v>
      </c>
      <c r="AJ550" s="5">
        <v>0</v>
      </c>
      <c r="AK550" s="5">
        <v>0</v>
      </c>
      <c r="AL550" s="5">
        <v>4.2000000000000003E-2</v>
      </c>
      <c r="AM550" s="5">
        <v>5.0000000000000001E-3</v>
      </c>
      <c r="AN550" s="5">
        <v>0</v>
      </c>
      <c r="AO550" s="5">
        <v>0</v>
      </c>
      <c r="AP550" s="816">
        <v>0</v>
      </c>
      <c r="AQ550" s="816">
        <v>0</v>
      </c>
      <c r="AR550" s="5">
        <v>0</v>
      </c>
      <c r="AS550" s="5">
        <v>0</v>
      </c>
      <c r="AT550" s="5">
        <v>0</v>
      </c>
      <c r="AU550" s="5">
        <v>0</v>
      </c>
      <c r="AV550" s="5">
        <v>0</v>
      </c>
      <c r="AW550" s="815">
        <v>0</v>
      </c>
      <c r="AX550" s="816">
        <v>0</v>
      </c>
      <c r="AY550" s="819">
        <v>0</v>
      </c>
      <c r="AZ550" s="816"/>
      <c r="BA550" s="818"/>
      <c r="BB550" s="802" t="str" cm="1">
        <f t="array" ref="BB550">INDEX(C$4:BA$4,MATCH(TRUE,INDEX(C550:BA550&lt;&gt;0,),0))</f>
        <v>2013-14</v>
      </c>
      <c r="BC550" s="803" t="str" cm="1">
        <f t="array" ref="BC550">LOOKUP(2,1/(C550:BA550&lt;&gt;0),$C$4:$BA$4)</f>
        <v>2014-15</v>
      </c>
      <c r="BD550" s="804">
        <f>COUNTIF(RDprograms[[#This Row],[1978-79]:[2028-29]], "&gt;0")</f>
        <v>2</v>
      </c>
      <c r="BE550" s="805">
        <f>SUM(C550:BA550)/RDprograms[[#This Row],[Years with &gt; $0 investment]]</f>
        <v>2.35E-2</v>
      </c>
      <c r="BF550" s="806" t="s">
        <v>273</v>
      </c>
      <c r="BG550" s="807" t="s">
        <v>510</v>
      </c>
      <c r="BH550" s="847" t="s">
        <v>241</v>
      </c>
      <c r="BI550" s="809"/>
      <c r="BJ550" s="809"/>
      <c r="BK550" s="809"/>
      <c r="BL550" s="809"/>
      <c r="BM550" s="809"/>
      <c r="BN550" s="810"/>
      <c r="BO550" s="811" t="s">
        <v>236</v>
      </c>
      <c r="BP550" s="812"/>
      <c r="BQ550" s="812"/>
      <c r="BR550" s="812"/>
      <c r="BS550" s="812"/>
      <c r="BT550" s="812" t="s">
        <v>238</v>
      </c>
    </row>
    <row r="551" spans="1:74" ht="12.75" customHeight="1">
      <c r="A551" s="813" t="s">
        <v>1319</v>
      </c>
      <c r="B551" s="820" t="s">
        <v>1379</v>
      </c>
      <c r="C551" s="5">
        <v>0</v>
      </c>
      <c r="D551" s="5">
        <v>0</v>
      </c>
      <c r="E551" s="5">
        <v>0</v>
      </c>
      <c r="F551" s="5">
        <v>0</v>
      </c>
      <c r="G551" s="5">
        <v>0</v>
      </c>
      <c r="H551" s="5">
        <v>0</v>
      </c>
      <c r="I551" s="5">
        <v>0</v>
      </c>
      <c r="J551" s="5">
        <v>0</v>
      </c>
      <c r="K551" s="5">
        <v>0</v>
      </c>
      <c r="L551" s="5">
        <v>0</v>
      </c>
      <c r="M551" s="5">
        <v>0</v>
      </c>
      <c r="N551" s="5">
        <v>0</v>
      </c>
      <c r="O551" s="5">
        <v>0</v>
      </c>
      <c r="P551" s="5">
        <v>0</v>
      </c>
      <c r="Q551" s="5">
        <v>0</v>
      </c>
      <c r="R551" s="5">
        <v>0</v>
      </c>
      <c r="S551" s="5">
        <v>0</v>
      </c>
      <c r="T551" s="5">
        <v>0</v>
      </c>
      <c r="U551" s="5">
        <v>0</v>
      </c>
      <c r="V551" s="5">
        <v>0</v>
      </c>
      <c r="W551" s="5">
        <v>0</v>
      </c>
      <c r="X551" s="5">
        <v>0</v>
      </c>
      <c r="Y551" s="5">
        <v>0</v>
      </c>
      <c r="Z551" s="5">
        <v>0</v>
      </c>
      <c r="AA551" s="5">
        <v>0</v>
      </c>
      <c r="AB551" s="5">
        <v>0</v>
      </c>
      <c r="AC551" s="5">
        <v>0</v>
      </c>
      <c r="AD551" s="5">
        <v>0</v>
      </c>
      <c r="AE551" s="5">
        <v>0</v>
      </c>
      <c r="AF551" s="5">
        <v>0</v>
      </c>
      <c r="AG551" s="5">
        <v>0</v>
      </c>
      <c r="AH551" s="5">
        <v>0</v>
      </c>
      <c r="AI551" s="5">
        <v>0.05</v>
      </c>
      <c r="AJ551" s="5">
        <v>0</v>
      </c>
      <c r="AK551" s="5">
        <v>0</v>
      </c>
      <c r="AL551" s="5">
        <v>0</v>
      </c>
      <c r="AM551" s="5">
        <v>0</v>
      </c>
      <c r="AN551" s="5">
        <v>0</v>
      </c>
      <c r="AO551" s="5">
        <v>0</v>
      </c>
      <c r="AP551" s="5">
        <v>0</v>
      </c>
      <c r="AQ551" s="5">
        <v>0</v>
      </c>
      <c r="AR551" s="5">
        <v>0</v>
      </c>
      <c r="AS551" s="5">
        <v>0</v>
      </c>
      <c r="AT551" s="5">
        <v>0</v>
      </c>
      <c r="AU551" s="5">
        <v>0</v>
      </c>
      <c r="AV551" s="5">
        <v>0</v>
      </c>
      <c r="AW551" s="815">
        <v>0</v>
      </c>
      <c r="AX551" s="816">
        <v>0</v>
      </c>
      <c r="AY551" s="819">
        <v>0</v>
      </c>
      <c r="AZ551" s="816"/>
      <c r="BA551" s="818"/>
      <c r="BB551" s="802" t="str" cm="1">
        <f t="array" ref="BB551">INDEX(C$4:BA$4,MATCH(TRUE,INDEX(C551:BA551&lt;&gt;0,),0))</f>
        <v>2010-11</v>
      </c>
      <c r="BC551" s="803" t="str" cm="1">
        <f t="array" ref="BC551">LOOKUP(2,1/(C551:BA551&lt;&gt;0),$C$4:$BA$4)</f>
        <v>2010-11</v>
      </c>
      <c r="BD551" s="804">
        <f>COUNTIF(RDprograms[[#This Row],[1978-79]:[2028-29]], "&gt;0")</f>
        <v>1</v>
      </c>
      <c r="BE551" s="805">
        <f>SUM(C551:BA551)/RDprograms[[#This Row],[Years with &gt; $0 investment]]</f>
        <v>0.05</v>
      </c>
      <c r="BF551" s="806" t="s">
        <v>273</v>
      </c>
      <c r="BG551" s="807" t="s">
        <v>510</v>
      </c>
      <c r="BH551" s="847" t="s">
        <v>241</v>
      </c>
      <c r="BI551" s="809"/>
      <c r="BJ551" s="809"/>
      <c r="BK551" s="809"/>
      <c r="BL551" s="809"/>
      <c r="BM551" s="809"/>
      <c r="BN551" s="810"/>
      <c r="BO551" s="811" t="s">
        <v>236</v>
      </c>
      <c r="BP551" s="812"/>
      <c r="BQ551" s="812"/>
      <c r="BR551" s="812"/>
      <c r="BS551" s="812"/>
      <c r="BT551" s="812" t="s">
        <v>238</v>
      </c>
    </row>
    <row r="552" spans="1:74" ht="12.75" customHeight="1">
      <c r="A552" s="813" t="s">
        <v>1319</v>
      </c>
      <c r="B552" s="820" t="s">
        <v>1380</v>
      </c>
      <c r="C552" s="5">
        <v>6.4</v>
      </c>
      <c r="D552" s="5">
        <v>6.9</v>
      </c>
      <c r="E552" s="5">
        <v>6.3</v>
      </c>
      <c r="F552" s="5">
        <v>0</v>
      </c>
      <c r="G552" s="5">
        <v>0</v>
      </c>
      <c r="H552" s="5">
        <v>0</v>
      </c>
      <c r="I552" s="5">
        <v>0</v>
      </c>
      <c r="J552" s="5">
        <v>0</v>
      </c>
      <c r="K552" s="5">
        <v>0</v>
      </c>
      <c r="L552" s="5">
        <v>0</v>
      </c>
      <c r="M552" s="5">
        <v>0</v>
      </c>
      <c r="N552" s="5">
        <v>0</v>
      </c>
      <c r="O552" s="5">
        <v>0</v>
      </c>
      <c r="P552" s="5">
        <v>0</v>
      </c>
      <c r="Q552" s="5">
        <v>0</v>
      </c>
      <c r="R552" s="5">
        <v>0</v>
      </c>
      <c r="S552" s="5">
        <v>0</v>
      </c>
      <c r="T552" s="5">
        <v>0</v>
      </c>
      <c r="U552" s="5">
        <v>0</v>
      </c>
      <c r="V552" s="5">
        <v>0</v>
      </c>
      <c r="W552" s="5">
        <v>0</v>
      </c>
      <c r="X552" s="5">
        <v>0</v>
      </c>
      <c r="Y552" s="5">
        <v>0</v>
      </c>
      <c r="Z552" s="5">
        <v>0</v>
      </c>
      <c r="AA552" s="5">
        <v>0</v>
      </c>
      <c r="AB552" s="5">
        <v>0</v>
      </c>
      <c r="AC552" s="5">
        <v>0</v>
      </c>
      <c r="AD552" s="5">
        <v>0</v>
      </c>
      <c r="AE552" s="5">
        <v>0</v>
      </c>
      <c r="AF552" s="5">
        <v>0</v>
      </c>
      <c r="AG552" s="5">
        <v>0</v>
      </c>
      <c r="AH552" s="5">
        <v>0</v>
      </c>
      <c r="AI552" s="5">
        <v>0</v>
      </c>
      <c r="AJ552" s="5">
        <v>0</v>
      </c>
      <c r="AK552" s="5">
        <v>0</v>
      </c>
      <c r="AL552" s="5">
        <v>0</v>
      </c>
      <c r="AM552" s="5">
        <v>0</v>
      </c>
      <c r="AN552" s="5">
        <v>0</v>
      </c>
      <c r="AO552" s="5">
        <v>0</v>
      </c>
      <c r="AP552" s="5">
        <v>0</v>
      </c>
      <c r="AQ552" s="5">
        <v>0</v>
      </c>
      <c r="AR552" s="5">
        <v>0</v>
      </c>
      <c r="AS552" s="5">
        <v>0</v>
      </c>
      <c r="AT552" s="5">
        <v>0</v>
      </c>
      <c r="AU552" s="5">
        <v>0</v>
      </c>
      <c r="AV552" s="5">
        <v>0</v>
      </c>
      <c r="AW552" s="815">
        <v>0</v>
      </c>
      <c r="AX552" s="816">
        <v>0</v>
      </c>
      <c r="AY552" s="819">
        <v>0</v>
      </c>
      <c r="AZ552" s="816"/>
      <c r="BA552" s="818"/>
      <c r="BB552" s="802" t="str" cm="1">
        <f t="array" ref="BB552">INDEX(C$4:BA$4,MATCH(TRUE,INDEX(C552:BA552&lt;&gt;0,),0))</f>
        <v>1978-79</v>
      </c>
      <c r="BC552" s="803" t="str" cm="1">
        <f t="array" ref="BC552">LOOKUP(2,1/(C552:BA552&lt;&gt;0),$C$4:$BA$4)</f>
        <v>1980-81</v>
      </c>
      <c r="BD552" s="804">
        <f>COUNTIF(RDprograms[[#This Row],[1978-79]:[2028-29]], "&gt;0")</f>
        <v>3</v>
      </c>
      <c r="BE552" s="805">
        <f>SUM(C552:BA552)/RDprograms[[#This Row],[Years with &gt; $0 investment]]</f>
        <v>6.5333333333333341</v>
      </c>
      <c r="BF552" s="806" t="s">
        <v>273</v>
      </c>
      <c r="BG552" s="807" t="s">
        <v>510</v>
      </c>
      <c r="BH552" s="847" t="s">
        <v>241</v>
      </c>
      <c r="BI552" s="809"/>
      <c r="BJ552" s="809"/>
      <c r="BK552" s="809"/>
      <c r="BL552" s="809"/>
      <c r="BM552" s="809"/>
      <c r="BN552" s="810"/>
      <c r="BO552" s="811" t="s">
        <v>236</v>
      </c>
      <c r="BP552" s="812"/>
      <c r="BQ552" s="812"/>
      <c r="BR552" s="812"/>
      <c r="BS552" s="812"/>
      <c r="BT552" s="812" t="s">
        <v>238</v>
      </c>
    </row>
    <row r="553" spans="1:74" ht="12.75" customHeight="1">
      <c r="A553" s="813" t="s">
        <v>1319</v>
      </c>
      <c r="B553" s="820" t="s">
        <v>1381</v>
      </c>
      <c r="C553" s="5">
        <v>0</v>
      </c>
      <c r="D553" s="5">
        <v>0</v>
      </c>
      <c r="E553" s="5">
        <v>0</v>
      </c>
      <c r="F553" s="5">
        <v>0</v>
      </c>
      <c r="G553" s="5">
        <v>0</v>
      </c>
      <c r="H553" s="5">
        <v>0</v>
      </c>
      <c r="I553" s="5">
        <v>0</v>
      </c>
      <c r="J553" s="5">
        <v>0</v>
      </c>
      <c r="K553" s="5">
        <v>0</v>
      </c>
      <c r="L553" s="5">
        <v>0</v>
      </c>
      <c r="M553" s="5">
        <v>0</v>
      </c>
      <c r="N553" s="5">
        <v>0</v>
      </c>
      <c r="O553" s="5">
        <v>0</v>
      </c>
      <c r="P553" s="5">
        <v>0</v>
      </c>
      <c r="Q553" s="5">
        <v>0</v>
      </c>
      <c r="R553" s="5">
        <v>0</v>
      </c>
      <c r="S553" s="5">
        <v>0</v>
      </c>
      <c r="T553" s="5">
        <v>0</v>
      </c>
      <c r="U553" s="5">
        <v>0</v>
      </c>
      <c r="V553" s="5">
        <v>0</v>
      </c>
      <c r="W553" s="5">
        <v>0</v>
      </c>
      <c r="X553" s="5">
        <v>0</v>
      </c>
      <c r="Y553" s="5">
        <v>0</v>
      </c>
      <c r="Z553" s="5">
        <v>0</v>
      </c>
      <c r="AA553" s="5">
        <v>0</v>
      </c>
      <c r="AB553" s="5">
        <v>0</v>
      </c>
      <c r="AC553" s="5">
        <v>0</v>
      </c>
      <c r="AD553" s="5">
        <v>0</v>
      </c>
      <c r="AE553" s="5">
        <v>0</v>
      </c>
      <c r="AF553" s="5">
        <v>0</v>
      </c>
      <c r="AG553" s="5">
        <v>0</v>
      </c>
      <c r="AH553" s="5">
        <v>0</v>
      </c>
      <c r="AI553" s="5">
        <v>7.0000000000000007E-2</v>
      </c>
      <c r="AJ553" s="5">
        <v>0</v>
      </c>
      <c r="AK553" s="5">
        <v>0</v>
      </c>
      <c r="AL553" s="5">
        <v>0</v>
      </c>
      <c r="AM553" s="5">
        <v>0</v>
      </c>
      <c r="AN553" s="5">
        <v>0</v>
      </c>
      <c r="AO553" s="5">
        <v>0</v>
      </c>
      <c r="AP553" s="5">
        <v>0</v>
      </c>
      <c r="AQ553" s="5">
        <v>0</v>
      </c>
      <c r="AR553" s="5">
        <v>0</v>
      </c>
      <c r="AS553" s="5">
        <v>0</v>
      </c>
      <c r="AT553" s="5">
        <v>0</v>
      </c>
      <c r="AU553" s="5">
        <v>0</v>
      </c>
      <c r="AV553" s="5">
        <v>0</v>
      </c>
      <c r="AW553" s="815">
        <v>0</v>
      </c>
      <c r="AX553" s="816">
        <v>0</v>
      </c>
      <c r="AY553" s="819">
        <v>0</v>
      </c>
      <c r="AZ553" s="816"/>
      <c r="BA553" s="818"/>
      <c r="BB553" s="802" t="str" cm="1">
        <f t="array" ref="BB553">INDEX(C$4:BA$4,MATCH(TRUE,INDEX(C553:BA553&lt;&gt;0,),0))</f>
        <v>2010-11</v>
      </c>
      <c r="BC553" s="803" t="str" cm="1">
        <f t="array" ref="BC553">LOOKUP(2,1/(C553:BA553&lt;&gt;0),$C$4:$BA$4)</f>
        <v>2010-11</v>
      </c>
      <c r="BD553" s="804">
        <f>COUNTIF(RDprograms[[#This Row],[1978-79]:[2028-29]], "&gt;0")</f>
        <v>1</v>
      </c>
      <c r="BE553" s="805">
        <f>SUM(C553:BA553)/RDprograms[[#This Row],[Years with &gt; $0 investment]]</f>
        <v>7.0000000000000007E-2</v>
      </c>
      <c r="BF553" s="806" t="s">
        <v>273</v>
      </c>
      <c r="BG553" s="807" t="s">
        <v>510</v>
      </c>
      <c r="BH553" s="847" t="s">
        <v>241</v>
      </c>
      <c r="BI553" s="809"/>
      <c r="BJ553" s="809"/>
      <c r="BK553" s="809"/>
      <c r="BL553" s="809"/>
      <c r="BM553" s="809"/>
      <c r="BN553" s="810"/>
      <c r="BO553" s="811" t="s">
        <v>236</v>
      </c>
      <c r="BP553" s="812"/>
      <c r="BQ553" s="812"/>
      <c r="BR553" s="812"/>
      <c r="BS553" s="812"/>
      <c r="BT553" s="812" t="s">
        <v>238</v>
      </c>
    </row>
    <row r="554" spans="1:74" ht="12.75" customHeight="1">
      <c r="A554" s="813" t="s">
        <v>1319</v>
      </c>
      <c r="B554" s="820" t="s">
        <v>1382</v>
      </c>
      <c r="C554" s="5">
        <v>0</v>
      </c>
      <c r="D554" s="5">
        <v>0</v>
      </c>
      <c r="E554" s="5">
        <v>0</v>
      </c>
      <c r="F554" s="5">
        <v>0</v>
      </c>
      <c r="G554" s="5">
        <v>0</v>
      </c>
      <c r="H554" s="5">
        <v>0</v>
      </c>
      <c r="I554" s="5">
        <v>0</v>
      </c>
      <c r="J554" s="5">
        <v>0</v>
      </c>
      <c r="K554" s="5">
        <v>0</v>
      </c>
      <c r="L554" s="5">
        <v>0</v>
      </c>
      <c r="M554" s="5">
        <v>0</v>
      </c>
      <c r="N554" s="5">
        <v>0</v>
      </c>
      <c r="O554" s="5">
        <v>0</v>
      </c>
      <c r="P554" s="5">
        <v>0</v>
      </c>
      <c r="Q554" s="5">
        <v>0</v>
      </c>
      <c r="R554" s="5">
        <v>0</v>
      </c>
      <c r="S554" s="5">
        <v>0</v>
      </c>
      <c r="T554" s="5">
        <v>0</v>
      </c>
      <c r="U554" s="5">
        <v>0</v>
      </c>
      <c r="V554" s="5">
        <v>0</v>
      </c>
      <c r="W554" s="5">
        <v>0</v>
      </c>
      <c r="X554" s="5">
        <v>0</v>
      </c>
      <c r="Y554" s="5">
        <v>0</v>
      </c>
      <c r="Z554" s="5">
        <v>0</v>
      </c>
      <c r="AA554" s="5">
        <v>0</v>
      </c>
      <c r="AB554" s="5">
        <v>0</v>
      </c>
      <c r="AC554" s="5">
        <v>0</v>
      </c>
      <c r="AD554" s="5">
        <v>0</v>
      </c>
      <c r="AE554" s="5">
        <v>0</v>
      </c>
      <c r="AF554" s="5">
        <v>0</v>
      </c>
      <c r="AG554" s="5">
        <v>0</v>
      </c>
      <c r="AH554" s="5">
        <v>2.5000000000000001E-2</v>
      </c>
      <c r="AI554" s="5">
        <v>2.5000000000000001E-2</v>
      </c>
      <c r="AJ554" s="5">
        <v>2.5999999999999999E-2</v>
      </c>
      <c r="AK554" s="5">
        <v>2.5999999999999999E-2</v>
      </c>
      <c r="AL554" s="5">
        <v>2.5999999999999999E-2</v>
      </c>
      <c r="AM554" s="5">
        <v>2.7E-2</v>
      </c>
      <c r="AN554" s="5">
        <v>2.7E-2</v>
      </c>
      <c r="AO554" s="5">
        <v>2.7E-2</v>
      </c>
      <c r="AP554" s="816">
        <v>2.9000000000000001E-2</v>
      </c>
      <c r="AQ554" s="816">
        <v>0.03</v>
      </c>
      <c r="AR554" s="5">
        <v>0</v>
      </c>
      <c r="AS554" s="5">
        <v>0.06</v>
      </c>
      <c r="AT554" s="5">
        <v>0.03</v>
      </c>
      <c r="AU554" s="5">
        <v>0.03</v>
      </c>
      <c r="AV554" s="5">
        <v>0</v>
      </c>
      <c r="AW554" s="815">
        <v>0</v>
      </c>
      <c r="AX554" s="816">
        <v>0</v>
      </c>
      <c r="AY554" s="819">
        <v>0</v>
      </c>
      <c r="AZ554" s="816"/>
      <c r="BA554" s="818"/>
      <c r="BB554" s="802" t="str" cm="1">
        <f t="array" ref="BB554">INDEX(C$4:BA$4,MATCH(TRUE,INDEX(C554:BA554&lt;&gt;0,),0))</f>
        <v>2009-10</v>
      </c>
      <c r="BC554" s="803" t="str" cm="1">
        <f t="array" ref="BC554">LOOKUP(2,1/(C554:BA554&lt;&gt;0),$C$4:$BA$4)</f>
        <v>2022-23</v>
      </c>
      <c r="BD554" s="804">
        <f>COUNTIF(RDprograms[[#This Row],[1978-79]:[2028-29]], "&gt;0")</f>
        <v>13</v>
      </c>
      <c r="BE554" s="805">
        <f>SUM(C554:BA554)/RDprograms[[#This Row],[Years with &gt; $0 investment]]</f>
        <v>2.9846153846153849E-2</v>
      </c>
      <c r="BF554" s="806" t="s">
        <v>273</v>
      </c>
      <c r="BG554" s="807" t="s">
        <v>510</v>
      </c>
      <c r="BH554" s="847" t="s">
        <v>241</v>
      </c>
      <c r="BI554" s="809"/>
      <c r="BJ554" s="809"/>
      <c r="BK554" s="809"/>
      <c r="BL554" s="809"/>
      <c r="BM554" s="809"/>
      <c r="BN554" s="810"/>
      <c r="BO554" s="811" t="s">
        <v>236</v>
      </c>
      <c r="BP554" s="812" t="s">
        <v>1383</v>
      </c>
      <c r="BQ554" s="812"/>
      <c r="BR554" s="812"/>
      <c r="BS554" s="812"/>
      <c r="BT554" s="812" t="s">
        <v>238</v>
      </c>
    </row>
    <row r="555" spans="1:74" ht="12.75" customHeight="1">
      <c r="A555" s="813" t="s">
        <v>1384</v>
      </c>
      <c r="B555" s="820" t="s">
        <v>1385</v>
      </c>
      <c r="C555" s="5">
        <v>0</v>
      </c>
      <c r="D555" s="5">
        <v>0</v>
      </c>
      <c r="E555" s="5">
        <v>0</v>
      </c>
      <c r="F555" s="5">
        <v>0</v>
      </c>
      <c r="G555" s="5">
        <v>0</v>
      </c>
      <c r="H555" s="5">
        <v>0</v>
      </c>
      <c r="I555" s="5">
        <v>0</v>
      </c>
      <c r="J555" s="5">
        <v>0</v>
      </c>
      <c r="K555" s="5">
        <v>0</v>
      </c>
      <c r="L555" s="5">
        <v>0</v>
      </c>
      <c r="M555" s="5">
        <v>0</v>
      </c>
      <c r="N555" s="5">
        <v>0</v>
      </c>
      <c r="O555" s="5">
        <v>0</v>
      </c>
      <c r="P555" s="5">
        <v>0</v>
      </c>
      <c r="Q555" s="5">
        <v>0</v>
      </c>
      <c r="R555" s="5">
        <v>0</v>
      </c>
      <c r="S555" s="5">
        <v>0</v>
      </c>
      <c r="T555" s="5">
        <v>0</v>
      </c>
      <c r="U555" s="5">
        <v>0</v>
      </c>
      <c r="V555" s="5">
        <v>0</v>
      </c>
      <c r="W555" s="5">
        <v>0</v>
      </c>
      <c r="X555" s="5">
        <v>3.73</v>
      </c>
      <c r="Y555" s="5">
        <v>3.7650000000000001</v>
      </c>
      <c r="Z555" s="5">
        <v>3.81</v>
      </c>
      <c r="AA555" s="5">
        <v>1.766</v>
      </c>
      <c r="AB555" s="5">
        <v>1.81921</v>
      </c>
      <c r="AC555" s="5">
        <v>1.873786</v>
      </c>
      <c r="AD555" s="5">
        <v>1.93</v>
      </c>
      <c r="AE555" s="5">
        <v>1.835</v>
      </c>
      <c r="AF555" s="5">
        <v>1.7949999999999999</v>
      </c>
      <c r="AG555" s="5">
        <v>2.089</v>
      </c>
      <c r="AH555" s="5">
        <v>2.0379999999999998</v>
      </c>
      <c r="AI555" s="5">
        <v>2.391</v>
      </c>
      <c r="AJ555" s="5">
        <v>2.1379999999999999</v>
      </c>
      <c r="AK555" s="5">
        <v>2.927</v>
      </c>
      <c r="AL555" s="5">
        <v>2.9769999999999999</v>
      </c>
      <c r="AM555" s="5">
        <v>3.0059999999999998</v>
      </c>
      <c r="AN555" s="5">
        <v>0.79700000000000004</v>
      </c>
      <c r="AO555" s="5">
        <v>2.9929999999999999</v>
      </c>
      <c r="AP555" s="5">
        <v>1.4179999999999999</v>
      </c>
      <c r="AQ555" s="5">
        <v>1.3599999999999999</v>
      </c>
      <c r="AR555" s="5">
        <v>1.819</v>
      </c>
      <c r="AS555" s="5">
        <v>1.5</v>
      </c>
      <c r="AT555" s="5">
        <v>1.5</v>
      </c>
      <c r="AU555" s="5">
        <v>1.87</v>
      </c>
      <c r="AV555" s="5">
        <v>2.09</v>
      </c>
      <c r="AW555" s="815">
        <v>2.63</v>
      </c>
      <c r="AX555" s="816">
        <v>3.36</v>
      </c>
      <c r="AY555" s="819">
        <v>0</v>
      </c>
      <c r="AZ555" s="816"/>
      <c r="BA555" s="818"/>
      <c r="BB555" s="802" t="str" cm="1">
        <f t="array" ref="BB555">INDEX(C$4:BA$4,MATCH(TRUE,INDEX(C555:BA555&lt;&gt;0,),0))</f>
        <v>1999-00</v>
      </c>
      <c r="BC555" s="803" t="str" cm="1">
        <f t="array" ref="BC555">LOOKUP(2,1/(C555:BA555&lt;&gt;0),$C$4:$BA$4)</f>
        <v>2025-26</v>
      </c>
      <c r="BD555" s="804">
        <f>COUNTIF(RDprograms[[#This Row],[1978-79]:[2028-29]], "&gt;0")</f>
        <v>27</v>
      </c>
      <c r="BE555" s="805">
        <f>SUM(C555:BA555)/RDprograms[[#This Row],[Years with &gt; $0 investment]]</f>
        <v>2.2676665185185181</v>
      </c>
      <c r="BF555" s="806" t="s">
        <v>273</v>
      </c>
      <c r="BG555" s="807" t="s">
        <v>403</v>
      </c>
      <c r="BH555" s="847" t="s">
        <v>258</v>
      </c>
      <c r="BI555" s="809"/>
      <c r="BJ555" s="809"/>
      <c r="BK555" s="809">
        <v>1</v>
      </c>
      <c r="BL555" s="809"/>
      <c r="BM555" s="809"/>
      <c r="BN555" s="810"/>
      <c r="BO555" s="811" t="s">
        <v>236</v>
      </c>
      <c r="BP555" s="812" t="s">
        <v>1386</v>
      </c>
      <c r="BQ555" s="812"/>
      <c r="BR555" s="812"/>
      <c r="BS555" s="812"/>
      <c r="BT555" s="812" t="s">
        <v>238</v>
      </c>
    </row>
    <row r="556" spans="1:74" ht="12.75" customHeight="1">
      <c r="A556" s="813" t="s">
        <v>1384</v>
      </c>
      <c r="B556" s="820" t="s">
        <v>1387</v>
      </c>
      <c r="C556" s="5">
        <v>0</v>
      </c>
      <c r="D556" s="5">
        <v>0</v>
      </c>
      <c r="E556" s="5">
        <v>0</v>
      </c>
      <c r="F556" s="5">
        <v>0</v>
      </c>
      <c r="G556" s="5">
        <v>0</v>
      </c>
      <c r="H556" s="5">
        <v>0</v>
      </c>
      <c r="I556" s="5">
        <v>0</v>
      </c>
      <c r="J556" s="5">
        <v>0</v>
      </c>
      <c r="K556" s="5">
        <v>0</v>
      </c>
      <c r="L556" s="5">
        <v>0</v>
      </c>
      <c r="M556" s="5">
        <v>0</v>
      </c>
      <c r="N556" s="5">
        <v>0</v>
      </c>
      <c r="O556" s="5">
        <v>0</v>
      </c>
      <c r="P556" s="5">
        <v>0</v>
      </c>
      <c r="Q556" s="5">
        <v>0</v>
      </c>
      <c r="R556" s="5">
        <v>0</v>
      </c>
      <c r="S556" s="5">
        <v>0</v>
      </c>
      <c r="T556" s="5">
        <v>0</v>
      </c>
      <c r="U556" s="5">
        <v>0</v>
      </c>
      <c r="V556" s="5">
        <v>0</v>
      </c>
      <c r="W556" s="5">
        <v>0</v>
      </c>
      <c r="X556" s="5">
        <v>0</v>
      </c>
      <c r="Y556" s="5">
        <v>0</v>
      </c>
      <c r="Z556" s="5">
        <v>0</v>
      </c>
      <c r="AA556" s="5">
        <v>0</v>
      </c>
      <c r="AB556" s="5">
        <v>0</v>
      </c>
      <c r="AC556" s="5">
        <v>0</v>
      </c>
      <c r="AD556" s="5">
        <v>0</v>
      </c>
      <c r="AE556" s="5">
        <v>0</v>
      </c>
      <c r="AF556" s="5">
        <v>0</v>
      </c>
      <c r="AG556" s="5">
        <v>0.5</v>
      </c>
      <c r="AH556" s="5">
        <v>0.51</v>
      </c>
      <c r="AI556" s="5">
        <v>0.52</v>
      </c>
      <c r="AJ556" s="5">
        <v>0.53100000000000003</v>
      </c>
      <c r="AK556" s="5">
        <v>0.54100000000000004</v>
      </c>
      <c r="AL556" s="5">
        <v>0</v>
      </c>
      <c r="AM556" s="5">
        <v>0</v>
      </c>
      <c r="AN556" s="5">
        <v>0</v>
      </c>
      <c r="AO556" s="5">
        <v>0</v>
      </c>
      <c r="AP556" s="816">
        <v>0</v>
      </c>
      <c r="AQ556" s="816">
        <v>0</v>
      </c>
      <c r="AR556" s="5">
        <v>0</v>
      </c>
      <c r="AS556" s="5">
        <v>0</v>
      </c>
      <c r="AT556" s="5">
        <v>0</v>
      </c>
      <c r="AU556" s="5">
        <v>0</v>
      </c>
      <c r="AV556" s="5">
        <v>0</v>
      </c>
      <c r="AW556" s="815">
        <v>0</v>
      </c>
      <c r="AX556" s="816">
        <v>0</v>
      </c>
      <c r="AY556" s="819">
        <v>0</v>
      </c>
      <c r="AZ556" s="816"/>
      <c r="BA556" s="818"/>
      <c r="BB556" s="802" t="str" cm="1">
        <f t="array" ref="BB556">INDEX(C$4:BA$4,MATCH(TRUE,INDEX(C556:BA556&lt;&gt;0,),0))</f>
        <v>2008-09</v>
      </c>
      <c r="BC556" s="803" t="str" cm="1">
        <f t="array" ref="BC556">LOOKUP(2,1/(C556:BA556&lt;&gt;0),$C$4:$BA$4)</f>
        <v>2012-13</v>
      </c>
      <c r="BD556" s="804">
        <f>COUNTIF(RDprograms[[#This Row],[1978-79]:[2028-29]], "&gt;0")</f>
        <v>5</v>
      </c>
      <c r="BE556" s="805">
        <f>SUM(C556:BA556)/RDprograms[[#This Row],[Years with &gt; $0 investment]]</f>
        <v>0.52039999999999997</v>
      </c>
      <c r="BF556" s="806" t="s">
        <v>273</v>
      </c>
      <c r="BG556" s="807" t="s">
        <v>362</v>
      </c>
      <c r="BH556" s="847" t="s">
        <v>258</v>
      </c>
      <c r="BI556" s="809"/>
      <c r="BJ556" s="809"/>
      <c r="BK556" s="809"/>
      <c r="BL556" s="809"/>
      <c r="BM556" s="809"/>
      <c r="BN556" s="810"/>
      <c r="BO556" s="811" t="s">
        <v>236</v>
      </c>
      <c r="BP556" s="812"/>
      <c r="BQ556" s="812"/>
      <c r="BR556" s="812"/>
      <c r="BS556" s="812"/>
      <c r="BT556" s="812" t="s">
        <v>238</v>
      </c>
    </row>
    <row r="557" spans="1:74" ht="12.75" customHeight="1">
      <c r="A557" s="813" t="s">
        <v>1384</v>
      </c>
      <c r="B557" s="820" t="s">
        <v>1388</v>
      </c>
      <c r="C557" s="5">
        <v>0</v>
      </c>
      <c r="D557" s="5">
        <v>0</v>
      </c>
      <c r="E557" s="5">
        <v>0</v>
      </c>
      <c r="F557" s="5">
        <v>0</v>
      </c>
      <c r="G557" s="5">
        <v>0</v>
      </c>
      <c r="H557" s="5">
        <v>0</v>
      </c>
      <c r="I557" s="5">
        <v>0</v>
      </c>
      <c r="J557" s="5">
        <v>0</v>
      </c>
      <c r="K557" s="5">
        <v>0</v>
      </c>
      <c r="L557" s="5">
        <v>0</v>
      </c>
      <c r="M557" s="5">
        <v>0</v>
      </c>
      <c r="N557" s="5">
        <v>0</v>
      </c>
      <c r="O557" s="5">
        <v>0</v>
      </c>
      <c r="P557" s="5">
        <v>0</v>
      </c>
      <c r="Q557" s="5">
        <v>0</v>
      </c>
      <c r="R557" s="5">
        <v>0</v>
      </c>
      <c r="S557" s="5">
        <v>0</v>
      </c>
      <c r="T557" s="5">
        <v>0</v>
      </c>
      <c r="U557" s="5">
        <v>0</v>
      </c>
      <c r="V557" s="5">
        <v>0</v>
      </c>
      <c r="W557" s="5">
        <v>0</v>
      </c>
      <c r="X557" s="5">
        <v>0</v>
      </c>
      <c r="Y557" s="5">
        <v>0</v>
      </c>
      <c r="Z557" s="5">
        <v>0</v>
      </c>
      <c r="AA557" s="5">
        <v>0</v>
      </c>
      <c r="AB557" s="5">
        <v>0</v>
      </c>
      <c r="AC557" s="5">
        <v>0</v>
      </c>
      <c r="AD557" s="5">
        <v>0</v>
      </c>
      <c r="AE557" s="5">
        <v>0</v>
      </c>
      <c r="AF557" s="5">
        <v>0</v>
      </c>
      <c r="AG557" s="5">
        <v>0</v>
      </c>
      <c r="AH557" s="5">
        <v>0</v>
      </c>
      <c r="AI557" s="5">
        <v>0.27500000000000002</v>
      </c>
      <c r="AJ557" s="5">
        <v>0.27500000000000002</v>
      </c>
      <c r="AK557" s="5">
        <v>0.27500000000000002</v>
      </c>
      <c r="AL557" s="5">
        <v>0</v>
      </c>
      <c r="AM557" s="5">
        <v>0</v>
      </c>
      <c r="AN557" s="5">
        <v>0</v>
      </c>
      <c r="AO557" s="5">
        <v>0</v>
      </c>
      <c r="AP557" s="5">
        <v>0</v>
      </c>
      <c r="AQ557" s="5">
        <v>0</v>
      </c>
      <c r="AR557" s="5">
        <v>0</v>
      </c>
      <c r="AS557" s="5">
        <v>0</v>
      </c>
      <c r="AT557" s="5">
        <v>0</v>
      </c>
      <c r="AU557" s="5">
        <v>0</v>
      </c>
      <c r="AV557" s="5">
        <v>0</v>
      </c>
      <c r="AW557" s="815">
        <v>0</v>
      </c>
      <c r="AX557" s="816">
        <v>0</v>
      </c>
      <c r="AY557" s="819">
        <v>0</v>
      </c>
      <c r="AZ557" s="816"/>
      <c r="BA557" s="818"/>
      <c r="BB557" s="802" t="str" cm="1">
        <f t="array" ref="BB557">INDEX(C$4:BA$4,MATCH(TRUE,INDEX(C557:BA557&lt;&gt;0,),0))</f>
        <v>2010-11</v>
      </c>
      <c r="BC557" s="803" t="str" cm="1">
        <f t="array" ref="BC557">LOOKUP(2,1/(C557:BA557&lt;&gt;0),$C$4:$BA$4)</f>
        <v>2012-13</v>
      </c>
      <c r="BD557" s="804">
        <f>COUNTIF(RDprograms[[#This Row],[1978-79]:[2028-29]], "&gt;0")</f>
        <v>3</v>
      </c>
      <c r="BE557" s="805">
        <f>SUM(C557:BA557)/RDprograms[[#This Row],[Years with &gt; $0 investment]]</f>
        <v>0.27500000000000002</v>
      </c>
      <c r="BF557" s="806" t="s">
        <v>273</v>
      </c>
      <c r="BG557" s="807" t="s">
        <v>362</v>
      </c>
      <c r="BH557" s="847" t="s">
        <v>241</v>
      </c>
      <c r="BI557" s="809"/>
      <c r="BJ557" s="809"/>
      <c r="BK557" s="809"/>
      <c r="BL557" s="809"/>
      <c r="BM557" s="809"/>
      <c r="BN557" s="810"/>
      <c r="BO557" s="811" t="s">
        <v>236</v>
      </c>
      <c r="BP557" s="812"/>
      <c r="BQ557" s="812"/>
      <c r="BR557" s="812"/>
      <c r="BS557" s="812"/>
      <c r="BT557" s="812" t="s">
        <v>238</v>
      </c>
    </row>
    <row r="558" spans="1:74" ht="12.75" customHeight="1">
      <c r="A558" s="813" t="s">
        <v>1384</v>
      </c>
      <c r="B558" s="820" t="s">
        <v>1389</v>
      </c>
      <c r="C558" s="5">
        <v>0</v>
      </c>
      <c r="D558" s="5">
        <v>0</v>
      </c>
      <c r="E558" s="5">
        <v>0</v>
      </c>
      <c r="F558" s="5">
        <v>0</v>
      </c>
      <c r="G558" s="5">
        <v>0</v>
      </c>
      <c r="H558" s="5">
        <v>0</v>
      </c>
      <c r="I558" s="5">
        <v>0</v>
      </c>
      <c r="J558" s="5">
        <v>0</v>
      </c>
      <c r="K558" s="5">
        <v>0</v>
      </c>
      <c r="L558" s="5">
        <v>0</v>
      </c>
      <c r="M558" s="5">
        <v>0</v>
      </c>
      <c r="N558" s="5">
        <v>0</v>
      </c>
      <c r="O558" s="5">
        <v>0</v>
      </c>
      <c r="P558" s="5">
        <v>0</v>
      </c>
      <c r="Q558" s="5">
        <v>0</v>
      </c>
      <c r="R558" s="5">
        <v>0</v>
      </c>
      <c r="S558" s="5">
        <v>0</v>
      </c>
      <c r="T558" s="5">
        <v>0</v>
      </c>
      <c r="U558" s="5">
        <v>0</v>
      </c>
      <c r="V558" s="5">
        <v>0</v>
      </c>
      <c r="W558" s="5">
        <v>0</v>
      </c>
      <c r="X558" s="5">
        <v>0</v>
      </c>
      <c r="Y558" s="5">
        <v>0</v>
      </c>
      <c r="Z558" s="5">
        <v>0</v>
      </c>
      <c r="AA558" s="5">
        <v>0</v>
      </c>
      <c r="AB558" s="5">
        <v>0</v>
      </c>
      <c r="AC558" s="5">
        <v>0</v>
      </c>
      <c r="AD558" s="5">
        <v>0.5</v>
      </c>
      <c r="AE558" s="5">
        <v>0.5</v>
      </c>
      <c r="AF558" s="5">
        <v>0.5</v>
      </c>
      <c r="AG558" s="5">
        <v>0.5</v>
      </c>
      <c r="AH558" s="5">
        <v>0.5</v>
      </c>
      <c r="AI558" s="5">
        <v>0</v>
      </c>
      <c r="AJ558" s="5">
        <v>0</v>
      </c>
      <c r="AK558" s="5">
        <v>0</v>
      </c>
      <c r="AL558" s="5">
        <v>0</v>
      </c>
      <c r="AM558" s="5">
        <v>0</v>
      </c>
      <c r="AN558" s="5">
        <v>0</v>
      </c>
      <c r="AO558" s="5">
        <v>0</v>
      </c>
      <c r="AP558" s="816">
        <v>0</v>
      </c>
      <c r="AQ558" s="816">
        <v>0</v>
      </c>
      <c r="AR558" s="5">
        <v>0</v>
      </c>
      <c r="AS558" s="5">
        <v>0</v>
      </c>
      <c r="AT558" s="5">
        <v>0</v>
      </c>
      <c r="AU558" s="5">
        <v>0</v>
      </c>
      <c r="AV558" s="5">
        <v>0</v>
      </c>
      <c r="AW558" s="815">
        <v>0</v>
      </c>
      <c r="AX558" s="816">
        <v>0</v>
      </c>
      <c r="AY558" s="819">
        <v>0</v>
      </c>
      <c r="AZ558" s="816"/>
      <c r="BA558" s="818"/>
      <c r="BB558" s="802" t="str" cm="1">
        <f t="array" ref="BB558">INDEX(C$4:BA$4,MATCH(TRUE,INDEX(C558:BA558&lt;&gt;0,),0))</f>
        <v>2005-06</v>
      </c>
      <c r="BC558" s="803" t="str" cm="1">
        <f t="array" ref="BC558">LOOKUP(2,1/(C558:BA558&lt;&gt;0),$C$4:$BA$4)</f>
        <v>2009-10</v>
      </c>
      <c r="BD558" s="804">
        <f>COUNTIF(RDprograms[[#This Row],[1978-79]:[2028-29]], "&gt;0")</f>
        <v>5</v>
      </c>
      <c r="BE558" s="805">
        <f>SUM(C558:BA558)/RDprograms[[#This Row],[Years with &gt; $0 investment]]</f>
        <v>0.5</v>
      </c>
      <c r="BF558" s="806" t="s">
        <v>273</v>
      </c>
      <c r="BG558" s="807" t="s">
        <v>362</v>
      </c>
      <c r="BH558" s="847" t="s">
        <v>241</v>
      </c>
      <c r="BI558" s="809"/>
      <c r="BJ558" s="809"/>
      <c r="BK558" s="809"/>
      <c r="BL558" s="809"/>
      <c r="BM558" s="809"/>
      <c r="BN558" s="810"/>
      <c r="BO558" s="811" t="s">
        <v>236</v>
      </c>
      <c r="BP558" s="812"/>
      <c r="BQ558" s="812"/>
      <c r="BR558" s="812"/>
      <c r="BS558" s="812"/>
      <c r="BT558" s="812" t="s">
        <v>238</v>
      </c>
    </row>
    <row r="559" spans="1:74" ht="12.75" customHeight="1">
      <c r="A559" s="813" t="s">
        <v>1384</v>
      </c>
      <c r="B559" s="820" t="s">
        <v>1390</v>
      </c>
      <c r="C559" s="5">
        <v>0</v>
      </c>
      <c r="D559" s="5">
        <v>0</v>
      </c>
      <c r="E559" s="5">
        <v>0</v>
      </c>
      <c r="F559" s="5">
        <v>0</v>
      </c>
      <c r="G559" s="5">
        <v>0</v>
      </c>
      <c r="H559" s="5">
        <v>0</v>
      </c>
      <c r="I559" s="5">
        <v>0</v>
      </c>
      <c r="J559" s="5">
        <v>0</v>
      </c>
      <c r="K559" s="5">
        <v>0</v>
      </c>
      <c r="L559" s="5">
        <v>0</v>
      </c>
      <c r="M559" s="5">
        <v>0</v>
      </c>
      <c r="N559" s="5">
        <v>0</v>
      </c>
      <c r="O559" s="5">
        <v>0</v>
      </c>
      <c r="P559" s="5">
        <v>0</v>
      </c>
      <c r="Q559" s="5">
        <v>0</v>
      </c>
      <c r="R559" s="5">
        <v>0</v>
      </c>
      <c r="S559" s="5">
        <v>0</v>
      </c>
      <c r="T559" s="5">
        <v>0</v>
      </c>
      <c r="U559" s="5">
        <v>0</v>
      </c>
      <c r="V559" s="5">
        <v>0</v>
      </c>
      <c r="W559" s="5">
        <v>0</v>
      </c>
      <c r="X559" s="5">
        <v>0</v>
      </c>
      <c r="Y559" s="5">
        <v>0</v>
      </c>
      <c r="Z559" s="5">
        <v>0</v>
      </c>
      <c r="AA559" s="5">
        <v>0</v>
      </c>
      <c r="AB559" s="5">
        <v>0</v>
      </c>
      <c r="AC559" s="5">
        <v>0</v>
      </c>
      <c r="AD559" s="5">
        <v>0</v>
      </c>
      <c r="AE559" s="5">
        <v>0</v>
      </c>
      <c r="AF559" s="5">
        <v>0</v>
      </c>
      <c r="AG559" s="5">
        <v>0</v>
      </c>
      <c r="AH559" s="5">
        <v>0</v>
      </c>
      <c r="AI559" s="5">
        <v>0</v>
      </c>
      <c r="AJ559" s="5">
        <v>0</v>
      </c>
      <c r="AK559" s="5">
        <v>0</v>
      </c>
      <c r="AL559" s="5">
        <v>0.04</v>
      </c>
      <c r="AM559" s="5">
        <v>0.04</v>
      </c>
      <c r="AN559" s="5">
        <v>0.04</v>
      </c>
      <c r="AO559" s="5">
        <v>0</v>
      </c>
      <c r="AP559" s="816">
        <v>0</v>
      </c>
      <c r="AQ559" s="816">
        <v>0</v>
      </c>
      <c r="AR559" s="5">
        <v>0</v>
      </c>
      <c r="AS559" s="5">
        <v>0</v>
      </c>
      <c r="AT559" s="5">
        <v>0</v>
      </c>
      <c r="AU559" s="5">
        <v>0</v>
      </c>
      <c r="AV559" s="5">
        <v>0</v>
      </c>
      <c r="AW559" s="815">
        <v>0</v>
      </c>
      <c r="AX559" s="816">
        <v>0</v>
      </c>
      <c r="AY559" s="819">
        <v>0</v>
      </c>
      <c r="AZ559" s="816"/>
      <c r="BA559" s="818"/>
      <c r="BB559" s="802" t="str" cm="1">
        <f t="array" ref="BB559">INDEX(C$4:BA$4,MATCH(TRUE,INDEX(C559:BA559&lt;&gt;0,),0))</f>
        <v>2013-14</v>
      </c>
      <c r="BC559" s="803" t="str" cm="1">
        <f t="array" ref="BC559">LOOKUP(2,1/(C559:BA559&lt;&gt;0),$C$4:$BA$4)</f>
        <v>2015-16</v>
      </c>
      <c r="BD559" s="804">
        <f>COUNTIF(RDprograms[[#This Row],[1978-79]:[2028-29]], "&gt;0")</f>
        <v>3</v>
      </c>
      <c r="BE559" s="805">
        <f>SUM(C559:BA559)/RDprograms[[#This Row],[Years with &gt; $0 investment]]</f>
        <v>0.04</v>
      </c>
      <c r="BF559" s="806" t="s">
        <v>273</v>
      </c>
      <c r="BG559" s="807" t="s">
        <v>362</v>
      </c>
      <c r="BH559" s="847" t="s">
        <v>269</v>
      </c>
      <c r="BI559" s="809"/>
      <c r="BJ559" s="809"/>
      <c r="BK559" s="809"/>
      <c r="BL559" s="809"/>
      <c r="BM559" s="809"/>
      <c r="BN559" s="810"/>
      <c r="BO559" s="811" t="s">
        <v>236</v>
      </c>
      <c r="BP559" s="812"/>
      <c r="BQ559" s="812"/>
      <c r="BR559" s="812"/>
      <c r="BS559" s="812"/>
      <c r="BT559" s="812" t="s">
        <v>238</v>
      </c>
    </row>
    <row r="560" spans="1:74" ht="12.75" customHeight="1">
      <c r="A560" s="813" t="s">
        <v>1384</v>
      </c>
      <c r="B560" s="820" t="s">
        <v>1391</v>
      </c>
      <c r="C560" s="5">
        <v>0</v>
      </c>
      <c r="D560" s="5">
        <v>0</v>
      </c>
      <c r="E560" s="5">
        <v>0</v>
      </c>
      <c r="F560" s="5">
        <v>0</v>
      </c>
      <c r="G560" s="5">
        <v>0</v>
      </c>
      <c r="H560" s="5">
        <v>0</v>
      </c>
      <c r="I560" s="5">
        <v>0</v>
      </c>
      <c r="J560" s="5">
        <v>0</v>
      </c>
      <c r="K560" s="5">
        <v>0</v>
      </c>
      <c r="L560" s="5">
        <v>0</v>
      </c>
      <c r="M560" s="5">
        <v>0</v>
      </c>
      <c r="N560" s="5">
        <v>0</v>
      </c>
      <c r="O560" s="5">
        <v>0</v>
      </c>
      <c r="P560" s="5">
        <v>0</v>
      </c>
      <c r="Q560" s="5">
        <v>0</v>
      </c>
      <c r="R560" s="5">
        <v>0</v>
      </c>
      <c r="S560" s="5">
        <v>0</v>
      </c>
      <c r="T560" s="5">
        <v>0</v>
      </c>
      <c r="U560" s="5">
        <v>0</v>
      </c>
      <c r="V560" s="5">
        <v>0</v>
      </c>
      <c r="W560" s="5">
        <v>0</v>
      </c>
      <c r="X560" s="5">
        <v>0</v>
      </c>
      <c r="Y560" s="5">
        <v>0</v>
      </c>
      <c r="Z560" s="5">
        <v>0</v>
      </c>
      <c r="AA560" s="5">
        <v>0</v>
      </c>
      <c r="AB560" s="5">
        <v>0</v>
      </c>
      <c r="AC560" s="5">
        <v>0</v>
      </c>
      <c r="AD560" s="5">
        <v>0</v>
      </c>
      <c r="AE560" s="5">
        <v>0</v>
      </c>
      <c r="AF560" s="5">
        <v>0</v>
      </c>
      <c r="AG560" s="5">
        <v>0</v>
      </c>
      <c r="AH560" s="5">
        <v>0</v>
      </c>
      <c r="AI560" s="5">
        <v>0.47856399999999999</v>
      </c>
      <c r="AJ560" s="5">
        <v>0.49725000000000003</v>
      </c>
      <c r="AK560" s="5">
        <v>0.51641000000000004</v>
      </c>
      <c r="AL560" s="5">
        <v>0.29299999999999998</v>
      </c>
      <c r="AM560" s="5">
        <v>0.30399999999999999</v>
      </c>
      <c r="AN560" s="5">
        <v>0.35899999999999999</v>
      </c>
      <c r="AO560" s="5">
        <v>0.5</v>
      </c>
      <c r="AP560" s="816">
        <v>0.3</v>
      </c>
      <c r="AQ560" s="816">
        <v>0</v>
      </c>
      <c r="AR560" s="5">
        <v>0</v>
      </c>
      <c r="AS560" s="5">
        <v>0</v>
      </c>
      <c r="AT560" s="5">
        <v>0</v>
      </c>
      <c r="AU560" s="5">
        <v>0</v>
      </c>
      <c r="AV560" s="5">
        <v>0</v>
      </c>
      <c r="AW560" s="815">
        <v>0</v>
      </c>
      <c r="AX560" s="816">
        <v>0</v>
      </c>
      <c r="AY560" s="819">
        <v>0</v>
      </c>
      <c r="AZ560" s="816"/>
      <c r="BA560" s="818"/>
      <c r="BB560" s="802" t="str" cm="1">
        <f t="array" ref="BB560">INDEX(C$4:BA$4,MATCH(TRUE,INDEX(C560:BA560&lt;&gt;0,),0))</f>
        <v>2010-11</v>
      </c>
      <c r="BC560" s="803" t="str" cm="1">
        <f t="array" ref="BC560">LOOKUP(2,1/(C560:BA560&lt;&gt;0),$C$4:$BA$4)</f>
        <v>2017-18</v>
      </c>
      <c r="BD560" s="804">
        <f>COUNTIF(RDprograms[[#This Row],[1978-79]:[2028-29]], "&gt;0")</f>
        <v>8</v>
      </c>
      <c r="BE560" s="805">
        <f>SUM(C560:BA560)/RDprograms[[#This Row],[Years with &gt; $0 investment]]</f>
        <v>0.40602799999999994</v>
      </c>
      <c r="BF560" s="806" t="s">
        <v>273</v>
      </c>
      <c r="BG560" s="807" t="s">
        <v>362</v>
      </c>
      <c r="BH560" s="847" t="s">
        <v>269</v>
      </c>
      <c r="BI560" s="809"/>
      <c r="BJ560" s="809"/>
      <c r="BK560" s="809"/>
      <c r="BL560" s="809"/>
      <c r="BM560" s="809"/>
      <c r="BN560" s="810"/>
      <c r="BO560" s="811" t="s">
        <v>236</v>
      </c>
      <c r="BP560" s="812"/>
      <c r="BQ560" s="812"/>
      <c r="BR560" s="812"/>
      <c r="BS560" s="812"/>
      <c r="BT560" s="812" t="s">
        <v>238</v>
      </c>
    </row>
    <row r="561" spans="1:72" ht="12.75" customHeight="1">
      <c r="A561" s="813" t="s">
        <v>1384</v>
      </c>
      <c r="B561" s="820" t="s">
        <v>1392</v>
      </c>
      <c r="C561" s="5">
        <v>0</v>
      </c>
      <c r="D561" s="5">
        <v>0</v>
      </c>
      <c r="E561" s="5">
        <v>0</v>
      </c>
      <c r="F561" s="5">
        <v>0</v>
      </c>
      <c r="G561" s="5">
        <v>0</v>
      </c>
      <c r="H561" s="5">
        <v>0</v>
      </c>
      <c r="I561" s="5">
        <v>0</v>
      </c>
      <c r="J561" s="5">
        <v>0</v>
      </c>
      <c r="K561" s="5">
        <v>0</v>
      </c>
      <c r="L561" s="5">
        <v>0</v>
      </c>
      <c r="M561" s="5">
        <v>0</v>
      </c>
      <c r="N561" s="5">
        <v>0</v>
      </c>
      <c r="O561" s="5">
        <v>0</v>
      </c>
      <c r="P561" s="5">
        <v>0</v>
      </c>
      <c r="Q561" s="5">
        <v>0</v>
      </c>
      <c r="R561" s="5">
        <v>0</v>
      </c>
      <c r="S561" s="5">
        <v>0</v>
      </c>
      <c r="T561" s="5">
        <v>0</v>
      </c>
      <c r="U561" s="5">
        <v>0</v>
      </c>
      <c r="V561" s="5">
        <v>0</v>
      </c>
      <c r="W561" s="5">
        <v>0</v>
      </c>
      <c r="X561" s="5">
        <v>0</v>
      </c>
      <c r="Y561" s="5">
        <v>0</v>
      </c>
      <c r="Z561" s="5">
        <v>0</v>
      </c>
      <c r="AA561" s="5">
        <v>0</v>
      </c>
      <c r="AB561" s="5">
        <v>0</v>
      </c>
      <c r="AC561" s="5">
        <v>0</v>
      </c>
      <c r="AD561" s="5">
        <v>0</v>
      </c>
      <c r="AE561" s="5">
        <v>0</v>
      </c>
      <c r="AF561" s="5">
        <v>0</v>
      </c>
      <c r="AG561" s="5">
        <v>0</v>
      </c>
      <c r="AH561" s="5">
        <v>0</v>
      </c>
      <c r="AI561" s="5">
        <v>0</v>
      </c>
      <c r="AJ561" s="5">
        <v>0</v>
      </c>
      <c r="AK561" s="5">
        <v>0</v>
      </c>
      <c r="AL561" s="5">
        <v>0</v>
      </c>
      <c r="AM561" s="5">
        <v>0</v>
      </c>
      <c r="AN561" s="5">
        <v>0</v>
      </c>
      <c r="AO561" s="5">
        <v>0</v>
      </c>
      <c r="AP561" s="816">
        <v>2</v>
      </c>
      <c r="AQ561" s="816">
        <v>5</v>
      </c>
      <c r="AR561" s="5">
        <v>3</v>
      </c>
      <c r="AS561" s="5">
        <v>0</v>
      </c>
      <c r="AT561" s="5">
        <v>0</v>
      </c>
      <c r="AU561" s="5">
        <v>0</v>
      </c>
      <c r="AV561" s="5">
        <v>0</v>
      </c>
      <c r="AW561" s="815">
        <v>0</v>
      </c>
      <c r="AX561" s="816">
        <v>0</v>
      </c>
      <c r="AY561" s="819">
        <v>0</v>
      </c>
      <c r="AZ561" s="816"/>
      <c r="BA561" s="818"/>
      <c r="BB561" s="802" t="str" cm="1">
        <f t="array" ref="BB561">INDEX(C$4:BA$4,MATCH(TRUE,INDEX(C561:BA561&lt;&gt;0,),0))</f>
        <v>2017-18</v>
      </c>
      <c r="BC561" s="803" t="str" cm="1">
        <f t="array" ref="BC561">LOOKUP(2,1/(C561:BA561&lt;&gt;0),$C$4:$BA$4)</f>
        <v>2019-20</v>
      </c>
      <c r="BD561" s="804">
        <f>COUNTIF(RDprograms[[#This Row],[1978-79]:[2028-29]], "&gt;0")</f>
        <v>3</v>
      </c>
      <c r="BE561" s="805">
        <f>SUM(C561:BA561)/RDprograms[[#This Row],[Years with &gt; $0 investment]]</f>
        <v>3.3333333333333335</v>
      </c>
      <c r="BF561" s="806" t="s">
        <v>273</v>
      </c>
      <c r="BG561" s="807" t="s">
        <v>362</v>
      </c>
      <c r="BH561" s="847" t="s">
        <v>241</v>
      </c>
      <c r="BI561" s="809"/>
      <c r="BJ561" s="809"/>
      <c r="BK561" s="809"/>
      <c r="BL561" s="809"/>
      <c r="BM561" s="809"/>
      <c r="BN561" s="810"/>
      <c r="BO561" s="811" t="s">
        <v>236</v>
      </c>
      <c r="BP561" s="812" t="s">
        <v>1393</v>
      </c>
      <c r="BQ561" s="812"/>
      <c r="BR561" s="812"/>
      <c r="BS561" s="812"/>
      <c r="BT561" s="812" t="s">
        <v>238</v>
      </c>
    </row>
    <row r="562" spans="1:72" ht="12.75" customHeight="1">
      <c r="A562" s="813" t="s">
        <v>1384</v>
      </c>
      <c r="B562" s="820" t="s">
        <v>1394</v>
      </c>
      <c r="C562" s="5">
        <v>0</v>
      </c>
      <c r="D562" s="5">
        <v>0</v>
      </c>
      <c r="E562" s="5">
        <v>0</v>
      </c>
      <c r="F562" s="5">
        <v>0</v>
      </c>
      <c r="G562" s="5">
        <v>0</v>
      </c>
      <c r="H562" s="5">
        <v>0</v>
      </c>
      <c r="I562" s="5">
        <v>0</v>
      </c>
      <c r="J562" s="5">
        <v>0</v>
      </c>
      <c r="K562" s="5">
        <v>0</v>
      </c>
      <c r="L562" s="5">
        <v>0</v>
      </c>
      <c r="M562" s="5">
        <v>0</v>
      </c>
      <c r="N562" s="5">
        <v>0</v>
      </c>
      <c r="O562" s="5">
        <v>0</v>
      </c>
      <c r="P562" s="5">
        <v>0</v>
      </c>
      <c r="Q562" s="5">
        <v>0</v>
      </c>
      <c r="R562" s="5">
        <v>0</v>
      </c>
      <c r="S562" s="5">
        <v>0</v>
      </c>
      <c r="T562" s="5">
        <v>0</v>
      </c>
      <c r="U562" s="5">
        <v>0</v>
      </c>
      <c r="V562" s="5">
        <v>0</v>
      </c>
      <c r="W562" s="5">
        <v>0</v>
      </c>
      <c r="X562" s="5">
        <v>0</v>
      </c>
      <c r="Y562" s="5">
        <v>0</v>
      </c>
      <c r="Z562" s="5">
        <v>0</v>
      </c>
      <c r="AA562" s="5">
        <v>0</v>
      </c>
      <c r="AB562" s="5">
        <v>0</v>
      </c>
      <c r="AC562" s="5">
        <v>0</v>
      </c>
      <c r="AD562" s="5">
        <v>0</v>
      </c>
      <c r="AE562" s="5">
        <v>0</v>
      </c>
      <c r="AF562" s="5">
        <v>0</v>
      </c>
      <c r="AG562" s="5">
        <v>0</v>
      </c>
      <c r="AH562" s="5">
        <v>0</v>
      </c>
      <c r="AI562" s="5">
        <v>0</v>
      </c>
      <c r="AJ562" s="5">
        <v>0</v>
      </c>
      <c r="AK562" s="5">
        <v>0</v>
      </c>
      <c r="AL562" s="5">
        <v>0</v>
      </c>
      <c r="AM562" s="5">
        <v>0</v>
      </c>
      <c r="AN562" s="5">
        <v>0.36699999999999999</v>
      </c>
      <c r="AO562" s="5">
        <v>0.42099999999999999</v>
      </c>
      <c r="AP562" s="5">
        <v>0.1</v>
      </c>
      <c r="AQ562" s="5">
        <v>0</v>
      </c>
      <c r="AR562" s="5">
        <v>0</v>
      </c>
      <c r="AS562" s="5">
        <v>0</v>
      </c>
      <c r="AT562" s="5">
        <v>0</v>
      </c>
      <c r="AU562" s="5">
        <v>0</v>
      </c>
      <c r="AV562" s="5">
        <v>0</v>
      </c>
      <c r="AW562" s="815">
        <v>0</v>
      </c>
      <c r="AX562" s="816">
        <v>0</v>
      </c>
      <c r="AY562" s="819">
        <v>0</v>
      </c>
      <c r="AZ562" s="816"/>
      <c r="BA562" s="818"/>
      <c r="BB562" s="802" t="str" cm="1">
        <f t="array" ref="BB562">INDEX(C$4:BA$4,MATCH(TRUE,INDEX(C562:BA562&lt;&gt;0,),0))</f>
        <v>2015-16</v>
      </c>
      <c r="BC562" s="803" t="str" cm="1">
        <f t="array" ref="BC562">LOOKUP(2,1/(C562:BA562&lt;&gt;0),$C$4:$BA$4)</f>
        <v>2017-18</v>
      </c>
      <c r="BD562" s="804">
        <f>COUNTIF(RDprograms[[#This Row],[1978-79]:[2028-29]], "&gt;0")</f>
        <v>3</v>
      </c>
      <c r="BE562" s="805">
        <f>SUM(C562:BA562)/RDprograms[[#This Row],[Years with &gt; $0 investment]]</f>
        <v>0.29599999999999999</v>
      </c>
      <c r="BF562" s="806" t="s">
        <v>273</v>
      </c>
      <c r="BG562" s="807" t="s">
        <v>362</v>
      </c>
      <c r="BH562" s="847" t="s">
        <v>269</v>
      </c>
      <c r="BI562" s="809"/>
      <c r="BJ562" s="809"/>
      <c r="BK562" s="809"/>
      <c r="BL562" s="809"/>
      <c r="BM562" s="809"/>
      <c r="BN562" s="810"/>
      <c r="BO562" s="811" t="s">
        <v>236</v>
      </c>
      <c r="BP562" s="812"/>
      <c r="BQ562" s="812"/>
      <c r="BR562" s="812"/>
      <c r="BS562" s="812"/>
      <c r="BT562" s="812"/>
    </row>
    <row r="563" spans="1:72" ht="12.75" customHeight="1">
      <c r="A563" s="813" t="s">
        <v>1384</v>
      </c>
      <c r="B563" s="820" t="s">
        <v>1395</v>
      </c>
      <c r="C563" s="5">
        <v>0</v>
      </c>
      <c r="D563" s="5">
        <v>0</v>
      </c>
      <c r="E563" s="5">
        <v>0</v>
      </c>
      <c r="F563" s="5">
        <v>0</v>
      </c>
      <c r="G563" s="5">
        <v>0</v>
      </c>
      <c r="H563" s="5">
        <v>0</v>
      </c>
      <c r="I563" s="5">
        <v>0</v>
      </c>
      <c r="J563" s="5">
        <v>0</v>
      </c>
      <c r="K563" s="5">
        <v>0</v>
      </c>
      <c r="L563" s="5">
        <v>0</v>
      </c>
      <c r="M563" s="5">
        <v>0</v>
      </c>
      <c r="N563" s="5">
        <v>0</v>
      </c>
      <c r="O563" s="5">
        <v>0</v>
      </c>
      <c r="P563" s="5">
        <v>0</v>
      </c>
      <c r="Q563" s="5">
        <v>0</v>
      </c>
      <c r="R563" s="5">
        <v>0</v>
      </c>
      <c r="S563" s="5">
        <v>0</v>
      </c>
      <c r="T563" s="5">
        <v>0</v>
      </c>
      <c r="U563" s="5">
        <v>0</v>
      </c>
      <c r="V563" s="5">
        <v>0</v>
      </c>
      <c r="W563" s="5">
        <v>0</v>
      </c>
      <c r="X563" s="5">
        <v>0</v>
      </c>
      <c r="Y563" s="5">
        <v>0</v>
      </c>
      <c r="Z563" s="5">
        <v>0</v>
      </c>
      <c r="AA563" s="5">
        <v>0</v>
      </c>
      <c r="AB563" s="5">
        <v>0</v>
      </c>
      <c r="AC563" s="5">
        <v>0</v>
      </c>
      <c r="AD563" s="5">
        <v>0</v>
      </c>
      <c r="AE563" s="5">
        <v>0</v>
      </c>
      <c r="AF563" s="5">
        <v>0</v>
      </c>
      <c r="AG563" s="5">
        <v>0</v>
      </c>
      <c r="AH563" s="5">
        <v>0</v>
      </c>
      <c r="AI563" s="5">
        <v>0</v>
      </c>
      <c r="AJ563" s="5">
        <v>0</v>
      </c>
      <c r="AK563" s="5">
        <v>0</v>
      </c>
      <c r="AL563" s="5">
        <v>0</v>
      </c>
      <c r="AM563" s="5">
        <v>0</v>
      </c>
      <c r="AN563" s="5">
        <v>0</v>
      </c>
      <c r="AO563" s="5">
        <v>0</v>
      </c>
      <c r="AP563" s="5">
        <v>0</v>
      </c>
      <c r="AQ563" s="5">
        <v>0</v>
      </c>
      <c r="AR563" s="5">
        <v>0</v>
      </c>
      <c r="AS563" s="5">
        <v>1.522</v>
      </c>
      <c r="AT563" s="5">
        <v>3.073</v>
      </c>
      <c r="AU563" s="5">
        <v>5.7149999999999999</v>
      </c>
      <c r="AV563" s="5">
        <v>8.2189999999999994</v>
      </c>
      <c r="AW563" s="815">
        <v>8</v>
      </c>
      <c r="AX563" s="816">
        <v>10.15</v>
      </c>
      <c r="AY563" s="819">
        <v>10.15</v>
      </c>
      <c r="AZ563" s="826">
        <v>10.15</v>
      </c>
      <c r="BA563" s="818">
        <v>10.15</v>
      </c>
      <c r="BB563" s="802" t="str" cm="1">
        <f t="array" ref="BB563">INDEX(C$4:BA$4,MATCH(TRUE,INDEX(C563:BA563&lt;&gt;0,),0))</f>
        <v>2020-21</v>
      </c>
      <c r="BC563" s="803" t="str" cm="1">
        <f t="array" ref="BC563">LOOKUP(2,1/(C563:BA563&lt;&gt;0),$C$4:$BA$4)</f>
        <v>2028-29</v>
      </c>
      <c r="BD563" s="804">
        <f>COUNTIF(RDprograms[[#This Row],[1978-79]:[2028-29]], "&gt;0")</f>
        <v>9</v>
      </c>
      <c r="BE563" s="805">
        <f>SUM(C563:BA563)/RDprograms[[#This Row],[Years with &gt; $0 investment]]</f>
        <v>7.4587777777777768</v>
      </c>
      <c r="BF563" s="806" t="s">
        <v>233</v>
      </c>
      <c r="BG563" s="807" t="s">
        <v>397</v>
      </c>
      <c r="BH563" s="847" t="s">
        <v>269</v>
      </c>
      <c r="BI563" s="809"/>
      <c r="BJ563" s="809"/>
      <c r="BK563" s="809"/>
      <c r="BL563" s="809"/>
      <c r="BM563" s="809">
        <v>1</v>
      </c>
      <c r="BN563" s="810"/>
      <c r="BO563" s="811" t="s">
        <v>236</v>
      </c>
      <c r="BP563" s="852" t="s">
        <v>1396</v>
      </c>
      <c r="BQ563" s="812"/>
      <c r="BR563" s="812"/>
      <c r="BS563" s="812"/>
      <c r="BT563" s="812"/>
    </row>
    <row r="564" spans="1:72" ht="12.75" customHeight="1">
      <c r="A564" s="813" t="s">
        <v>1384</v>
      </c>
      <c r="B564" s="820" t="s">
        <v>1397</v>
      </c>
      <c r="C564" s="5">
        <v>0</v>
      </c>
      <c r="D564" s="5">
        <v>0</v>
      </c>
      <c r="E564" s="5">
        <v>0</v>
      </c>
      <c r="F564" s="5">
        <v>0</v>
      </c>
      <c r="G564" s="5">
        <v>0</v>
      </c>
      <c r="H564" s="5">
        <v>0</v>
      </c>
      <c r="I564" s="5">
        <v>0</v>
      </c>
      <c r="J564" s="5">
        <v>0</v>
      </c>
      <c r="K564" s="5">
        <v>0</v>
      </c>
      <c r="L564" s="5">
        <v>0</v>
      </c>
      <c r="M564" s="5">
        <v>0</v>
      </c>
      <c r="N564" s="5">
        <v>0</v>
      </c>
      <c r="O564" s="5">
        <v>0</v>
      </c>
      <c r="P564" s="5">
        <v>0</v>
      </c>
      <c r="Q564" s="5">
        <v>0</v>
      </c>
      <c r="R564" s="5">
        <v>0</v>
      </c>
      <c r="S564" s="5">
        <v>0</v>
      </c>
      <c r="T564" s="5">
        <v>0</v>
      </c>
      <c r="U564" s="5">
        <v>0</v>
      </c>
      <c r="V564" s="5">
        <v>0</v>
      </c>
      <c r="W564" s="5">
        <v>0</v>
      </c>
      <c r="X564" s="5">
        <v>0</v>
      </c>
      <c r="Y564" s="5">
        <v>0</v>
      </c>
      <c r="Z564" s="5">
        <v>0</v>
      </c>
      <c r="AA564" s="5">
        <v>0</v>
      </c>
      <c r="AB564" s="5">
        <v>0</v>
      </c>
      <c r="AC564" s="5">
        <v>0</v>
      </c>
      <c r="AD564" s="5">
        <v>0</v>
      </c>
      <c r="AE564" s="5">
        <v>0</v>
      </c>
      <c r="AF564" s="5">
        <v>0</v>
      </c>
      <c r="AG564" s="5">
        <v>0</v>
      </c>
      <c r="AH564" s="5">
        <v>0.1</v>
      </c>
      <c r="AI564" s="5">
        <v>0.1</v>
      </c>
      <c r="AJ564" s="5">
        <v>0.1</v>
      </c>
      <c r="AK564" s="5">
        <v>0</v>
      </c>
      <c r="AL564" s="5">
        <v>0</v>
      </c>
      <c r="AM564" s="5">
        <v>0</v>
      </c>
      <c r="AN564" s="5">
        <v>0</v>
      </c>
      <c r="AO564" s="5">
        <v>0</v>
      </c>
      <c r="AP564" s="816">
        <v>0</v>
      </c>
      <c r="AQ564" s="816">
        <v>0</v>
      </c>
      <c r="AR564" s="5">
        <v>0</v>
      </c>
      <c r="AS564" s="5">
        <v>0</v>
      </c>
      <c r="AT564" s="5">
        <v>0</v>
      </c>
      <c r="AU564" s="5">
        <v>0</v>
      </c>
      <c r="AV564" s="5">
        <v>0</v>
      </c>
      <c r="AW564" s="815">
        <v>0</v>
      </c>
      <c r="AX564" s="816">
        <v>0</v>
      </c>
      <c r="AY564" s="819">
        <v>0</v>
      </c>
      <c r="AZ564" s="816"/>
      <c r="BA564" s="818"/>
      <c r="BB564" s="802" t="str" cm="1">
        <f t="array" ref="BB564">INDEX(C$4:BA$4,MATCH(TRUE,INDEX(C564:BA564&lt;&gt;0,),0))</f>
        <v>2009-10</v>
      </c>
      <c r="BC564" s="803" t="str" cm="1">
        <f t="array" ref="BC564">LOOKUP(2,1/(C564:BA564&lt;&gt;0),$C$4:$BA$4)</f>
        <v>2011-12</v>
      </c>
      <c r="BD564" s="804">
        <f>COUNTIF(RDprograms[[#This Row],[1978-79]:[2028-29]], "&gt;0")</f>
        <v>3</v>
      </c>
      <c r="BE564" s="805">
        <f>SUM(C564:BA564)/RDprograms[[#This Row],[Years with &gt; $0 investment]]</f>
        <v>0.10000000000000002</v>
      </c>
      <c r="BF564" s="806" t="s">
        <v>273</v>
      </c>
      <c r="BG564" s="807" t="s">
        <v>362</v>
      </c>
      <c r="BH564" s="847" t="s">
        <v>269</v>
      </c>
      <c r="BI564" s="809"/>
      <c r="BJ564" s="809"/>
      <c r="BK564" s="809"/>
      <c r="BL564" s="809"/>
      <c r="BM564" s="809"/>
      <c r="BN564" s="810"/>
      <c r="BO564" s="811" t="s">
        <v>236</v>
      </c>
      <c r="BP564" s="812"/>
      <c r="BQ564" s="812"/>
      <c r="BR564" s="812"/>
      <c r="BS564" s="812"/>
      <c r="BT564" s="812" t="s">
        <v>238</v>
      </c>
    </row>
    <row r="565" spans="1:72" ht="12.75" customHeight="1">
      <c r="A565" s="813" t="s">
        <v>1384</v>
      </c>
      <c r="B565" s="820" t="s">
        <v>1398</v>
      </c>
      <c r="C565" s="5">
        <v>0</v>
      </c>
      <c r="D565" s="5">
        <v>0</v>
      </c>
      <c r="E565" s="5">
        <v>0</v>
      </c>
      <c r="F565" s="5">
        <v>0</v>
      </c>
      <c r="G565" s="5">
        <v>0</v>
      </c>
      <c r="H565" s="5">
        <v>0</v>
      </c>
      <c r="I565" s="5">
        <v>0</v>
      </c>
      <c r="J565" s="5">
        <v>0</v>
      </c>
      <c r="K565" s="5">
        <v>0</v>
      </c>
      <c r="L565" s="5">
        <v>0</v>
      </c>
      <c r="M565" s="5">
        <v>0</v>
      </c>
      <c r="N565" s="5">
        <v>0</v>
      </c>
      <c r="O565" s="5">
        <v>0</v>
      </c>
      <c r="P565" s="5">
        <v>0</v>
      </c>
      <c r="Q565" s="5">
        <v>0</v>
      </c>
      <c r="R565" s="5">
        <v>0</v>
      </c>
      <c r="S565" s="5">
        <v>0</v>
      </c>
      <c r="T565" s="5">
        <v>0</v>
      </c>
      <c r="U565" s="5">
        <v>0</v>
      </c>
      <c r="V565" s="5">
        <v>0</v>
      </c>
      <c r="W565" s="5">
        <v>0</v>
      </c>
      <c r="X565" s="5">
        <v>0</v>
      </c>
      <c r="Y565" s="5">
        <v>0</v>
      </c>
      <c r="Z565" s="5">
        <v>0</v>
      </c>
      <c r="AA565" s="5">
        <v>0</v>
      </c>
      <c r="AB565" s="5">
        <v>0</v>
      </c>
      <c r="AC565" s="5">
        <v>0</v>
      </c>
      <c r="AD565" s="5">
        <v>0</v>
      </c>
      <c r="AE565" s="5">
        <v>0</v>
      </c>
      <c r="AF565" s="5">
        <v>0</v>
      </c>
      <c r="AG565" s="5">
        <v>0</v>
      </c>
      <c r="AH565" s="5">
        <v>0</v>
      </c>
      <c r="AI565" s="5">
        <v>0.38500000000000001</v>
      </c>
      <c r="AJ565" s="5">
        <v>0.38500000000000001</v>
      </c>
      <c r="AK565" s="5">
        <v>0.38500000000000001</v>
      </c>
      <c r="AL565" s="5">
        <v>0.35</v>
      </c>
      <c r="AM565" s="5">
        <v>0.35</v>
      </c>
      <c r="AN565" s="5">
        <v>0.35</v>
      </c>
      <c r="AO565" s="5">
        <v>0</v>
      </c>
      <c r="AP565" s="5">
        <v>0</v>
      </c>
      <c r="AQ565" s="5">
        <v>0</v>
      </c>
      <c r="AR565" s="5">
        <v>0</v>
      </c>
      <c r="AS565" s="5">
        <v>0</v>
      </c>
      <c r="AT565" s="5">
        <v>0</v>
      </c>
      <c r="AU565" s="5">
        <v>0</v>
      </c>
      <c r="AV565" s="5">
        <v>0</v>
      </c>
      <c r="AW565" s="815">
        <v>0</v>
      </c>
      <c r="AX565" s="816">
        <v>0</v>
      </c>
      <c r="AY565" s="819">
        <v>0</v>
      </c>
      <c r="AZ565" s="816"/>
      <c r="BA565" s="818"/>
      <c r="BB565" s="802" t="str" cm="1">
        <f t="array" ref="BB565">INDEX(C$4:BA$4,MATCH(TRUE,INDEX(C565:BA565&lt;&gt;0,),0))</f>
        <v>2010-11</v>
      </c>
      <c r="BC565" s="803" t="str" cm="1">
        <f t="array" ref="BC565">LOOKUP(2,1/(C565:BA565&lt;&gt;0),$C$4:$BA$4)</f>
        <v>2015-16</v>
      </c>
      <c r="BD565" s="804">
        <f>COUNTIF(RDprograms[[#This Row],[1978-79]:[2028-29]], "&gt;0")</f>
        <v>6</v>
      </c>
      <c r="BE565" s="805">
        <f>SUM(C565:BA565)/RDprograms[[#This Row],[Years with &gt; $0 investment]]</f>
        <v>0.36749999999999999</v>
      </c>
      <c r="BF565" s="806" t="s">
        <v>273</v>
      </c>
      <c r="BG565" s="807" t="s">
        <v>362</v>
      </c>
      <c r="BH565" s="847" t="s">
        <v>269</v>
      </c>
      <c r="BI565" s="809"/>
      <c r="BJ565" s="809"/>
      <c r="BK565" s="809"/>
      <c r="BL565" s="809"/>
      <c r="BM565" s="809"/>
      <c r="BN565" s="810"/>
      <c r="BO565" s="811" t="s">
        <v>236</v>
      </c>
      <c r="BP565" s="812"/>
      <c r="BQ565" s="812"/>
      <c r="BR565" s="812"/>
      <c r="BS565" s="812"/>
      <c r="BT565" s="812" t="s">
        <v>238</v>
      </c>
    </row>
    <row r="566" spans="1:72" ht="12.75" customHeight="1">
      <c r="A566" s="813" t="s">
        <v>1384</v>
      </c>
      <c r="B566" s="820" t="s">
        <v>1399</v>
      </c>
      <c r="C566" s="5">
        <v>0</v>
      </c>
      <c r="D566" s="5">
        <v>0</v>
      </c>
      <c r="E566" s="5">
        <v>0</v>
      </c>
      <c r="F566" s="5">
        <v>0</v>
      </c>
      <c r="G566" s="5">
        <v>0</v>
      </c>
      <c r="H566" s="5">
        <v>0</v>
      </c>
      <c r="I566" s="5">
        <v>0</v>
      </c>
      <c r="J566" s="5">
        <v>0</v>
      </c>
      <c r="K566" s="5">
        <v>0</v>
      </c>
      <c r="L566" s="5">
        <v>0</v>
      </c>
      <c r="M566" s="5">
        <v>0</v>
      </c>
      <c r="N566" s="5">
        <v>0</v>
      </c>
      <c r="O566" s="5">
        <v>0</v>
      </c>
      <c r="P566" s="5">
        <v>0</v>
      </c>
      <c r="Q566" s="5">
        <v>0</v>
      </c>
      <c r="R566" s="5">
        <v>0</v>
      </c>
      <c r="S566" s="5">
        <v>0</v>
      </c>
      <c r="T566" s="5">
        <v>0</v>
      </c>
      <c r="U566" s="5">
        <v>0</v>
      </c>
      <c r="V566" s="5">
        <v>0</v>
      </c>
      <c r="W566" s="5">
        <v>0</v>
      </c>
      <c r="X566" s="5">
        <v>0</v>
      </c>
      <c r="Y566" s="5">
        <v>0</v>
      </c>
      <c r="Z566" s="5">
        <v>0</v>
      </c>
      <c r="AA566" s="5">
        <v>0</v>
      </c>
      <c r="AB566" s="5">
        <v>0</v>
      </c>
      <c r="AC566" s="5">
        <v>0</v>
      </c>
      <c r="AD566" s="5">
        <v>0</v>
      </c>
      <c r="AE566" s="5">
        <v>0.1</v>
      </c>
      <c r="AF566" s="5">
        <v>0.1</v>
      </c>
      <c r="AG566" s="5">
        <v>0.1</v>
      </c>
      <c r="AH566" s="5">
        <v>0</v>
      </c>
      <c r="AI566" s="5">
        <v>0</v>
      </c>
      <c r="AJ566" s="5">
        <v>0</v>
      </c>
      <c r="AK566" s="5">
        <v>0</v>
      </c>
      <c r="AL566" s="5">
        <v>0</v>
      </c>
      <c r="AM566" s="5">
        <v>0</v>
      </c>
      <c r="AN566" s="5">
        <v>0</v>
      </c>
      <c r="AO566" s="5">
        <v>0</v>
      </c>
      <c r="AP566" s="5">
        <v>0</v>
      </c>
      <c r="AQ566" s="5">
        <v>0</v>
      </c>
      <c r="AR566" s="5">
        <v>0</v>
      </c>
      <c r="AS566" s="5">
        <v>0</v>
      </c>
      <c r="AT566" s="5">
        <v>0</v>
      </c>
      <c r="AU566" s="5">
        <v>0</v>
      </c>
      <c r="AV566" s="5">
        <v>0</v>
      </c>
      <c r="AW566" s="815">
        <v>0</v>
      </c>
      <c r="AX566" s="816">
        <v>0</v>
      </c>
      <c r="AY566" s="819">
        <v>0</v>
      </c>
      <c r="AZ566" s="816"/>
      <c r="BA566" s="818"/>
      <c r="BB566" s="802" t="str" cm="1">
        <f t="array" ref="BB566">INDEX(C$4:BA$4,MATCH(TRUE,INDEX(C566:BA566&lt;&gt;0,),0))</f>
        <v>2006-07</v>
      </c>
      <c r="BC566" s="803" t="str" cm="1">
        <f t="array" ref="BC566">LOOKUP(2,1/(C566:BA566&lt;&gt;0),$C$4:$BA$4)</f>
        <v>2008-09</v>
      </c>
      <c r="BD566" s="804">
        <f>COUNTIF(RDprograms[[#This Row],[1978-79]:[2028-29]], "&gt;0")</f>
        <v>3</v>
      </c>
      <c r="BE566" s="805">
        <f>SUM(C566:BA566)/RDprograms[[#This Row],[Years with &gt; $0 investment]]</f>
        <v>0.10000000000000002</v>
      </c>
      <c r="BF566" s="806" t="s">
        <v>273</v>
      </c>
      <c r="BG566" s="807" t="s">
        <v>362</v>
      </c>
      <c r="BH566" s="847" t="s">
        <v>269</v>
      </c>
      <c r="BI566" s="809"/>
      <c r="BJ566" s="809"/>
      <c r="BK566" s="809"/>
      <c r="BL566" s="809"/>
      <c r="BM566" s="809"/>
      <c r="BN566" s="810"/>
      <c r="BO566" s="811" t="s">
        <v>236</v>
      </c>
      <c r="BP566" s="812"/>
      <c r="BQ566" s="812"/>
      <c r="BR566" s="812"/>
      <c r="BS566" s="812"/>
      <c r="BT566" s="812" t="s">
        <v>238</v>
      </c>
    </row>
    <row r="567" spans="1:72" ht="12.75" customHeight="1">
      <c r="A567" s="813" t="s">
        <v>1384</v>
      </c>
      <c r="B567" s="820" t="s">
        <v>1400</v>
      </c>
      <c r="C567" s="5">
        <v>0</v>
      </c>
      <c r="D567" s="5">
        <v>0</v>
      </c>
      <c r="E567" s="5">
        <v>0</v>
      </c>
      <c r="F567" s="5">
        <v>0</v>
      </c>
      <c r="G567" s="5">
        <v>0</v>
      </c>
      <c r="H567" s="5">
        <v>0</v>
      </c>
      <c r="I567" s="5">
        <v>0</v>
      </c>
      <c r="J567" s="5">
        <v>0</v>
      </c>
      <c r="K567" s="5">
        <v>0</v>
      </c>
      <c r="L567" s="5">
        <v>0</v>
      </c>
      <c r="M567" s="5">
        <v>0</v>
      </c>
      <c r="N567" s="5">
        <v>0</v>
      </c>
      <c r="O567" s="5">
        <v>0</v>
      </c>
      <c r="P567" s="5">
        <v>0</v>
      </c>
      <c r="Q567" s="5">
        <v>0</v>
      </c>
      <c r="R567" s="5">
        <v>0</v>
      </c>
      <c r="S567" s="5">
        <v>0</v>
      </c>
      <c r="T567" s="5">
        <v>0</v>
      </c>
      <c r="U567" s="5">
        <v>0</v>
      </c>
      <c r="V567" s="5">
        <v>0</v>
      </c>
      <c r="W567" s="5">
        <v>0</v>
      </c>
      <c r="X567" s="5">
        <v>0</v>
      </c>
      <c r="Y567" s="5">
        <v>0</v>
      </c>
      <c r="Z567" s="5">
        <v>0</v>
      </c>
      <c r="AA567" s="5">
        <v>0</v>
      </c>
      <c r="AB567" s="5">
        <v>0</v>
      </c>
      <c r="AC567" s="5">
        <v>0</v>
      </c>
      <c r="AD567" s="5">
        <v>0</v>
      </c>
      <c r="AE567" s="5">
        <v>0</v>
      </c>
      <c r="AF567" s="5">
        <v>0</v>
      </c>
      <c r="AG567" s="5">
        <v>0</v>
      </c>
      <c r="AH567" s="5">
        <v>0</v>
      </c>
      <c r="AI567" s="5">
        <v>0</v>
      </c>
      <c r="AJ567" s="5">
        <v>0</v>
      </c>
      <c r="AK567" s="5">
        <v>0.19</v>
      </c>
      <c r="AL567" s="5">
        <v>0.17899999999999999</v>
      </c>
      <c r="AM567" s="5">
        <v>0.19600000000000001</v>
      </c>
      <c r="AN567" s="5">
        <v>0</v>
      </c>
      <c r="AO567" s="5">
        <v>0</v>
      </c>
      <c r="AP567" s="816">
        <v>0</v>
      </c>
      <c r="AQ567" s="816">
        <v>0</v>
      </c>
      <c r="AR567" s="5">
        <v>0</v>
      </c>
      <c r="AS567" s="5">
        <v>0</v>
      </c>
      <c r="AT567" s="5">
        <v>0</v>
      </c>
      <c r="AU567" s="5">
        <v>0</v>
      </c>
      <c r="AV567" s="5">
        <v>0</v>
      </c>
      <c r="AW567" s="815">
        <v>0</v>
      </c>
      <c r="AX567" s="816">
        <v>0</v>
      </c>
      <c r="AY567" s="819">
        <v>0</v>
      </c>
      <c r="AZ567" s="816"/>
      <c r="BA567" s="818"/>
      <c r="BB567" s="802" t="str" cm="1">
        <f t="array" ref="BB567">INDEX(C$4:BA$4,MATCH(TRUE,INDEX(C567:BA567&lt;&gt;0,),0))</f>
        <v>2012-13</v>
      </c>
      <c r="BC567" s="803" t="str" cm="1">
        <f t="array" ref="BC567">LOOKUP(2,1/(C567:BA567&lt;&gt;0),$C$4:$BA$4)</f>
        <v>2014-15</v>
      </c>
      <c r="BD567" s="804">
        <f>COUNTIF(RDprograms[[#This Row],[1978-79]:[2028-29]], "&gt;0")</f>
        <v>3</v>
      </c>
      <c r="BE567" s="805">
        <f>SUM(C567:BA567)/RDprograms[[#This Row],[Years with &gt; $0 investment]]</f>
        <v>0.18833333333333332</v>
      </c>
      <c r="BF567" s="806" t="s">
        <v>273</v>
      </c>
      <c r="BG567" s="807" t="s">
        <v>362</v>
      </c>
      <c r="BH567" s="847" t="s">
        <v>269</v>
      </c>
      <c r="BI567" s="809"/>
      <c r="BJ567" s="809"/>
      <c r="BK567" s="809"/>
      <c r="BL567" s="809"/>
      <c r="BM567" s="809"/>
      <c r="BN567" s="810"/>
      <c r="BO567" s="811" t="s">
        <v>236</v>
      </c>
      <c r="BP567" s="812"/>
      <c r="BQ567" s="812"/>
      <c r="BR567" s="812"/>
      <c r="BS567" s="812"/>
      <c r="BT567" s="812" t="s">
        <v>238</v>
      </c>
    </row>
    <row r="568" spans="1:72" ht="12.75" customHeight="1">
      <c r="A568" s="813" t="s">
        <v>1401</v>
      </c>
      <c r="B568" s="820" t="s">
        <v>1402</v>
      </c>
      <c r="C568" s="5">
        <v>0</v>
      </c>
      <c r="D568" s="5">
        <v>0</v>
      </c>
      <c r="E568" s="5">
        <v>0</v>
      </c>
      <c r="F568" s="5">
        <v>0</v>
      </c>
      <c r="G568" s="5">
        <v>0</v>
      </c>
      <c r="H568" s="5">
        <v>0</v>
      </c>
      <c r="I568" s="5">
        <v>0</v>
      </c>
      <c r="J568" s="5">
        <v>0</v>
      </c>
      <c r="K568" s="5">
        <v>0</v>
      </c>
      <c r="L568" s="5">
        <v>0</v>
      </c>
      <c r="M568" s="5">
        <v>0</v>
      </c>
      <c r="N568" s="5">
        <v>0</v>
      </c>
      <c r="O568" s="5">
        <v>0</v>
      </c>
      <c r="P568" s="5">
        <v>0</v>
      </c>
      <c r="Q568" s="5">
        <v>0</v>
      </c>
      <c r="R568" s="5">
        <v>0</v>
      </c>
      <c r="S568" s="5">
        <v>0</v>
      </c>
      <c r="T568" s="5">
        <v>0</v>
      </c>
      <c r="U568" s="5">
        <v>0</v>
      </c>
      <c r="V568" s="5">
        <v>0</v>
      </c>
      <c r="W568" s="5">
        <v>0</v>
      </c>
      <c r="X568" s="5">
        <v>0</v>
      </c>
      <c r="Y568" s="5">
        <v>0</v>
      </c>
      <c r="Z568" s="5">
        <v>0</v>
      </c>
      <c r="AA568" s="5">
        <v>0</v>
      </c>
      <c r="AB568" s="5">
        <v>0</v>
      </c>
      <c r="AC568" s="5">
        <v>0</v>
      </c>
      <c r="AD568" s="5">
        <v>0</v>
      </c>
      <c r="AE568" s="5">
        <v>0</v>
      </c>
      <c r="AF568" s="5">
        <v>0</v>
      </c>
      <c r="AG568" s="5">
        <v>0</v>
      </c>
      <c r="AH568" s="5">
        <v>0</v>
      </c>
      <c r="AI568" s="5">
        <v>0</v>
      </c>
      <c r="AJ568" s="5">
        <v>0</v>
      </c>
      <c r="AK568" s="5">
        <v>0</v>
      </c>
      <c r="AL568" s="5">
        <v>0</v>
      </c>
      <c r="AM568" s="5">
        <v>0</v>
      </c>
      <c r="AN568" s="5">
        <v>0</v>
      </c>
      <c r="AO568" s="5">
        <v>0</v>
      </c>
      <c r="AP568" s="5">
        <v>0.06</v>
      </c>
      <c r="AQ568" s="5">
        <v>8.1000000000000003E-2</v>
      </c>
      <c r="AR568" s="5">
        <v>0.14100000000000001</v>
      </c>
      <c r="AS568" s="5">
        <v>0</v>
      </c>
      <c r="AT568" s="5">
        <v>0</v>
      </c>
      <c r="AU568" s="5">
        <v>0</v>
      </c>
      <c r="AV568" s="5">
        <v>0</v>
      </c>
      <c r="AW568" s="815">
        <v>0</v>
      </c>
      <c r="AX568" s="816">
        <v>0</v>
      </c>
      <c r="AY568" s="819">
        <v>0</v>
      </c>
      <c r="AZ568" s="816"/>
      <c r="BA568" s="818"/>
      <c r="BB568" s="802" t="str" cm="1">
        <f t="array" ref="BB568">INDEX(C$4:BA$4,MATCH(TRUE,INDEX(C568:BA568&lt;&gt;0,),0))</f>
        <v>2017-18</v>
      </c>
      <c r="BC568" s="803" t="str" cm="1">
        <f t="array" ref="BC568">LOOKUP(2,1/(C568:BA568&lt;&gt;0),$C$4:$BA$4)</f>
        <v>2019-20</v>
      </c>
      <c r="BD568" s="804">
        <f>COUNTIF(RDprograms[[#This Row],[1978-79]:[2028-29]], "&gt;0")</f>
        <v>3</v>
      </c>
      <c r="BE568" s="805">
        <f>SUM(C568:BA568)/RDprograms[[#This Row],[Years with &gt; $0 investment]]</f>
        <v>9.4000000000000014E-2</v>
      </c>
      <c r="BF568" s="806" t="s">
        <v>273</v>
      </c>
      <c r="BG568" s="807" t="s">
        <v>362</v>
      </c>
      <c r="BH568" s="847" t="s">
        <v>258</v>
      </c>
      <c r="BI568" s="809"/>
      <c r="BJ568" s="809"/>
      <c r="BK568" s="809"/>
      <c r="BL568" s="809"/>
      <c r="BM568" s="809"/>
      <c r="BN568" s="810"/>
      <c r="BO568" s="811" t="s">
        <v>236</v>
      </c>
      <c r="BP568" s="812" t="s">
        <v>1403</v>
      </c>
      <c r="BQ568" s="812" t="s">
        <v>1404</v>
      </c>
      <c r="BR568" s="812" t="s">
        <v>508</v>
      </c>
      <c r="BS568" s="812"/>
      <c r="BT568" s="812" t="s">
        <v>238</v>
      </c>
    </row>
    <row r="569" spans="1:72" ht="12.75" customHeight="1">
      <c r="A569" s="813" t="s">
        <v>1401</v>
      </c>
      <c r="B569" s="820" t="s">
        <v>1405</v>
      </c>
      <c r="C569" s="5">
        <v>0</v>
      </c>
      <c r="D569" s="5">
        <v>0</v>
      </c>
      <c r="E569" s="5">
        <v>0</v>
      </c>
      <c r="F569" s="5">
        <v>0</v>
      </c>
      <c r="G569" s="5">
        <v>0</v>
      </c>
      <c r="H569" s="5">
        <v>0</v>
      </c>
      <c r="I569" s="5">
        <v>0</v>
      </c>
      <c r="J569" s="5">
        <v>0</v>
      </c>
      <c r="K569" s="5">
        <v>0</v>
      </c>
      <c r="L569" s="5">
        <v>0</v>
      </c>
      <c r="M569" s="5">
        <v>0</v>
      </c>
      <c r="N569" s="5">
        <v>0</v>
      </c>
      <c r="O569" s="5">
        <v>0</v>
      </c>
      <c r="P569" s="5">
        <v>0</v>
      </c>
      <c r="Q569" s="5">
        <v>0</v>
      </c>
      <c r="R569" s="5">
        <v>0</v>
      </c>
      <c r="S569" s="5">
        <v>0</v>
      </c>
      <c r="T569" s="5">
        <v>0</v>
      </c>
      <c r="U569" s="5">
        <v>0</v>
      </c>
      <c r="V569" s="5">
        <v>0</v>
      </c>
      <c r="W569" s="5">
        <v>0</v>
      </c>
      <c r="X569" s="5">
        <v>0</v>
      </c>
      <c r="Y569" s="5">
        <v>0</v>
      </c>
      <c r="Z569" s="5">
        <v>0</v>
      </c>
      <c r="AA569" s="5">
        <v>0</v>
      </c>
      <c r="AB569" s="5">
        <v>0</v>
      </c>
      <c r="AC569" s="5">
        <v>0</v>
      </c>
      <c r="AD569" s="5">
        <v>0</v>
      </c>
      <c r="AE569" s="5">
        <v>0</v>
      </c>
      <c r="AF569" s="5">
        <v>0</v>
      </c>
      <c r="AG569" s="5">
        <v>0</v>
      </c>
      <c r="AH569" s="5">
        <v>0</v>
      </c>
      <c r="AI569" s="5">
        <v>0</v>
      </c>
      <c r="AJ569" s="5">
        <v>0</v>
      </c>
      <c r="AK569" s="5">
        <v>0</v>
      </c>
      <c r="AL569" s="5">
        <v>0</v>
      </c>
      <c r="AM569" s="5">
        <v>0</v>
      </c>
      <c r="AN569" s="5">
        <v>0</v>
      </c>
      <c r="AO569" s="5">
        <v>0.72</v>
      </c>
      <c r="AP569" s="816">
        <v>0.56000000000000005</v>
      </c>
      <c r="AQ569" s="816">
        <v>0.66500000000000004</v>
      </c>
      <c r="AR569" s="5">
        <v>0</v>
      </c>
      <c r="AS569" s="5">
        <v>0</v>
      </c>
      <c r="AT569" s="5">
        <v>0</v>
      </c>
      <c r="AU569" s="5">
        <v>0</v>
      </c>
      <c r="AV569" s="5">
        <v>0</v>
      </c>
      <c r="AW569" s="815">
        <v>0</v>
      </c>
      <c r="AX569" s="816">
        <v>0</v>
      </c>
      <c r="AY569" s="819">
        <v>0</v>
      </c>
      <c r="AZ569" s="816"/>
      <c r="BA569" s="818"/>
      <c r="BB569" s="802" t="str" cm="1">
        <f t="array" ref="BB569">INDEX(C$4:BA$4,MATCH(TRUE,INDEX(C569:BA569&lt;&gt;0,),0))</f>
        <v>2016-17</v>
      </c>
      <c r="BC569" s="803" t="str" cm="1">
        <f t="array" ref="BC569">LOOKUP(2,1/(C569:BA569&lt;&gt;0),$C$4:$BA$4)</f>
        <v>2018-19</v>
      </c>
      <c r="BD569" s="804">
        <f>COUNTIF(RDprograms[[#This Row],[1978-79]:[2028-29]], "&gt;0")</f>
        <v>3</v>
      </c>
      <c r="BE569" s="805">
        <f>SUM(C569:BA569)/RDprograms[[#This Row],[Years with &gt; $0 investment]]</f>
        <v>0.64833333333333332</v>
      </c>
      <c r="BF569" s="806" t="s">
        <v>273</v>
      </c>
      <c r="BG569" s="807" t="s">
        <v>362</v>
      </c>
      <c r="BH569" s="847" t="s">
        <v>258</v>
      </c>
      <c r="BI569" s="809"/>
      <c r="BJ569" s="809"/>
      <c r="BK569" s="809"/>
      <c r="BL569" s="809"/>
      <c r="BM569" s="809"/>
      <c r="BN569" s="810"/>
      <c r="BO569" s="811" t="s">
        <v>236</v>
      </c>
      <c r="BP569" s="812" t="s">
        <v>1403</v>
      </c>
      <c r="BQ569" s="812" t="s">
        <v>1406</v>
      </c>
      <c r="BR569" s="812" t="s">
        <v>508</v>
      </c>
      <c r="BS569" s="812"/>
      <c r="BT569" s="812" t="s">
        <v>238</v>
      </c>
    </row>
    <row r="570" spans="1:72" ht="12.75" customHeight="1">
      <c r="A570" s="813" t="s">
        <v>1401</v>
      </c>
      <c r="B570" s="820" t="s">
        <v>1407</v>
      </c>
      <c r="C570" s="5">
        <v>0</v>
      </c>
      <c r="D570" s="5">
        <v>0</v>
      </c>
      <c r="E570" s="5">
        <v>0</v>
      </c>
      <c r="F570" s="5">
        <v>0</v>
      </c>
      <c r="G570" s="5">
        <v>0</v>
      </c>
      <c r="H570" s="5">
        <v>0</v>
      </c>
      <c r="I570" s="5">
        <v>0</v>
      </c>
      <c r="J570" s="5">
        <v>0</v>
      </c>
      <c r="K570" s="5">
        <v>0</v>
      </c>
      <c r="L570" s="5">
        <v>0</v>
      </c>
      <c r="M570" s="5">
        <v>0</v>
      </c>
      <c r="N570" s="5">
        <v>0</v>
      </c>
      <c r="O570" s="5">
        <v>0</v>
      </c>
      <c r="P570" s="5">
        <v>0</v>
      </c>
      <c r="Q570" s="5">
        <v>0</v>
      </c>
      <c r="R570" s="5">
        <v>0</v>
      </c>
      <c r="S570" s="5">
        <v>0</v>
      </c>
      <c r="T570" s="5">
        <v>0</v>
      </c>
      <c r="U570" s="5">
        <v>0</v>
      </c>
      <c r="V570" s="5">
        <v>0</v>
      </c>
      <c r="W570" s="5">
        <v>0</v>
      </c>
      <c r="X570" s="5">
        <v>0</v>
      </c>
      <c r="Y570" s="5">
        <v>0</v>
      </c>
      <c r="Z570" s="5">
        <v>0</v>
      </c>
      <c r="AA570" s="5">
        <v>0</v>
      </c>
      <c r="AB570" s="5">
        <v>0</v>
      </c>
      <c r="AC570" s="5">
        <v>0</v>
      </c>
      <c r="AD570" s="5">
        <v>0</v>
      </c>
      <c r="AE570" s="5">
        <v>0</v>
      </c>
      <c r="AF570" s="5">
        <v>0</v>
      </c>
      <c r="AG570" s="5">
        <v>0</v>
      </c>
      <c r="AH570" s="5">
        <v>0</v>
      </c>
      <c r="AI570" s="5">
        <v>0</v>
      </c>
      <c r="AJ570" s="5">
        <v>0</v>
      </c>
      <c r="AK570" s="5">
        <v>0</v>
      </c>
      <c r="AL570" s="5">
        <v>0</v>
      </c>
      <c r="AM570" s="5">
        <v>0</v>
      </c>
      <c r="AN570" s="5">
        <v>0</v>
      </c>
      <c r="AO570" s="5">
        <v>9.5000000000000001E-2</v>
      </c>
      <c r="AP570" s="5">
        <v>0.02</v>
      </c>
      <c r="AQ570" s="5">
        <v>0</v>
      </c>
      <c r="AR570" s="5">
        <v>0</v>
      </c>
      <c r="AS570" s="5">
        <v>0</v>
      </c>
      <c r="AT570" s="5">
        <v>0</v>
      </c>
      <c r="AU570" s="5">
        <v>0</v>
      </c>
      <c r="AV570" s="5">
        <v>0</v>
      </c>
      <c r="AW570" s="815">
        <v>0</v>
      </c>
      <c r="AX570" s="816">
        <v>0</v>
      </c>
      <c r="AY570" s="819">
        <v>0</v>
      </c>
      <c r="AZ570" s="816"/>
      <c r="BA570" s="818"/>
      <c r="BB570" s="802" t="str" cm="1">
        <f t="array" ref="BB570">INDEX(C$4:BA$4,MATCH(TRUE,INDEX(C570:BA570&lt;&gt;0,),0))</f>
        <v>2016-17</v>
      </c>
      <c r="BC570" s="803" t="str" cm="1">
        <f t="array" ref="BC570">LOOKUP(2,1/(C570:BA570&lt;&gt;0),$C$4:$BA$4)</f>
        <v>2017-18</v>
      </c>
      <c r="BD570" s="804">
        <f>COUNTIF(RDprograms[[#This Row],[1978-79]:[2028-29]], "&gt;0")</f>
        <v>2</v>
      </c>
      <c r="BE570" s="805">
        <f>SUM(C570:BA570)/RDprograms[[#This Row],[Years with &gt; $0 investment]]</f>
        <v>5.7500000000000002E-2</v>
      </c>
      <c r="BF570" s="806" t="s">
        <v>273</v>
      </c>
      <c r="BG570" s="807" t="s">
        <v>362</v>
      </c>
      <c r="BH570" s="847" t="s">
        <v>258</v>
      </c>
      <c r="BI570" s="809"/>
      <c r="BJ570" s="809"/>
      <c r="BK570" s="809"/>
      <c r="BL570" s="809"/>
      <c r="BM570" s="809"/>
      <c r="BN570" s="810"/>
      <c r="BO570" s="811" t="s">
        <v>236</v>
      </c>
      <c r="BP570" s="812" t="s">
        <v>1403</v>
      </c>
      <c r="BQ570" s="812" t="s">
        <v>1408</v>
      </c>
      <c r="BR570" s="812" t="s">
        <v>508</v>
      </c>
      <c r="BS570" s="812"/>
      <c r="BT570" s="812" t="s">
        <v>238</v>
      </c>
    </row>
    <row r="571" spans="1:72" ht="12.75" customHeight="1">
      <c r="A571" s="813" t="s">
        <v>1401</v>
      </c>
      <c r="B571" s="820" t="s">
        <v>1409</v>
      </c>
      <c r="C571" s="5">
        <v>0</v>
      </c>
      <c r="D571" s="5">
        <v>0</v>
      </c>
      <c r="E571" s="5">
        <v>0</v>
      </c>
      <c r="F571" s="5">
        <v>0</v>
      </c>
      <c r="G571" s="5">
        <v>0</v>
      </c>
      <c r="H571" s="5">
        <v>0</v>
      </c>
      <c r="I571" s="5">
        <v>0</v>
      </c>
      <c r="J571" s="5">
        <v>0</v>
      </c>
      <c r="K571" s="5">
        <v>0</v>
      </c>
      <c r="L571" s="5">
        <v>0</v>
      </c>
      <c r="M571" s="5">
        <v>0</v>
      </c>
      <c r="N571" s="5">
        <v>0</v>
      </c>
      <c r="O571" s="5">
        <v>0</v>
      </c>
      <c r="P571" s="5">
        <v>0</v>
      </c>
      <c r="Q571" s="5">
        <v>0</v>
      </c>
      <c r="R571" s="5">
        <v>0</v>
      </c>
      <c r="S571" s="5">
        <v>0</v>
      </c>
      <c r="T571" s="5">
        <v>0</v>
      </c>
      <c r="U571" s="5">
        <v>0</v>
      </c>
      <c r="V571" s="5">
        <v>0</v>
      </c>
      <c r="W571" s="5">
        <v>0</v>
      </c>
      <c r="X571" s="5">
        <v>0</v>
      </c>
      <c r="Y571" s="5">
        <v>0</v>
      </c>
      <c r="Z571" s="5">
        <v>0</v>
      </c>
      <c r="AA571" s="5">
        <v>0</v>
      </c>
      <c r="AB571" s="5">
        <v>0</v>
      </c>
      <c r="AC571" s="5">
        <v>0</v>
      </c>
      <c r="AD571" s="5">
        <v>0</v>
      </c>
      <c r="AE571" s="5">
        <v>0</v>
      </c>
      <c r="AF571" s="5">
        <v>0</v>
      </c>
      <c r="AG571" s="5">
        <v>0</v>
      </c>
      <c r="AH571" s="5">
        <v>0</v>
      </c>
      <c r="AI571" s="5">
        <v>0</v>
      </c>
      <c r="AJ571" s="5">
        <v>0</v>
      </c>
      <c r="AK571" s="5">
        <v>0</v>
      </c>
      <c r="AL571" s="5">
        <v>0</v>
      </c>
      <c r="AM571" s="5">
        <v>0</v>
      </c>
      <c r="AN571" s="5">
        <v>0</v>
      </c>
      <c r="AO571" s="5">
        <v>0.23</v>
      </c>
      <c r="AP571" s="5">
        <v>0.215</v>
      </c>
      <c r="AQ571" s="5">
        <v>0</v>
      </c>
      <c r="AR571" s="5">
        <v>0</v>
      </c>
      <c r="AS571" s="5">
        <v>0</v>
      </c>
      <c r="AT571" s="5">
        <v>0</v>
      </c>
      <c r="AU571" s="5">
        <v>0</v>
      </c>
      <c r="AV571" s="5">
        <v>0</v>
      </c>
      <c r="AW571" s="815">
        <v>0</v>
      </c>
      <c r="AX571" s="816">
        <v>0</v>
      </c>
      <c r="AY571" s="819">
        <v>0</v>
      </c>
      <c r="AZ571" s="816"/>
      <c r="BA571" s="818"/>
      <c r="BB571" s="802" t="str" cm="1">
        <f t="array" ref="BB571">INDEX(C$4:BA$4,MATCH(TRUE,INDEX(C571:BA571&lt;&gt;0,),0))</f>
        <v>2016-17</v>
      </c>
      <c r="BC571" s="803" t="str" cm="1">
        <f t="array" ref="BC571">LOOKUP(2,1/(C571:BA571&lt;&gt;0),$C$4:$BA$4)</f>
        <v>2017-18</v>
      </c>
      <c r="BD571" s="804">
        <f>COUNTIF(RDprograms[[#This Row],[1978-79]:[2028-29]], "&gt;0")</f>
        <v>2</v>
      </c>
      <c r="BE571" s="805">
        <f>SUM(C571:BA571)/RDprograms[[#This Row],[Years with &gt; $0 investment]]</f>
        <v>0.2225</v>
      </c>
      <c r="BF571" s="806" t="s">
        <v>273</v>
      </c>
      <c r="BG571" s="807" t="s">
        <v>362</v>
      </c>
      <c r="BH571" s="847" t="s">
        <v>258</v>
      </c>
      <c r="BI571" s="809"/>
      <c r="BJ571" s="809"/>
      <c r="BK571" s="809"/>
      <c r="BL571" s="809"/>
      <c r="BM571" s="809"/>
      <c r="BN571" s="810"/>
      <c r="BO571" s="811" t="s">
        <v>236</v>
      </c>
      <c r="BP571" s="812" t="s">
        <v>1403</v>
      </c>
      <c r="BQ571" s="812" t="s">
        <v>1410</v>
      </c>
      <c r="BR571" s="812" t="s">
        <v>508</v>
      </c>
      <c r="BS571" s="812"/>
      <c r="BT571" s="812" t="s">
        <v>238</v>
      </c>
    </row>
    <row r="572" spans="1:72" ht="12.75" customHeight="1">
      <c r="A572" s="813" t="s">
        <v>1401</v>
      </c>
      <c r="B572" s="820" t="s">
        <v>1411</v>
      </c>
      <c r="C572" s="5">
        <v>0</v>
      </c>
      <c r="D572" s="5">
        <v>0</v>
      </c>
      <c r="E572" s="5">
        <v>0</v>
      </c>
      <c r="F572" s="5">
        <v>0</v>
      </c>
      <c r="G572" s="5">
        <v>0</v>
      </c>
      <c r="H572" s="5">
        <v>0</v>
      </c>
      <c r="I572" s="5">
        <v>0</v>
      </c>
      <c r="J572" s="5">
        <v>0</v>
      </c>
      <c r="K572" s="5">
        <v>0</v>
      </c>
      <c r="L572" s="5">
        <v>0</v>
      </c>
      <c r="M572" s="5">
        <v>0</v>
      </c>
      <c r="N572" s="5">
        <v>0</v>
      </c>
      <c r="O572" s="5">
        <v>0</v>
      </c>
      <c r="P572" s="5">
        <v>0</v>
      </c>
      <c r="Q572" s="5">
        <v>0</v>
      </c>
      <c r="R572" s="5">
        <v>0</v>
      </c>
      <c r="S572" s="5">
        <v>0</v>
      </c>
      <c r="T572" s="5">
        <v>0</v>
      </c>
      <c r="U572" s="5">
        <v>0</v>
      </c>
      <c r="V572" s="5">
        <v>0</v>
      </c>
      <c r="W572" s="5">
        <v>0</v>
      </c>
      <c r="X572" s="5">
        <v>0</v>
      </c>
      <c r="Y572" s="5">
        <v>0</v>
      </c>
      <c r="Z572" s="5">
        <v>0</v>
      </c>
      <c r="AA572" s="5">
        <v>0</v>
      </c>
      <c r="AB572" s="5">
        <v>0</v>
      </c>
      <c r="AC572" s="5">
        <v>0</v>
      </c>
      <c r="AD572" s="5">
        <v>0</v>
      </c>
      <c r="AE572" s="5">
        <v>0</v>
      </c>
      <c r="AF572" s="5">
        <v>0</v>
      </c>
      <c r="AG572" s="5">
        <v>0</v>
      </c>
      <c r="AH572" s="5">
        <v>0</v>
      </c>
      <c r="AI572" s="5">
        <v>0</v>
      </c>
      <c r="AJ572" s="5">
        <v>0</v>
      </c>
      <c r="AK572" s="5">
        <v>0</v>
      </c>
      <c r="AL572" s="5">
        <v>0</v>
      </c>
      <c r="AM572" s="5">
        <v>0</v>
      </c>
      <c r="AN572" s="5">
        <v>0</v>
      </c>
      <c r="AO572" s="5">
        <v>0.05</v>
      </c>
      <c r="AP572" s="816">
        <v>0.28999999999999998</v>
      </c>
      <c r="AQ572" s="816">
        <v>0.318</v>
      </c>
      <c r="AR572" s="5">
        <v>0</v>
      </c>
      <c r="AS572" s="5">
        <v>0</v>
      </c>
      <c r="AT572" s="5">
        <v>0</v>
      </c>
      <c r="AU572" s="5">
        <v>0</v>
      </c>
      <c r="AV572" s="5">
        <v>0</v>
      </c>
      <c r="AW572" s="815">
        <v>0</v>
      </c>
      <c r="AX572" s="816">
        <v>0</v>
      </c>
      <c r="AY572" s="819">
        <v>0</v>
      </c>
      <c r="AZ572" s="816"/>
      <c r="BA572" s="818"/>
      <c r="BB572" s="802" t="str" cm="1">
        <f t="array" ref="BB572">INDEX(C$4:BA$4,MATCH(TRUE,INDEX(C572:BA572&lt;&gt;0,),0))</f>
        <v>2016-17</v>
      </c>
      <c r="BC572" s="803" t="str" cm="1">
        <f t="array" ref="BC572">LOOKUP(2,1/(C572:BA572&lt;&gt;0),$C$4:$BA$4)</f>
        <v>2018-19</v>
      </c>
      <c r="BD572" s="804">
        <f>COUNTIF(RDprograms[[#This Row],[1978-79]:[2028-29]], "&gt;0")</f>
        <v>3</v>
      </c>
      <c r="BE572" s="805">
        <f>SUM(C572:BA572)/RDprograms[[#This Row],[Years with &gt; $0 investment]]</f>
        <v>0.2193333333333333</v>
      </c>
      <c r="BF572" s="806" t="s">
        <v>273</v>
      </c>
      <c r="BG572" s="807" t="s">
        <v>362</v>
      </c>
      <c r="BH572" s="847" t="s">
        <v>258</v>
      </c>
      <c r="BI572" s="809"/>
      <c r="BJ572" s="809"/>
      <c r="BK572" s="809"/>
      <c r="BL572" s="809"/>
      <c r="BM572" s="809"/>
      <c r="BN572" s="810"/>
      <c r="BO572" s="811" t="s">
        <v>236</v>
      </c>
      <c r="BP572" s="812" t="s">
        <v>1403</v>
      </c>
      <c r="BQ572" s="812" t="s">
        <v>1412</v>
      </c>
      <c r="BR572" s="812" t="s">
        <v>508</v>
      </c>
      <c r="BS572" s="812"/>
      <c r="BT572" s="812" t="s">
        <v>238</v>
      </c>
    </row>
    <row r="573" spans="1:72" ht="12.75" customHeight="1">
      <c r="A573" s="813" t="s">
        <v>1401</v>
      </c>
      <c r="B573" s="820" t="s">
        <v>1413</v>
      </c>
      <c r="C573" s="5">
        <v>0</v>
      </c>
      <c r="D573" s="5">
        <v>0</v>
      </c>
      <c r="E573" s="5">
        <v>0</v>
      </c>
      <c r="F573" s="5">
        <v>0</v>
      </c>
      <c r="G573" s="5">
        <v>0</v>
      </c>
      <c r="H573" s="5">
        <v>0</v>
      </c>
      <c r="I573" s="5">
        <v>0</v>
      </c>
      <c r="J573" s="5">
        <v>0</v>
      </c>
      <c r="K573" s="5">
        <v>0</v>
      </c>
      <c r="L573" s="5">
        <v>0</v>
      </c>
      <c r="M573" s="5">
        <v>0</v>
      </c>
      <c r="N573" s="5">
        <v>0</v>
      </c>
      <c r="O573" s="5">
        <v>0</v>
      </c>
      <c r="P573" s="5">
        <v>0</v>
      </c>
      <c r="Q573" s="5">
        <v>0</v>
      </c>
      <c r="R573" s="5">
        <v>0</v>
      </c>
      <c r="S573" s="5">
        <v>0</v>
      </c>
      <c r="T573" s="5">
        <v>0</v>
      </c>
      <c r="U573" s="5">
        <v>0</v>
      </c>
      <c r="V573" s="5">
        <v>0</v>
      </c>
      <c r="W573" s="5">
        <v>0</v>
      </c>
      <c r="X573" s="5">
        <v>0</v>
      </c>
      <c r="Y573" s="5">
        <v>0</v>
      </c>
      <c r="Z573" s="5">
        <v>0</v>
      </c>
      <c r="AA573" s="5">
        <v>0</v>
      </c>
      <c r="AB573" s="5">
        <v>0</v>
      </c>
      <c r="AC573" s="5">
        <v>0</v>
      </c>
      <c r="AD573" s="5">
        <v>0</v>
      </c>
      <c r="AE573" s="5">
        <v>0</v>
      </c>
      <c r="AF573" s="5">
        <v>0</v>
      </c>
      <c r="AG573" s="5">
        <v>0</v>
      </c>
      <c r="AH573" s="5">
        <v>0</v>
      </c>
      <c r="AI573" s="5">
        <v>0</v>
      </c>
      <c r="AJ573" s="5">
        <v>0</v>
      </c>
      <c r="AK573" s="5">
        <v>0</v>
      </c>
      <c r="AL573" s="5">
        <v>0</v>
      </c>
      <c r="AM573" s="5">
        <v>0</v>
      </c>
      <c r="AN573" s="5">
        <v>0</v>
      </c>
      <c r="AO573" s="5"/>
      <c r="AP573" s="5">
        <v>1.7</v>
      </c>
      <c r="AQ573" s="5">
        <v>1.7</v>
      </c>
      <c r="AR573" s="5">
        <v>1.7</v>
      </c>
      <c r="AS573" s="5">
        <v>1.7</v>
      </c>
      <c r="AT573" s="5">
        <v>1.7</v>
      </c>
      <c r="AU573" s="5">
        <v>2</v>
      </c>
      <c r="AV573" s="5">
        <v>2</v>
      </c>
      <c r="AW573" s="815">
        <v>2</v>
      </c>
      <c r="AX573" s="816">
        <v>0</v>
      </c>
      <c r="AY573" s="819">
        <v>0</v>
      </c>
      <c r="AZ573" s="816"/>
      <c r="BA573" s="818"/>
      <c r="BB573" s="802" t="str" cm="1">
        <f t="array" ref="BB573">INDEX(C$4:BA$4,MATCH(TRUE,INDEX(C573:BA573&lt;&gt;0,),0))</f>
        <v>2017-18</v>
      </c>
      <c r="BC573" s="803" t="str" cm="1">
        <f t="array" ref="BC573">LOOKUP(2,1/(C573:BA573&lt;&gt;0),$C$4:$BA$4)</f>
        <v>2024-25</v>
      </c>
      <c r="BD573" s="804">
        <f>COUNTIF(RDprograms[[#This Row],[1978-79]:[2028-29]], "&gt;0")</f>
        <v>8</v>
      </c>
      <c r="BE573" s="805">
        <f>SUM(C573:BA573)/RDprograms[[#This Row],[Years with &gt; $0 investment]]</f>
        <v>1.8125</v>
      </c>
      <c r="BF573" s="806" t="s">
        <v>273</v>
      </c>
      <c r="BG573" s="807" t="s">
        <v>362</v>
      </c>
      <c r="BH573" s="847" t="s">
        <v>258</v>
      </c>
      <c r="BI573" s="809"/>
      <c r="BJ573" s="809"/>
      <c r="BK573" s="809"/>
      <c r="BL573" s="809"/>
      <c r="BM573" s="809"/>
      <c r="BN573" s="810"/>
      <c r="BO573" s="811" t="s">
        <v>236</v>
      </c>
      <c r="BP573" s="812" t="s">
        <v>1403</v>
      </c>
      <c r="BQ573" s="812" t="s">
        <v>1414</v>
      </c>
      <c r="BR573" s="812" t="s">
        <v>508</v>
      </c>
      <c r="BS573" s="812"/>
      <c r="BT573" s="812" t="s">
        <v>238</v>
      </c>
    </row>
    <row r="574" spans="1:72" ht="12.75" customHeight="1">
      <c r="A574" s="813" t="s">
        <v>1401</v>
      </c>
      <c r="B574" s="820" t="s">
        <v>1415</v>
      </c>
      <c r="C574" s="5">
        <v>0</v>
      </c>
      <c r="D574" s="5">
        <v>0</v>
      </c>
      <c r="E574" s="5">
        <v>0</v>
      </c>
      <c r="F574" s="5">
        <v>0</v>
      </c>
      <c r="G574" s="5">
        <v>0</v>
      </c>
      <c r="H574" s="5">
        <v>0</v>
      </c>
      <c r="I574" s="5">
        <v>0</v>
      </c>
      <c r="J574" s="5">
        <v>0</v>
      </c>
      <c r="K574" s="5">
        <v>0</v>
      </c>
      <c r="L574" s="5">
        <v>0</v>
      </c>
      <c r="M574" s="5">
        <v>0</v>
      </c>
      <c r="N574" s="5">
        <v>0</v>
      </c>
      <c r="O574" s="5">
        <v>0</v>
      </c>
      <c r="P574" s="5">
        <v>0</v>
      </c>
      <c r="Q574" s="5">
        <v>0</v>
      </c>
      <c r="R574" s="5">
        <v>0</v>
      </c>
      <c r="S574" s="5">
        <v>0</v>
      </c>
      <c r="T574" s="5">
        <v>0</v>
      </c>
      <c r="U574" s="5">
        <v>0</v>
      </c>
      <c r="V574" s="5">
        <v>0</v>
      </c>
      <c r="W574" s="5">
        <v>0</v>
      </c>
      <c r="X574" s="5">
        <v>0</v>
      </c>
      <c r="Y574" s="5">
        <v>0</v>
      </c>
      <c r="Z574" s="5">
        <v>0</v>
      </c>
      <c r="AA574" s="5">
        <v>0</v>
      </c>
      <c r="AB574" s="5">
        <v>0</v>
      </c>
      <c r="AC574" s="5">
        <v>0</v>
      </c>
      <c r="AD574" s="5">
        <v>0</v>
      </c>
      <c r="AE574" s="5">
        <v>0</v>
      </c>
      <c r="AF574" s="5">
        <v>0</v>
      </c>
      <c r="AG574" s="5">
        <v>0</v>
      </c>
      <c r="AH574" s="5">
        <v>0</v>
      </c>
      <c r="AI574" s="5">
        <v>0</v>
      </c>
      <c r="AJ574" s="5">
        <v>0</v>
      </c>
      <c r="AK574" s="5">
        <v>1</v>
      </c>
      <c r="AL574" s="5">
        <v>1.5</v>
      </c>
      <c r="AM574" s="5">
        <v>1.5</v>
      </c>
      <c r="AN574" s="5">
        <v>1.5</v>
      </c>
      <c r="AO574" s="5">
        <v>1.7</v>
      </c>
      <c r="AP574" s="816">
        <v>0</v>
      </c>
      <c r="AQ574" s="816">
        <v>0</v>
      </c>
      <c r="AR574" s="5">
        <v>0</v>
      </c>
      <c r="AS574" s="5">
        <v>0</v>
      </c>
      <c r="AT574" s="5">
        <v>0</v>
      </c>
      <c r="AU574" s="5">
        <v>0</v>
      </c>
      <c r="AV574" s="5">
        <v>0</v>
      </c>
      <c r="AW574" s="815">
        <v>0</v>
      </c>
      <c r="AX574" s="816">
        <v>0</v>
      </c>
      <c r="AY574" s="819">
        <v>0</v>
      </c>
      <c r="AZ574" s="816"/>
      <c r="BA574" s="818"/>
      <c r="BB574" s="802" t="str" cm="1">
        <f t="array" ref="BB574">INDEX(C$4:BA$4,MATCH(TRUE,INDEX(C574:BA574&lt;&gt;0,),0))</f>
        <v>2012-13</v>
      </c>
      <c r="BC574" s="803" t="str" cm="1">
        <f t="array" ref="BC574">LOOKUP(2,1/(C574:BA574&lt;&gt;0),$C$4:$BA$4)</f>
        <v>2016-17</v>
      </c>
      <c r="BD574" s="804">
        <f>COUNTIF(RDprograms[[#This Row],[1978-79]:[2028-29]], "&gt;0")</f>
        <v>5</v>
      </c>
      <c r="BE574" s="805">
        <f>SUM(C574:BA574)/RDprograms[[#This Row],[Years with &gt; $0 investment]]</f>
        <v>1.44</v>
      </c>
      <c r="BF574" s="806" t="s">
        <v>273</v>
      </c>
      <c r="BG574" s="807" t="s">
        <v>362</v>
      </c>
      <c r="BH574" s="847" t="s">
        <v>241</v>
      </c>
      <c r="BI574" s="809"/>
      <c r="BJ574" s="809"/>
      <c r="BK574" s="809"/>
      <c r="BL574" s="809"/>
      <c r="BM574" s="809"/>
      <c r="BN574" s="810"/>
      <c r="BO574" s="811" t="s">
        <v>236</v>
      </c>
      <c r="BP574" s="812" t="s">
        <v>1403</v>
      </c>
      <c r="BQ574" s="812" t="s">
        <v>1416</v>
      </c>
      <c r="BR574" s="812"/>
      <c r="BS574" s="812"/>
      <c r="BT574" s="812" t="s">
        <v>238</v>
      </c>
    </row>
    <row r="575" spans="1:72" ht="12.75" customHeight="1">
      <c r="A575" s="813" t="s">
        <v>1401</v>
      </c>
      <c r="B575" s="820" t="s">
        <v>1417</v>
      </c>
      <c r="C575" s="5">
        <v>0</v>
      </c>
      <c r="D575" s="5">
        <v>0</v>
      </c>
      <c r="E575" s="5">
        <v>0</v>
      </c>
      <c r="F575" s="5">
        <v>0</v>
      </c>
      <c r="G575" s="5">
        <v>0</v>
      </c>
      <c r="H575" s="5">
        <v>0</v>
      </c>
      <c r="I575" s="5">
        <v>0</v>
      </c>
      <c r="J575" s="5">
        <v>0</v>
      </c>
      <c r="K575" s="5">
        <v>0</v>
      </c>
      <c r="L575" s="5">
        <v>0</v>
      </c>
      <c r="M575" s="5">
        <v>0</v>
      </c>
      <c r="N575" s="5">
        <v>0</v>
      </c>
      <c r="O575" s="5">
        <v>0</v>
      </c>
      <c r="P575" s="5">
        <v>0</v>
      </c>
      <c r="Q575" s="5">
        <v>0</v>
      </c>
      <c r="R575" s="5">
        <v>0</v>
      </c>
      <c r="S575" s="5">
        <v>0</v>
      </c>
      <c r="T575" s="5">
        <v>0</v>
      </c>
      <c r="U575" s="5">
        <v>0</v>
      </c>
      <c r="V575" s="5">
        <v>0</v>
      </c>
      <c r="W575" s="5">
        <v>0</v>
      </c>
      <c r="X575" s="5">
        <v>0</v>
      </c>
      <c r="Y575" s="5">
        <v>0</v>
      </c>
      <c r="Z575" s="5">
        <v>0</v>
      </c>
      <c r="AA575" s="5">
        <v>0</v>
      </c>
      <c r="AB575" s="5">
        <v>0</v>
      </c>
      <c r="AC575" s="5">
        <v>0</v>
      </c>
      <c r="AD575" s="5">
        <v>0</v>
      </c>
      <c r="AE575" s="5">
        <v>0</v>
      </c>
      <c r="AF575" s="5">
        <v>0</v>
      </c>
      <c r="AG575" s="5">
        <v>0</v>
      </c>
      <c r="AH575" s="5">
        <v>0</v>
      </c>
      <c r="AI575" s="5">
        <v>0</v>
      </c>
      <c r="AJ575" s="5">
        <v>0</v>
      </c>
      <c r="AK575" s="5">
        <v>0</v>
      </c>
      <c r="AL575" s="5">
        <v>0</v>
      </c>
      <c r="AM575" s="5">
        <v>0</v>
      </c>
      <c r="AN575" s="5">
        <v>0.16</v>
      </c>
      <c r="AO575" s="5">
        <v>0</v>
      </c>
      <c r="AP575" s="816">
        <v>0</v>
      </c>
      <c r="AQ575" s="816">
        <v>0</v>
      </c>
      <c r="AR575" s="5">
        <v>0</v>
      </c>
      <c r="AS575" s="5">
        <v>0</v>
      </c>
      <c r="AT575" s="5">
        <v>0</v>
      </c>
      <c r="AU575" s="5">
        <v>0</v>
      </c>
      <c r="AV575" s="5">
        <v>0</v>
      </c>
      <c r="AW575" s="815">
        <v>0</v>
      </c>
      <c r="AX575" s="816">
        <v>0</v>
      </c>
      <c r="AY575" s="819">
        <v>0</v>
      </c>
      <c r="AZ575" s="816"/>
      <c r="BA575" s="818"/>
      <c r="BB575" s="802" t="str" cm="1">
        <f t="array" ref="BB575">INDEX(C$4:BA$4,MATCH(TRUE,INDEX(C575:BA575&lt;&gt;0,),0))</f>
        <v>2015-16</v>
      </c>
      <c r="BC575" s="803" t="str" cm="1">
        <f t="array" ref="BC575">LOOKUP(2,1/(C575:BA575&lt;&gt;0),$C$4:$BA$4)</f>
        <v>2015-16</v>
      </c>
      <c r="BD575" s="804">
        <f>COUNTIF(RDprograms[[#This Row],[1978-79]:[2028-29]], "&gt;0")</f>
        <v>1</v>
      </c>
      <c r="BE575" s="805">
        <f>SUM(C575:BA575)/RDprograms[[#This Row],[Years with &gt; $0 investment]]</f>
        <v>0.16</v>
      </c>
      <c r="BF575" s="806" t="s">
        <v>273</v>
      </c>
      <c r="BG575" s="807" t="s">
        <v>362</v>
      </c>
      <c r="BH575" s="847" t="s">
        <v>241</v>
      </c>
      <c r="BI575" s="809"/>
      <c r="BJ575" s="809"/>
      <c r="BK575" s="809"/>
      <c r="BL575" s="809"/>
      <c r="BM575" s="809"/>
      <c r="BN575" s="810"/>
      <c r="BO575" s="811" t="s">
        <v>236</v>
      </c>
      <c r="BP575" s="812" t="s">
        <v>1403</v>
      </c>
      <c r="BQ575" s="812"/>
      <c r="BR575" s="812"/>
      <c r="BS575" s="812"/>
      <c r="BT575" s="812" t="s">
        <v>238</v>
      </c>
    </row>
    <row r="576" spans="1:72" ht="12.75" customHeight="1">
      <c r="A576" s="813" t="s">
        <v>1401</v>
      </c>
      <c r="B576" s="820" t="s">
        <v>1418</v>
      </c>
      <c r="C576" s="5">
        <v>0</v>
      </c>
      <c r="D576" s="5">
        <v>0</v>
      </c>
      <c r="E576" s="5">
        <v>0</v>
      </c>
      <c r="F576" s="5">
        <v>0</v>
      </c>
      <c r="G576" s="5">
        <v>0</v>
      </c>
      <c r="H576" s="5">
        <v>0</v>
      </c>
      <c r="I576" s="5">
        <v>0</v>
      </c>
      <c r="J576" s="5">
        <v>0</v>
      </c>
      <c r="K576" s="5">
        <v>0</v>
      </c>
      <c r="L576" s="5">
        <v>0</v>
      </c>
      <c r="M576" s="5">
        <v>0</v>
      </c>
      <c r="N576" s="5">
        <v>0</v>
      </c>
      <c r="O576" s="5">
        <v>0</v>
      </c>
      <c r="P576" s="5">
        <v>0</v>
      </c>
      <c r="Q576" s="5">
        <v>0</v>
      </c>
      <c r="R576" s="5">
        <v>0</v>
      </c>
      <c r="S576" s="5">
        <v>0</v>
      </c>
      <c r="T576" s="5">
        <v>0</v>
      </c>
      <c r="U576" s="5">
        <v>0</v>
      </c>
      <c r="V576" s="5">
        <v>0</v>
      </c>
      <c r="W576" s="5">
        <v>0</v>
      </c>
      <c r="X576" s="5">
        <v>0</v>
      </c>
      <c r="Y576" s="5">
        <v>0</v>
      </c>
      <c r="Z576" s="5">
        <v>0</v>
      </c>
      <c r="AA576" s="5">
        <v>0</v>
      </c>
      <c r="AB576" s="5">
        <v>0</v>
      </c>
      <c r="AC576" s="5">
        <v>0</v>
      </c>
      <c r="AD576" s="5">
        <v>0</v>
      </c>
      <c r="AE576" s="5">
        <v>0</v>
      </c>
      <c r="AF576" s="5">
        <v>0</v>
      </c>
      <c r="AG576" s="5">
        <v>0</v>
      </c>
      <c r="AH576" s="5">
        <v>0</v>
      </c>
      <c r="AI576" s="5">
        <v>0</v>
      </c>
      <c r="AJ576" s="5">
        <v>0</v>
      </c>
      <c r="AK576" s="5">
        <v>0</v>
      </c>
      <c r="AL576" s="5">
        <v>0</v>
      </c>
      <c r="AM576" s="5">
        <v>0</v>
      </c>
      <c r="AN576" s="5">
        <v>0</v>
      </c>
      <c r="AO576" s="5">
        <v>0</v>
      </c>
      <c r="AP576" s="5">
        <v>0</v>
      </c>
      <c r="AQ576" s="5">
        <v>0</v>
      </c>
      <c r="AR576" s="5">
        <v>0</v>
      </c>
      <c r="AS576" s="5">
        <v>0</v>
      </c>
      <c r="AT576" s="5">
        <v>0</v>
      </c>
      <c r="AU576" s="5">
        <v>0</v>
      </c>
      <c r="AV576" s="5">
        <v>0</v>
      </c>
      <c r="AW576" s="815">
        <v>4.3</v>
      </c>
      <c r="AX576" s="816">
        <v>0</v>
      </c>
      <c r="AY576" s="819">
        <v>0</v>
      </c>
      <c r="AZ576" s="826"/>
      <c r="BA576" s="838"/>
      <c r="BB576" s="802" t="str" cm="1">
        <f t="array" ref="BB576">INDEX(C$4:BA$4,MATCH(TRUE,INDEX(C576:BA576&lt;&gt;0,),0))</f>
        <v>2024-25</v>
      </c>
      <c r="BC576" s="803" t="str" cm="1">
        <f t="array" ref="BC576">LOOKUP(2,1/(C576:BA576&lt;&gt;0),$C$4:$BA$4)</f>
        <v>2024-25</v>
      </c>
      <c r="BD576" s="839">
        <f>COUNTIF(RDprograms[[#This Row],[1978-79]:[2028-29]], "&gt;0")</f>
        <v>1</v>
      </c>
      <c r="BE576" s="805">
        <f>SUM(C576:BA576)/RDprograms[[#This Row],[Years with &gt; $0 investment]]</f>
        <v>4.3</v>
      </c>
      <c r="BF576" s="806" t="s">
        <v>273</v>
      </c>
      <c r="BG576" s="807" t="s">
        <v>362</v>
      </c>
      <c r="BH576" s="847" t="s">
        <v>258</v>
      </c>
      <c r="BI576" s="809"/>
      <c r="BJ576" s="809"/>
      <c r="BK576" s="809"/>
      <c r="BL576" s="809"/>
      <c r="BM576" s="809"/>
      <c r="BN576" s="810"/>
      <c r="BO576" s="811" t="s">
        <v>236</v>
      </c>
      <c r="BP576" s="812" t="s">
        <v>1419</v>
      </c>
      <c r="BQ576" s="812"/>
      <c r="BR576" s="812" t="s">
        <v>1420</v>
      </c>
      <c r="BS576" s="812"/>
      <c r="BT576" s="828" t="s">
        <v>277</v>
      </c>
    </row>
    <row r="577" spans="1:72" ht="12.75" customHeight="1">
      <c r="A577" s="813" t="s">
        <v>1401</v>
      </c>
      <c r="B577" s="820" t="s">
        <v>1421</v>
      </c>
      <c r="C577" s="5">
        <v>0</v>
      </c>
      <c r="D577" s="5">
        <v>0</v>
      </c>
      <c r="E577" s="5">
        <v>0</v>
      </c>
      <c r="F577" s="5">
        <v>0</v>
      </c>
      <c r="G577" s="5">
        <v>0</v>
      </c>
      <c r="H577" s="5">
        <v>0</v>
      </c>
      <c r="I577" s="5">
        <v>0</v>
      </c>
      <c r="J577" s="5">
        <v>0</v>
      </c>
      <c r="K577" s="5">
        <v>0</v>
      </c>
      <c r="L577" s="5">
        <v>0</v>
      </c>
      <c r="M577" s="5">
        <v>0</v>
      </c>
      <c r="N577" s="5">
        <v>0</v>
      </c>
      <c r="O577" s="5">
        <v>0</v>
      </c>
      <c r="P577" s="5">
        <v>0</v>
      </c>
      <c r="Q577" s="5">
        <v>0</v>
      </c>
      <c r="R577" s="5">
        <v>0</v>
      </c>
      <c r="S577" s="5">
        <v>0</v>
      </c>
      <c r="T577" s="5">
        <v>0</v>
      </c>
      <c r="U577" s="5">
        <v>0</v>
      </c>
      <c r="V577" s="5">
        <v>0</v>
      </c>
      <c r="W577" s="5">
        <v>0</v>
      </c>
      <c r="X577" s="5">
        <v>0</v>
      </c>
      <c r="Y577" s="5">
        <v>0</v>
      </c>
      <c r="Z577" s="5">
        <v>0</v>
      </c>
      <c r="AA577" s="5">
        <v>0</v>
      </c>
      <c r="AB577" s="5">
        <v>0</v>
      </c>
      <c r="AC577" s="5">
        <v>0</v>
      </c>
      <c r="AD577" s="5">
        <v>0</v>
      </c>
      <c r="AE577" s="5">
        <v>0</v>
      </c>
      <c r="AF577" s="5">
        <v>0</v>
      </c>
      <c r="AG577" s="5">
        <v>0</v>
      </c>
      <c r="AH577" s="5">
        <v>0</v>
      </c>
      <c r="AI577" s="5">
        <v>0</v>
      </c>
      <c r="AJ577" s="5">
        <v>0</v>
      </c>
      <c r="AK577" s="5">
        <v>0</v>
      </c>
      <c r="AL577" s="5">
        <v>0</v>
      </c>
      <c r="AM577" s="5">
        <v>0</v>
      </c>
      <c r="AN577" s="5">
        <v>0</v>
      </c>
      <c r="AO577" s="5">
        <v>0</v>
      </c>
      <c r="AP577" s="5">
        <v>0</v>
      </c>
      <c r="AQ577" s="5">
        <v>0</v>
      </c>
      <c r="AR577" s="5">
        <v>0.5</v>
      </c>
      <c r="AS577" s="5">
        <v>1.7</v>
      </c>
      <c r="AT577" s="5">
        <v>1.3</v>
      </c>
      <c r="AU577" s="5">
        <v>0.72499999999999998</v>
      </c>
      <c r="AV577" s="5">
        <v>2.09</v>
      </c>
      <c r="AW577" s="815">
        <v>2.3180000000000001</v>
      </c>
      <c r="AX577" s="816">
        <v>1.4470000000000001</v>
      </c>
      <c r="AY577" s="819">
        <v>0.52300000000000002</v>
      </c>
      <c r="AZ577" s="816"/>
      <c r="BA577" s="818"/>
      <c r="BB577" s="802" t="str" cm="1">
        <f t="array" ref="BB577">INDEX(C$4:BA$4,MATCH(TRUE,INDEX(C577:BA577&lt;&gt;0,),0))</f>
        <v>2019-20</v>
      </c>
      <c r="BC577" s="803" t="str" cm="1">
        <f t="array" ref="BC577">LOOKUP(2,1/(C577:BA577&lt;&gt;0),$C$4:$BA$4)</f>
        <v>2026-27</v>
      </c>
      <c r="BD577" s="804">
        <f>COUNTIF(RDprograms[[#This Row],[1978-79]:[2028-29]], "&gt;0")</f>
        <v>8</v>
      </c>
      <c r="BE577" s="805">
        <f>SUM(C577:BA577)/RDprograms[[#This Row],[Years with &gt; $0 investment]]</f>
        <v>1.3253749999999997</v>
      </c>
      <c r="BF577" s="806" t="s">
        <v>273</v>
      </c>
      <c r="BG577" s="807" t="s">
        <v>362</v>
      </c>
      <c r="BH577" s="847" t="s">
        <v>258</v>
      </c>
      <c r="BI577" s="809"/>
      <c r="BJ577" s="809">
        <v>1</v>
      </c>
      <c r="BK577" s="809"/>
      <c r="BL577" s="809"/>
      <c r="BM577" s="809"/>
      <c r="BN577" s="810"/>
      <c r="BO577" s="811" t="s">
        <v>236</v>
      </c>
      <c r="BP577" s="812" t="s">
        <v>1403</v>
      </c>
      <c r="BQ577" s="812" t="s">
        <v>1422</v>
      </c>
      <c r="BR577" s="812" t="s">
        <v>508</v>
      </c>
      <c r="BS577" s="812"/>
      <c r="BT577" s="812" t="s">
        <v>238</v>
      </c>
    </row>
    <row r="578" spans="1:72" ht="12.75" customHeight="1">
      <c r="A578" s="813" t="s">
        <v>1401</v>
      </c>
      <c r="B578" s="820" t="s">
        <v>1423</v>
      </c>
      <c r="C578" s="5">
        <v>0</v>
      </c>
      <c r="D578" s="5">
        <v>0</v>
      </c>
      <c r="E578" s="5">
        <v>0</v>
      </c>
      <c r="F578" s="5">
        <v>0</v>
      </c>
      <c r="G578" s="5">
        <v>0</v>
      </c>
      <c r="H578" s="5">
        <v>0</v>
      </c>
      <c r="I578" s="5">
        <v>0</v>
      </c>
      <c r="J578" s="5">
        <v>0</v>
      </c>
      <c r="K578" s="5">
        <v>0</v>
      </c>
      <c r="L578" s="5">
        <v>0</v>
      </c>
      <c r="M578" s="5">
        <v>0</v>
      </c>
      <c r="N578" s="5">
        <v>0</v>
      </c>
      <c r="O578" s="5">
        <v>0</v>
      </c>
      <c r="P578" s="5">
        <v>0</v>
      </c>
      <c r="Q578" s="5">
        <v>0</v>
      </c>
      <c r="R578" s="5">
        <v>0</v>
      </c>
      <c r="S578" s="5">
        <v>0</v>
      </c>
      <c r="T578" s="5">
        <v>0</v>
      </c>
      <c r="U578" s="5">
        <v>0</v>
      </c>
      <c r="V578" s="5">
        <v>0</v>
      </c>
      <c r="W578" s="5">
        <v>0</v>
      </c>
      <c r="X578" s="5">
        <v>0</v>
      </c>
      <c r="Y578" s="5">
        <v>0</v>
      </c>
      <c r="Z578" s="5">
        <v>0</v>
      </c>
      <c r="AA578" s="5">
        <v>0</v>
      </c>
      <c r="AB578" s="5">
        <v>0</v>
      </c>
      <c r="AC578" s="5">
        <v>0</v>
      </c>
      <c r="AD578" s="5">
        <v>0</v>
      </c>
      <c r="AE578" s="5">
        <v>0</v>
      </c>
      <c r="AF578" s="5">
        <v>0</v>
      </c>
      <c r="AG578" s="5">
        <v>0</v>
      </c>
      <c r="AH578" s="5">
        <v>0</v>
      </c>
      <c r="AI578" s="5">
        <v>0</v>
      </c>
      <c r="AJ578" s="5">
        <v>0</v>
      </c>
      <c r="AK578" s="5">
        <v>0</v>
      </c>
      <c r="AL578" s="5">
        <v>0</v>
      </c>
      <c r="AM578" s="5">
        <v>0</v>
      </c>
      <c r="AN578" s="5">
        <v>0</v>
      </c>
      <c r="AO578" s="5">
        <v>0</v>
      </c>
      <c r="AP578" s="5">
        <v>0</v>
      </c>
      <c r="AQ578" s="5">
        <v>0</v>
      </c>
      <c r="AR578" s="5">
        <v>0</v>
      </c>
      <c r="AS578" s="5">
        <v>0</v>
      </c>
      <c r="AT578" s="5">
        <v>0</v>
      </c>
      <c r="AU578" s="5">
        <v>3.0840000000000001</v>
      </c>
      <c r="AV578" s="5">
        <v>3.28</v>
      </c>
      <c r="AW578" s="815">
        <v>3.488</v>
      </c>
      <c r="AX578" s="816">
        <v>7.9210000000000003</v>
      </c>
      <c r="AY578" s="819">
        <v>3.883</v>
      </c>
      <c r="AZ578" s="826"/>
      <c r="BA578" s="838"/>
      <c r="BB578" s="802" t="str" cm="1">
        <f t="array" ref="BB578">INDEX(C$4:BA$4,MATCH(TRUE,INDEX(C578:BA578&lt;&gt;0,),0))</f>
        <v>2022-23</v>
      </c>
      <c r="BC578" s="803" t="str" cm="1">
        <f t="array" ref="BC578">LOOKUP(2,1/(C578:BA578&lt;&gt;0),$C$4:$BA$4)</f>
        <v>2026-27</v>
      </c>
      <c r="BD578" s="839">
        <f>COUNTIF(RDprograms[[#This Row],[1978-79]:[2028-29]], "&gt;0")</f>
        <v>5</v>
      </c>
      <c r="BE578" s="805">
        <f>SUM(C578:BA578)/RDprograms[[#This Row],[Years with &gt; $0 investment]]</f>
        <v>4.3311999999999999</v>
      </c>
      <c r="BF578" s="806" t="s">
        <v>273</v>
      </c>
      <c r="BG578" s="807" t="s">
        <v>362</v>
      </c>
      <c r="BH578" s="847" t="s">
        <v>258</v>
      </c>
      <c r="BI578" s="809"/>
      <c r="BJ578" s="809">
        <v>1</v>
      </c>
      <c r="BK578" s="809"/>
      <c r="BL578" s="809"/>
      <c r="BM578" s="809"/>
      <c r="BN578" s="810"/>
      <c r="BO578" s="811" t="s">
        <v>236</v>
      </c>
      <c r="BP578" s="812" t="s">
        <v>1403</v>
      </c>
      <c r="BQ578" s="812" t="s">
        <v>1424</v>
      </c>
      <c r="BR578" s="812" t="s">
        <v>508</v>
      </c>
      <c r="BS578" s="812"/>
      <c r="BT578" s="812"/>
    </row>
    <row r="579" spans="1:72" ht="12.75" customHeight="1">
      <c r="A579" s="813" t="s">
        <v>1401</v>
      </c>
      <c r="B579" s="820" t="s">
        <v>1425</v>
      </c>
      <c r="C579" s="5">
        <v>0</v>
      </c>
      <c r="D579" s="5">
        <v>0</v>
      </c>
      <c r="E579" s="5">
        <v>0</v>
      </c>
      <c r="F579" s="5">
        <v>0</v>
      </c>
      <c r="G579" s="5">
        <v>0</v>
      </c>
      <c r="H579" s="5">
        <v>0</v>
      </c>
      <c r="I579" s="5">
        <v>0</v>
      </c>
      <c r="J579" s="5">
        <v>0</v>
      </c>
      <c r="K579" s="5">
        <v>0</v>
      </c>
      <c r="L579" s="5">
        <v>0</v>
      </c>
      <c r="M579" s="5">
        <v>0</v>
      </c>
      <c r="N579" s="5">
        <v>0</v>
      </c>
      <c r="O579" s="5">
        <v>0</v>
      </c>
      <c r="P579" s="5">
        <v>0</v>
      </c>
      <c r="Q579" s="5">
        <v>0</v>
      </c>
      <c r="R579" s="5">
        <v>0</v>
      </c>
      <c r="S579" s="5">
        <v>0</v>
      </c>
      <c r="T579" s="5">
        <v>0</v>
      </c>
      <c r="U579" s="5">
        <v>0</v>
      </c>
      <c r="V579" s="5">
        <v>0</v>
      </c>
      <c r="W579" s="5">
        <v>0</v>
      </c>
      <c r="X579" s="5">
        <v>0</v>
      </c>
      <c r="Y579" s="5">
        <v>0</v>
      </c>
      <c r="Z579" s="5">
        <v>0</v>
      </c>
      <c r="AA579" s="5">
        <v>0</v>
      </c>
      <c r="AB579" s="5">
        <v>0</v>
      </c>
      <c r="AC579" s="5">
        <v>0</v>
      </c>
      <c r="AD579" s="5">
        <v>0</v>
      </c>
      <c r="AE579" s="5">
        <v>0</v>
      </c>
      <c r="AF579" s="5">
        <v>0</v>
      </c>
      <c r="AG579" s="5">
        <v>0</v>
      </c>
      <c r="AH579" s="5">
        <v>0</v>
      </c>
      <c r="AI579" s="5">
        <v>0</v>
      </c>
      <c r="AJ579" s="5">
        <v>0</v>
      </c>
      <c r="AK579" s="5">
        <v>0</v>
      </c>
      <c r="AL579" s="5">
        <v>0</v>
      </c>
      <c r="AM579" s="5">
        <v>0</v>
      </c>
      <c r="AN579" s="5">
        <v>0</v>
      </c>
      <c r="AO579" s="5">
        <v>0.05</v>
      </c>
      <c r="AP579" s="5">
        <v>0.05</v>
      </c>
      <c r="AQ579" s="5">
        <v>0</v>
      </c>
      <c r="AR579" s="5">
        <v>0</v>
      </c>
      <c r="AS579" s="5">
        <v>0</v>
      </c>
      <c r="AT579" s="5">
        <v>0</v>
      </c>
      <c r="AU579" s="5">
        <v>0</v>
      </c>
      <c r="AV579" s="5">
        <v>0</v>
      </c>
      <c r="AW579" s="815">
        <v>0</v>
      </c>
      <c r="AX579" s="816">
        <v>0</v>
      </c>
      <c r="AY579" s="819">
        <v>0</v>
      </c>
      <c r="AZ579" s="816"/>
      <c r="BA579" s="818"/>
      <c r="BB579" s="802" t="str" cm="1">
        <f t="array" ref="BB579">INDEX(C$4:BA$4,MATCH(TRUE,INDEX(C579:BA579&lt;&gt;0,),0))</f>
        <v>2016-17</v>
      </c>
      <c r="BC579" s="803" t="str" cm="1">
        <f t="array" ref="BC579">LOOKUP(2,1/(C579:BA579&lt;&gt;0),$C$4:$BA$4)</f>
        <v>2017-18</v>
      </c>
      <c r="BD579" s="804">
        <f>COUNTIF(RDprograms[[#This Row],[1978-79]:[2028-29]], "&gt;0")</f>
        <v>2</v>
      </c>
      <c r="BE579" s="805">
        <f>SUM(C579:BA579)/RDprograms[[#This Row],[Years with &gt; $0 investment]]</f>
        <v>0.05</v>
      </c>
      <c r="BF579" s="806" t="s">
        <v>273</v>
      </c>
      <c r="BG579" s="807" t="s">
        <v>362</v>
      </c>
      <c r="BH579" s="847" t="s">
        <v>258</v>
      </c>
      <c r="BI579" s="809"/>
      <c r="BJ579" s="809"/>
      <c r="BK579" s="809"/>
      <c r="BL579" s="809"/>
      <c r="BM579" s="809"/>
      <c r="BN579" s="810"/>
      <c r="BO579" s="811" t="s">
        <v>236</v>
      </c>
      <c r="BP579" s="812" t="s">
        <v>1403</v>
      </c>
      <c r="BQ579" s="812" t="s">
        <v>1426</v>
      </c>
      <c r="BR579" s="812" t="s">
        <v>508</v>
      </c>
      <c r="BS579" s="812"/>
      <c r="BT579" s="812" t="s">
        <v>238</v>
      </c>
    </row>
    <row r="580" spans="1:72" ht="12.75" customHeight="1">
      <c r="A580" s="813" t="s">
        <v>1401</v>
      </c>
      <c r="B580" s="820" t="s">
        <v>1427</v>
      </c>
      <c r="C580" s="5">
        <v>0</v>
      </c>
      <c r="D580" s="5">
        <v>0</v>
      </c>
      <c r="E580" s="5">
        <v>0</v>
      </c>
      <c r="F580" s="5">
        <v>0</v>
      </c>
      <c r="G580" s="5">
        <v>0</v>
      </c>
      <c r="H580" s="5">
        <v>0</v>
      </c>
      <c r="I580" s="5">
        <v>0</v>
      </c>
      <c r="J580" s="5">
        <v>0</v>
      </c>
      <c r="K580" s="5">
        <v>0</v>
      </c>
      <c r="L580" s="5">
        <v>0</v>
      </c>
      <c r="M580" s="5">
        <v>0</v>
      </c>
      <c r="N580" s="5">
        <v>0</v>
      </c>
      <c r="O580" s="5">
        <v>0</v>
      </c>
      <c r="P580" s="5">
        <v>0</v>
      </c>
      <c r="Q580" s="5">
        <v>0</v>
      </c>
      <c r="R580" s="5">
        <v>0</v>
      </c>
      <c r="S580" s="5">
        <v>0</v>
      </c>
      <c r="T580" s="5">
        <v>0</v>
      </c>
      <c r="U580" s="5">
        <v>0</v>
      </c>
      <c r="V580" s="5">
        <v>0</v>
      </c>
      <c r="W580" s="5">
        <v>0</v>
      </c>
      <c r="X580" s="5">
        <v>0</v>
      </c>
      <c r="Y580" s="5">
        <v>0</v>
      </c>
      <c r="Z580" s="5">
        <v>0</v>
      </c>
      <c r="AA580" s="5">
        <v>0</v>
      </c>
      <c r="AB580" s="5">
        <v>0</v>
      </c>
      <c r="AC580" s="5">
        <v>0</v>
      </c>
      <c r="AD580" s="5">
        <v>0</v>
      </c>
      <c r="AE580" s="5">
        <v>0</v>
      </c>
      <c r="AF580" s="5">
        <v>0</v>
      </c>
      <c r="AG580" s="5">
        <v>0</v>
      </c>
      <c r="AH580" s="5">
        <v>0</v>
      </c>
      <c r="AI580" s="5">
        <v>0</v>
      </c>
      <c r="AJ580" s="5">
        <v>0</v>
      </c>
      <c r="AK580" s="5">
        <v>1</v>
      </c>
      <c r="AL580" s="5">
        <v>1</v>
      </c>
      <c r="AM580" s="5">
        <v>1</v>
      </c>
      <c r="AN580" s="5">
        <v>0</v>
      </c>
      <c r="AO580" s="5">
        <v>0</v>
      </c>
      <c r="AP580" s="816">
        <v>0</v>
      </c>
      <c r="AQ580" s="816">
        <v>0</v>
      </c>
      <c r="AR580" s="5">
        <v>0</v>
      </c>
      <c r="AS580" s="5">
        <v>0</v>
      </c>
      <c r="AT580" s="5">
        <v>0</v>
      </c>
      <c r="AU580" s="5">
        <v>0</v>
      </c>
      <c r="AV580" s="5">
        <v>0</v>
      </c>
      <c r="AW580" s="815">
        <v>0</v>
      </c>
      <c r="AX580" s="816">
        <v>0</v>
      </c>
      <c r="AY580" s="819">
        <v>0</v>
      </c>
      <c r="AZ580" s="816"/>
      <c r="BA580" s="818"/>
      <c r="BB580" s="802" t="str" cm="1">
        <f t="array" ref="BB580">INDEX(C$4:BA$4,MATCH(TRUE,INDEX(C580:BA580&lt;&gt;0,),0))</f>
        <v>2012-13</v>
      </c>
      <c r="BC580" s="803" t="str" cm="1">
        <f t="array" ref="BC580">LOOKUP(2,1/(C580:BA580&lt;&gt;0),$C$4:$BA$4)</f>
        <v>2014-15</v>
      </c>
      <c r="BD580" s="804">
        <f>COUNTIF(RDprograms[[#This Row],[1978-79]:[2028-29]], "&gt;0")</f>
        <v>3</v>
      </c>
      <c r="BE580" s="805">
        <f>SUM(C580:BA580)/RDprograms[[#This Row],[Years with &gt; $0 investment]]</f>
        <v>1</v>
      </c>
      <c r="BF580" s="806" t="s">
        <v>273</v>
      </c>
      <c r="BG580" s="807" t="s">
        <v>362</v>
      </c>
      <c r="BH580" s="847" t="s">
        <v>241</v>
      </c>
      <c r="BI580" s="809"/>
      <c r="BJ580" s="809"/>
      <c r="BK580" s="809"/>
      <c r="BL580" s="809"/>
      <c r="BM580" s="809"/>
      <c r="BN580" s="810"/>
      <c r="BO580" s="811" t="s">
        <v>236</v>
      </c>
      <c r="BP580" s="812" t="s">
        <v>1403</v>
      </c>
      <c r="BQ580" s="812"/>
      <c r="BR580" s="812"/>
      <c r="BS580" s="812"/>
      <c r="BT580" s="812" t="s">
        <v>238</v>
      </c>
    </row>
    <row r="581" spans="1:72" ht="12.75" customHeight="1">
      <c r="A581" s="813" t="s">
        <v>1401</v>
      </c>
      <c r="B581" s="820" t="s">
        <v>1428</v>
      </c>
      <c r="C581" s="5">
        <v>0</v>
      </c>
      <c r="D581" s="5">
        <v>0</v>
      </c>
      <c r="E581" s="5">
        <v>0</v>
      </c>
      <c r="F581" s="5">
        <v>0</v>
      </c>
      <c r="G581" s="5">
        <v>0</v>
      </c>
      <c r="H581" s="5">
        <v>0</v>
      </c>
      <c r="I581" s="5">
        <v>0</v>
      </c>
      <c r="J581" s="5">
        <v>0</v>
      </c>
      <c r="K581" s="5">
        <v>0</v>
      </c>
      <c r="L581" s="5">
        <v>0</v>
      </c>
      <c r="M581" s="5">
        <v>0</v>
      </c>
      <c r="N581" s="5">
        <v>0</v>
      </c>
      <c r="O581" s="5">
        <v>0</v>
      </c>
      <c r="P581" s="5">
        <v>0</v>
      </c>
      <c r="Q581" s="5">
        <v>0</v>
      </c>
      <c r="R581" s="5">
        <v>0</v>
      </c>
      <c r="S581" s="5">
        <v>0</v>
      </c>
      <c r="T581" s="5">
        <v>0</v>
      </c>
      <c r="U581" s="5">
        <v>0</v>
      </c>
      <c r="V581" s="5">
        <v>0</v>
      </c>
      <c r="W581" s="5">
        <v>0</v>
      </c>
      <c r="X581" s="5">
        <v>0</v>
      </c>
      <c r="Y581" s="5">
        <v>0</v>
      </c>
      <c r="Z581" s="5">
        <v>0</v>
      </c>
      <c r="AA581" s="5">
        <v>0</v>
      </c>
      <c r="AB581" s="5">
        <v>0</v>
      </c>
      <c r="AC581" s="5">
        <v>0</v>
      </c>
      <c r="AD581" s="5">
        <v>0</v>
      </c>
      <c r="AE581" s="5">
        <v>0</v>
      </c>
      <c r="AF581" s="5">
        <v>0</v>
      </c>
      <c r="AG581" s="5">
        <v>0</v>
      </c>
      <c r="AH581" s="5">
        <v>0</v>
      </c>
      <c r="AI581" s="5">
        <v>0</v>
      </c>
      <c r="AJ581" s="5">
        <v>0</v>
      </c>
      <c r="AK581" s="5">
        <v>0</v>
      </c>
      <c r="AL581" s="5">
        <v>0</v>
      </c>
      <c r="AM581" s="5">
        <v>0</v>
      </c>
      <c r="AN581" s="5">
        <v>0</v>
      </c>
      <c r="AO581" s="5">
        <v>0</v>
      </c>
      <c r="AP581" s="5">
        <v>0.32400000000000001</v>
      </c>
      <c r="AQ581" s="5">
        <v>0.105</v>
      </c>
      <c r="AR581" s="5">
        <v>0</v>
      </c>
      <c r="AS581" s="5">
        <v>0</v>
      </c>
      <c r="AT581" s="5">
        <v>0</v>
      </c>
      <c r="AU581" s="5">
        <v>0</v>
      </c>
      <c r="AV581" s="5">
        <v>0</v>
      </c>
      <c r="AW581" s="815">
        <v>0</v>
      </c>
      <c r="AX581" s="816">
        <v>0</v>
      </c>
      <c r="AY581" s="819">
        <v>0</v>
      </c>
      <c r="AZ581" s="816"/>
      <c r="BA581" s="818"/>
      <c r="BB581" s="802" t="str" cm="1">
        <f t="array" ref="BB581">INDEX(C$4:BA$4,MATCH(TRUE,INDEX(C581:BA581&lt;&gt;0,),0))</f>
        <v>2017-18</v>
      </c>
      <c r="BC581" s="803" t="str" cm="1">
        <f t="array" ref="BC581">LOOKUP(2,1/(C581:BA581&lt;&gt;0),$C$4:$BA$4)</f>
        <v>2018-19</v>
      </c>
      <c r="BD581" s="804">
        <f>COUNTIF(RDprograms[[#This Row],[1978-79]:[2028-29]], "&gt;0")</f>
        <v>2</v>
      </c>
      <c r="BE581" s="805">
        <f>SUM(C581:BA581)/RDprograms[[#This Row],[Years with &gt; $0 investment]]</f>
        <v>0.2145</v>
      </c>
      <c r="BF581" s="806" t="s">
        <v>273</v>
      </c>
      <c r="BG581" s="807" t="s">
        <v>362</v>
      </c>
      <c r="BH581" s="847" t="s">
        <v>241</v>
      </c>
      <c r="BI581" s="809"/>
      <c r="BJ581" s="809"/>
      <c r="BK581" s="809"/>
      <c r="BL581" s="809"/>
      <c r="BM581" s="809"/>
      <c r="BN581" s="810"/>
      <c r="BO581" s="811" t="s">
        <v>236</v>
      </c>
      <c r="BP581" s="812" t="s">
        <v>1403</v>
      </c>
      <c r="BQ581" s="812" t="s">
        <v>1429</v>
      </c>
      <c r="BR581" s="812" t="s">
        <v>508</v>
      </c>
      <c r="BS581" s="812"/>
      <c r="BT581" s="812" t="s">
        <v>238</v>
      </c>
    </row>
    <row r="582" spans="1:72" ht="12.75" customHeight="1">
      <c r="A582" s="813" t="s">
        <v>1401</v>
      </c>
      <c r="B582" s="820" t="s">
        <v>1430</v>
      </c>
      <c r="C582" s="5">
        <v>0</v>
      </c>
      <c r="D582" s="5">
        <v>0</v>
      </c>
      <c r="E582" s="5">
        <v>0</v>
      </c>
      <c r="F582" s="5">
        <v>0</v>
      </c>
      <c r="G582" s="5">
        <v>0</v>
      </c>
      <c r="H582" s="5">
        <v>0</v>
      </c>
      <c r="I582" s="5">
        <v>0</v>
      </c>
      <c r="J582" s="5">
        <v>0</v>
      </c>
      <c r="K582" s="5">
        <v>0</v>
      </c>
      <c r="L582" s="5">
        <v>0</v>
      </c>
      <c r="M582" s="5">
        <v>0</v>
      </c>
      <c r="N582" s="5">
        <v>0</v>
      </c>
      <c r="O582" s="5">
        <v>0</v>
      </c>
      <c r="P582" s="5">
        <v>0</v>
      </c>
      <c r="Q582" s="5">
        <v>0</v>
      </c>
      <c r="R582" s="5">
        <v>0</v>
      </c>
      <c r="S582" s="5">
        <v>0</v>
      </c>
      <c r="T582" s="5">
        <v>0</v>
      </c>
      <c r="U582" s="5">
        <v>0</v>
      </c>
      <c r="V582" s="5">
        <v>0</v>
      </c>
      <c r="W582" s="5">
        <v>0</v>
      </c>
      <c r="X582" s="5">
        <v>0</v>
      </c>
      <c r="Y582" s="5">
        <v>0</v>
      </c>
      <c r="Z582" s="5">
        <v>0</v>
      </c>
      <c r="AA582" s="5">
        <v>0</v>
      </c>
      <c r="AB582" s="5">
        <v>0</v>
      </c>
      <c r="AC582" s="5">
        <v>0</v>
      </c>
      <c r="AD582" s="5">
        <v>0</v>
      </c>
      <c r="AE582" s="5">
        <v>0</v>
      </c>
      <c r="AF582" s="5">
        <v>0</v>
      </c>
      <c r="AG582" s="5">
        <v>0</v>
      </c>
      <c r="AH582" s="5">
        <v>0</v>
      </c>
      <c r="AI582" s="5">
        <v>0</v>
      </c>
      <c r="AJ582" s="5">
        <v>0</v>
      </c>
      <c r="AK582" s="5">
        <v>0</v>
      </c>
      <c r="AL582" s="5">
        <v>0</v>
      </c>
      <c r="AM582" s="5">
        <v>0</v>
      </c>
      <c r="AN582" s="5">
        <v>0</v>
      </c>
      <c r="AO582" s="5">
        <v>0</v>
      </c>
      <c r="AP582" s="816">
        <v>0</v>
      </c>
      <c r="AQ582" s="816">
        <v>0.5</v>
      </c>
      <c r="AR582" s="5">
        <v>0</v>
      </c>
      <c r="AS582" s="5">
        <v>0</v>
      </c>
      <c r="AT582" s="5">
        <v>0</v>
      </c>
      <c r="AU582" s="5">
        <v>0</v>
      </c>
      <c r="AV582" s="5">
        <v>0</v>
      </c>
      <c r="AW582" s="815">
        <v>0</v>
      </c>
      <c r="AX582" s="816">
        <v>0</v>
      </c>
      <c r="AY582" s="819">
        <v>0</v>
      </c>
      <c r="AZ582" s="816"/>
      <c r="BA582" s="818"/>
      <c r="BB582" s="802" t="str" cm="1">
        <f t="array" ref="BB582">INDEX(C$4:BA$4,MATCH(TRUE,INDEX(C582:BA582&lt;&gt;0,),0))</f>
        <v>2018-19</v>
      </c>
      <c r="BC582" s="803" t="str" cm="1">
        <f t="array" ref="BC582">LOOKUP(2,1/(C582:BA582&lt;&gt;0),$C$4:$BA$4)</f>
        <v>2018-19</v>
      </c>
      <c r="BD582" s="804">
        <f>COUNTIF(RDprograms[[#This Row],[1978-79]:[2028-29]], "&gt;0")</f>
        <v>1</v>
      </c>
      <c r="BE582" s="805">
        <f>SUM(C582:BA582)/RDprograms[[#This Row],[Years with &gt; $0 investment]]</f>
        <v>0.5</v>
      </c>
      <c r="BF582" s="806" t="s">
        <v>273</v>
      </c>
      <c r="BG582" s="807" t="s">
        <v>362</v>
      </c>
      <c r="BH582" s="847" t="s">
        <v>258</v>
      </c>
      <c r="BI582" s="809"/>
      <c r="BJ582" s="809"/>
      <c r="BK582" s="809"/>
      <c r="BL582" s="809"/>
      <c r="BM582" s="809"/>
      <c r="BN582" s="810"/>
      <c r="BO582" s="811" t="s">
        <v>236</v>
      </c>
      <c r="BP582" s="812" t="s">
        <v>1403</v>
      </c>
      <c r="BQ582" s="812" t="s">
        <v>1431</v>
      </c>
      <c r="BR582" s="812"/>
      <c r="BS582" s="812"/>
      <c r="BT582" s="812" t="s">
        <v>238</v>
      </c>
    </row>
    <row r="583" spans="1:72" ht="12.75" customHeight="1">
      <c r="A583" s="813" t="s">
        <v>1401</v>
      </c>
      <c r="B583" s="820" t="s">
        <v>1432</v>
      </c>
      <c r="C583" s="5">
        <v>0</v>
      </c>
      <c r="D583" s="5">
        <v>0</v>
      </c>
      <c r="E583" s="5">
        <v>0</v>
      </c>
      <c r="F583" s="5">
        <v>0</v>
      </c>
      <c r="G583" s="5">
        <v>0</v>
      </c>
      <c r="H583" s="5">
        <v>0</v>
      </c>
      <c r="I583" s="5">
        <v>0</v>
      </c>
      <c r="J583" s="5">
        <v>0</v>
      </c>
      <c r="K583" s="5">
        <v>0</v>
      </c>
      <c r="L583" s="5">
        <v>0</v>
      </c>
      <c r="M583" s="5">
        <v>0</v>
      </c>
      <c r="N583" s="5">
        <v>0</v>
      </c>
      <c r="O583" s="5">
        <v>0</v>
      </c>
      <c r="P583" s="5">
        <v>0</v>
      </c>
      <c r="Q583" s="5">
        <v>0</v>
      </c>
      <c r="R583" s="5">
        <v>0</v>
      </c>
      <c r="S583" s="5">
        <v>0</v>
      </c>
      <c r="T583" s="5">
        <v>0</v>
      </c>
      <c r="U583" s="5">
        <v>0</v>
      </c>
      <c r="V583" s="5">
        <v>0</v>
      </c>
      <c r="W583" s="5">
        <v>0</v>
      </c>
      <c r="X583" s="5">
        <v>0</v>
      </c>
      <c r="Y583" s="5">
        <v>0</v>
      </c>
      <c r="Z583" s="5">
        <v>0</v>
      </c>
      <c r="AA583" s="5">
        <v>0</v>
      </c>
      <c r="AB583" s="5">
        <v>0</v>
      </c>
      <c r="AC583" s="5">
        <v>0</v>
      </c>
      <c r="AD583" s="5">
        <v>0</v>
      </c>
      <c r="AE583" s="5">
        <v>0</v>
      </c>
      <c r="AF583" s="5">
        <v>0</v>
      </c>
      <c r="AG583" s="5">
        <v>0</v>
      </c>
      <c r="AH583" s="5">
        <v>0</v>
      </c>
      <c r="AI583" s="5">
        <v>0</v>
      </c>
      <c r="AJ583" s="5">
        <v>0</v>
      </c>
      <c r="AK583" s="5">
        <v>0</v>
      </c>
      <c r="AL583" s="5">
        <v>0</v>
      </c>
      <c r="AM583" s="5">
        <v>0</v>
      </c>
      <c r="AN583" s="5">
        <v>0</v>
      </c>
      <c r="AO583" s="5">
        <v>0</v>
      </c>
      <c r="AP583" s="5">
        <v>0</v>
      </c>
      <c r="AQ583" s="5">
        <v>0</v>
      </c>
      <c r="AR583" s="5">
        <v>1.8</v>
      </c>
      <c r="AS583" s="5">
        <v>1.748</v>
      </c>
      <c r="AT583" s="5">
        <v>2.423</v>
      </c>
      <c r="AU583" s="5">
        <v>0.33300000000000002</v>
      </c>
      <c r="AV583" s="5">
        <v>0.33300000000000002</v>
      </c>
      <c r="AW583" s="815">
        <v>0</v>
      </c>
      <c r="AX583" s="816">
        <v>0</v>
      </c>
      <c r="AY583" s="819">
        <v>0</v>
      </c>
      <c r="AZ583" s="816"/>
      <c r="BA583" s="818"/>
      <c r="BB583" s="802" t="str" cm="1">
        <f t="array" ref="BB583">INDEX(C$4:BA$4,MATCH(TRUE,INDEX(C583:BA583&lt;&gt;0,),0))</f>
        <v>2019-20</v>
      </c>
      <c r="BC583" s="803" t="str" cm="1">
        <f t="array" ref="BC583">LOOKUP(2,1/(C583:BA583&lt;&gt;0),$C$4:$BA$4)</f>
        <v>2023-24</v>
      </c>
      <c r="BD583" s="804">
        <f>COUNTIF(RDprograms[[#This Row],[1978-79]:[2028-29]], "&gt;0")</f>
        <v>5</v>
      </c>
      <c r="BE583" s="805">
        <f>SUM(C583:BA583)/RDprograms[[#This Row],[Years with &gt; $0 investment]]</f>
        <v>1.3274000000000001</v>
      </c>
      <c r="BF583" s="806" t="s">
        <v>273</v>
      </c>
      <c r="BG583" s="807" t="s">
        <v>362</v>
      </c>
      <c r="BH583" s="847" t="s">
        <v>258</v>
      </c>
      <c r="BI583" s="809"/>
      <c r="BJ583" s="809"/>
      <c r="BK583" s="809"/>
      <c r="BL583" s="809"/>
      <c r="BM583" s="809"/>
      <c r="BN583" s="810"/>
      <c r="BO583" s="811" t="s">
        <v>236</v>
      </c>
      <c r="BP583" s="812" t="s">
        <v>1403</v>
      </c>
      <c r="BQ583" s="812" t="s">
        <v>1433</v>
      </c>
      <c r="BR583" s="812" t="s">
        <v>508</v>
      </c>
      <c r="BS583" s="812"/>
      <c r="BT583" s="812" t="s">
        <v>238</v>
      </c>
    </row>
    <row r="584" spans="1:72" ht="12.75" customHeight="1">
      <c r="A584" s="813" t="s">
        <v>1401</v>
      </c>
      <c r="B584" s="820" t="s">
        <v>1434</v>
      </c>
      <c r="C584" s="5">
        <v>0</v>
      </c>
      <c r="D584" s="5">
        <v>0</v>
      </c>
      <c r="E584" s="5">
        <v>0</v>
      </c>
      <c r="F584" s="5">
        <v>0</v>
      </c>
      <c r="G584" s="5">
        <v>0</v>
      </c>
      <c r="H584" s="5">
        <v>0</v>
      </c>
      <c r="I584" s="5">
        <v>0</v>
      </c>
      <c r="J584" s="5">
        <v>0</v>
      </c>
      <c r="K584" s="5">
        <v>0</v>
      </c>
      <c r="L584" s="5">
        <v>0</v>
      </c>
      <c r="M584" s="5">
        <v>0</v>
      </c>
      <c r="N584" s="5">
        <v>0</v>
      </c>
      <c r="O584" s="5">
        <v>0</v>
      </c>
      <c r="P584" s="5">
        <v>0</v>
      </c>
      <c r="Q584" s="5">
        <v>0</v>
      </c>
      <c r="R584" s="5">
        <v>0</v>
      </c>
      <c r="S584" s="5">
        <v>0</v>
      </c>
      <c r="T584" s="5">
        <v>0</v>
      </c>
      <c r="U584" s="5">
        <v>0</v>
      </c>
      <c r="V584" s="5">
        <v>0</v>
      </c>
      <c r="W584" s="5">
        <v>0</v>
      </c>
      <c r="X584" s="5">
        <v>0</v>
      </c>
      <c r="Y584" s="5">
        <v>0</v>
      </c>
      <c r="Z584" s="5">
        <v>0</v>
      </c>
      <c r="AA584" s="5">
        <v>0</v>
      </c>
      <c r="AB584" s="5">
        <v>0</v>
      </c>
      <c r="AC584" s="5">
        <v>0</v>
      </c>
      <c r="AD584" s="5">
        <v>0</v>
      </c>
      <c r="AE584" s="5">
        <v>0</v>
      </c>
      <c r="AF584" s="5">
        <v>0</v>
      </c>
      <c r="AG584" s="5">
        <v>0</v>
      </c>
      <c r="AH584" s="5">
        <v>0</v>
      </c>
      <c r="AI584" s="5">
        <v>0</v>
      </c>
      <c r="AJ584" s="5">
        <v>0</v>
      </c>
      <c r="AK584" s="5">
        <v>7.1999999999999995E-2</v>
      </c>
      <c r="AL584" s="5">
        <v>3.5999999999999997E-2</v>
      </c>
      <c r="AM584" s="5">
        <v>0</v>
      </c>
      <c r="AN584" s="5">
        <v>0</v>
      </c>
      <c r="AO584" s="5">
        <v>0</v>
      </c>
      <c r="AP584" s="5">
        <v>0</v>
      </c>
      <c r="AQ584" s="5">
        <v>0</v>
      </c>
      <c r="AR584" s="5">
        <v>0</v>
      </c>
      <c r="AS584" s="5">
        <v>0</v>
      </c>
      <c r="AT584" s="5">
        <v>0</v>
      </c>
      <c r="AU584" s="5">
        <v>0</v>
      </c>
      <c r="AV584" s="5">
        <v>0</v>
      </c>
      <c r="AW584" s="815">
        <v>0</v>
      </c>
      <c r="AX584" s="816">
        <v>0</v>
      </c>
      <c r="AY584" s="819">
        <v>0</v>
      </c>
      <c r="AZ584" s="816"/>
      <c r="BA584" s="818"/>
      <c r="BB584" s="802" t="str" cm="1">
        <f t="array" ref="BB584">INDEX(C$4:BA$4,MATCH(TRUE,INDEX(C584:BA584&lt;&gt;0,),0))</f>
        <v>2012-13</v>
      </c>
      <c r="BC584" s="803" t="str" cm="1">
        <f t="array" ref="BC584">LOOKUP(2,1/(C584:BA584&lt;&gt;0),$C$4:$BA$4)</f>
        <v>2013-14</v>
      </c>
      <c r="BD584" s="804">
        <f>COUNTIF(RDprograms[[#This Row],[1978-79]:[2028-29]], "&gt;0")</f>
        <v>2</v>
      </c>
      <c r="BE584" s="805">
        <f>SUM(C584:BA584)/RDprograms[[#This Row],[Years with &gt; $0 investment]]</f>
        <v>5.3999999999999992E-2</v>
      </c>
      <c r="BF584" s="806" t="s">
        <v>273</v>
      </c>
      <c r="BG584" s="807" t="s">
        <v>362</v>
      </c>
      <c r="BH584" s="847" t="s">
        <v>269</v>
      </c>
      <c r="BI584" s="809"/>
      <c r="BJ584" s="809"/>
      <c r="BK584" s="809"/>
      <c r="BL584" s="809"/>
      <c r="BM584" s="809"/>
      <c r="BN584" s="810"/>
      <c r="BO584" s="811" t="s">
        <v>236</v>
      </c>
      <c r="BP584" s="812"/>
      <c r="BQ584" s="812" t="s">
        <v>1435</v>
      </c>
      <c r="BR584" s="812"/>
      <c r="BS584" s="812"/>
      <c r="BT584" s="812" t="s">
        <v>238</v>
      </c>
    </row>
    <row r="585" spans="1:72" ht="12.75" customHeight="1">
      <c r="A585" s="813" t="s">
        <v>1401</v>
      </c>
      <c r="B585" s="820" t="s">
        <v>1436</v>
      </c>
      <c r="C585" s="5">
        <v>0</v>
      </c>
      <c r="D585" s="5">
        <v>0</v>
      </c>
      <c r="E585" s="5">
        <v>0</v>
      </c>
      <c r="F585" s="5">
        <v>0</v>
      </c>
      <c r="G585" s="5">
        <v>0</v>
      </c>
      <c r="H585" s="5">
        <v>0</v>
      </c>
      <c r="I585" s="5">
        <v>0</v>
      </c>
      <c r="J585" s="5">
        <v>0</v>
      </c>
      <c r="K585" s="5">
        <v>0</v>
      </c>
      <c r="L585" s="5">
        <v>0</v>
      </c>
      <c r="M585" s="5">
        <v>0</v>
      </c>
      <c r="N585" s="5">
        <v>0</v>
      </c>
      <c r="O585" s="5">
        <v>0</v>
      </c>
      <c r="P585" s="5">
        <v>0</v>
      </c>
      <c r="Q585" s="5">
        <v>0</v>
      </c>
      <c r="R585" s="5">
        <v>0</v>
      </c>
      <c r="S585" s="5">
        <v>0</v>
      </c>
      <c r="T585" s="5">
        <v>0</v>
      </c>
      <c r="U585" s="5">
        <v>0</v>
      </c>
      <c r="V585" s="5">
        <v>0</v>
      </c>
      <c r="W585" s="5">
        <v>0</v>
      </c>
      <c r="X585" s="5">
        <v>0</v>
      </c>
      <c r="Y585" s="5">
        <v>0</v>
      </c>
      <c r="Z585" s="5">
        <v>0</v>
      </c>
      <c r="AA585" s="5">
        <v>0</v>
      </c>
      <c r="AB585" s="5">
        <v>0</v>
      </c>
      <c r="AC585" s="5">
        <v>0</v>
      </c>
      <c r="AD585" s="5">
        <v>0</v>
      </c>
      <c r="AE585" s="5">
        <v>0</v>
      </c>
      <c r="AF585" s="5">
        <v>0</v>
      </c>
      <c r="AG585" s="5">
        <v>0</v>
      </c>
      <c r="AH585" s="5">
        <v>0</v>
      </c>
      <c r="AI585" s="5">
        <v>0</v>
      </c>
      <c r="AJ585" s="5">
        <v>0</v>
      </c>
      <c r="AK585" s="5">
        <v>0</v>
      </c>
      <c r="AL585" s="5">
        <v>0.25</v>
      </c>
      <c r="AM585" s="5">
        <v>0.15</v>
      </c>
      <c r="AN585" s="5">
        <v>0.15</v>
      </c>
      <c r="AO585" s="5">
        <v>0.15</v>
      </c>
      <c r="AP585" s="816">
        <v>0.15</v>
      </c>
      <c r="AQ585" s="816">
        <v>0.15</v>
      </c>
      <c r="AR585" s="5">
        <v>0.15</v>
      </c>
      <c r="AS585" s="5">
        <v>0</v>
      </c>
      <c r="AT585" s="5">
        <v>0</v>
      </c>
      <c r="AU585" s="5">
        <v>0</v>
      </c>
      <c r="AV585" s="5">
        <v>0</v>
      </c>
      <c r="AW585" s="815">
        <v>0</v>
      </c>
      <c r="AX585" s="816">
        <v>0</v>
      </c>
      <c r="AY585" s="819">
        <v>0</v>
      </c>
      <c r="AZ585" s="816"/>
      <c r="BA585" s="818"/>
      <c r="BB585" s="802" t="str" cm="1">
        <f t="array" ref="BB585">INDEX(C$4:BA$4,MATCH(TRUE,INDEX(C585:BA585&lt;&gt;0,),0))</f>
        <v>2013-14</v>
      </c>
      <c r="BC585" s="803" t="str" cm="1">
        <f t="array" ref="BC585">LOOKUP(2,1/(C585:BA585&lt;&gt;0),$C$4:$BA$4)</f>
        <v>2019-20</v>
      </c>
      <c r="BD585" s="804">
        <f>COUNTIF(RDprograms[[#This Row],[1978-79]:[2028-29]], "&gt;0")</f>
        <v>7</v>
      </c>
      <c r="BE585" s="805">
        <f>SUM(C585:BA585)/RDprograms[[#This Row],[Years with &gt; $0 investment]]</f>
        <v>0.16428571428571428</v>
      </c>
      <c r="BF585" s="806" t="s">
        <v>273</v>
      </c>
      <c r="BG585" s="807" t="s">
        <v>362</v>
      </c>
      <c r="BH585" s="847" t="s">
        <v>269</v>
      </c>
      <c r="BI585" s="809"/>
      <c r="BJ585" s="809"/>
      <c r="BK585" s="809"/>
      <c r="BL585" s="809"/>
      <c r="BM585" s="809"/>
      <c r="BN585" s="810"/>
      <c r="BO585" s="811" t="s">
        <v>236</v>
      </c>
      <c r="BP585" s="812"/>
      <c r="BQ585" s="812" t="s">
        <v>1437</v>
      </c>
      <c r="BR585" s="812"/>
      <c r="BS585" s="812"/>
      <c r="BT585" s="812" t="s">
        <v>238</v>
      </c>
    </row>
    <row r="586" spans="1:72" ht="12.75" customHeight="1">
      <c r="A586" s="813" t="s">
        <v>1401</v>
      </c>
      <c r="B586" s="820" t="s">
        <v>1438</v>
      </c>
      <c r="C586" s="5">
        <v>0</v>
      </c>
      <c r="D586" s="5">
        <v>0</v>
      </c>
      <c r="E586" s="5">
        <v>0</v>
      </c>
      <c r="F586" s="5">
        <v>0</v>
      </c>
      <c r="G586" s="5">
        <v>0</v>
      </c>
      <c r="H586" s="5">
        <v>0</v>
      </c>
      <c r="I586" s="5">
        <v>0</v>
      </c>
      <c r="J586" s="5">
        <v>0</v>
      </c>
      <c r="K586" s="5">
        <v>0</v>
      </c>
      <c r="L586" s="5">
        <v>0</v>
      </c>
      <c r="M586" s="5">
        <v>0</v>
      </c>
      <c r="N586" s="5">
        <v>0</v>
      </c>
      <c r="O586" s="5">
        <v>0</v>
      </c>
      <c r="P586" s="5">
        <v>0</v>
      </c>
      <c r="Q586" s="5">
        <v>0</v>
      </c>
      <c r="R586" s="5">
        <v>0</v>
      </c>
      <c r="S586" s="5">
        <v>0</v>
      </c>
      <c r="T586" s="5">
        <v>0</v>
      </c>
      <c r="U586" s="5">
        <v>0</v>
      </c>
      <c r="V586" s="5">
        <v>0</v>
      </c>
      <c r="W586" s="5">
        <v>0</v>
      </c>
      <c r="X586" s="5">
        <v>0</v>
      </c>
      <c r="Y586" s="5">
        <v>0</v>
      </c>
      <c r="Z586" s="5">
        <v>0</v>
      </c>
      <c r="AA586" s="5">
        <v>0</v>
      </c>
      <c r="AB586" s="5">
        <v>0</v>
      </c>
      <c r="AC586" s="5">
        <v>0</v>
      </c>
      <c r="AD586" s="5">
        <v>0</v>
      </c>
      <c r="AE586" s="5">
        <v>0</v>
      </c>
      <c r="AF586" s="5">
        <v>0</v>
      </c>
      <c r="AG586" s="5">
        <v>0</v>
      </c>
      <c r="AH586" s="5">
        <v>0</v>
      </c>
      <c r="AI586" s="5">
        <v>0</v>
      </c>
      <c r="AJ586" s="5">
        <v>0</v>
      </c>
      <c r="AK586" s="5">
        <v>0.15</v>
      </c>
      <c r="AL586" s="5">
        <v>0</v>
      </c>
      <c r="AM586" s="5">
        <v>0.372</v>
      </c>
      <c r="AN586" s="5">
        <v>0.45500000000000002</v>
      </c>
      <c r="AO586" s="5">
        <v>0.35199999999999998</v>
      </c>
      <c r="AP586" s="5">
        <v>0</v>
      </c>
      <c r="AQ586" s="5">
        <v>6.6000000000000003E-2</v>
      </c>
      <c r="AR586" s="5">
        <v>0</v>
      </c>
      <c r="AS586" s="5">
        <v>0</v>
      </c>
      <c r="AT586" s="5">
        <v>0</v>
      </c>
      <c r="AU586" s="5">
        <v>0</v>
      </c>
      <c r="AV586" s="5">
        <v>0</v>
      </c>
      <c r="AW586" s="815">
        <v>0</v>
      </c>
      <c r="AX586" s="816">
        <v>0</v>
      </c>
      <c r="AY586" s="819">
        <v>0</v>
      </c>
      <c r="AZ586" s="816"/>
      <c r="BA586" s="818"/>
      <c r="BB586" s="802" t="str" cm="1">
        <f t="array" ref="BB586">INDEX(C$4:BA$4,MATCH(TRUE,INDEX(C586:BA586&lt;&gt;0,),0))</f>
        <v>2012-13</v>
      </c>
      <c r="BC586" s="803" t="str" cm="1">
        <f t="array" ref="BC586">LOOKUP(2,1/(C586:BA586&lt;&gt;0),$C$4:$BA$4)</f>
        <v>2018-19</v>
      </c>
      <c r="BD586" s="804">
        <f>COUNTIF(RDprograms[[#This Row],[1978-79]:[2028-29]], "&gt;0")</f>
        <v>5</v>
      </c>
      <c r="BE586" s="805">
        <f>SUM(C586:BA586)/RDprograms[[#This Row],[Years with &gt; $0 investment]]</f>
        <v>0.27900000000000003</v>
      </c>
      <c r="BF586" s="806" t="s">
        <v>273</v>
      </c>
      <c r="BG586" s="807" t="s">
        <v>362</v>
      </c>
      <c r="BH586" s="847" t="s">
        <v>269</v>
      </c>
      <c r="BI586" s="809"/>
      <c r="BJ586" s="809"/>
      <c r="BK586" s="809"/>
      <c r="BL586" s="809"/>
      <c r="BM586" s="809"/>
      <c r="BN586" s="810"/>
      <c r="BO586" s="811" t="s">
        <v>236</v>
      </c>
      <c r="BP586" s="812" t="s">
        <v>1439</v>
      </c>
      <c r="BQ586" s="812" t="s">
        <v>1440</v>
      </c>
      <c r="BR586" s="812"/>
      <c r="BS586" s="812"/>
      <c r="BT586" s="812" t="s">
        <v>238</v>
      </c>
    </row>
    <row r="587" spans="1:72" ht="12.75" customHeight="1">
      <c r="A587" s="813" t="s">
        <v>1401</v>
      </c>
      <c r="B587" s="820" t="s">
        <v>1441</v>
      </c>
      <c r="C587" s="5">
        <v>0</v>
      </c>
      <c r="D587" s="5">
        <v>0</v>
      </c>
      <c r="E587" s="5">
        <v>0</v>
      </c>
      <c r="F587" s="5">
        <v>0</v>
      </c>
      <c r="G587" s="5">
        <v>0</v>
      </c>
      <c r="H587" s="5">
        <v>0</v>
      </c>
      <c r="I587" s="5">
        <v>0</v>
      </c>
      <c r="J587" s="5">
        <v>0</v>
      </c>
      <c r="K587" s="5">
        <v>0</v>
      </c>
      <c r="L587" s="5">
        <v>0</v>
      </c>
      <c r="M587" s="5">
        <v>0</v>
      </c>
      <c r="N587" s="5">
        <v>0</v>
      </c>
      <c r="O587" s="5">
        <v>0</v>
      </c>
      <c r="P587" s="5">
        <v>0</v>
      </c>
      <c r="Q587" s="5">
        <v>0</v>
      </c>
      <c r="R587" s="5">
        <v>0</v>
      </c>
      <c r="S587" s="5">
        <v>0</v>
      </c>
      <c r="T587" s="5">
        <v>0</v>
      </c>
      <c r="U587" s="5">
        <v>0</v>
      </c>
      <c r="V587" s="5">
        <v>0</v>
      </c>
      <c r="W587" s="5">
        <v>0</v>
      </c>
      <c r="X587" s="5">
        <v>0</v>
      </c>
      <c r="Y587" s="5">
        <v>0</v>
      </c>
      <c r="Z587" s="5">
        <v>0</v>
      </c>
      <c r="AA587" s="5">
        <v>0</v>
      </c>
      <c r="AB587" s="5">
        <v>0</v>
      </c>
      <c r="AC587" s="5">
        <v>0</v>
      </c>
      <c r="AD587" s="5">
        <v>0</v>
      </c>
      <c r="AE587" s="5">
        <v>0</v>
      </c>
      <c r="AF587" s="5">
        <v>0</v>
      </c>
      <c r="AG587" s="5">
        <v>0</v>
      </c>
      <c r="AH587" s="5">
        <v>0</v>
      </c>
      <c r="AI587" s="5">
        <v>0</v>
      </c>
      <c r="AJ587" s="5">
        <v>0</v>
      </c>
      <c r="AK587" s="5">
        <v>0</v>
      </c>
      <c r="AL587" s="5">
        <v>0.15</v>
      </c>
      <c r="AM587" s="5">
        <v>0.15</v>
      </c>
      <c r="AN587" s="5">
        <v>0.15</v>
      </c>
      <c r="AO587" s="5">
        <v>0</v>
      </c>
      <c r="AP587" s="816">
        <v>0</v>
      </c>
      <c r="AQ587" s="816">
        <v>0</v>
      </c>
      <c r="AR587" s="5">
        <v>0</v>
      </c>
      <c r="AS587" s="5">
        <v>0</v>
      </c>
      <c r="AT587" s="5">
        <v>0</v>
      </c>
      <c r="AU587" s="5">
        <v>0</v>
      </c>
      <c r="AV587" s="5">
        <v>0</v>
      </c>
      <c r="AW587" s="815">
        <v>0</v>
      </c>
      <c r="AX587" s="816">
        <v>0</v>
      </c>
      <c r="AY587" s="819">
        <v>0</v>
      </c>
      <c r="AZ587" s="816"/>
      <c r="BA587" s="818"/>
      <c r="BB587" s="802" t="str" cm="1">
        <f t="array" ref="BB587">INDEX(C$4:BA$4,MATCH(TRUE,INDEX(C587:BA587&lt;&gt;0,),0))</f>
        <v>2013-14</v>
      </c>
      <c r="BC587" s="803" t="str" cm="1">
        <f t="array" ref="BC587">LOOKUP(2,1/(C587:BA587&lt;&gt;0),$C$4:$BA$4)</f>
        <v>2015-16</v>
      </c>
      <c r="BD587" s="804">
        <f>COUNTIF(RDprograms[[#This Row],[1978-79]:[2028-29]], "&gt;0")</f>
        <v>3</v>
      </c>
      <c r="BE587" s="805">
        <f>SUM(C587:BA587)/RDprograms[[#This Row],[Years with &gt; $0 investment]]</f>
        <v>0.15</v>
      </c>
      <c r="BF587" s="806" t="s">
        <v>273</v>
      </c>
      <c r="BG587" s="807" t="s">
        <v>362</v>
      </c>
      <c r="BH587" s="847" t="s">
        <v>241</v>
      </c>
      <c r="BI587" s="809"/>
      <c r="BJ587" s="809"/>
      <c r="BK587" s="809"/>
      <c r="BL587" s="809"/>
      <c r="BM587" s="809"/>
      <c r="BN587" s="810"/>
      <c r="BO587" s="811" t="s">
        <v>236</v>
      </c>
      <c r="BP587" s="812" t="s">
        <v>1442</v>
      </c>
      <c r="BQ587" s="812" t="s">
        <v>1443</v>
      </c>
      <c r="BR587" s="812"/>
      <c r="BS587" s="812"/>
      <c r="BT587" s="812" t="s">
        <v>238</v>
      </c>
    </row>
    <row r="588" spans="1:72" ht="12.75" customHeight="1">
      <c r="A588" s="813" t="s">
        <v>1401</v>
      </c>
      <c r="B588" s="820" t="s">
        <v>1444</v>
      </c>
      <c r="C588" s="5">
        <v>0</v>
      </c>
      <c r="D588" s="5">
        <v>0</v>
      </c>
      <c r="E588" s="5">
        <v>0</v>
      </c>
      <c r="F588" s="5">
        <v>0</v>
      </c>
      <c r="G588" s="5">
        <v>0</v>
      </c>
      <c r="H588" s="5">
        <v>0</v>
      </c>
      <c r="I588" s="5">
        <v>0</v>
      </c>
      <c r="J588" s="5">
        <v>0</v>
      </c>
      <c r="K588" s="5">
        <v>0</v>
      </c>
      <c r="L588" s="5">
        <v>0</v>
      </c>
      <c r="M588" s="5">
        <v>0</v>
      </c>
      <c r="N588" s="5">
        <v>0</v>
      </c>
      <c r="O588" s="5">
        <v>0</v>
      </c>
      <c r="P588" s="5">
        <v>0</v>
      </c>
      <c r="Q588" s="5">
        <v>0</v>
      </c>
      <c r="R588" s="5">
        <v>0</v>
      </c>
      <c r="S588" s="5">
        <v>0</v>
      </c>
      <c r="T588" s="5">
        <v>0</v>
      </c>
      <c r="U588" s="5">
        <v>0</v>
      </c>
      <c r="V588" s="5">
        <v>0</v>
      </c>
      <c r="W588" s="5">
        <v>0</v>
      </c>
      <c r="X588" s="5">
        <v>0</v>
      </c>
      <c r="Y588" s="5">
        <v>0</v>
      </c>
      <c r="Z588" s="5">
        <v>0</v>
      </c>
      <c r="AA588" s="5">
        <v>0</v>
      </c>
      <c r="AB588" s="5">
        <v>0</v>
      </c>
      <c r="AC588" s="5">
        <v>0</v>
      </c>
      <c r="AD588" s="5">
        <v>0</v>
      </c>
      <c r="AE588" s="5">
        <v>0</v>
      </c>
      <c r="AF588" s="5">
        <v>0.13</v>
      </c>
      <c r="AG588" s="5">
        <v>0.35699999999999998</v>
      </c>
      <c r="AH588" s="5">
        <v>0.25</v>
      </c>
      <c r="AI588" s="5">
        <v>0.27</v>
      </c>
      <c r="AJ588" s="5">
        <v>0.08</v>
      </c>
      <c r="AK588" s="5">
        <v>0</v>
      </c>
      <c r="AL588" s="5">
        <v>0</v>
      </c>
      <c r="AM588" s="5">
        <v>0</v>
      </c>
      <c r="AN588" s="5">
        <v>0</v>
      </c>
      <c r="AO588" s="5">
        <v>0</v>
      </c>
      <c r="AP588" s="5">
        <v>0</v>
      </c>
      <c r="AQ588" s="5">
        <v>0</v>
      </c>
      <c r="AR588" s="5">
        <v>0</v>
      </c>
      <c r="AS588" s="5">
        <v>0</v>
      </c>
      <c r="AT588" s="5">
        <v>0</v>
      </c>
      <c r="AU588" s="5">
        <v>0</v>
      </c>
      <c r="AV588" s="5">
        <v>0</v>
      </c>
      <c r="AW588" s="815">
        <v>0</v>
      </c>
      <c r="AX588" s="816">
        <v>0</v>
      </c>
      <c r="AY588" s="819">
        <v>0</v>
      </c>
      <c r="AZ588" s="816"/>
      <c r="BA588" s="818"/>
      <c r="BB588" s="802" t="str" cm="1">
        <f t="array" ref="BB588">INDEX(C$4:BA$4,MATCH(TRUE,INDEX(C588:BA588&lt;&gt;0,),0))</f>
        <v>2007-08</v>
      </c>
      <c r="BC588" s="803" t="str" cm="1">
        <f t="array" ref="BC588">LOOKUP(2,1/(C588:BA588&lt;&gt;0),$C$4:$BA$4)</f>
        <v>2011-12</v>
      </c>
      <c r="BD588" s="804">
        <f>COUNTIF(RDprograms[[#This Row],[1978-79]:[2028-29]], "&gt;0")</f>
        <v>5</v>
      </c>
      <c r="BE588" s="805">
        <f>SUM(C588:BA588)/RDprograms[[#This Row],[Years with &gt; $0 investment]]</f>
        <v>0.21740000000000004</v>
      </c>
      <c r="BF588" s="806" t="s">
        <v>273</v>
      </c>
      <c r="BG588" s="807" t="s">
        <v>362</v>
      </c>
      <c r="BH588" s="847" t="s">
        <v>269</v>
      </c>
      <c r="BI588" s="809"/>
      <c r="BJ588" s="809"/>
      <c r="BK588" s="809"/>
      <c r="BL588" s="809"/>
      <c r="BM588" s="809"/>
      <c r="BN588" s="810"/>
      <c r="BO588" s="811" t="s">
        <v>236</v>
      </c>
      <c r="BP588" s="812"/>
      <c r="BQ588" s="812" t="s">
        <v>1445</v>
      </c>
      <c r="BR588" s="812"/>
      <c r="BS588" s="812"/>
      <c r="BT588" s="812" t="s">
        <v>238</v>
      </c>
    </row>
    <row r="589" spans="1:72" ht="12.75" customHeight="1">
      <c r="A589" s="813" t="s">
        <v>1401</v>
      </c>
      <c r="B589" s="820" t="s">
        <v>1446</v>
      </c>
      <c r="C589" s="5">
        <v>0</v>
      </c>
      <c r="D589" s="5">
        <v>0</v>
      </c>
      <c r="E589" s="5">
        <v>0</v>
      </c>
      <c r="F589" s="5">
        <v>0</v>
      </c>
      <c r="G589" s="5">
        <v>0</v>
      </c>
      <c r="H589" s="5">
        <v>0</v>
      </c>
      <c r="I589" s="5">
        <v>0</v>
      </c>
      <c r="J589" s="5">
        <v>0</v>
      </c>
      <c r="K589" s="5">
        <v>0</v>
      </c>
      <c r="L589" s="5">
        <v>0</v>
      </c>
      <c r="M589" s="5">
        <v>0</v>
      </c>
      <c r="N589" s="5">
        <v>0</v>
      </c>
      <c r="O589" s="5">
        <v>0</v>
      </c>
      <c r="P589" s="5">
        <v>0</v>
      </c>
      <c r="Q589" s="5">
        <v>0</v>
      </c>
      <c r="R589" s="5">
        <v>0</v>
      </c>
      <c r="S589" s="5">
        <v>0</v>
      </c>
      <c r="T589" s="5">
        <v>0</v>
      </c>
      <c r="U589" s="5">
        <v>0</v>
      </c>
      <c r="V589" s="5">
        <v>0</v>
      </c>
      <c r="W589" s="5">
        <v>0</v>
      </c>
      <c r="X589" s="5">
        <v>0</v>
      </c>
      <c r="Y589" s="5">
        <v>0</v>
      </c>
      <c r="Z589" s="5">
        <v>0</v>
      </c>
      <c r="AA589" s="5">
        <v>0</v>
      </c>
      <c r="AB589" s="5">
        <v>0</v>
      </c>
      <c r="AC589" s="5">
        <v>0</v>
      </c>
      <c r="AD589" s="5">
        <v>0</v>
      </c>
      <c r="AE589" s="5">
        <v>0</v>
      </c>
      <c r="AF589" s="5">
        <v>0</v>
      </c>
      <c r="AG589" s="5">
        <v>0</v>
      </c>
      <c r="AH589" s="5">
        <v>0</v>
      </c>
      <c r="AI589" s="5">
        <v>0</v>
      </c>
      <c r="AJ589" s="5">
        <v>0</v>
      </c>
      <c r="AK589" s="5">
        <v>0</v>
      </c>
      <c r="AL589" s="5">
        <v>0</v>
      </c>
      <c r="AM589" s="5">
        <v>0</v>
      </c>
      <c r="AN589" s="5">
        <v>0</v>
      </c>
      <c r="AO589" s="5">
        <v>0</v>
      </c>
      <c r="AP589" s="5">
        <v>0</v>
      </c>
      <c r="AQ589" s="5">
        <v>0.3</v>
      </c>
      <c r="AR589" s="5">
        <v>0.30399999999999999</v>
      </c>
      <c r="AS589" s="5">
        <v>4.5999999999999999E-2</v>
      </c>
      <c r="AT589" s="5">
        <v>0.13900000000000001</v>
      </c>
      <c r="AU589" s="5">
        <v>0</v>
      </c>
      <c r="AV589" s="5">
        <v>0</v>
      </c>
      <c r="AW589" s="815">
        <v>0</v>
      </c>
      <c r="AX589" s="816">
        <v>0</v>
      </c>
      <c r="AY589" s="819">
        <v>0</v>
      </c>
      <c r="AZ589" s="816"/>
      <c r="BA589" s="818"/>
      <c r="BB589" s="802" t="str" cm="1">
        <f t="array" ref="BB589">INDEX(C$4:BA$4,MATCH(TRUE,INDEX(C589:BA589&lt;&gt;0,),0))</f>
        <v>2018-19</v>
      </c>
      <c r="BC589" s="803" t="str" cm="1">
        <f t="array" ref="BC589">LOOKUP(2,1/(C589:BA589&lt;&gt;0),$C$4:$BA$4)</f>
        <v>2021-22</v>
      </c>
      <c r="BD589" s="804">
        <f>COUNTIF(RDprograms[[#This Row],[1978-79]:[2028-29]], "&gt;0")</f>
        <v>4</v>
      </c>
      <c r="BE589" s="805">
        <f>SUM(C589:BA589)/RDprograms[[#This Row],[Years with &gt; $0 investment]]</f>
        <v>0.19725000000000001</v>
      </c>
      <c r="BF589" s="806" t="s">
        <v>273</v>
      </c>
      <c r="BG589" s="807" t="s">
        <v>362</v>
      </c>
      <c r="BH589" s="847" t="s">
        <v>258</v>
      </c>
      <c r="BI589" s="809"/>
      <c r="BJ589" s="809"/>
      <c r="BK589" s="809"/>
      <c r="BL589" s="809"/>
      <c r="BM589" s="809"/>
      <c r="BN589" s="810"/>
      <c r="BO589" s="811" t="s">
        <v>236</v>
      </c>
      <c r="BP589" s="812" t="s">
        <v>1447</v>
      </c>
      <c r="BQ589" s="812"/>
      <c r="BR589" s="812"/>
      <c r="BS589" s="812"/>
      <c r="BT589" s="812" t="s">
        <v>238</v>
      </c>
    </row>
    <row r="590" spans="1:72" ht="12.75" customHeight="1">
      <c r="A590" s="813" t="s">
        <v>1401</v>
      </c>
      <c r="B590" s="820" t="s">
        <v>1448</v>
      </c>
      <c r="C590" s="5">
        <v>0</v>
      </c>
      <c r="D590" s="5">
        <v>0</v>
      </c>
      <c r="E590" s="5">
        <v>0</v>
      </c>
      <c r="F590" s="5">
        <v>0</v>
      </c>
      <c r="G590" s="5">
        <v>0</v>
      </c>
      <c r="H590" s="5">
        <v>0</v>
      </c>
      <c r="I590" s="5">
        <v>0</v>
      </c>
      <c r="J590" s="5">
        <v>0</v>
      </c>
      <c r="K590" s="5">
        <v>0</v>
      </c>
      <c r="L590" s="5">
        <v>0</v>
      </c>
      <c r="M590" s="5">
        <v>0</v>
      </c>
      <c r="N590" s="5">
        <v>0</v>
      </c>
      <c r="O590" s="5">
        <v>0</v>
      </c>
      <c r="P590" s="5">
        <v>0</v>
      </c>
      <c r="Q590" s="5">
        <v>0</v>
      </c>
      <c r="R590" s="5">
        <v>0</v>
      </c>
      <c r="S590" s="5">
        <v>0</v>
      </c>
      <c r="T590" s="5">
        <v>0</v>
      </c>
      <c r="U590" s="5">
        <v>0</v>
      </c>
      <c r="V590" s="5">
        <v>0</v>
      </c>
      <c r="W590" s="5">
        <v>0</v>
      </c>
      <c r="X590" s="5">
        <v>0</v>
      </c>
      <c r="Y590" s="5">
        <v>0</v>
      </c>
      <c r="Z590" s="5">
        <v>0</v>
      </c>
      <c r="AA590" s="5">
        <v>0</v>
      </c>
      <c r="AB590" s="5">
        <v>0</v>
      </c>
      <c r="AC590" s="5">
        <v>0</v>
      </c>
      <c r="AD590" s="5">
        <v>5.8760000000000003</v>
      </c>
      <c r="AE590" s="5">
        <v>0.76300000000000001</v>
      </c>
      <c r="AF590" s="5">
        <v>2.9580000000000002</v>
      </c>
      <c r="AG590" s="5">
        <v>2.9809999999999999</v>
      </c>
      <c r="AH590" s="5">
        <v>2.9849999999999999</v>
      </c>
      <c r="AI590" s="5">
        <v>13.869</v>
      </c>
      <c r="AJ590" s="5">
        <v>22.478000000000002</v>
      </c>
      <c r="AK590" s="5">
        <v>23.339000000000002</v>
      </c>
      <c r="AL590" s="5">
        <v>27.309000000000001</v>
      </c>
      <c r="AM590" s="5">
        <v>23.181999999999999</v>
      </c>
      <c r="AN590" s="5">
        <v>21.595999999999997</v>
      </c>
      <c r="AO590" s="5">
        <v>26.779000000000003</v>
      </c>
      <c r="AP590" s="5">
        <v>27.627000000000002</v>
      </c>
      <c r="AQ590" s="5">
        <v>29.053999999999998</v>
      </c>
      <c r="AR590" s="5">
        <v>30.452000000000002</v>
      </c>
      <c r="AS590" s="5">
        <v>21.82</v>
      </c>
      <c r="AT590" s="5">
        <v>29.175000000000001</v>
      </c>
      <c r="AU590" s="5">
        <v>28.864000000000001</v>
      </c>
      <c r="AV590" s="5">
        <v>29.5</v>
      </c>
      <c r="AW590" s="815">
        <v>30.338000000000001</v>
      </c>
      <c r="AX590" s="816">
        <v>30.852</v>
      </c>
      <c r="AY590" s="819">
        <v>31.442</v>
      </c>
      <c r="AZ590" s="816">
        <v>32.018000000000001</v>
      </c>
      <c r="BA590" s="818">
        <v>33.04</v>
      </c>
      <c r="BB590" s="802" t="str" cm="1">
        <f t="array" ref="BB590">INDEX(C$4:BA$4,MATCH(TRUE,INDEX(C590:BA590&lt;&gt;0,),0))</f>
        <v>2005-06</v>
      </c>
      <c r="BC590" s="803" t="str" cm="1">
        <f t="array" ref="BC590">LOOKUP(2,1/(C590:BA590&lt;&gt;0),$C$4:$BA$4)</f>
        <v>2028-29</v>
      </c>
      <c r="BD590" s="804">
        <f>COUNTIF(RDprograms[[#This Row],[1978-79]:[2028-29]], "&gt;0")</f>
        <v>24</v>
      </c>
      <c r="BE590" s="805">
        <f>SUM(C590:BA590)/RDprograms[[#This Row],[Years with &gt; $0 investment]]</f>
        <v>22.012375000000002</v>
      </c>
      <c r="BF590" s="806" t="s">
        <v>273</v>
      </c>
      <c r="BG590" s="807" t="s">
        <v>362</v>
      </c>
      <c r="BH590" s="847" t="s">
        <v>258</v>
      </c>
      <c r="BI590" s="809"/>
      <c r="BJ590" s="809">
        <v>1</v>
      </c>
      <c r="BK590" s="809"/>
      <c r="BL590" s="809"/>
      <c r="BM590" s="809"/>
      <c r="BN590" s="810"/>
      <c r="BO590" s="811" t="s">
        <v>236</v>
      </c>
      <c r="BP590" s="812" t="s">
        <v>1449</v>
      </c>
      <c r="BQ590" s="812" t="s">
        <v>1450</v>
      </c>
      <c r="BR590" s="812"/>
      <c r="BS590" s="812"/>
      <c r="BT590" s="812" t="s">
        <v>238</v>
      </c>
    </row>
    <row r="591" spans="1:72" ht="12.75" customHeight="1">
      <c r="A591" s="813" t="s">
        <v>1401</v>
      </c>
      <c r="B591" s="820" t="s">
        <v>1451</v>
      </c>
      <c r="C591" s="5">
        <v>0</v>
      </c>
      <c r="D591" s="5">
        <v>0</v>
      </c>
      <c r="E591" s="5">
        <v>0</v>
      </c>
      <c r="F591" s="5">
        <v>0</v>
      </c>
      <c r="G591" s="5">
        <v>0</v>
      </c>
      <c r="H591" s="5">
        <v>0</v>
      </c>
      <c r="I591" s="5">
        <v>0</v>
      </c>
      <c r="J591" s="5">
        <v>0</v>
      </c>
      <c r="K591" s="5">
        <v>0</v>
      </c>
      <c r="L591" s="5">
        <v>0</v>
      </c>
      <c r="M591" s="5">
        <v>0</v>
      </c>
      <c r="N591" s="5">
        <v>0</v>
      </c>
      <c r="O591" s="5">
        <v>0</v>
      </c>
      <c r="P591" s="5">
        <v>0</v>
      </c>
      <c r="Q591" s="5">
        <v>0</v>
      </c>
      <c r="R591" s="5">
        <v>0</v>
      </c>
      <c r="S591" s="5">
        <v>0</v>
      </c>
      <c r="T591" s="5">
        <v>0</v>
      </c>
      <c r="U591" s="5">
        <v>0</v>
      </c>
      <c r="V591" s="5">
        <v>0</v>
      </c>
      <c r="W591" s="5">
        <v>0</v>
      </c>
      <c r="X591" s="5">
        <v>0</v>
      </c>
      <c r="Y591" s="5">
        <v>0</v>
      </c>
      <c r="Z591" s="5">
        <v>0</v>
      </c>
      <c r="AA591" s="5">
        <v>0</v>
      </c>
      <c r="AB591" s="5">
        <v>0</v>
      </c>
      <c r="AC591" s="5">
        <v>0</v>
      </c>
      <c r="AD591" s="5">
        <v>0</v>
      </c>
      <c r="AE591" s="5">
        <v>0</v>
      </c>
      <c r="AF591" s="5">
        <v>0</v>
      </c>
      <c r="AG591" s="5">
        <v>0</v>
      </c>
      <c r="AH591" s="5">
        <v>0</v>
      </c>
      <c r="AI591" s="5">
        <v>0</v>
      </c>
      <c r="AJ591" s="5">
        <v>0</v>
      </c>
      <c r="AK591" s="5">
        <v>0</v>
      </c>
      <c r="AL591" s="5">
        <v>0</v>
      </c>
      <c r="AM591" s="5">
        <v>0</v>
      </c>
      <c r="AN591" s="5">
        <v>0.3</v>
      </c>
      <c r="AO591" s="5">
        <v>0.3</v>
      </c>
      <c r="AP591" s="816">
        <v>0</v>
      </c>
      <c r="AQ591" s="816">
        <v>0</v>
      </c>
      <c r="AR591" s="5">
        <v>0</v>
      </c>
      <c r="AS591" s="5">
        <v>0</v>
      </c>
      <c r="AT591" s="5">
        <v>0</v>
      </c>
      <c r="AU591" s="5">
        <v>0</v>
      </c>
      <c r="AV591" s="5">
        <v>0</v>
      </c>
      <c r="AW591" s="815">
        <v>0</v>
      </c>
      <c r="AX591" s="816">
        <v>0</v>
      </c>
      <c r="AY591" s="819">
        <v>0</v>
      </c>
      <c r="AZ591" s="816"/>
      <c r="BA591" s="818"/>
      <c r="BB591" s="802" t="str" cm="1">
        <f t="array" ref="BB591">INDEX(C$4:BA$4,MATCH(TRUE,INDEX(C591:BA591&lt;&gt;0,),0))</f>
        <v>2015-16</v>
      </c>
      <c r="BC591" s="803" t="str" cm="1">
        <f t="array" ref="BC591">LOOKUP(2,1/(C591:BA591&lt;&gt;0),$C$4:$BA$4)</f>
        <v>2016-17</v>
      </c>
      <c r="BD591" s="804">
        <f>COUNTIF(RDprograms[[#This Row],[1978-79]:[2028-29]], "&gt;0")</f>
        <v>2</v>
      </c>
      <c r="BE591" s="805">
        <f>SUM(C591:BA591)/RDprograms[[#This Row],[Years with &gt; $0 investment]]</f>
        <v>0.3</v>
      </c>
      <c r="BF591" s="806" t="s">
        <v>273</v>
      </c>
      <c r="BG591" s="807" t="s">
        <v>362</v>
      </c>
      <c r="BH591" s="847" t="s">
        <v>241</v>
      </c>
      <c r="BI591" s="809"/>
      <c r="BJ591" s="809"/>
      <c r="BK591" s="809"/>
      <c r="BL591" s="809"/>
      <c r="BM591" s="809"/>
      <c r="BN591" s="810"/>
      <c r="BO591" s="811" t="s">
        <v>236</v>
      </c>
      <c r="BP591" s="812" t="s">
        <v>1403</v>
      </c>
      <c r="BQ591" s="812"/>
      <c r="BR591" s="812"/>
      <c r="BS591" s="812"/>
      <c r="BT591" s="812" t="s">
        <v>238</v>
      </c>
    </row>
    <row r="592" spans="1:72" ht="12.75" customHeight="1">
      <c r="A592" s="813" t="s">
        <v>1401</v>
      </c>
      <c r="B592" s="820" t="s">
        <v>1452</v>
      </c>
      <c r="C592" s="5">
        <v>0</v>
      </c>
      <c r="D592" s="5">
        <v>0</v>
      </c>
      <c r="E592" s="5">
        <v>0</v>
      </c>
      <c r="F592" s="5">
        <v>0</v>
      </c>
      <c r="G592" s="5">
        <v>0</v>
      </c>
      <c r="H592" s="5">
        <v>0</v>
      </c>
      <c r="I592" s="5">
        <v>0</v>
      </c>
      <c r="J592" s="5">
        <v>0</v>
      </c>
      <c r="K592" s="5">
        <v>0</v>
      </c>
      <c r="L592" s="5">
        <v>0</v>
      </c>
      <c r="M592" s="5">
        <v>0</v>
      </c>
      <c r="N592" s="5">
        <v>0</v>
      </c>
      <c r="O592" s="5">
        <v>0</v>
      </c>
      <c r="P592" s="5">
        <v>0</v>
      </c>
      <c r="Q592" s="5">
        <v>0</v>
      </c>
      <c r="R592" s="5">
        <v>0</v>
      </c>
      <c r="S592" s="5">
        <v>0</v>
      </c>
      <c r="T592" s="5">
        <v>0</v>
      </c>
      <c r="U592" s="5">
        <v>0</v>
      </c>
      <c r="V592" s="5">
        <v>0</v>
      </c>
      <c r="W592" s="5">
        <v>0</v>
      </c>
      <c r="X592" s="5">
        <v>0</v>
      </c>
      <c r="Y592" s="5">
        <v>0</v>
      </c>
      <c r="Z592" s="5">
        <v>0</v>
      </c>
      <c r="AA592" s="5">
        <v>0</v>
      </c>
      <c r="AB592" s="5">
        <v>0</v>
      </c>
      <c r="AC592" s="5">
        <v>0</v>
      </c>
      <c r="AD592" s="5">
        <v>0</v>
      </c>
      <c r="AE592" s="5">
        <v>0</v>
      </c>
      <c r="AF592" s="5">
        <v>0</v>
      </c>
      <c r="AG592" s="5">
        <v>0</v>
      </c>
      <c r="AH592" s="5">
        <v>0</v>
      </c>
      <c r="AI592" s="5">
        <v>0</v>
      </c>
      <c r="AJ592" s="5">
        <v>0</v>
      </c>
      <c r="AK592" s="5">
        <v>0</v>
      </c>
      <c r="AL592" s="5">
        <v>0</v>
      </c>
      <c r="AM592" s="5">
        <v>0</v>
      </c>
      <c r="AN592" s="5">
        <v>0</v>
      </c>
      <c r="AO592" s="5">
        <v>0</v>
      </c>
      <c r="AP592" s="816">
        <v>0.27500000000000002</v>
      </c>
      <c r="AQ592" s="816">
        <v>5.5E-2</v>
      </c>
      <c r="AR592" s="5">
        <v>0</v>
      </c>
      <c r="AS592" s="5">
        <v>0</v>
      </c>
      <c r="AT592" s="5">
        <v>0</v>
      </c>
      <c r="AU592" s="5">
        <v>0</v>
      </c>
      <c r="AV592" s="5">
        <v>0</v>
      </c>
      <c r="AW592" s="815">
        <v>0</v>
      </c>
      <c r="AX592" s="816">
        <v>0</v>
      </c>
      <c r="AY592" s="819">
        <v>0</v>
      </c>
      <c r="AZ592" s="816"/>
      <c r="BA592" s="818"/>
      <c r="BB592" s="802" t="str" cm="1">
        <f t="array" ref="BB592">INDEX(C$4:BA$4,MATCH(TRUE,INDEX(C592:BA592&lt;&gt;0,),0))</f>
        <v>2017-18</v>
      </c>
      <c r="BC592" s="803" t="str" cm="1">
        <f t="array" ref="BC592">LOOKUP(2,1/(C592:BA592&lt;&gt;0),$C$4:$BA$4)</f>
        <v>2018-19</v>
      </c>
      <c r="BD592" s="804">
        <f>COUNTIF(RDprograms[[#This Row],[1978-79]:[2028-29]], "&gt;0")</f>
        <v>2</v>
      </c>
      <c r="BE592" s="805">
        <f>SUM(C592:BA592)/RDprograms[[#This Row],[Years with &gt; $0 investment]]</f>
        <v>0.16500000000000001</v>
      </c>
      <c r="BF592" s="806" t="s">
        <v>273</v>
      </c>
      <c r="BG592" s="807" t="s">
        <v>362</v>
      </c>
      <c r="BH592" s="847" t="s">
        <v>258</v>
      </c>
      <c r="BI592" s="809"/>
      <c r="BJ592" s="809"/>
      <c r="BK592" s="809"/>
      <c r="BL592" s="809"/>
      <c r="BM592" s="809"/>
      <c r="BN592" s="810"/>
      <c r="BO592" s="811" t="s">
        <v>236</v>
      </c>
      <c r="BP592" s="812" t="s">
        <v>1403</v>
      </c>
      <c r="BQ592" s="812" t="s">
        <v>1412</v>
      </c>
      <c r="BR592" s="812" t="s">
        <v>508</v>
      </c>
      <c r="BS592" s="812"/>
      <c r="BT592" s="812" t="s">
        <v>238</v>
      </c>
    </row>
    <row r="593" spans="1:72" ht="12.75" customHeight="1">
      <c r="A593" s="813" t="s">
        <v>1401</v>
      </c>
      <c r="B593" s="820" t="s">
        <v>1453</v>
      </c>
      <c r="C593" s="5">
        <v>0</v>
      </c>
      <c r="D593" s="5">
        <v>0</v>
      </c>
      <c r="E593" s="5">
        <v>0</v>
      </c>
      <c r="F593" s="5">
        <v>0</v>
      </c>
      <c r="G593" s="5">
        <v>0</v>
      </c>
      <c r="H593" s="5">
        <v>0</v>
      </c>
      <c r="I593" s="5">
        <v>0</v>
      </c>
      <c r="J593" s="5">
        <v>0</v>
      </c>
      <c r="K593" s="5">
        <v>0</v>
      </c>
      <c r="L593" s="5">
        <v>0</v>
      </c>
      <c r="M593" s="5">
        <v>0</v>
      </c>
      <c r="N593" s="5">
        <v>0</v>
      </c>
      <c r="O593" s="5">
        <v>0</v>
      </c>
      <c r="P593" s="5">
        <v>0</v>
      </c>
      <c r="Q593" s="5">
        <v>0</v>
      </c>
      <c r="R593" s="5">
        <v>0</v>
      </c>
      <c r="S593" s="5">
        <v>0</v>
      </c>
      <c r="T593" s="5">
        <v>0</v>
      </c>
      <c r="U593" s="5">
        <v>0</v>
      </c>
      <c r="V593" s="5">
        <v>0</v>
      </c>
      <c r="W593" s="5">
        <v>0</v>
      </c>
      <c r="X593" s="5">
        <v>0</v>
      </c>
      <c r="Y593" s="5">
        <v>0</v>
      </c>
      <c r="Z593" s="5">
        <v>0</v>
      </c>
      <c r="AA593" s="5">
        <v>0</v>
      </c>
      <c r="AB593" s="5">
        <v>0</v>
      </c>
      <c r="AC593" s="5">
        <v>0</v>
      </c>
      <c r="AD593" s="5">
        <v>0</v>
      </c>
      <c r="AE593" s="5">
        <v>0</v>
      </c>
      <c r="AF593" s="5">
        <v>0</v>
      </c>
      <c r="AG593" s="5">
        <v>0</v>
      </c>
      <c r="AH593" s="5">
        <v>0</v>
      </c>
      <c r="AI593" s="5">
        <v>0</v>
      </c>
      <c r="AJ593" s="5">
        <v>0</v>
      </c>
      <c r="AK593" s="5">
        <v>0</v>
      </c>
      <c r="AL593" s="5">
        <v>0</v>
      </c>
      <c r="AM593" s="5">
        <v>0</v>
      </c>
      <c r="AN593" s="5">
        <v>0</v>
      </c>
      <c r="AO593" s="5">
        <v>0.22</v>
      </c>
      <c r="AP593" s="5">
        <v>5.5E-2</v>
      </c>
      <c r="AQ593" s="5">
        <v>0</v>
      </c>
      <c r="AR593" s="5">
        <v>0</v>
      </c>
      <c r="AS593" s="5">
        <v>0</v>
      </c>
      <c r="AT593" s="5">
        <v>0</v>
      </c>
      <c r="AU593" s="5">
        <v>0</v>
      </c>
      <c r="AV593" s="5">
        <v>0</v>
      </c>
      <c r="AW593" s="815">
        <v>0</v>
      </c>
      <c r="AX593" s="816">
        <v>0</v>
      </c>
      <c r="AY593" s="819">
        <v>0</v>
      </c>
      <c r="AZ593" s="816"/>
      <c r="BA593" s="818"/>
      <c r="BB593" s="802" t="str" cm="1">
        <f t="array" ref="BB593">INDEX(C$4:BA$4,MATCH(TRUE,INDEX(C593:BA593&lt;&gt;0,),0))</f>
        <v>2016-17</v>
      </c>
      <c r="BC593" s="803" t="str" cm="1">
        <f t="array" ref="BC593">LOOKUP(2,1/(C593:BA593&lt;&gt;0),$C$4:$BA$4)</f>
        <v>2017-18</v>
      </c>
      <c r="BD593" s="804">
        <f>COUNTIF(RDprograms[[#This Row],[1978-79]:[2028-29]], "&gt;0")</f>
        <v>2</v>
      </c>
      <c r="BE593" s="805">
        <f>SUM(C593:BA593)/RDprograms[[#This Row],[Years with &gt; $0 investment]]</f>
        <v>0.13750000000000001</v>
      </c>
      <c r="BF593" s="806" t="s">
        <v>273</v>
      </c>
      <c r="BG593" s="807" t="s">
        <v>362</v>
      </c>
      <c r="BH593" s="847" t="s">
        <v>258</v>
      </c>
      <c r="BI593" s="809"/>
      <c r="BJ593" s="809"/>
      <c r="BK593" s="809"/>
      <c r="BL593" s="809"/>
      <c r="BM593" s="809"/>
      <c r="BN593" s="810"/>
      <c r="BO593" s="811" t="s">
        <v>236</v>
      </c>
      <c r="BP593" s="812" t="s">
        <v>1403</v>
      </c>
      <c r="BQ593" s="812" t="s">
        <v>1408</v>
      </c>
      <c r="BR593" s="812" t="s">
        <v>508</v>
      </c>
      <c r="BS593" s="812"/>
      <c r="BT593" s="812" t="s">
        <v>238</v>
      </c>
    </row>
    <row r="594" spans="1:72" ht="12.75" customHeight="1">
      <c r="A594" s="813" t="s">
        <v>1401</v>
      </c>
      <c r="B594" s="820" t="s">
        <v>1454</v>
      </c>
      <c r="C594" s="5">
        <v>0</v>
      </c>
      <c r="D594" s="5">
        <v>0</v>
      </c>
      <c r="E594" s="5">
        <v>0</v>
      </c>
      <c r="F594" s="5">
        <v>0</v>
      </c>
      <c r="G594" s="5">
        <v>0</v>
      </c>
      <c r="H594" s="5">
        <v>0</v>
      </c>
      <c r="I594" s="5">
        <v>0</v>
      </c>
      <c r="J594" s="5">
        <v>0</v>
      </c>
      <c r="K594" s="5">
        <v>0</v>
      </c>
      <c r="L594" s="5">
        <v>0</v>
      </c>
      <c r="M594" s="5">
        <v>0</v>
      </c>
      <c r="N594" s="5">
        <v>0</v>
      </c>
      <c r="O594" s="5">
        <v>0</v>
      </c>
      <c r="P594" s="5">
        <v>0</v>
      </c>
      <c r="Q594" s="5">
        <v>0</v>
      </c>
      <c r="R594" s="5">
        <v>0</v>
      </c>
      <c r="S594" s="5">
        <v>0</v>
      </c>
      <c r="T594" s="5">
        <v>0</v>
      </c>
      <c r="U594" s="5">
        <v>0</v>
      </c>
      <c r="V594" s="5">
        <v>0</v>
      </c>
      <c r="W594" s="5">
        <v>0</v>
      </c>
      <c r="X594" s="5">
        <v>0</v>
      </c>
      <c r="Y594" s="5">
        <v>0</v>
      </c>
      <c r="Z594" s="5">
        <v>0</v>
      </c>
      <c r="AA594" s="5">
        <v>0</v>
      </c>
      <c r="AB594" s="5">
        <v>0</v>
      </c>
      <c r="AC594" s="5">
        <v>0</v>
      </c>
      <c r="AD594" s="5">
        <v>0</v>
      </c>
      <c r="AE594" s="5">
        <v>0</v>
      </c>
      <c r="AF594" s="5">
        <v>0</v>
      </c>
      <c r="AG594" s="5">
        <v>0</v>
      </c>
      <c r="AH594" s="5">
        <v>0</v>
      </c>
      <c r="AI594" s="5">
        <v>0</v>
      </c>
      <c r="AJ594" s="5">
        <v>0</v>
      </c>
      <c r="AK594" s="5">
        <v>0</v>
      </c>
      <c r="AL594" s="5">
        <v>0</v>
      </c>
      <c r="AM594" s="5">
        <v>0.49199999999999999</v>
      </c>
      <c r="AN594" s="5">
        <v>0.99915799999999999</v>
      </c>
      <c r="AO594" s="5">
        <v>1.014</v>
      </c>
      <c r="AP594" s="5">
        <v>1.034</v>
      </c>
      <c r="AQ594" s="5">
        <v>1.0429999999999999</v>
      </c>
      <c r="AR594" s="5">
        <v>1.0589999999999999</v>
      </c>
      <c r="AS594" s="5">
        <v>1.0740000000000001</v>
      </c>
      <c r="AT594" s="5">
        <v>1.087</v>
      </c>
      <c r="AU594" s="5">
        <v>1.125</v>
      </c>
      <c r="AV594" s="5">
        <v>2.5230000000000001</v>
      </c>
      <c r="AW594" s="815">
        <v>1.1759999999999999</v>
      </c>
      <c r="AX594" s="816">
        <v>1.1990000000000001</v>
      </c>
      <c r="AY594" s="819">
        <v>0</v>
      </c>
      <c r="AZ594" s="816"/>
      <c r="BA594" s="818"/>
      <c r="BB594" s="802" t="str" cm="1">
        <f t="array" ref="BB594">INDEX(C$4:BA$4,MATCH(TRUE,INDEX(C594:BA594&lt;&gt;0,),0))</f>
        <v>2014-15</v>
      </c>
      <c r="BC594" s="803" t="str" cm="1">
        <f t="array" ref="BC594">LOOKUP(2,1/(C594:BA594&lt;&gt;0),$C$4:$BA$4)</f>
        <v>2025-26</v>
      </c>
      <c r="BD594" s="804">
        <f>COUNTIF(RDprograms[[#This Row],[1978-79]:[2028-29]], "&gt;0")</f>
        <v>12</v>
      </c>
      <c r="BE594" s="805">
        <f>SUM(C594:BA594)/RDprograms[[#This Row],[Years with &gt; $0 investment]]</f>
        <v>1.1520964999999999</v>
      </c>
      <c r="BF594" s="806" t="s">
        <v>273</v>
      </c>
      <c r="BG594" s="807" t="s">
        <v>362</v>
      </c>
      <c r="BH594" s="847" t="s">
        <v>258</v>
      </c>
      <c r="BI594" s="809"/>
      <c r="BJ594" s="809">
        <v>1</v>
      </c>
      <c r="BK594" s="809"/>
      <c r="BL594" s="809"/>
      <c r="BM594" s="809"/>
      <c r="BN594" s="810"/>
      <c r="BO594" s="811" t="s">
        <v>236</v>
      </c>
      <c r="BP594" s="812" t="s">
        <v>1455</v>
      </c>
      <c r="BQ594" s="812" t="s">
        <v>0</v>
      </c>
      <c r="BR594" s="812"/>
      <c r="BS594" s="812"/>
      <c r="BT594" s="812" t="s">
        <v>238</v>
      </c>
    </row>
    <row r="595" spans="1:72" ht="12.75" customHeight="1">
      <c r="A595" s="813" t="s">
        <v>1401</v>
      </c>
      <c r="B595" s="820" t="s">
        <v>1456</v>
      </c>
      <c r="C595" s="5">
        <v>0</v>
      </c>
      <c r="D595" s="5">
        <v>0</v>
      </c>
      <c r="E595" s="5">
        <v>0</v>
      </c>
      <c r="F595" s="5">
        <v>0</v>
      </c>
      <c r="G595" s="5">
        <v>0</v>
      </c>
      <c r="H595" s="5">
        <v>0</v>
      </c>
      <c r="I595" s="5">
        <v>0</v>
      </c>
      <c r="J595" s="5">
        <v>0</v>
      </c>
      <c r="K595" s="5">
        <v>0</v>
      </c>
      <c r="L595" s="5">
        <v>0</v>
      </c>
      <c r="M595" s="5">
        <v>0</v>
      </c>
      <c r="N595" s="5">
        <v>0</v>
      </c>
      <c r="O595" s="5">
        <v>0</v>
      </c>
      <c r="P595" s="5">
        <v>0</v>
      </c>
      <c r="Q595" s="5">
        <v>0</v>
      </c>
      <c r="R595" s="5">
        <v>0</v>
      </c>
      <c r="S595" s="5">
        <v>0</v>
      </c>
      <c r="T595" s="5">
        <v>0</v>
      </c>
      <c r="U595" s="5">
        <v>0</v>
      </c>
      <c r="V595" s="5">
        <v>0</v>
      </c>
      <c r="W595" s="5">
        <v>0</v>
      </c>
      <c r="X595" s="5">
        <v>0</v>
      </c>
      <c r="Y595" s="5">
        <v>0</v>
      </c>
      <c r="Z595" s="5">
        <v>0</v>
      </c>
      <c r="AA595" s="5">
        <v>0</v>
      </c>
      <c r="AB595" s="5">
        <v>0</v>
      </c>
      <c r="AC595" s="5">
        <v>0</v>
      </c>
      <c r="AD595" s="5">
        <v>0</v>
      </c>
      <c r="AE595" s="5">
        <v>0</v>
      </c>
      <c r="AF595" s="5">
        <v>0</v>
      </c>
      <c r="AG595" s="5">
        <v>0</v>
      </c>
      <c r="AH595" s="5">
        <v>0</v>
      </c>
      <c r="AI595" s="5">
        <v>0</v>
      </c>
      <c r="AJ595" s="5">
        <v>0</v>
      </c>
      <c r="AK595" s="5">
        <v>0</v>
      </c>
      <c r="AL595" s="5">
        <v>0</v>
      </c>
      <c r="AM595" s="5">
        <v>0</v>
      </c>
      <c r="AN595" s="5">
        <v>5.5E-2</v>
      </c>
      <c r="AO595" s="5">
        <v>0</v>
      </c>
      <c r="AP595" s="5">
        <v>0</v>
      </c>
      <c r="AQ595" s="5">
        <v>0</v>
      </c>
      <c r="AR595" s="5">
        <v>0</v>
      </c>
      <c r="AS595" s="5">
        <v>0</v>
      </c>
      <c r="AT595" s="5">
        <v>0</v>
      </c>
      <c r="AU595" s="5">
        <v>0</v>
      </c>
      <c r="AV595" s="5">
        <v>0</v>
      </c>
      <c r="AW595" s="815">
        <v>0</v>
      </c>
      <c r="AX595" s="816">
        <v>0</v>
      </c>
      <c r="AY595" s="819">
        <v>0</v>
      </c>
      <c r="AZ595" s="816"/>
      <c r="BA595" s="818"/>
      <c r="BB595" s="802" t="str" cm="1">
        <f t="array" ref="BB595">INDEX(C$4:BA$4,MATCH(TRUE,INDEX(C595:BA595&lt;&gt;0,),0))</f>
        <v>2015-16</v>
      </c>
      <c r="BC595" s="803" t="str" cm="1">
        <f t="array" ref="BC595">LOOKUP(2,1/(C595:BA595&lt;&gt;0),$C$4:$BA$4)</f>
        <v>2015-16</v>
      </c>
      <c r="BD595" s="804">
        <f>COUNTIF(RDprograms[[#This Row],[1978-79]:[2028-29]], "&gt;0")</f>
        <v>1</v>
      </c>
      <c r="BE595" s="805">
        <f>SUM(C595:BA595)/RDprograms[[#This Row],[Years with &gt; $0 investment]]</f>
        <v>5.5E-2</v>
      </c>
      <c r="BF595" s="806" t="s">
        <v>273</v>
      </c>
      <c r="BG595" s="807" t="s">
        <v>362</v>
      </c>
      <c r="BH595" s="847" t="s">
        <v>241</v>
      </c>
      <c r="BI595" s="809"/>
      <c r="BJ595" s="809"/>
      <c r="BK595" s="809"/>
      <c r="BL595" s="809"/>
      <c r="BM595" s="809"/>
      <c r="BN595" s="810"/>
      <c r="BO595" s="811" t="s">
        <v>236</v>
      </c>
      <c r="BP595" s="812" t="s">
        <v>1403</v>
      </c>
      <c r="BQ595" s="812"/>
      <c r="BR595" s="812"/>
      <c r="BS595" s="812"/>
      <c r="BT595" s="812" t="s">
        <v>238</v>
      </c>
    </row>
    <row r="596" spans="1:72" ht="12.75" customHeight="1">
      <c r="A596" s="813" t="s">
        <v>1401</v>
      </c>
      <c r="B596" s="820" t="s">
        <v>1457</v>
      </c>
      <c r="C596" s="5">
        <v>0</v>
      </c>
      <c r="D596" s="5">
        <v>0</v>
      </c>
      <c r="E596" s="5">
        <v>0</v>
      </c>
      <c r="F596" s="5">
        <v>0</v>
      </c>
      <c r="G596" s="5">
        <v>0</v>
      </c>
      <c r="H596" s="5">
        <v>0</v>
      </c>
      <c r="I596" s="5">
        <v>0</v>
      </c>
      <c r="J596" s="5">
        <v>0</v>
      </c>
      <c r="K596" s="5">
        <v>0</v>
      </c>
      <c r="L596" s="5">
        <v>0</v>
      </c>
      <c r="M596" s="5">
        <v>0</v>
      </c>
      <c r="N596" s="5">
        <v>0</v>
      </c>
      <c r="O596" s="5">
        <v>0</v>
      </c>
      <c r="P596" s="5">
        <v>0</v>
      </c>
      <c r="Q596" s="5">
        <v>0</v>
      </c>
      <c r="R596" s="5">
        <v>0</v>
      </c>
      <c r="S596" s="5">
        <v>0</v>
      </c>
      <c r="T596" s="5">
        <v>0</v>
      </c>
      <c r="U596" s="5">
        <v>0</v>
      </c>
      <c r="V596" s="5">
        <v>0</v>
      </c>
      <c r="W596" s="5">
        <v>0</v>
      </c>
      <c r="X596" s="5">
        <v>0</v>
      </c>
      <c r="Y596" s="5">
        <v>0</v>
      </c>
      <c r="Z596" s="5">
        <v>0</v>
      </c>
      <c r="AA596" s="5">
        <v>0</v>
      </c>
      <c r="AB596" s="5">
        <v>0</v>
      </c>
      <c r="AC596" s="5">
        <v>0</v>
      </c>
      <c r="AD596" s="5">
        <v>0</v>
      </c>
      <c r="AE596" s="5">
        <v>0</v>
      </c>
      <c r="AF596" s="5">
        <v>0</v>
      </c>
      <c r="AG596" s="5">
        <v>0</v>
      </c>
      <c r="AH596" s="5">
        <v>0</v>
      </c>
      <c r="AI596" s="5">
        <v>0</v>
      </c>
      <c r="AJ596" s="5">
        <v>0</v>
      </c>
      <c r="AK596" s="5">
        <v>0</v>
      </c>
      <c r="AL596" s="5">
        <v>0</v>
      </c>
      <c r="AM596" s="5">
        <v>0</v>
      </c>
      <c r="AN596" s="5">
        <v>0</v>
      </c>
      <c r="AO596" s="5">
        <v>0</v>
      </c>
      <c r="AP596" s="816">
        <v>6.9000000000000006E-2</v>
      </c>
      <c r="AQ596" s="816">
        <v>0</v>
      </c>
      <c r="AR596" s="5">
        <v>0</v>
      </c>
      <c r="AS596" s="5">
        <v>0</v>
      </c>
      <c r="AT596" s="5">
        <v>0</v>
      </c>
      <c r="AU596" s="5">
        <v>0</v>
      </c>
      <c r="AV596" s="5">
        <v>0</v>
      </c>
      <c r="AW596" s="815">
        <v>0</v>
      </c>
      <c r="AX596" s="816">
        <v>0</v>
      </c>
      <c r="AY596" s="819">
        <v>0</v>
      </c>
      <c r="AZ596" s="816"/>
      <c r="BA596" s="818"/>
      <c r="BB596" s="802" t="str" cm="1">
        <f t="array" ref="BB596">INDEX(C$4:BA$4,MATCH(TRUE,INDEX(C596:BA596&lt;&gt;0,),0))</f>
        <v>2017-18</v>
      </c>
      <c r="BC596" s="803" t="str" cm="1">
        <f t="array" ref="BC596">LOOKUP(2,1/(C596:BA596&lt;&gt;0),$C$4:$BA$4)</f>
        <v>2017-18</v>
      </c>
      <c r="BD596" s="804">
        <f>COUNTIF(RDprograms[[#This Row],[1978-79]:[2028-29]], "&gt;0")</f>
        <v>1</v>
      </c>
      <c r="BE596" s="805">
        <f>SUM(C596:BA596)/RDprograms[[#This Row],[Years with &gt; $0 investment]]</f>
        <v>6.9000000000000006E-2</v>
      </c>
      <c r="BF596" s="806" t="s">
        <v>273</v>
      </c>
      <c r="BG596" s="807" t="s">
        <v>362</v>
      </c>
      <c r="BH596" s="847" t="s">
        <v>258</v>
      </c>
      <c r="BI596" s="809"/>
      <c r="BJ596" s="809"/>
      <c r="BK596" s="809"/>
      <c r="BL596" s="809"/>
      <c r="BM596" s="809"/>
      <c r="BN596" s="810"/>
      <c r="BO596" s="811" t="s">
        <v>236</v>
      </c>
      <c r="BP596" s="812" t="s">
        <v>1403</v>
      </c>
      <c r="BQ596" s="812" t="s">
        <v>1404</v>
      </c>
      <c r="BR596" s="812" t="s">
        <v>508</v>
      </c>
      <c r="BS596" s="812"/>
      <c r="BT596" s="812" t="s">
        <v>238</v>
      </c>
    </row>
    <row r="597" spans="1:72" ht="12.75" customHeight="1">
      <c r="A597" s="813" t="s">
        <v>1401</v>
      </c>
      <c r="B597" s="820" t="s">
        <v>1458</v>
      </c>
      <c r="C597" s="5">
        <v>0</v>
      </c>
      <c r="D597" s="5">
        <v>0</v>
      </c>
      <c r="E597" s="5">
        <v>0</v>
      </c>
      <c r="F597" s="5">
        <v>0</v>
      </c>
      <c r="G597" s="5">
        <v>0</v>
      </c>
      <c r="H597" s="5">
        <v>0</v>
      </c>
      <c r="I597" s="5">
        <v>0</v>
      </c>
      <c r="J597" s="5">
        <v>0</v>
      </c>
      <c r="K597" s="5">
        <v>0</v>
      </c>
      <c r="L597" s="5">
        <v>0</v>
      </c>
      <c r="M597" s="5">
        <v>0</v>
      </c>
      <c r="N597" s="5">
        <v>0</v>
      </c>
      <c r="O597" s="5">
        <v>0</v>
      </c>
      <c r="P597" s="5">
        <v>0</v>
      </c>
      <c r="Q597" s="5">
        <v>0</v>
      </c>
      <c r="R597" s="5">
        <v>0</v>
      </c>
      <c r="S597" s="5">
        <v>0</v>
      </c>
      <c r="T597" s="5">
        <v>0</v>
      </c>
      <c r="U597" s="5">
        <v>0</v>
      </c>
      <c r="V597" s="5">
        <v>0</v>
      </c>
      <c r="W597" s="5">
        <v>0</v>
      </c>
      <c r="X597" s="5">
        <v>0</v>
      </c>
      <c r="Y597" s="5">
        <v>0</v>
      </c>
      <c r="Z597" s="5">
        <v>0</v>
      </c>
      <c r="AA597" s="5">
        <v>0</v>
      </c>
      <c r="AB597" s="5">
        <v>0</v>
      </c>
      <c r="AC597" s="5">
        <v>0</v>
      </c>
      <c r="AD597" s="5">
        <v>0</v>
      </c>
      <c r="AE597" s="5">
        <v>0</v>
      </c>
      <c r="AF597" s="5">
        <v>0</v>
      </c>
      <c r="AG597" s="5">
        <v>0</v>
      </c>
      <c r="AH597" s="5">
        <v>0</v>
      </c>
      <c r="AI597" s="5">
        <v>0</v>
      </c>
      <c r="AJ597" s="5">
        <v>0</v>
      </c>
      <c r="AK597" s="5">
        <v>0</v>
      </c>
      <c r="AL597" s="5">
        <v>0</v>
      </c>
      <c r="AM597" s="5">
        <v>0</v>
      </c>
      <c r="AN597" s="5">
        <v>0</v>
      </c>
      <c r="AO597" s="5">
        <v>0</v>
      </c>
      <c r="AP597" s="5">
        <v>0.15</v>
      </c>
      <c r="AQ597" s="5">
        <v>0.2</v>
      </c>
      <c r="AR597" s="5">
        <v>0</v>
      </c>
      <c r="AS597" s="5">
        <v>0</v>
      </c>
      <c r="AT597" s="5">
        <v>0</v>
      </c>
      <c r="AU597" s="5">
        <v>0</v>
      </c>
      <c r="AV597" s="5">
        <v>0</v>
      </c>
      <c r="AW597" s="815">
        <v>0</v>
      </c>
      <c r="AX597" s="816">
        <v>0</v>
      </c>
      <c r="AY597" s="819">
        <v>0</v>
      </c>
      <c r="AZ597" s="816"/>
      <c r="BA597" s="818"/>
      <c r="BB597" s="802" t="str" cm="1">
        <f t="array" ref="BB597">INDEX(C$4:BA$4,MATCH(TRUE,INDEX(C597:BA597&lt;&gt;0,),0))</f>
        <v>2017-18</v>
      </c>
      <c r="BC597" s="803" t="str" cm="1">
        <f t="array" ref="BC597">LOOKUP(2,1/(C597:BA597&lt;&gt;0),$C$4:$BA$4)</f>
        <v>2018-19</v>
      </c>
      <c r="BD597" s="804">
        <f>COUNTIF(RDprograms[[#This Row],[1978-79]:[2028-29]], "&gt;0")</f>
        <v>2</v>
      </c>
      <c r="BE597" s="805">
        <f>SUM(C597:BA597)/RDprograms[[#This Row],[Years with &gt; $0 investment]]</f>
        <v>0.17499999999999999</v>
      </c>
      <c r="BF597" s="806" t="s">
        <v>273</v>
      </c>
      <c r="BG597" s="807" t="s">
        <v>362</v>
      </c>
      <c r="BH597" s="847" t="s">
        <v>241</v>
      </c>
      <c r="BI597" s="809"/>
      <c r="BJ597" s="809"/>
      <c r="BK597" s="809"/>
      <c r="BL597" s="809"/>
      <c r="BM597" s="809"/>
      <c r="BN597" s="810"/>
      <c r="BO597" s="811" t="s">
        <v>236</v>
      </c>
      <c r="BP597" s="812" t="s">
        <v>1403</v>
      </c>
      <c r="BQ597" s="812" t="s">
        <v>1412</v>
      </c>
      <c r="BR597" s="812" t="s">
        <v>508</v>
      </c>
      <c r="BS597" s="812"/>
      <c r="BT597" s="812"/>
    </row>
    <row r="598" spans="1:72" ht="12.75" customHeight="1">
      <c r="A598" s="813" t="s">
        <v>1401</v>
      </c>
      <c r="B598" s="820" t="s">
        <v>1459</v>
      </c>
      <c r="C598" s="5">
        <v>0</v>
      </c>
      <c r="D598" s="5">
        <v>0</v>
      </c>
      <c r="E598" s="5">
        <v>0</v>
      </c>
      <c r="F598" s="5">
        <v>0</v>
      </c>
      <c r="G598" s="5">
        <v>0</v>
      </c>
      <c r="H598" s="5">
        <v>0</v>
      </c>
      <c r="I598" s="5">
        <v>0</v>
      </c>
      <c r="J598" s="5">
        <v>0</v>
      </c>
      <c r="K598" s="5">
        <v>0</v>
      </c>
      <c r="L598" s="5">
        <v>0</v>
      </c>
      <c r="M598" s="5">
        <v>0</v>
      </c>
      <c r="N598" s="5">
        <v>0</v>
      </c>
      <c r="O598" s="5">
        <v>0</v>
      </c>
      <c r="P598" s="5">
        <v>0</v>
      </c>
      <c r="Q598" s="5">
        <v>0</v>
      </c>
      <c r="R598" s="5">
        <v>0</v>
      </c>
      <c r="S598" s="5">
        <v>0</v>
      </c>
      <c r="T598" s="5">
        <v>0</v>
      </c>
      <c r="U598" s="5">
        <v>0</v>
      </c>
      <c r="V598" s="5">
        <v>0</v>
      </c>
      <c r="W598" s="5">
        <v>0</v>
      </c>
      <c r="X598" s="5">
        <v>0</v>
      </c>
      <c r="Y598" s="5">
        <v>0</v>
      </c>
      <c r="Z598" s="5">
        <v>0</v>
      </c>
      <c r="AA598" s="5">
        <v>0</v>
      </c>
      <c r="AB598" s="5">
        <v>0</v>
      </c>
      <c r="AC598" s="5">
        <v>0</v>
      </c>
      <c r="AD598" s="5">
        <v>0</v>
      </c>
      <c r="AE598" s="5">
        <v>0</v>
      </c>
      <c r="AF598" s="5">
        <v>0</v>
      </c>
      <c r="AG598" s="5">
        <v>0</v>
      </c>
      <c r="AH598" s="5">
        <v>0</v>
      </c>
      <c r="AI598" s="5">
        <v>0</v>
      </c>
      <c r="AJ598" s="5">
        <v>0</v>
      </c>
      <c r="AK598" s="5">
        <v>0.254</v>
      </c>
      <c r="AL598" s="5">
        <v>6.7000000000000004E-2</v>
      </c>
      <c r="AM598" s="5">
        <v>0.27500000000000002</v>
      </c>
      <c r="AN598" s="5">
        <v>0.30299999999999999</v>
      </c>
      <c r="AO598" s="5">
        <v>0.33700000000000002</v>
      </c>
      <c r="AP598" s="5">
        <v>0</v>
      </c>
      <c r="AQ598" s="5">
        <v>0</v>
      </c>
      <c r="AR598" s="5">
        <v>0</v>
      </c>
      <c r="AS598" s="5">
        <v>0</v>
      </c>
      <c r="AT598" s="5">
        <v>0</v>
      </c>
      <c r="AU598" s="5">
        <v>0</v>
      </c>
      <c r="AV598" s="5">
        <v>0</v>
      </c>
      <c r="AW598" s="815">
        <v>0</v>
      </c>
      <c r="AX598" s="816">
        <v>0</v>
      </c>
      <c r="AY598" s="819">
        <v>0</v>
      </c>
      <c r="AZ598" s="816"/>
      <c r="BA598" s="818"/>
      <c r="BB598" s="802" t="str" cm="1">
        <f t="array" ref="BB598">INDEX(C$4:BA$4,MATCH(TRUE,INDEX(C598:BA598&lt;&gt;0,),0))</f>
        <v>2012-13</v>
      </c>
      <c r="BC598" s="803" t="str" cm="1">
        <f t="array" ref="BC598">LOOKUP(2,1/(C598:BA598&lt;&gt;0),$C$4:$BA$4)</f>
        <v>2016-17</v>
      </c>
      <c r="BD598" s="804">
        <f>COUNTIF(RDprograms[[#This Row],[1978-79]:[2028-29]], "&gt;0")</f>
        <v>5</v>
      </c>
      <c r="BE598" s="805">
        <f>SUM(C598:BA598)/RDprograms[[#This Row],[Years with &gt; $0 investment]]</f>
        <v>0.2472</v>
      </c>
      <c r="BF598" s="806" t="s">
        <v>273</v>
      </c>
      <c r="BG598" s="807" t="s">
        <v>362</v>
      </c>
      <c r="BH598" s="847" t="s">
        <v>258</v>
      </c>
      <c r="BI598" s="809"/>
      <c r="BJ598" s="809"/>
      <c r="BK598" s="809"/>
      <c r="BL598" s="809"/>
      <c r="BM598" s="809"/>
      <c r="BN598" s="810"/>
      <c r="BO598" s="811" t="s">
        <v>236</v>
      </c>
      <c r="BP598" s="812" t="s">
        <v>1403</v>
      </c>
      <c r="BQ598" s="812" t="s">
        <v>1460</v>
      </c>
      <c r="BR598" s="812"/>
      <c r="BS598" s="812"/>
      <c r="BT598" s="812" t="s">
        <v>238</v>
      </c>
    </row>
    <row r="599" spans="1:72" ht="12.75" customHeight="1">
      <c r="A599" s="813" t="s">
        <v>1401</v>
      </c>
      <c r="B599" s="820" t="s">
        <v>1461</v>
      </c>
      <c r="C599" s="5">
        <v>0</v>
      </c>
      <c r="D599" s="5">
        <v>0</v>
      </c>
      <c r="E599" s="5">
        <v>0</v>
      </c>
      <c r="F599" s="5">
        <v>0</v>
      </c>
      <c r="G599" s="5">
        <v>0</v>
      </c>
      <c r="H599" s="5">
        <v>0</v>
      </c>
      <c r="I599" s="5">
        <v>0</v>
      </c>
      <c r="J599" s="5">
        <v>0</v>
      </c>
      <c r="K599" s="5">
        <v>0</v>
      </c>
      <c r="L599" s="5">
        <v>0</v>
      </c>
      <c r="M599" s="5">
        <v>0</v>
      </c>
      <c r="N599" s="5">
        <v>0</v>
      </c>
      <c r="O599" s="5">
        <v>0</v>
      </c>
      <c r="P599" s="5">
        <v>0</v>
      </c>
      <c r="Q599" s="5">
        <v>0</v>
      </c>
      <c r="R599" s="5">
        <v>0</v>
      </c>
      <c r="S599" s="5">
        <v>0</v>
      </c>
      <c r="T599" s="5">
        <v>0</v>
      </c>
      <c r="U599" s="5">
        <v>0</v>
      </c>
      <c r="V599" s="5">
        <v>0</v>
      </c>
      <c r="W599" s="5">
        <v>0</v>
      </c>
      <c r="X599" s="5">
        <v>0</v>
      </c>
      <c r="Y599" s="5">
        <v>0</v>
      </c>
      <c r="Z599" s="5">
        <v>0</v>
      </c>
      <c r="AA599" s="5">
        <v>0</v>
      </c>
      <c r="AB599" s="5">
        <v>0</v>
      </c>
      <c r="AC599" s="5">
        <v>0</v>
      </c>
      <c r="AD599" s="5">
        <v>0</v>
      </c>
      <c r="AE599" s="5">
        <v>0</v>
      </c>
      <c r="AF599" s="5">
        <v>0</v>
      </c>
      <c r="AG599" s="5">
        <v>0</v>
      </c>
      <c r="AH599" s="5">
        <v>0</v>
      </c>
      <c r="AI599" s="5">
        <v>0</v>
      </c>
      <c r="AJ599" s="5">
        <v>0</v>
      </c>
      <c r="AK599" s="5">
        <v>0</v>
      </c>
      <c r="AL599" s="5">
        <v>0</v>
      </c>
      <c r="AM599" s="5">
        <v>0</v>
      </c>
      <c r="AN599" s="5">
        <v>0</v>
      </c>
      <c r="AO599" s="5">
        <v>0</v>
      </c>
      <c r="AP599" s="816">
        <v>0</v>
      </c>
      <c r="AQ599" s="816">
        <v>0</v>
      </c>
      <c r="AR599" s="5">
        <v>0</v>
      </c>
      <c r="AS599" s="5">
        <v>0.90500000000000003</v>
      </c>
      <c r="AT599" s="5">
        <v>0</v>
      </c>
      <c r="AU599" s="5">
        <v>0</v>
      </c>
      <c r="AV599" s="5">
        <v>0</v>
      </c>
      <c r="AW599" s="815">
        <v>0</v>
      </c>
      <c r="AX599" s="816">
        <v>0</v>
      </c>
      <c r="AY599" s="819">
        <v>0</v>
      </c>
      <c r="AZ599" s="816"/>
      <c r="BA599" s="818"/>
      <c r="BB599" s="802" t="str" cm="1">
        <f t="array" ref="BB599">INDEX(C$4:BA$4,MATCH(TRUE,INDEX(C599:BA599&lt;&gt;0,),0))</f>
        <v>2020-21</v>
      </c>
      <c r="BC599" s="803" t="str" cm="1">
        <f t="array" ref="BC599">LOOKUP(2,1/(C599:BA599&lt;&gt;0),$C$4:$BA$4)</f>
        <v>2020-21</v>
      </c>
      <c r="BD599" s="804">
        <f>COUNTIF(RDprograms[[#This Row],[1978-79]:[2028-29]], "&gt;0")</f>
        <v>1</v>
      </c>
      <c r="BE599" s="805">
        <f>SUM(C599:BA599)/RDprograms[[#This Row],[Years with &gt; $0 investment]]</f>
        <v>0.90500000000000003</v>
      </c>
      <c r="BF599" s="806" t="s">
        <v>273</v>
      </c>
      <c r="BG599" s="807" t="s">
        <v>362</v>
      </c>
      <c r="BH599" s="847" t="s">
        <v>269</v>
      </c>
      <c r="BI599" s="809"/>
      <c r="BJ599" s="809"/>
      <c r="BK599" s="809"/>
      <c r="BL599" s="809"/>
      <c r="BM599" s="809"/>
      <c r="BN599" s="810"/>
      <c r="BO599" s="811" t="s">
        <v>236</v>
      </c>
      <c r="BP599" s="812" t="s">
        <v>1462</v>
      </c>
      <c r="BQ599" s="812" t="s">
        <v>1463</v>
      </c>
      <c r="BR599" s="812" t="s">
        <v>1464</v>
      </c>
      <c r="BS599" s="812"/>
      <c r="BT599" s="812" t="s">
        <v>238</v>
      </c>
    </row>
    <row r="600" spans="1:72" ht="12.75" customHeight="1">
      <c r="A600" s="813" t="s">
        <v>1401</v>
      </c>
      <c r="B600" s="820" t="s">
        <v>1465</v>
      </c>
      <c r="C600" s="5">
        <v>0</v>
      </c>
      <c r="D600" s="5">
        <v>0</v>
      </c>
      <c r="E600" s="5">
        <v>0</v>
      </c>
      <c r="F600" s="5">
        <v>0</v>
      </c>
      <c r="G600" s="5">
        <v>0</v>
      </c>
      <c r="H600" s="5">
        <v>0</v>
      </c>
      <c r="I600" s="5">
        <v>0</v>
      </c>
      <c r="J600" s="5">
        <v>0</v>
      </c>
      <c r="K600" s="5">
        <v>0</v>
      </c>
      <c r="L600" s="5">
        <v>0</v>
      </c>
      <c r="M600" s="5">
        <v>0</v>
      </c>
      <c r="N600" s="5">
        <v>0</v>
      </c>
      <c r="O600" s="5">
        <v>0</v>
      </c>
      <c r="P600" s="5">
        <v>0</v>
      </c>
      <c r="Q600" s="5">
        <v>0</v>
      </c>
      <c r="R600" s="5">
        <v>0</v>
      </c>
      <c r="S600" s="5">
        <v>0</v>
      </c>
      <c r="T600" s="5">
        <v>0</v>
      </c>
      <c r="U600" s="5">
        <v>0</v>
      </c>
      <c r="V600" s="5">
        <v>0</v>
      </c>
      <c r="W600" s="5">
        <v>0</v>
      </c>
      <c r="X600" s="5">
        <v>0</v>
      </c>
      <c r="Y600" s="5">
        <v>0</v>
      </c>
      <c r="Z600" s="5">
        <v>0</v>
      </c>
      <c r="AA600" s="5">
        <v>0</v>
      </c>
      <c r="AB600" s="5">
        <v>0</v>
      </c>
      <c r="AC600" s="5">
        <v>0</v>
      </c>
      <c r="AD600" s="5">
        <v>0</v>
      </c>
      <c r="AE600" s="5">
        <v>0</v>
      </c>
      <c r="AF600" s="5">
        <v>0</v>
      </c>
      <c r="AG600" s="5">
        <v>0</v>
      </c>
      <c r="AH600" s="5">
        <v>0</v>
      </c>
      <c r="AI600" s="5">
        <v>0</v>
      </c>
      <c r="AJ600" s="5">
        <v>0</v>
      </c>
      <c r="AK600" s="5">
        <v>0</v>
      </c>
      <c r="AL600" s="5">
        <v>0</v>
      </c>
      <c r="AM600" s="5">
        <v>0</v>
      </c>
      <c r="AN600" s="5">
        <v>8.5000000000000006E-2</v>
      </c>
      <c r="AO600" s="5">
        <v>0</v>
      </c>
      <c r="AP600" s="5">
        <v>0</v>
      </c>
      <c r="AQ600" s="5">
        <v>0</v>
      </c>
      <c r="AR600" s="5">
        <v>0</v>
      </c>
      <c r="AS600" s="5">
        <v>0</v>
      </c>
      <c r="AT600" s="5">
        <v>0</v>
      </c>
      <c r="AU600" s="5">
        <v>0</v>
      </c>
      <c r="AV600" s="5">
        <v>0</v>
      </c>
      <c r="AW600" s="815">
        <v>0</v>
      </c>
      <c r="AX600" s="816">
        <v>0</v>
      </c>
      <c r="AY600" s="819">
        <v>0</v>
      </c>
      <c r="AZ600" s="816"/>
      <c r="BA600" s="818"/>
      <c r="BB600" s="802" t="str" cm="1">
        <f t="array" ref="BB600">INDEX(C$4:BA$4,MATCH(TRUE,INDEX(C600:BA600&lt;&gt;0,),0))</f>
        <v>2015-16</v>
      </c>
      <c r="BC600" s="803" t="str" cm="1">
        <f t="array" ref="BC600">LOOKUP(2,1/(C600:BA600&lt;&gt;0),$C$4:$BA$4)</f>
        <v>2015-16</v>
      </c>
      <c r="BD600" s="804">
        <f>COUNTIF(RDprograms[[#This Row],[1978-79]:[2028-29]], "&gt;0")</f>
        <v>1</v>
      </c>
      <c r="BE600" s="805">
        <f>SUM(C600:BA600)/RDprograms[[#This Row],[Years with &gt; $0 investment]]</f>
        <v>8.5000000000000006E-2</v>
      </c>
      <c r="BF600" s="806" t="s">
        <v>273</v>
      </c>
      <c r="BG600" s="807" t="s">
        <v>362</v>
      </c>
      <c r="BH600" s="847" t="s">
        <v>258</v>
      </c>
      <c r="BI600" s="809"/>
      <c r="BJ600" s="809"/>
      <c r="BK600" s="809"/>
      <c r="BL600" s="809"/>
      <c r="BM600" s="809"/>
      <c r="BN600" s="810"/>
      <c r="BO600" s="811" t="s">
        <v>236</v>
      </c>
      <c r="BP600" s="812" t="s">
        <v>1403</v>
      </c>
      <c r="BQ600" s="812"/>
      <c r="BR600" s="812"/>
      <c r="BS600" s="812"/>
      <c r="BT600" s="812" t="s">
        <v>238</v>
      </c>
    </row>
    <row r="601" spans="1:72" ht="12.75" customHeight="1">
      <c r="A601" s="813" t="s">
        <v>1401</v>
      </c>
      <c r="B601" s="820" t="s">
        <v>1466</v>
      </c>
      <c r="C601" s="5">
        <v>0</v>
      </c>
      <c r="D601" s="5">
        <v>0</v>
      </c>
      <c r="E601" s="5">
        <v>0</v>
      </c>
      <c r="F601" s="5">
        <v>0</v>
      </c>
      <c r="G601" s="5">
        <v>0</v>
      </c>
      <c r="H601" s="5">
        <v>0</v>
      </c>
      <c r="I601" s="5">
        <v>0</v>
      </c>
      <c r="J601" s="5">
        <v>0</v>
      </c>
      <c r="K601" s="5">
        <v>0</v>
      </c>
      <c r="L601" s="5">
        <v>0</v>
      </c>
      <c r="M601" s="5">
        <v>0</v>
      </c>
      <c r="N601" s="5">
        <v>0</v>
      </c>
      <c r="O601" s="5">
        <v>0</v>
      </c>
      <c r="P601" s="5">
        <v>0</v>
      </c>
      <c r="Q601" s="5">
        <v>0</v>
      </c>
      <c r="R601" s="5">
        <v>0</v>
      </c>
      <c r="S601" s="5">
        <v>0</v>
      </c>
      <c r="T601" s="5">
        <v>0</v>
      </c>
      <c r="U601" s="5">
        <v>0</v>
      </c>
      <c r="V601" s="5">
        <v>0</v>
      </c>
      <c r="W601" s="5">
        <v>0</v>
      </c>
      <c r="X601" s="5">
        <v>0</v>
      </c>
      <c r="Y601" s="5">
        <v>0</v>
      </c>
      <c r="Z601" s="5">
        <v>0</v>
      </c>
      <c r="AA601" s="5">
        <v>0</v>
      </c>
      <c r="AB601" s="5">
        <v>0</v>
      </c>
      <c r="AC601" s="5">
        <v>0</v>
      </c>
      <c r="AD601" s="5">
        <v>0</v>
      </c>
      <c r="AE601" s="5">
        <v>0</v>
      </c>
      <c r="AF601" s="5">
        <v>0</v>
      </c>
      <c r="AG601" s="5">
        <v>0</v>
      </c>
      <c r="AH601" s="5">
        <v>0</v>
      </c>
      <c r="AI601" s="5">
        <v>0</v>
      </c>
      <c r="AJ601" s="5">
        <v>0</v>
      </c>
      <c r="AK601" s="5">
        <v>0</v>
      </c>
      <c r="AL601" s="5">
        <v>0</v>
      </c>
      <c r="AM601" s="5">
        <v>0</v>
      </c>
      <c r="AN601" s="5">
        <v>0</v>
      </c>
      <c r="AO601" s="5">
        <v>0</v>
      </c>
      <c r="AP601" s="5">
        <v>0</v>
      </c>
      <c r="AQ601" s="5">
        <v>0</v>
      </c>
      <c r="AR601" s="5">
        <v>2.5</v>
      </c>
      <c r="AS601" s="5">
        <v>0</v>
      </c>
      <c r="AT601" s="5">
        <v>0</v>
      </c>
      <c r="AU601" s="5">
        <v>2</v>
      </c>
      <c r="AV601" s="5">
        <v>6</v>
      </c>
      <c r="AW601" s="815">
        <v>7</v>
      </c>
      <c r="AX601" s="816">
        <v>0</v>
      </c>
      <c r="AY601" s="819">
        <v>0</v>
      </c>
      <c r="AZ601" s="816"/>
      <c r="BA601" s="818"/>
      <c r="BB601" s="802" t="str" cm="1">
        <f t="array" ref="BB601">INDEX(C$4:BA$4,MATCH(TRUE,INDEX(C601:BA601&lt;&gt;0,),0))</f>
        <v>2019-20</v>
      </c>
      <c r="BC601" s="803" t="str" cm="1">
        <f t="array" ref="BC601">LOOKUP(2,1/(C601:BA601&lt;&gt;0),$C$4:$BA$4)</f>
        <v>2024-25</v>
      </c>
      <c r="BD601" s="804">
        <f>COUNTIF(RDprograms[[#This Row],[1978-79]:[2028-29]], "&gt;0")</f>
        <v>4</v>
      </c>
      <c r="BE601" s="805">
        <f>SUM(C601:BA601)/RDprograms[[#This Row],[Years with &gt; $0 investment]]</f>
        <v>4.375</v>
      </c>
      <c r="BF601" s="806" t="s">
        <v>273</v>
      </c>
      <c r="BG601" s="807" t="s">
        <v>362</v>
      </c>
      <c r="BH601" s="847" t="s">
        <v>258</v>
      </c>
      <c r="BI601" s="809"/>
      <c r="BJ601" s="809"/>
      <c r="BK601" s="809"/>
      <c r="BL601" s="809"/>
      <c r="BM601" s="809"/>
      <c r="BN601" s="810"/>
      <c r="BO601" s="811" t="s">
        <v>236</v>
      </c>
      <c r="BP601" s="812" t="s">
        <v>1467</v>
      </c>
      <c r="BQ601" s="812" t="s">
        <v>1468</v>
      </c>
      <c r="BR601" s="812" t="s">
        <v>1469</v>
      </c>
      <c r="BS601" s="812"/>
      <c r="BT601" s="812" t="s">
        <v>238</v>
      </c>
    </row>
    <row r="602" spans="1:72" ht="12.75" customHeight="1">
      <c r="A602" s="813" t="s">
        <v>1401</v>
      </c>
      <c r="B602" s="820" t="s">
        <v>1470</v>
      </c>
      <c r="C602" s="5">
        <v>0</v>
      </c>
      <c r="D602" s="5">
        <v>0</v>
      </c>
      <c r="E602" s="5">
        <v>0</v>
      </c>
      <c r="F602" s="5">
        <v>0</v>
      </c>
      <c r="G602" s="5">
        <v>0</v>
      </c>
      <c r="H602" s="5">
        <v>0</v>
      </c>
      <c r="I602" s="5">
        <v>0</v>
      </c>
      <c r="J602" s="5">
        <v>0</v>
      </c>
      <c r="K602" s="5">
        <v>0</v>
      </c>
      <c r="L602" s="5">
        <v>0</v>
      </c>
      <c r="M602" s="5">
        <v>0</v>
      </c>
      <c r="N602" s="5">
        <v>0</v>
      </c>
      <c r="O602" s="5">
        <v>0</v>
      </c>
      <c r="P602" s="5">
        <v>0</v>
      </c>
      <c r="Q602" s="5">
        <v>0</v>
      </c>
      <c r="R602" s="5">
        <v>0</v>
      </c>
      <c r="S602" s="5">
        <v>0</v>
      </c>
      <c r="T602" s="5">
        <v>0</v>
      </c>
      <c r="U602" s="5">
        <v>0</v>
      </c>
      <c r="V602" s="5">
        <v>0</v>
      </c>
      <c r="W602" s="5">
        <v>0</v>
      </c>
      <c r="X602" s="5">
        <v>0</v>
      </c>
      <c r="Y602" s="5">
        <v>0</v>
      </c>
      <c r="Z602" s="5">
        <v>0</v>
      </c>
      <c r="AA602" s="5">
        <v>0</v>
      </c>
      <c r="AB602" s="5">
        <v>0</v>
      </c>
      <c r="AC602" s="5">
        <v>0</v>
      </c>
      <c r="AD602" s="5">
        <v>0</v>
      </c>
      <c r="AE602" s="5">
        <v>0</v>
      </c>
      <c r="AF602" s="5">
        <v>0</v>
      </c>
      <c r="AG602" s="5">
        <v>0</v>
      </c>
      <c r="AH602" s="5">
        <v>0</v>
      </c>
      <c r="AI602" s="5">
        <v>0</v>
      </c>
      <c r="AJ602" s="5">
        <v>0</v>
      </c>
      <c r="AK602" s="5">
        <v>0</v>
      </c>
      <c r="AL602" s="5">
        <v>0</v>
      </c>
      <c r="AM602" s="5">
        <v>1</v>
      </c>
      <c r="AN602" s="5">
        <v>1</v>
      </c>
      <c r="AO602" s="5">
        <v>1</v>
      </c>
      <c r="AP602" s="5">
        <v>1</v>
      </c>
      <c r="AQ602" s="5">
        <v>1</v>
      </c>
      <c r="AR602" s="5">
        <v>0.5</v>
      </c>
      <c r="AS602" s="5">
        <v>0.5</v>
      </c>
      <c r="AT602" s="5">
        <v>1</v>
      </c>
      <c r="AU602" s="5">
        <v>0.5</v>
      </c>
      <c r="AV602" s="5">
        <v>0.5</v>
      </c>
      <c r="AW602" s="815">
        <v>0.5</v>
      </c>
      <c r="AX602" s="816">
        <v>0.5</v>
      </c>
      <c r="AY602" s="819">
        <v>0</v>
      </c>
      <c r="AZ602" s="816"/>
      <c r="BA602" s="818"/>
      <c r="BB602" s="802" t="str" cm="1">
        <f t="array" ref="BB602">INDEX(C$4:BA$4,MATCH(TRUE,INDEX(C602:BA602&lt;&gt;0,),0))</f>
        <v>2014-15</v>
      </c>
      <c r="BC602" s="803" t="str" cm="1">
        <f t="array" ref="BC602">LOOKUP(2,1/(C602:BA602&lt;&gt;0),$C$4:$BA$4)</f>
        <v>2025-26</v>
      </c>
      <c r="BD602" s="804">
        <f>COUNTIF(RDprograms[[#This Row],[1978-79]:[2028-29]], "&gt;0")</f>
        <v>12</v>
      </c>
      <c r="BE602" s="805">
        <f>SUM(C602:BA602)/RDprograms[[#This Row],[Years with &gt; $0 investment]]</f>
        <v>0.75</v>
      </c>
      <c r="BF602" s="806" t="s">
        <v>273</v>
      </c>
      <c r="BG602" s="807" t="s">
        <v>362</v>
      </c>
      <c r="BH602" s="847" t="s">
        <v>258</v>
      </c>
      <c r="BI602" s="809"/>
      <c r="BJ602" s="809">
        <v>1</v>
      </c>
      <c r="BK602" s="809"/>
      <c r="BL602" s="809"/>
      <c r="BM602" s="809"/>
      <c r="BN602" s="810"/>
      <c r="BO602" s="811" t="s">
        <v>236</v>
      </c>
      <c r="BP602" s="812" t="s">
        <v>1471</v>
      </c>
      <c r="BQ602" s="812" t="s">
        <v>0</v>
      </c>
      <c r="BR602" s="812"/>
      <c r="BS602" s="812"/>
      <c r="BT602" s="812" t="s">
        <v>238</v>
      </c>
    </row>
    <row r="603" spans="1:72" ht="12.75" customHeight="1">
      <c r="A603" s="813" t="s">
        <v>1401</v>
      </c>
      <c r="B603" s="820" t="s">
        <v>1472</v>
      </c>
      <c r="C603" s="5">
        <v>0</v>
      </c>
      <c r="D603" s="5">
        <v>0</v>
      </c>
      <c r="E603" s="5">
        <v>0</v>
      </c>
      <c r="F603" s="5">
        <v>0</v>
      </c>
      <c r="G603" s="5">
        <v>0</v>
      </c>
      <c r="H603" s="5">
        <v>0</v>
      </c>
      <c r="I603" s="5">
        <v>0</v>
      </c>
      <c r="J603" s="5">
        <v>0</v>
      </c>
      <c r="K603" s="5">
        <v>0</v>
      </c>
      <c r="L603" s="5">
        <v>0</v>
      </c>
      <c r="M603" s="5">
        <v>0</v>
      </c>
      <c r="N603" s="5">
        <v>0</v>
      </c>
      <c r="O603" s="5">
        <v>0</v>
      </c>
      <c r="P603" s="5">
        <v>0</v>
      </c>
      <c r="Q603" s="5">
        <v>0</v>
      </c>
      <c r="R603" s="5">
        <v>0</v>
      </c>
      <c r="S603" s="5">
        <v>0</v>
      </c>
      <c r="T603" s="5">
        <v>0</v>
      </c>
      <c r="U603" s="5">
        <v>0</v>
      </c>
      <c r="V603" s="5">
        <v>0</v>
      </c>
      <c r="W603" s="5">
        <v>0</v>
      </c>
      <c r="X603" s="5">
        <v>0</v>
      </c>
      <c r="Y603" s="5">
        <v>0</v>
      </c>
      <c r="Z603" s="5">
        <v>0</v>
      </c>
      <c r="AA603" s="5">
        <v>0</v>
      </c>
      <c r="AB603" s="5">
        <v>0</v>
      </c>
      <c r="AC603" s="5">
        <v>0</v>
      </c>
      <c r="AD603" s="5">
        <v>0</v>
      </c>
      <c r="AE603" s="5">
        <v>0</v>
      </c>
      <c r="AF603" s="5">
        <v>0</v>
      </c>
      <c r="AG603" s="5">
        <v>0</v>
      </c>
      <c r="AH603" s="5">
        <v>0</v>
      </c>
      <c r="AI603" s="5">
        <v>0</v>
      </c>
      <c r="AJ603" s="5">
        <v>0</v>
      </c>
      <c r="AK603" s="5">
        <v>0</v>
      </c>
      <c r="AL603" s="5">
        <v>0</v>
      </c>
      <c r="AM603" s="5">
        <v>0</v>
      </c>
      <c r="AN603" s="5">
        <v>0</v>
      </c>
      <c r="AO603" s="5">
        <v>0</v>
      </c>
      <c r="AP603" s="816">
        <v>0.107</v>
      </c>
      <c r="AQ603" s="816">
        <v>0.33200000000000002</v>
      </c>
      <c r="AR603" s="5">
        <v>0</v>
      </c>
      <c r="AS603" s="5">
        <v>0</v>
      </c>
      <c r="AT603" s="5">
        <v>0</v>
      </c>
      <c r="AU603" s="5">
        <v>0</v>
      </c>
      <c r="AV603" s="5">
        <v>0</v>
      </c>
      <c r="AW603" s="815">
        <v>0</v>
      </c>
      <c r="AX603" s="816">
        <v>0</v>
      </c>
      <c r="AY603" s="819">
        <v>0</v>
      </c>
      <c r="AZ603" s="816"/>
      <c r="BA603" s="818"/>
      <c r="BB603" s="802" t="str" cm="1">
        <f t="array" ref="BB603">INDEX(C$4:BA$4,MATCH(TRUE,INDEX(C603:BA603&lt;&gt;0,),0))</f>
        <v>2017-18</v>
      </c>
      <c r="BC603" s="803" t="str" cm="1">
        <f t="array" ref="BC603">LOOKUP(2,1/(C603:BA603&lt;&gt;0),$C$4:$BA$4)</f>
        <v>2018-19</v>
      </c>
      <c r="BD603" s="804">
        <f>COUNTIF(RDprograms[[#This Row],[1978-79]:[2028-29]], "&gt;0")</f>
        <v>2</v>
      </c>
      <c r="BE603" s="805">
        <f>SUM(C603:BA603)/RDprograms[[#This Row],[Years with &gt; $0 investment]]</f>
        <v>0.2195</v>
      </c>
      <c r="BF603" s="806" t="s">
        <v>273</v>
      </c>
      <c r="BG603" s="807" t="s">
        <v>362</v>
      </c>
      <c r="BH603" s="847" t="s">
        <v>258</v>
      </c>
      <c r="BI603" s="809"/>
      <c r="BJ603" s="809"/>
      <c r="BK603" s="809"/>
      <c r="BL603" s="809"/>
      <c r="BM603" s="809"/>
      <c r="BN603" s="810"/>
      <c r="BO603" s="811" t="s">
        <v>236</v>
      </c>
      <c r="BP603" s="812" t="s">
        <v>1403</v>
      </c>
      <c r="BQ603" s="812" t="s">
        <v>1412</v>
      </c>
      <c r="BR603" s="812" t="s">
        <v>508</v>
      </c>
      <c r="BS603" s="812"/>
      <c r="BT603" s="812"/>
    </row>
    <row r="604" spans="1:72" ht="12.75" customHeight="1">
      <c r="A604" s="813" t="s">
        <v>1401</v>
      </c>
      <c r="B604" s="820" t="s">
        <v>1473</v>
      </c>
      <c r="C604" s="5">
        <v>0</v>
      </c>
      <c r="D604" s="5">
        <v>0</v>
      </c>
      <c r="E604" s="5">
        <v>0</v>
      </c>
      <c r="F604" s="5">
        <v>0</v>
      </c>
      <c r="G604" s="5">
        <v>0</v>
      </c>
      <c r="H604" s="5">
        <v>0</v>
      </c>
      <c r="I604" s="5">
        <v>0</v>
      </c>
      <c r="J604" s="5">
        <v>0</v>
      </c>
      <c r="K604" s="5">
        <v>0</v>
      </c>
      <c r="L604" s="5">
        <v>0</v>
      </c>
      <c r="M604" s="5">
        <v>0</v>
      </c>
      <c r="N604" s="5">
        <v>0</v>
      </c>
      <c r="O604" s="5">
        <v>0</v>
      </c>
      <c r="P604" s="5">
        <v>0</v>
      </c>
      <c r="Q604" s="5">
        <v>0</v>
      </c>
      <c r="R604" s="5">
        <v>0</v>
      </c>
      <c r="S604" s="5">
        <v>0</v>
      </c>
      <c r="T604" s="5">
        <v>0</v>
      </c>
      <c r="U604" s="5">
        <v>0</v>
      </c>
      <c r="V604" s="5">
        <v>0</v>
      </c>
      <c r="W604" s="5">
        <v>0</v>
      </c>
      <c r="X604" s="5">
        <v>0</v>
      </c>
      <c r="Y604" s="5">
        <v>0</v>
      </c>
      <c r="Z604" s="5">
        <v>0</v>
      </c>
      <c r="AA604" s="5">
        <v>0</v>
      </c>
      <c r="AB604" s="5">
        <v>0</v>
      </c>
      <c r="AC604" s="5">
        <v>0</v>
      </c>
      <c r="AD604" s="5">
        <v>0</v>
      </c>
      <c r="AE604" s="5">
        <v>0</v>
      </c>
      <c r="AF604" s="5">
        <v>0</v>
      </c>
      <c r="AG604" s="5">
        <v>0</v>
      </c>
      <c r="AH604" s="5">
        <v>0</v>
      </c>
      <c r="AI604" s="5">
        <v>0</v>
      </c>
      <c r="AJ604" s="5">
        <v>0</v>
      </c>
      <c r="AK604" s="5">
        <v>0</v>
      </c>
      <c r="AL604" s="5">
        <v>0</v>
      </c>
      <c r="AM604" s="5">
        <v>0</v>
      </c>
      <c r="AN604" s="5">
        <v>0</v>
      </c>
      <c r="AO604" s="5">
        <v>0</v>
      </c>
      <c r="AP604" s="5">
        <v>0.27500000000000002</v>
      </c>
      <c r="AQ604" s="5">
        <v>0.2</v>
      </c>
      <c r="AR604" s="5">
        <v>7.4999999999999997E-2</v>
      </c>
      <c r="AS604" s="5">
        <v>0</v>
      </c>
      <c r="AT604" s="5">
        <v>0</v>
      </c>
      <c r="AU604" s="5">
        <v>0</v>
      </c>
      <c r="AV604" s="5">
        <v>0</v>
      </c>
      <c r="AW604" s="815">
        <v>0</v>
      </c>
      <c r="AX604" s="816">
        <v>0</v>
      </c>
      <c r="AY604" s="819">
        <v>0</v>
      </c>
      <c r="AZ604" s="816"/>
      <c r="BA604" s="818"/>
      <c r="BB604" s="802" t="str" cm="1">
        <f t="array" ref="BB604">INDEX(C$4:BA$4,MATCH(TRUE,INDEX(C604:BA604&lt;&gt;0,),0))</f>
        <v>2017-18</v>
      </c>
      <c r="BC604" s="803" t="str" cm="1">
        <f t="array" ref="BC604">LOOKUP(2,1/(C604:BA604&lt;&gt;0),$C$4:$BA$4)</f>
        <v>2019-20</v>
      </c>
      <c r="BD604" s="804">
        <f>COUNTIF(RDprograms[[#This Row],[1978-79]:[2028-29]], "&gt;0")</f>
        <v>3</v>
      </c>
      <c r="BE604" s="805">
        <f>SUM(C604:BA604)/RDprograms[[#This Row],[Years with &gt; $0 investment]]</f>
        <v>0.18333333333333335</v>
      </c>
      <c r="BF604" s="806" t="s">
        <v>273</v>
      </c>
      <c r="BG604" s="807" t="s">
        <v>362</v>
      </c>
      <c r="BH604" s="847" t="s">
        <v>258</v>
      </c>
      <c r="BI604" s="809"/>
      <c r="BJ604" s="809"/>
      <c r="BK604" s="809"/>
      <c r="BL604" s="809"/>
      <c r="BM604" s="809"/>
      <c r="BN604" s="810"/>
      <c r="BO604" s="811" t="s">
        <v>236</v>
      </c>
      <c r="BP604" s="812" t="s">
        <v>1403</v>
      </c>
      <c r="BQ604" s="812" t="s">
        <v>1412</v>
      </c>
      <c r="BR604" s="812" t="s">
        <v>508</v>
      </c>
      <c r="BS604" s="812"/>
      <c r="BT604" s="812" t="s">
        <v>238</v>
      </c>
    </row>
    <row r="605" spans="1:72" ht="12.75" customHeight="1">
      <c r="A605" s="813" t="s">
        <v>1401</v>
      </c>
      <c r="B605" s="820" t="s">
        <v>1474</v>
      </c>
      <c r="C605" s="5">
        <v>0</v>
      </c>
      <c r="D605" s="5">
        <v>0</v>
      </c>
      <c r="E605" s="5">
        <v>0</v>
      </c>
      <c r="F605" s="5">
        <v>0</v>
      </c>
      <c r="G605" s="5">
        <v>0</v>
      </c>
      <c r="H605" s="5">
        <v>0</v>
      </c>
      <c r="I605" s="5">
        <v>0</v>
      </c>
      <c r="J605" s="5">
        <v>0</v>
      </c>
      <c r="K605" s="5">
        <v>0</v>
      </c>
      <c r="L605" s="5">
        <v>0</v>
      </c>
      <c r="M605" s="5">
        <v>0</v>
      </c>
      <c r="N605" s="5">
        <v>0</v>
      </c>
      <c r="O605" s="5">
        <v>0</v>
      </c>
      <c r="P605" s="5">
        <v>0</v>
      </c>
      <c r="Q605" s="5">
        <v>0</v>
      </c>
      <c r="R605" s="5">
        <v>0</v>
      </c>
      <c r="S605" s="5">
        <v>0</v>
      </c>
      <c r="T605" s="5">
        <v>0</v>
      </c>
      <c r="U605" s="5">
        <v>0</v>
      </c>
      <c r="V605" s="5">
        <v>0</v>
      </c>
      <c r="W605" s="5">
        <v>0</v>
      </c>
      <c r="X605" s="5">
        <v>0</v>
      </c>
      <c r="Y605" s="5">
        <v>0</v>
      </c>
      <c r="Z605" s="5">
        <v>0</v>
      </c>
      <c r="AA605" s="5">
        <v>0</v>
      </c>
      <c r="AB605" s="5">
        <v>0</v>
      </c>
      <c r="AC605" s="5">
        <v>0</v>
      </c>
      <c r="AD605" s="5">
        <v>0</v>
      </c>
      <c r="AE605" s="5">
        <v>0</v>
      </c>
      <c r="AF605" s="5">
        <v>0</v>
      </c>
      <c r="AG605" s="5">
        <v>0</v>
      </c>
      <c r="AH605" s="5">
        <v>0</v>
      </c>
      <c r="AI605" s="5">
        <v>0</v>
      </c>
      <c r="AJ605" s="5">
        <v>0</v>
      </c>
      <c r="AK605" s="5">
        <v>0</v>
      </c>
      <c r="AL605" s="5">
        <v>0</v>
      </c>
      <c r="AM605" s="5">
        <v>0</v>
      </c>
      <c r="AN605" s="5">
        <v>0</v>
      </c>
      <c r="AO605" s="5">
        <v>0</v>
      </c>
      <c r="AP605" s="5">
        <v>0</v>
      </c>
      <c r="AQ605" s="5">
        <v>0</v>
      </c>
      <c r="AR605" s="5">
        <v>0</v>
      </c>
      <c r="AS605" s="5">
        <v>0</v>
      </c>
      <c r="AT605" s="5"/>
      <c r="AU605" s="5">
        <v>1.7000000000000001E-2</v>
      </c>
      <c r="AV605" s="5">
        <v>1.7000000000000001E-2</v>
      </c>
      <c r="AW605" s="815">
        <v>1.7000000000000001E-2</v>
      </c>
      <c r="AX605" s="816">
        <v>0</v>
      </c>
      <c r="AY605" s="819">
        <v>0</v>
      </c>
      <c r="AZ605" s="816"/>
      <c r="BA605" s="818"/>
      <c r="BB605" s="802" t="str" cm="1">
        <f t="array" ref="BB605">INDEX(C$4:BA$4,MATCH(TRUE,INDEX(C605:BA605&lt;&gt;0,),0))</f>
        <v>2022-23</v>
      </c>
      <c r="BC605" s="803" t="str" cm="1">
        <f t="array" ref="BC605">LOOKUP(2,1/(C605:BA605&lt;&gt;0),$C$4:$BA$4)</f>
        <v>2024-25</v>
      </c>
      <c r="BD605" s="804">
        <f>COUNTIF(RDprograms[[#This Row],[1978-79]:[2028-29]], "&gt;0")</f>
        <v>3</v>
      </c>
      <c r="BE605" s="805">
        <f>SUM(C605:BA605)/RDprograms[[#This Row],[Years with &gt; $0 investment]]</f>
        <v>1.7000000000000001E-2</v>
      </c>
      <c r="BF605" s="806" t="s">
        <v>273</v>
      </c>
      <c r="BG605" s="807" t="s">
        <v>362</v>
      </c>
      <c r="BH605" s="847" t="s">
        <v>258</v>
      </c>
      <c r="BI605" s="809"/>
      <c r="BJ605" s="809"/>
      <c r="BK605" s="809"/>
      <c r="BL605" s="809"/>
      <c r="BM605" s="809"/>
      <c r="BN605" s="810"/>
      <c r="BO605" s="811" t="s">
        <v>236</v>
      </c>
      <c r="BP605" s="812" t="s">
        <v>1475</v>
      </c>
      <c r="BQ605" s="812" t="s">
        <v>1476</v>
      </c>
      <c r="BR605" s="812"/>
      <c r="BS605" s="812"/>
      <c r="BT605" s="812" t="s">
        <v>238</v>
      </c>
    </row>
    <row r="606" spans="1:72" ht="12.75" customHeight="1">
      <c r="A606" s="813" t="s">
        <v>1401</v>
      </c>
      <c r="B606" s="820" t="s">
        <v>1477</v>
      </c>
      <c r="C606" s="5">
        <v>0</v>
      </c>
      <c r="D606" s="5">
        <v>0</v>
      </c>
      <c r="E606" s="5">
        <v>0</v>
      </c>
      <c r="F606" s="5">
        <v>0</v>
      </c>
      <c r="G606" s="5">
        <v>0</v>
      </c>
      <c r="H606" s="5">
        <v>0</v>
      </c>
      <c r="I606" s="5">
        <v>0</v>
      </c>
      <c r="J606" s="5">
        <v>0</v>
      </c>
      <c r="K606" s="5">
        <v>0</v>
      </c>
      <c r="L606" s="5">
        <v>0</v>
      </c>
      <c r="M606" s="5">
        <v>0</v>
      </c>
      <c r="N606" s="5">
        <v>0</v>
      </c>
      <c r="O606" s="5">
        <v>0</v>
      </c>
      <c r="P606" s="5">
        <v>0</v>
      </c>
      <c r="Q606" s="5">
        <v>0</v>
      </c>
      <c r="R606" s="5">
        <v>0</v>
      </c>
      <c r="S606" s="5">
        <v>0</v>
      </c>
      <c r="T606" s="5">
        <v>0</v>
      </c>
      <c r="U606" s="5">
        <v>0</v>
      </c>
      <c r="V606" s="5">
        <v>0</v>
      </c>
      <c r="W606" s="5">
        <v>0</v>
      </c>
      <c r="X606" s="5">
        <v>0</v>
      </c>
      <c r="Y606" s="5">
        <v>0</v>
      </c>
      <c r="Z606" s="5">
        <v>0</v>
      </c>
      <c r="AA606" s="5">
        <v>0</v>
      </c>
      <c r="AB606" s="5">
        <v>0</v>
      </c>
      <c r="AC606" s="5">
        <v>0</v>
      </c>
      <c r="AD606" s="5">
        <v>0.3</v>
      </c>
      <c r="AE606" s="5">
        <v>0.3</v>
      </c>
      <c r="AF606" s="5">
        <v>0</v>
      </c>
      <c r="AG606" s="5">
        <v>0</v>
      </c>
      <c r="AH606" s="5">
        <v>0.3</v>
      </c>
      <c r="AI606" s="5">
        <v>0.3</v>
      </c>
      <c r="AJ606" s="5">
        <v>0.3</v>
      </c>
      <c r="AK606" s="5">
        <v>0.6</v>
      </c>
      <c r="AL606" s="5">
        <v>0</v>
      </c>
      <c r="AM606" s="5">
        <v>0</v>
      </c>
      <c r="AN606" s="5">
        <v>0</v>
      </c>
      <c r="AO606" s="5">
        <v>0</v>
      </c>
      <c r="AP606" s="816">
        <v>0.35</v>
      </c>
      <c r="AQ606" s="816">
        <v>0.5</v>
      </c>
      <c r="AR606" s="5">
        <v>0.5</v>
      </c>
      <c r="AS606" s="5">
        <v>0</v>
      </c>
      <c r="AT606" s="5">
        <v>0</v>
      </c>
      <c r="AU606" s="5">
        <v>0</v>
      </c>
      <c r="AV606" s="5">
        <v>0</v>
      </c>
      <c r="AW606" s="815">
        <v>0</v>
      </c>
      <c r="AX606" s="816">
        <v>0</v>
      </c>
      <c r="AY606" s="819">
        <v>0</v>
      </c>
      <c r="AZ606" s="816"/>
      <c r="BA606" s="818"/>
      <c r="BB606" s="802" t="str" cm="1">
        <f t="array" ref="BB606">INDEX(C$4:BA$4,MATCH(TRUE,INDEX(C606:BA606&lt;&gt;0,),0))</f>
        <v>2005-06</v>
      </c>
      <c r="BC606" s="803" t="str" cm="1">
        <f t="array" ref="BC606">LOOKUP(2,1/(C606:BA606&lt;&gt;0),$C$4:$BA$4)</f>
        <v>2019-20</v>
      </c>
      <c r="BD606" s="804">
        <f>COUNTIF(RDprograms[[#This Row],[1978-79]:[2028-29]], "&gt;0")</f>
        <v>9</v>
      </c>
      <c r="BE606" s="805">
        <f>SUM(C606:BA606)/RDprograms[[#This Row],[Years with &gt; $0 investment]]</f>
        <v>0.38333333333333336</v>
      </c>
      <c r="BF606" s="806" t="s">
        <v>273</v>
      </c>
      <c r="BG606" s="807" t="s">
        <v>362</v>
      </c>
      <c r="BH606" s="847" t="s">
        <v>241</v>
      </c>
      <c r="BI606" s="809"/>
      <c r="BJ606" s="809"/>
      <c r="BK606" s="809"/>
      <c r="BL606" s="809"/>
      <c r="BM606" s="809"/>
      <c r="BN606" s="810"/>
      <c r="BO606" s="811" t="s">
        <v>236</v>
      </c>
      <c r="BP606" s="812" t="s">
        <v>1478</v>
      </c>
      <c r="BQ606" s="812" t="s">
        <v>1479</v>
      </c>
      <c r="BR606" s="812"/>
      <c r="BS606" s="812"/>
      <c r="BT606" s="812" t="s">
        <v>238</v>
      </c>
    </row>
    <row r="607" spans="1:72" ht="12.75" customHeight="1">
      <c r="A607" s="813" t="s">
        <v>1401</v>
      </c>
      <c r="B607" s="820" t="s">
        <v>1480</v>
      </c>
      <c r="C607" s="5">
        <v>0</v>
      </c>
      <c r="D607" s="5">
        <v>0</v>
      </c>
      <c r="E607" s="5">
        <v>0</v>
      </c>
      <c r="F607" s="5">
        <v>0</v>
      </c>
      <c r="G607" s="5">
        <v>0</v>
      </c>
      <c r="H607" s="5">
        <v>0</v>
      </c>
      <c r="I607" s="5">
        <v>0</v>
      </c>
      <c r="J607" s="5">
        <v>0</v>
      </c>
      <c r="K607" s="5">
        <v>0</v>
      </c>
      <c r="L607" s="5">
        <v>0</v>
      </c>
      <c r="M607" s="5">
        <v>0</v>
      </c>
      <c r="N607" s="5">
        <v>0</v>
      </c>
      <c r="O607" s="5">
        <v>0</v>
      </c>
      <c r="P607" s="5">
        <v>0</v>
      </c>
      <c r="Q607" s="5">
        <v>0</v>
      </c>
      <c r="R607" s="5">
        <v>0</v>
      </c>
      <c r="S607" s="5">
        <v>0</v>
      </c>
      <c r="T607" s="5">
        <v>0</v>
      </c>
      <c r="U607" s="5">
        <v>0</v>
      </c>
      <c r="V607" s="5">
        <v>0</v>
      </c>
      <c r="W607" s="5">
        <v>0</v>
      </c>
      <c r="X607" s="5">
        <v>0</v>
      </c>
      <c r="Y607" s="5">
        <v>0</v>
      </c>
      <c r="Z607" s="5">
        <v>0</v>
      </c>
      <c r="AA607" s="5">
        <v>0</v>
      </c>
      <c r="AB607" s="5">
        <v>0</v>
      </c>
      <c r="AC607" s="5">
        <v>0</v>
      </c>
      <c r="AD607" s="5">
        <v>0</v>
      </c>
      <c r="AE607" s="5">
        <v>0</v>
      </c>
      <c r="AF607" s="5">
        <v>0</v>
      </c>
      <c r="AG607" s="5">
        <v>0</v>
      </c>
      <c r="AH607" s="5">
        <v>0</v>
      </c>
      <c r="AI607" s="5">
        <v>0</v>
      </c>
      <c r="AJ607" s="5">
        <v>0</v>
      </c>
      <c r="AK607" s="5">
        <v>0</v>
      </c>
      <c r="AL607" s="5">
        <v>0</v>
      </c>
      <c r="AM607" s="5">
        <v>0.8</v>
      </c>
      <c r="AN607" s="5">
        <v>0.59750000000000003</v>
      </c>
      <c r="AO607" s="5">
        <v>0.37311800000000001</v>
      </c>
      <c r="AP607" s="5">
        <v>0</v>
      </c>
      <c r="AQ607" s="5">
        <v>0</v>
      </c>
      <c r="AR607" s="5">
        <v>0</v>
      </c>
      <c r="AS607" s="5">
        <v>0</v>
      </c>
      <c r="AT607" s="5">
        <v>0</v>
      </c>
      <c r="AU607" s="5">
        <v>0</v>
      </c>
      <c r="AV607" s="5">
        <v>0</v>
      </c>
      <c r="AW607" s="815">
        <v>0</v>
      </c>
      <c r="AX607" s="816">
        <v>0</v>
      </c>
      <c r="AY607" s="819">
        <v>0</v>
      </c>
      <c r="AZ607" s="816"/>
      <c r="BA607" s="818"/>
      <c r="BB607" s="802" t="str" cm="1">
        <f t="array" ref="BB607">INDEX(C$4:BA$4,MATCH(TRUE,INDEX(C607:BA607&lt;&gt;0,),0))</f>
        <v>2014-15</v>
      </c>
      <c r="BC607" s="803" t="str" cm="1">
        <f t="array" ref="BC607">LOOKUP(2,1/(C607:BA607&lt;&gt;0),$C$4:$BA$4)</f>
        <v>2016-17</v>
      </c>
      <c r="BD607" s="804">
        <f>COUNTIF(RDprograms[[#This Row],[1978-79]:[2028-29]], "&gt;0")</f>
        <v>3</v>
      </c>
      <c r="BE607" s="805">
        <f>SUM(C607:BA607)/RDprograms[[#This Row],[Years with &gt; $0 investment]]</f>
        <v>0.59020600000000001</v>
      </c>
      <c r="BF607" s="806" t="s">
        <v>233</v>
      </c>
      <c r="BG607" s="807" t="s">
        <v>362</v>
      </c>
      <c r="BH607" s="847" t="s">
        <v>258</v>
      </c>
      <c r="BI607" s="809"/>
      <c r="BJ607" s="809"/>
      <c r="BK607" s="809"/>
      <c r="BL607" s="809"/>
      <c r="BM607" s="809"/>
      <c r="BN607" s="810"/>
      <c r="BO607" s="811" t="s">
        <v>236</v>
      </c>
      <c r="BP607" s="812" t="s">
        <v>1481</v>
      </c>
      <c r="BQ607" s="812" t="s">
        <v>1482</v>
      </c>
      <c r="BR607" s="812"/>
      <c r="BS607" s="812"/>
      <c r="BT607" s="812" t="s">
        <v>238</v>
      </c>
    </row>
    <row r="608" spans="1:72" ht="12.75" customHeight="1">
      <c r="A608" s="813" t="s">
        <v>1401</v>
      </c>
      <c r="B608" s="820" t="s">
        <v>1483</v>
      </c>
      <c r="C608" s="5">
        <v>0</v>
      </c>
      <c r="D608" s="5">
        <v>0</v>
      </c>
      <c r="E608" s="5">
        <v>0</v>
      </c>
      <c r="F608" s="5">
        <v>0</v>
      </c>
      <c r="G608" s="5">
        <v>0</v>
      </c>
      <c r="H608" s="5">
        <v>0</v>
      </c>
      <c r="I608" s="5">
        <v>0</v>
      </c>
      <c r="J608" s="5">
        <v>0</v>
      </c>
      <c r="K608" s="5">
        <v>0</v>
      </c>
      <c r="L608" s="5">
        <v>0</v>
      </c>
      <c r="M608" s="5">
        <v>0</v>
      </c>
      <c r="N608" s="5">
        <v>0</v>
      </c>
      <c r="O608" s="5">
        <v>0</v>
      </c>
      <c r="P608" s="5">
        <v>0</v>
      </c>
      <c r="Q608" s="5">
        <v>0</v>
      </c>
      <c r="R608" s="5">
        <v>0</v>
      </c>
      <c r="S608" s="5">
        <v>0</v>
      </c>
      <c r="T608" s="5">
        <v>0</v>
      </c>
      <c r="U608" s="5">
        <v>0</v>
      </c>
      <c r="V608" s="5">
        <v>0</v>
      </c>
      <c r="W608" s="5">
        <v>0</v>
      </c>
      <c r="X608" s="5">
        <v>0</v>
      </c>
      <c r="Y608" s="5">
        <v>0</v>
      </c>
      <c r="Z608" s="5">
        <v>0</v>
      </c>
      <c r="AA608" s="5">
        <v>0</v>
      </c>
      <c r="AB608" s="5">
        <v>0</v>
      </c>
      <c r="AC608" s="5">
        <v>0</v>
      </c>
      <c r="AD608" s="5">
        <v>0</v>
      </c>
      <c r="AE608" s="5">
        <v>0</v>
      </c>
      <c r="AF608" s="5">
        <v>0</v>
      </c>
      <c r="AG608" s="5">
        <v>0</v>
      </c>
      <c r="AH608" s="5">
        <v>2</v>
      </c>
      <c r="AI608" s="5">
        <v>2</v>
      </c>
      <c r="AJ608" s="5">
        <v>2</v>
      </c>
      <c r="AK608" s="5">
        <v>2</v>
      </c>
      <c r="AL608" s="5">
        <v>1.32</v>
      </c>
      <c r="AM608" s="5">
        <v>0</v>
      </c>
      <c r="AN608" s="5">
        <v>0</v>
      </c>
      <c r="AO608" s="5">
        <v>0</v>
      </c>
      <c r="AP608" s="816">
        <v>0</v>
      </c>
      <c r="AQ608" s="816">
        <v>0</v>
      </c>
      <c r="AR608" s="5">
        <v>0</v>
      </c>
      <c r="AS608" s="5">
        <v>0</v>
      </c>
      <c r="AT608" s="5">
        <v>0</v>
      </c>
      <c r="AU608" s="5">
        <v>0</v>
      </c>
      <c r="AV608" s="5">
        <v>0</v>
      </c>
      <c r="AW608" s="849">
        <v>0</v>
      </c>
      <c r="AX608" s="816">
        <v>0</v>
      </c>
      <c r="AY608" s="819">
        <v>0</v>
      </c>
      <c r="AZ608" s="816"/>
      <c r="BA608" s="818"/>
      <c r="BB608" s="802" t="str" cm="1">
        <f t="array" ref="BB608">INDEX(C$4:BA$4,MATCH(TRUE,INDEX(C608:BA608&lt;&gt;0,),0))</f>
        <v>2009-10</v>
      </c>
      <c r="BC608" s="803" t="str" cm="1">
        <f t="array" ref="BC608">LOOKUP(2,1/(C608:BA608&lt;&gt;0),$C$4:$BA$4)</f>
        <v>2013-14</v>
      </c>
      <c r="BD608" s="804">
        <f>COUNTIF(RDprograms[[#This Row],[1978-79]:[2028-29]], "&gt;0")</f>
        <v>5</v>
      </c>
      <c r="BE608" s="805">
        <f>SUM(C608:BA608)/RDprograms[[#This Row],[Years with &gt; $0 investment]]</f>
        <v>1.8640000000000001</v>
      </c>
      <c r="BF608" s="806" t="s">
        <v>249</v>
      </c>
      <c r="BG608" s="807" t="s">
        <v>362</v>
      </c>
      <c r="BH608" s="847" t="s">
        <v>258</v>
      </c>
      <c r="BI608" s="809"/>
      <c r="BJ608" s="809"/>
      <c r="BK608" s="809"/>
      <c r="BL608" s="809"/>
      <c r="BM608" s="809"/>
      <c r="BN608" s="810"/>
      <c r="BO608" s="811" t="s">
        <v>236</v>
      </c>
      <c r="BP608" s="812"/>
      <c r="BQ608" s="812"/>
      <c r="BR608" s="812"/>
      <c r="BS608" s="812"/>
      <c r="BT608" s="812" t="s">
        <v>238</v>
      </c>
    </row>
    <row r="609" spans="1:72" ht="12.75" customHeight="1">
      <c r="A609" s="813" t="s">
        <v>1401</v>
      </c>
      <c r="B609" s="820" t="s">
        <v>1484</v>
      </c>
      <c r="C609" s="5">
        <v>0</v>
      </c>
      <c r="D609" s="5">
        <v>0</v>
      </c>
      <c r="E609" s="5">
        <v>0</v>
      </c>
      <c r="F609" s="5">
        <v>0</v>
      </c>
      <c r="G609" s="5">
        <v>0</v>
      </c>
      <c r="H609" s="5">
        <v>0</v>
      </c>
      <c r="I609" s="5">
        <v>0</v>
      </c>
      <c r="J609" s="5">
        <v>0</v>
      </c>
      <c r="K609" s="5">
        <v>0</v>
      </c>
      <c r="L609" s="5">
        <v>0</v>
      </c>
      <c r="M609" s="5">
        <v>0</v>
      </c>
      <c r="N609" s="5">
        <v>0</v>
      </c>
      <c r="O609" s="5">
        <v>0</v>
      </c>
      <c r="P609" s="5">
        <v>0</v>
      </c>
      <c r="Q609" s="5">
        <v>0</v>
      </c>
      <c r="R609" s="5">
        <v>0</v>
      </c>
      <c r="S609" s="5">
        <v>0</v>
      </c>
      <c r="T609" s="5">
        <v>0</v>
      </c>
      <c r="U609" s="5">
        <v>0</v>
      </c>
      <c r="V609" s="5">
        <v>0</v>
      </c>
      <c r="W609" s="5">
        <v>0</v>
      </c>
      <c r="X609" s="5">
        <v>0</v>
      </c>
      <c r="Y609" s="5">
        <v>0</v>
      </c>
      <c r="Z609" s="5">
        <v>0</v>
      </c>
      <c r="AA609" s="5">
        <v>0</v>
      </c>
      <c r="AB609" s="5">
        <v>0</v>
      </c>
      <c r="AC609" s="5">
        <v>0</v>
      </c>
      <c r="AD609" s="5">
        <v>0</v>
      </c>
      <c r="AE609" s="5">
        <v>0</v>
      </c>
      <c r="AF609" s="5">
        <v>0</v>
      </c>
      <c r="AG609" s="5">
        <v>0</v>
      </c>
      <c r="AH609" s="5">
        <v>0</v>
      </c>
      <c r="AI609" s="5">
        <v>0</v>
      </c>
      <c r="AJ609" s="5">
        <v>0</v>
      </c>
      <c r="AK609" s="5">
        <v>0</v>
      </c>
      <c r="AL609" s="5">
        <v>0</v>
      </c>
      <c r="AM609" s="5">
        <v>0</v>
      </c>
      <c r="AN609" s="5">
        <v>0</v>
      </c>
      <c r="AO609" s="5">
        <v>0</v>
      </c>
      <c r="AP609" s="5">
        <v>0</v>
      </c>
      <c r="AQ609" s="5">
        <v>0</v>
      </c>
      <c r="AR609" s="5">
        <v>0</v>
      </c>
      <c r="AS609" s="5">
        <v>0</v>
      </c>
      <c r="AT609" s="5">
        <v>0</v>
      </c>
      <c r="AU609" s="5">
        <v>0</v>
      </c>
      <c r="AV609" s="5">
        <v>0.23499999999999999</v>
      </c>
      <c r="AW609" s="849">
        <v>0</v>
      </c>
      <c r="AX609" s="816">
        <v>0.17</v>
      </c>
      <c r="AY609" s="817">
        <v>0.15</v>
      </c>
      <c r="AZ609" s="826">
        <v>0</v>
      </c>
      <c r="BA609" s="838"/>
      <c r="BB609" s="802" t="str" cm="1">
        <f t="array" ref="BB609">INDEX(C$4:BA$4,MATCH(TRUE,INDEX(C609:BA609&lt;&gt;0,),0))</f>
        <v>2023-24</v>
      </c>
      <c r="BC609" s="803" t="str" cm="1">
        <f t="array" ref="BC609">LOOKUP(2,1/(C609:BA609&lt;&gt;0),$C$4:$BA$4)</f>
        <v>2026-27</v>
      </c>
      <c r="BD609" s="839">
        <f>COUNTIF(RDprograms[[#This Row],[1978-79]:[2028-29]], "&gt;0")</f>
        <v>3</v>
      </c>
      <c r="BE609" s="805">
        <f>SUM(C609:BA609)/RDprograms[[#This Row],[Years with &gt; $0 investment]]</f>
        <v>0.18500000000000003</v>
      </c>
      <c r="BF609" s="806" t="s">
        <v>240</v>
      </c>
      <c r="BG609" s="807" t="s">
        <v>362</v>
      </c>
      <c r="BH609" s="847" t="s">
        <v>258</v>
      </c>
      <c r="BI609" s="809"/>
      <c r="BJ609" s="809">
        <v>1</v>
      </c>
      <c r="BK609" s="809">
        <v>1</v>
      </c>
      <c r="BL609" s="809"/>
      <c r="BM609" s="809"/>
      <c r="BN609" s="810"/>
      <c r="BO609" s="811" t="s">
        <v>236</v>
      </c>
      <c r="BP609" s="812" t="s">
        <v>1485</v>
      </c>
      <c r="BQ609" s="812" t="s">
        <v>1486</v>
      </c>
      <c r="BR609" s="812" t="s">
        <v>1487</v>
      </c>
      <c r="BS609" s="812" t="s">
        <v>1488</v>
      </c>
      <c r="BT609" s="812"/>
    </row>
    <row r="610" spans="1:72" ht="12.75" customHeight="1">
      <c r="A610" s="813" t="s">
        <v>1401</v>
      </c>
      <c r="B610" s="820" t="s">
        <v>1489</v>
      </c>
      <c r="C610" s="5">
        <v>0</v>
      </c>
      <c r="D610" s="5">
        <v>0</v>
      </c>
      <c r="E610" s="5">
        <v>0</v>
      </c>
      <c r="F610" s="5">
        <v>0</v>
      </c>
      <c r="G610" s="5">
        <v>0</v>
      </c>
      <c r="H610" s="5">
        <v>0</v>
      </c>
      <c r="I610" s="5">
        <v>0</v>
      </c>
      <c r="J610" s="5">
        <v>0</v>
      </c>
      <c r="K610" s="5">
        <v>0</v>
      </c>
      <c r="L610" s="5">
        <v>0</v>
      </c>
      <c r="M610" s="5">
        <v>0</v>
      </c>
      <c r="N610" s="5">
        <v>0</v>
      </c>
      <c r="O610" s="5">
        <v>0</v>
      </c>
      <c r="P610" s="5">
        <v>0</v>
      </c>
      <c r="Q610" s="5">
        <v>0</v>
      </c>
      <c r="R610" s="5">
        <v>0</v>
      </c>
      <c r="S610" s="5">
        <v>0</v>
      </c>
      <c r="T610" s="5">
        <v>0</v>
      </c>
      <c r="U610" s="5">
        <v>0</v>
      </c>
      <c r="V610" s="5">
        <v>0</v>
      </c>
      <c r="W610" s="5">
        <v>0</v>
      </c>
      <c r="X610" s="5">
        <v>0</v>
      </c>
      <c r="Y610" s="5">
        <v>0</v>
      </c>
      <c r="Z610" s="5">
        <v>0</v>
      </c>
      <c r="AA610" s="5">
        <v>0</v>
      </c>
      <c r="AB610" s="5">
        <v>0</v>
      </c>
      <c r="AC610" s="5">
        <v>0</v>
      </c>
      <c r="AD610" s="5">
        <v>0</v>
      </c>
      <c r="AE610" s="5">
        <v>0</v>
      </c>
      <c r="AF610" s="5">
        <v>0</v>
      </c>
      <c r="AG610" s="5">
        <v>0</v>
      </c>
      <c r="AH610" s="5">
        <v>0</v>
      </c>
      <c r="AI610" s="5">
        <v>0</v>
      </c>
      <c r="AJ610" s="5">
        <v>0</v>
      </c>
      <c r="AK610" s="5">
        <v>0</v>
      </c>
      <c r="AL610" s="5">
        <v>0</v>
      </c>
      <c r="AM610" s="5">
        <v>0</v>
      </c>
      <c r="AN610" s="5">
        <v>0</v>
      </c>
      <c r="AO610" s="5">
        <v>0</v>
      </c>
      <c r="AP610" s="5">
        <v>0</v>
      </c>
      <c r="AQ610" s="5">
        <v>0</v>
      </c>
      <c r="AR610" s="5">
        <v>0</v>
      </c>
      <c r="AS610" s="5">
        <v>0</v>
      </c>
      <c r="AT610" s="5">
        <v>0</v>
      </c>
      <c r="AU610" s="5">
        <v>6.5000000000000002E-2</v>
      </c>
      <c r="AV610" s="5">
        <v>0.13500000000000001</v>
      </c>
      <c r="AW610" s="849">
        <v>0</v>
      </c>
      <c r="AX610" s="816">
        <v>0</v>
      </c>
      <c r="AY610" s="817">
        <v>0</v>
      </c>
      <c r="AZ610" s="826">
        <v>0</v>
      </c>
      <c r="BA610" s="838"/>
      <c r="BB610" s="802" t="str" cm="1">
        <f t="array" ref="BB610">INDEX(C$4:BA$4,MATCH(TRUE,INDEX(C610:BA610&lt;&gt;0,),0))</f>
        <v>2022-23</v>
      </c>
      <c r="BC610" s="803" t="str" cm="1">
        <f t="array" ref="BC610">LOOKUP(2,1/(C610:BA610&lt;&gt;0),$C$4:$BA$4)</f>
        <v>2023-24</v>
      </c>
      <c r="BD610" s="839">
        <f>COUNTIF(RDprograms[[#This Row],[1978-79]:[2028-29]], "&gt;0")</f>
        <v>2</v>
      </c>
      <c r="BE610" s="805">
        <f>SUM(C610:BA610)/RDprograms[[#This Row],[Years with &gt; $0 investment]]</f>
        <v>0.1</v>
      </c>
      <c r="BF610" s="806" t="s">
        <v>273</v>
      </c>
      <c r="BG610" s="807" t="s">
        <v>362</v>
      </c>
      <c r="BH610" s="847" t="s">
        <v>258</v>
      </c>
      <c r="BI610" s="809"/>
      <c r="BJ610" s="809"/>
      <c r="BK610" s="809"/>
      <c r="BL610" s="809"/>
      <c r="BM610" s="809"/>
      <c r="BN610" s="810"/>
      <c r="BO610" s="811" t="s">
        <v>236</v>
      </c>
      <c r="BP610" s="812" t="s">
        <v>1490</v>
      </c>
      <c r="BQ610" s="812" t="s">
        <v>1491</v>
      </c>
      <c r="BR610" s="812" t="s">
        <v>1488</v>
      </c>
      <c r="BS610" s="812"/>
      <c r="BT610" s="812"/>
    </row>
    <row r="611" spans="1:72" ht="12.75" customHeight="1">
      <c r="A611" s="813" t="s">
        <v>1401</v>
      </c>
      <c r="B611" s="820" t="s">
        <v>1492</v>
      </c>
      <c r="C611" s="5">
        <v>0</v>
      </c>
      <c r="D611" s="5">
        <v>0</v>
      </c>
      <c r="E611" s="5">
        <v>0</v>
      </c>
      <c r="F611" s="5">
        <v>0</v>
      </c>
      <c r="G611" s="5">
        <v>0</v>
      </c>
      <c r="H611" s="5">
        <v>0</v>
      </c>
      <c r="I611" s="5">
        <v>0</v>
      </c>
      <c r="J611" s="5">
        <v>0</v>
      </c>
      <c r="K611" s="5">
        <v>0</v>
      </c>
      <c r="L611" s="5">
        <v>0</v>
      </c>
      <c r="M611" s="5">
        <v>0</v>
      </c>
      <c r="N611" s="5">
        <v>0</v>
      </c>
      <c r="O611" s="5">
        <v>0</v>
      </c>
      <c r="P611" s="5">
        <v>0</v>
      </c>
      <c r="Q611" s="5">
        <v>0</v>
      </c>
      <c r="R611" s="5">
        <v>0</v>
      </c>
      <c r="S611" s="5">
        <v>0</v>
      </c>
      <c r="T611" s="5">
        <v>0</v>
      </c>
      <c r="U611" s="5">
        <v>0</v>
      </c>
      <c r="V611" s="5">
        <v>0</v>
      </c>
      <c r="W611" s="5">
        <v>0</v>
      </c>
      <c r="X611" s="5">
        <v>0</v>
      </c>
      <c r="Y611" s="5">
        <v>0</v>
      </c>
      <c r="Z611" s="5">
        <v>0</v>
      </c>
      <c r="AA611" s="5">
        <v>0</v>
      </c>
      <c r="AB611" s="5">
        <v>0</v>
      </c>
      <c r="AC611" s="5">
        <v>0</v>
      </c>
      <c r="AD611" s="5">
        <v>0</v>
      </c>
      <c r="AE611" s="5">
        <v>0</v>
      </c>
      <c r="AF611" s="5">
        <v>0</v>
      </c>
      <c r="AG611" s="5">
        <v>0</v>
      </c>
      <c r="AH611" s="5">
        <v>0</v>
      </c>
      <c r="AI611" s="5">
        <v>0</v>
      </c>
      <c r="AJ611" s="5">
        <v>2.794E-2</v>
      </c>
      <c r="AK611" s="5">
        <v>0</v>
      </c>
      <c r="AL611" s="5">
        <v>0</v>
      </c>
      <c r="AM611" s="5">
        <v>0</v>
      </c>
      <c r="AN611" s="5">
        <v>0</v>
      </c>
      <c r="AO611" s="5">
        <v>0</v>
      </c>
      <c r="AP611" s="5">
        <v>0</v>
      </c>
      <c r="AQ611" s="5">
        <v>0</v>
      </c>
      <c r="AR611" s="5">
        <v>0</v>
      </c>
      <c r="AS611" s="5">
        <v>0</v>
      </c>
      <c r="AT611" s="5">
        <v>0</v>
      </c>
      <c r="AU611" s="5">
        <v>0</v>
      </c>
      <c r="AV611" s="5">
        <v>0</v>
      </c>
      <c r="AW611" s="815">
        <v>0</v>
      </c>
      <c r="AX611" s="816">
        <v>0</v>
      </c>
      <c r="AY611" s="819">
        <v>0</v>
      </c>
      <c r="AZ611" s="816"/>
      <c r="BA611" s="818"/>
      <c r="BB611" s="802" t="str" cm="1">
        <f t="array" ref="BB611">INDEX(C$4:BA$4,MATCH(TRUE,INDEX(C611:BA611&lt;&gt;0,),0))</f>
        <v>2011-12</v>
      </c>
      <c r="BC611" s="803" t="str" cm="1">
        <f t="array" ref="BC611">LOOKUP(2,1/(C611:BA611&lt;&gt;0),$C$4:$BA$4)</f>
        <v>2011-12</v>
      </c>
      <c r="BD611" s="804">
        <f>COUNTIF(RDprograms[[#This Row],[1978-79]:[2028-29]], "&gt;0")</f>
        <v>1</v>
      </c>
      <c r="BE611" s="805">
        <f>SUM(C611:BA611)/RDprograms[[#This Row],[Years with &gt; $0 investment]]</f>
        <v>2.794E-2</v>
      </c>
      <c r="BF611" s="806" t="s">
        <v>273</v>
      </c>
      <c r="BG611" s="807" t="s">
        <v>362</v>
      </c>
      <c r="BH611" s="847" t="s">
        <v>241</v>
      </c>
      <c r="BI611" s="33"/>
      <c r="BJ611" s="33"/>
      <c r="BK611" s="33"/>
      <c r="BL611" s="33"/>
      <c r="BM611" s="33"/>
      <c r="BN611" s="842"/>
      <c r="BO611" s="811" t="s">
        <v>236</v>
      </c>
      <c r="BP611" s="843"/>
      <c r="BQ611" s="812"/>
      <c r="BR611" s="812"/>
      <c r="BS611" s="812"/>
      <c r="BT611" s="812" t="s">
        <v>238</v>
      </c>
    </row>
    <row r="612" spans="1:72" ht="12.75" customHeight="1">
      <c r="A612" s="813" t="s">
        <v>1401</v>
      </c>
      <c r="B612" s="820" t="s">
        <v>1493</v>
      </c>
      <c r="C612" s="5">
        <v>0</v>
      </c>
      <c r="D612" s="5">
        <v>0</v>
      </c>
      <c r="E612" s="5">
        <v>0</v>
      </c>
      <c r="F612" s="5">
        <v>0</v>
      </c>
      <c r="G612" s="5">
        <v>0</v>
      </c>
      <c r="H612" s="5">
        <v>0</v>
      </c>
      <c r="I612" s="5">
        <v>0</v>
      </c>
      <c r="J612" s="5">
        <v>0</v>
      </c>
      <c r="K612" s="5">
        <v>0</v>
      </c>
      <c r="L612" s="5">
        <v>0</v>
      </c>
      <c r="M612" s="5">
        <v>0</v>
      </c>
      <c r="N612" s="5">
        <v>0</v>
      </c>
      <c r="O612" s="5">
        <v>0</v>
      </c>
      <c r="P612" s="5">
        <v>0</v>
      </c>
      <c r="Q612" s="5">
        <v>0</v>
      </c>
      <c r="R612" s="5">
        <v>0</v>
      </c>
      <c r="S612" s="5">
        <v>0</v>
      </c>
      <c r="T612" s="5">
        <v>0</v>
      </c>
      <c r="U612" s="5">
        <v>0</v>
      </c>
      <c r="V612" s="5">
        <v>0</v>
      </c>
      <c r="W612" s="5">
        <v>0</v>
      </c>
      <c r="X612" s="5">
        <v>0</v>
      </c>
      <c r="Y612" s="5">
        <v>0</v>
      </c>
      <c r="Z612" s="5">
        <v>0</v>
      </c>
      <c r="AA612" s="5">
        <v>0</v>
      </c>
      <c r="AB612" s="5">
        <v>0</v>
      </c>
      <c r="AC612" s="5">
        <v>0</v>
      </c>
      <c r="AD612" s="5">
        <v>0</v>
      </c>
      <c r="AE612" s="5">
        <v>0</v>
      </c>
      <c r="AF612" s="5">
        <v>0</v>
      </c>
      <c r="AG612" s="5">
        <v>0</v>
      </c>
      <c r="AH612" s="5">
        <v>0</v>
      </c>
      <c r="AI612" s="5">
        <v>0</v>
      </c>
      <c r="AJ612" s="5">
        <v>0.27800000000000002</v>
      </c>
      <c r="AK612" s="5">
        <v>0</v>
      </c>
      <c r="AL612" s="5">
        <v>0</v>
      </c>
      <c r="AM612" s="5">
        <v>0</v>
      </c>
      <c r="AN612" s="5">
        <v>0</v>
      </c>
      <c r="AO612" s="5">
        <v>0</v>
      </c>
      <c r="AP612" s="816">
        <v>0</v>
      </c>
      <c r="AQ612" s="816">
        <v>0</v>
      </c>
      <c r="AR612" s="5">
        <v>0</v>
      </c>
      <c r="AS612" s="5">
        <v>0</v>
      </c>
      <c r="AT612" s="5">
        <v>0</v>
      </c>
      <c r="AU612" s="5">
        <v>0</v>
      </c>
      <c r="AV612" s="5">
        <v>0</v>
      </c>
      <c r="AW612" s="815">
        <v>0</v>
      </c>
      <c r="AX612" s="816">
        <v>0</v>
      </c>
      <c r="AY612" s="819">
        <v>0</v>
      </c>
      <c r="AZ612" s="816"/>
      <c r="BA612" s="818"/>
      <c r="BB612" s="802" t="str" cm="1">
        <f t="array" ref="BB612">INDEX(C$4:BA$4,MATCH(TRUE,INDEX(C612:BA612&lt;&gt;0,),0))</f>
        <v>2011-12</v>
      </c>
      <c r="BC612" s="803" t="str" cm="1">
        <f t="array" ref="BC612">LOOKUP(2,1/(C612:BA612&lt;&gt;0),$C$4:$BA$4)</f>
        <v>2011-12</v>
      </c>
      <c r="BD612" s="804">
        <f>COUNTIF(RDprograms[[#This Row],[1978-79]:[2028-29]], "&gt;0")</f>
        <v>1</v>
      </c>
      <c r="BE612" s="805">
        <f>SUM(C612:BA612)/RDprograms[[#This Row],[Years with &gt; $0 investment]]</f>
        <v>0.27800000000000002</v>
      </c>
      <c r="BF612" s="806" t="s">
        <v>273</v>
      </c>
      <c r="BG612" s="807" t="s">
        <v>362</v>
      </c>
      <c r="BH612" s="847" t="s">
        <v>241</v>
      </c>
      <c r="BI612" s="809"/>
      <c r="BJ612" s="809"/>
      <c r="BK612" s="809"/>
      <c r="BL612" s="809"/>
      <c r="BM612" s="809"/>
      <c r="BN612" s="810"/>
      <c r="BO612" s="811" t="s">
        <v>236</v>
      </c>
      <c r="BP612" s="812"/>
      <c r="BQ612" s="812" t="s">
        <v>1494</v>
      </c>
      <c r="BR612" s="812"/>
      <c r="BS612" s="812"/>
      <c r="BT612" s="812" t="s">
        <v>238</v>
      </c>
    </row>
    <row r="613" spans="1:72" ht="12.75" customHeight="1">
      <c r="A613" s="813" t="s">
        <v>1401</v>
      </c>
      <c r="B613" s="820" t="s">
        <v>1495</v>
      </c>
      <c r="C613" s="5">
        <v>0</v>
      </c>
      <c r="D613" s="5">
        <v>0</v>
      </c>
      <c r="E613" s="5">
        <v>0</v>
      </c>
      <c r="F613" s="5">
        <v>0</v>
      </c>
      <c r="G613" s="5">
        <v>0</v>
      </c>
      <c r="H613" s="5">
        <v>0</v>
      </c>
      <c r="I613" s="5">
        <v>0</v>
      </c>
      <c r="J613" s="5">
        <v>0</v>
      </c>
      <c r="K613" s="5">
        <v>0</v>
      </c>
      <c r="L613" s="5">
        <v>0</v>
      </c>
      <c r="M613" s="5">
        <v>0</v>
      </c>
      <c r="N613" s="5">
        <v>0</v>
      </c>
      <c r="O613" s="5">
        <v>0</v>
      </c>
      <c r="P613" s="5">
        <v>0</v>
      </c>
      <c r="Q613" s="5">
        <v>0</v>
      </c>
      <c r="R613" s="5">
        <v>0</v>
      </c>
      <c r="S613" s="5">
        <v>0</v>
      </c>
      <c r="T613" s="5">
        <v>0</v>
      </c>
      <c r="U613" s="5">
        <v>0</v>
      </c>
      <c r="V613" s="5">
        <v>0</v>
      </c>
      <c r="W613" s="5">
        <v>0</v>
      </c>
      <c r="X613" s="5">
        <v>0</v>
      </c>
      <c r="Y613" s="5">
        <v>0</v>
      </c>
      <c r="Z613" s="5">
        <v>0</v>
      </c>
      <c r="AA613" s="5">
        <v>0</v>
      </c>
      <c r="AB613" s="5">
        <v>0</v>
      </c>
      <c r="AC613" s="5">
        <v>0</v>
      </c>
      <c r="AD613" s="5">
        <v>0</v>
      </c>
      <c r="AE613" s="5">
        <v>0</v>
      </c>
      <c r="AF613" s="5">
        <v>0</v>
      </c>
      <c r="AG613" s="5">
        <v>0</v>
      </c>
      <c r="AH613" s="5">
        <v>0</v>
      </c>
      <c r="AI613" s="5">
        <v>0</v>
      </c>
      <c r="AJ613" s="5">
        <v>0</v>
      </c>
      <c r="AK613" s="5">
        <v>0</v>
      </c>
      <c r="AL613" s="5">
        <v>0</v>
      </c>
      <c r="AM613" s="5">
        <v>0</v>
      </c>
      <c r="AN613" s="5">
        <v>0</v>
      </c>
      <c r="AO613" s="5">
        <v>0</v>
      </c>
      <c r="AP613" s="5">
        <v>0</v>
      </c>
      <c r="AQ613" s="5">
        <v>0</v>
      </c>
      <c r="AR613" s="5">
        <v>0</v>
      </c>
      <c r="AS613" s="5">
        <v>0</v>
      </c>
      <c r="AT613" s="5">
        <v>1.764</v>
      </c>
      <c r="AU613" s="5">
        <v>0</v>
      </c>
      <c r="AV613" s="5">
        <v>0</v>
      </c>
      <c r="AW613" s="815">
        <v>0</v>
      </c>
      <c r="AX613" s="816">
        <v>0</v>
      </c>
      <c r="AY613" s="819">
        <v>0</v>
      </c>
      <c r="AZ613" s="816"/>
      <c r="BA613" s="818"/>
      <c r="BB613" s="802" t="str" cm="1">
        <f t="array" ref="BB613">INDEX(C$4:BA$4,MATCH(TRUE,INDEX(C613:BA613&lt;&gt;0,),0))</f>
        <v>2021-22</v>
      </c>
      <c r="BC613" s="803" t="str" cm="1">
        <f t="array" ref="BC613">LOOKUP(2,1/(C613:BA613&lt;&gt;0),$C$4:$BA$4)</f>
        <v>2021-22</v>
      </c>
      <c r="BD613" s="804">
        <f>COUNTIF(RDprograms[[#This Row],[1978-79]:[2028-29]], "&gt;0")</f>
        <v>1</v>
      </c>
      <c r="BE613" s="805">
        <f>SUM(C613:BA613)/RDprograms[[#This Row],[Years with &gt; $0 investment]]</f>
        <v>1.764</v>
      </c>
      <c r="BF613" s="806" t="s">
        <v>273</v>
      </c>
      <c r="BG613" s="807" t="s">
        <v>362</v>
      </c>
      <c r="BH613" s="847" t="s">
        <v>258</v>
      </c>
      <c r="BI613" s="809"/>
      <c r="BJ613" s="809"/>
      <c r="BK613" s="809"/>
      <c r="BL613" s="809"/>
      <c r="BM613" s="809"/>
      <c r="BN613" s="810"/>
      <c r="BO613" s="811" t="s">
        <v>236</v>
      </c>
      <c r="BP613" s="812" t="s">
        <v>1403</v>
      </c>
      <c r="BQ613" s="812"/>
      <c r="BR613" s="812" t="s">
        <v>1496</v>
      </c>
      <c r="BS613" s="812" t="s">
        <v>508</v>
      </c>
      <c r="BT613" s="812" t="s">
        <v>238</v>
      </c>
    </row>
    <row r="614" spans="1:72" ht="12.75" customHeight="1">
      <c r="A614" s="813" t="s">
        <v>1401</v>
      </c>
      <c r="B614" s="820" t="s">
        <v>1497</v>
      </c>
      <c r="C614" s="5">
        <v>0</v>
      </c>
      <c r="D614" s="5">
        <v>0</v>
      </c>
      <c r="E614" s="5">
        <v>0</v>
      </c>
      <c r="F614" s="5">
        <v>0</v>
      </c>
      <c r="G614" s="5">
        <v>0</v>
      </c>
      <c r="H614" s="5">
        <v>0</v>
      </c>
      <c r="I614" s="5">
        <v>0</v>
      </c>
      <c r="J614" s="5">
        <v>0</v>
      </c>
      <c r="K614" s="5">
        <v>0</v>
      </c>
      <c r="L614" s="5">
        <v>0</v>
      </c>
      <c r="M614" s="5">
        <v>0</v>
      </c>
      <c r="N614" s="5">
        <v>0</v>
      </c>
      <c r="O614" s="5">
        <v>0</v>
      </c>
      <c r="P614" s="5">
        <v>0</v>
      </c>
      <c r="Q614" s="5">
        <v>0</v>
      </c>
      <c r="R614" s="5">
        <v>0</v>
      </c>
      <c r="S614" s="5">
        <v>0</v>
      </c>
      <c r="T614" s="5">
        <v>0</v>
      </c>
      <c r="U614" s="5">
        <v>0</v>
      </c>
      <c r="V614" s="5">
        <v>0</v>
      </c>
      <c r="W614" s="5">
        <v>0</v>
      </c>
      <c r="X614" s="5">
        <v>0</v>
      </c>
      <c r="Y614" s="5">
        <v>0</v>
      </c>
      <c r="Z614" s="5">
        <v>0</v>
      </c>
      <c r="AA614" s="5">
        <v>0</v>
      </c>
      <c r="AB614" s="5">
        <v>0</v>
      </c>
      <c r="AC614" s="5">
        <v>0</v>
      </c>
      <c r="AD614" s="5">
        <v>0</v>
      </c>
      <c r="AE614" s="5">
        <v>0</v>
      </c>
      <c r="AF614" s="5">
        <v>0</v>
      </c>
      <c r="AG614" s="5">
        <v>0</v>
      </c>
      <c r="AH614" s="5">
        <v>0</v>
      </c>
      <c r="AI614" s="5">
        <v>0</v>
      </c>
      <c r="AJ614" s="5">
        <v>0</v>
      </c>
      <c r="AK614" s="5">
        <v>0</v>
      </c>
      <c r="AL614" s="5">
        <v>0</v>
      </c>
      <c r="AM614" s="5">
        <v>0.11</v>
      </c>
      <c r="AN614" s="5">
        <v>0.1</v>
      </c>
      <c r="AO614" s="5">
        <v>0.1</v>
      </c>
      <c r="AP614" s="816">
        <v>0</v>
      </c>
      <c r="AQ614" s="816">
        <v>0</v>
      </c>
      <c r="AR614" s="5">
        <v>0</v>
      </c>
      <c r="AS614" s="5">
        <v>0</v>
      </c>
      <c r="AT614" s="5">
        <v>6.3E-2</v>
      </c>
      <c r="AU614" s="5">
        <v>4.4999999999999998E-2</v>
      </c>
      <c r="AV614" s="5">
        <v>7.1999999999999995E-2</v>
      </c>
      <c r="AW614" s="815">
        <v>0</v>
      </c>
      <c r="AX614" s="816">
        <v>0</v>
      </c>
      <c r="AY614" s="819">
        <v>0</v>
      </c>
      <c r="AZ614" s="816"/>
      <c r="BA614" s="818"/>
      <c r="BB614" s="802" t="str" cm="1">
        <f t="array" ref="BB614">INDEX(C$4:BA$4,MATCH(TRUE,INDEX(C614:BA614&lt;&gt;0,),0))</f>
        <v>2014-15</v>
      </c>
      <c r="BC614" s="803" t="str" cm="1">
        <f t="array" ref="BC614">LOOKUP(2,1/(C614:BA614&lt;&gt;0),$C$4:$BA$4)</f>
        <v>2023-24</v>
      </c>
      <c r="BD614" s="804">
        <f>COUNTIF(RDprograms[[#This Row],[1978-79]:[2028-29]], "&gt;0")</f>
        <v>6</v>
      </c>
      <c r="BE614" s="805">
        <f>SUM(C614:BA614)/RDprograms[[#This Row],[Years with &gt; $0 investment]]</f>
        <v>8.1666666666666679E-2</v>
      </c>
      <c r="BF614" s="806" t="s">
        <v>273</v>
      </c>
      <c r="BG614" s="807" t="s">
        <v>362</v>
      </c>
      <c r="BH614" s="847" t="s">
        <v>269</v>
      </c>
      <c r="BI614" s="809"/>
      <c r="BJ614" s="809"/>
      <c r="BK614" s="809"/>
      <c r="BL614" s="809"/>
      <c r="BM614" s="809"/>
      <c r="BN614" s="810"/>
      <c r="BO614" s="811" t="s">
        <v>236</v>
      </c>
      <c r="BP614" s="812" t="s">
        <v>1498</v>
      </c>
      <c r="BQ614" s="812" t="s">
        <v>1499</v>
      </c>
      <c r="BR614" s="812"/>
      <c r="BS614" s="812"/>
      <c r="BT614" s="812" t="s">
        <v>238</v>
      </c>
    </row>
    <row r="615" spans="1:72" ht="12.75" customHeight="1">
      <c r="A615" s="813" t="s">
        <v>1401</v>
      </c>
      <c r="B615" s="820" t="s">
        <v>1500</v>
      </c>
      <c r="C615" s="5">
        <v>0</v>
      </c>
      <c r="D615" s="5">
        <v>0</v>
      </c>
      <c r="E615" s="5">
        <v>0</v>
      </c>
      <c r="F615" s="5">
        <v>0</v>
      </c>
      <c r="G615" s="5">
        <v>0</v>
      </c>
      <c r="H615" s="5">
        <v>0</v>
      </c>
      <c r="I615" s="5">
        <v>0</v>
      </c>
      <c r="J615" s="5">
        <v>0</v>
      </c>
      <c r="K615" s="5">
        <v>0</v>
      </c>
      <c r="L615" s="5">
        <v>0</v>
      </c>
      <c r="M615" s="5">
        <v>0</v>
      </c>
      <c r="N615" s="5">
        <v>0</v>
      </c>
      <c r="O615" s="5">
        <v>0</v>
      </c>
      <c r="P615" s="5">
        <v>0</v>
      </c>
      <c r="Q615" s="5">
        <v>0</v>
      </c>
      <c r="R615" s="5">
        <v>0</v>
      </c>
      <c r="S615" s="5">
        <v>0</v>
      </c>
      <c r="T615" s="5">
        <v>0</v>
      </c>
      <c r="U615" s="5">
        <v>0</v>
      </c>
      <c r="V615" s="5">
        <v>0</v>
      </c>
      <c r="W615" s="5">
        <v>0</v>
      </c>
      <c r="X615" s="5">
        <v>0</v>
      </c>
      <c r="Y615" s="5">
        <v>0</v>
      </c>
      <c r="Z615" s="5">
        <v>0</v>
      </c>
      <c r="AA615" s="5">
        <v>0</v>
      </c>
      <c r="AB615" s="5">
        <v>0</v>
      </c>
      <c r="AC615" s="5">
        <v>0</v>
      </c>
      <c r="AD615" s="5">
        <v>0</v>
      </c>
      <c r="AE615" s="5">
        <v>0</v>
      </c>
      <c r="AF615" s="5">
        <v>0</v>
      </c>
      <c r="AG615" s="5">
        <v>0</v>
      </c>
      <c r="AH615" s="5">
        <v>0</v>
      </c>
      <c r="AI615" s="5">
        <v>0</v>
      </c>
      <c r="AJ615" s="5">
        <v>0</v>
      </c>
      <c r="AK615" s="5">
        <v>0</v>
      </c>
      <c r="AL615" s="5">
        <v>0</v>
      </c>
      <c r="AM615" s="5">
        <v>0</v>
      </c>
      <c r="AN615" s="5">
        <v>0</v>
      </c>
      <c r="AO615" s="5">
        <v>6.0999999999999999E-2</v>
      </c>
      <c r="AP615" s="5">
        <v>0.09</v>
      </c>
      <c r="AQ615" s="5">
        <v>0</v>
      </c>
      <c r="AR615" s="5">
        <v>0</v>
      </c>
      <c r="AS615" s="5">
        <v>0</v>
      </c>
      <c r="AT615" s="5">
        <v>0</v>
      </c>
      <c r="AU615" s="5">
        <v>0</v>
      </c>
      <c r="AV615" s="5">
        <v>0</v>
      </c>
      <c r="AW615" s="815">
        <v>0</v>
      </c>
      <c r="AX615" s="816">
        <v>0</v>
      </c>
      <c r="AY615" s="819">
        <v>0</v>
      </c>
      <c r="AZ615" s="816"/>
      <c r="BA615" s="818"/>
      <c r="BB615" s="802" t="str" cm="1">
        <f t="array" ref="BB615">INDEX(C$4:BA$4,MATCH(TRUE,INDEX(C615:BA615&lt;&gt;0,),0))</f>
        <v>2016-17</v>
      </c>
      <c r="BC615" s="803" t="str" cm="1">
        <f t="array" ref="BC615">LOOKUP(2,1/(C615:BA615&lt;&gt;0),$C$4:$BA$4)</f>
        <v>2017-18</v>
      </c>
      <c r="BD615" s="804">
        <f>COUNTIF(RDprograms[[#This Row],[1978-79]:[2028-29]], "&gt;0")</f>
        <v>2</v>
      </c>
      <c r="BE615" s="805">
        <f>SUM(C615:BA615)/RDprograms[[#This Row],[Years with &gt; $0 investment]]</f>
        <v>7.5499999999999998E-2</v>
      </c>
      <c r="BF615" s="806" t="s">
        <v>273</v>
      </c>
      <c r="BG615" s="807" t="s">
        <v>362</v>
      </c>
      <c r="BH615" s="847" t="s">
        <v>863</v>
      </c>
      <c r="BI615" s="809"/>
      <c r="BJ615" s="809"/>
      <c r="BK615" s="809"/>
      <c r="BL615" s="809"/>
      <c r="BM615" s="809"/>
      <c r="BN615" s="810"/>
      <c r="BO615" s="811" t="s">
        <v>236</v>
      </c>
      <c r="BP615" s="812" t="s">
        <v>1501</v>
      </c>
      <c r="BQ615" s="812" t="s">
        <v>1502</v>
      </c>
      <c r="BR615" s="812"/>
      <c r="BS615" s="812"/>
      <c r="BT615" s="812" t="s">
        <v>238</v>
      </c>
    </row>
    <row r="616" spans="1:72" ht="12.75" customHeight="1">
      <c r="A616" s="813" t="s">
        <v>1401</v>
      </c>
      <c r="B616" s="820" t="s">
        <v>1503</v>
      </c>
      <c r="C616" s="5">
        <v>0</v>
      </c>
      <c r="D616" s="5">
        <v>0</v>
      </c>
      <c r="E616" s="5">
        <v>0</v>
      </c>
      <c r="F616" s="5">
        <v>0</v>
      </c>
      <c r="G616" s="5">
        <v>0</v>
      </c>
      <c r="H616" s="5">
        <v>0</v>
      </c>
      <c r="I616" s="5">
        <v>0</v>
      </c>
      <c r="J616" s="5">
        <v>0</v>
      </c>
      <c r="K616" s="5">
        <v>0</v>
      </c>
      <c r="L616" s="5">
        <v>0</v>
      </c>
      <c r="M616" s="5">
        <v>0</v>
      </c>
      <c r="N616" s="5">
        <v>0</v>
      </c>
      <c r="O616" s="5">
        <v>0</v>
      </c>
      <c r="P616" s="5">
        <v>0</v>
      </c>
      <c r="Q616" s="5">
        <v>0</v>
      </c>
      <c r="R616" s="5">
        <v>0</v>
      </c>
      <c r="S616" s="5">
        <v>0</v>
      </c>
      <c r="T616" s="5">
        <v>0</v>
      </c>
      <c r="U616" s="5">
        <v>0</v>
      </c>
      <c r="V616" s="5">
        <v>0</v>
      </c>
      <c r="W616" s="5">
        <v>0</v>
      </c>
      <c r="X616" s="5">
        <v>0</v>
      </c>
      <c r="Y616" s="5">
        <v>0</v>
      </c>
      <c r="Z616" s="5">
        <v>0</v>
      </c>
      <c r="AA616" s="5">
        <v>0</v>
      </c>
      <c r="AB616" s="5">
        <v>0</v>
      </c>
      <c r="AC616" s="5">
        <v>0</v>
      </c>
      <c r="AD616" s="5">
        <v>0</v>
      </c>
      <c r="AE616" s="5">
        <v>0</v>
      </c>
      <c r="AF616" s="5">
        <v>0</v>
      </c>
      <c r="AG616" s="5">
        <v>0</v>
      </c>
      <c r="AH616" s="5">
        <v>0</v>
      </c>
      <c r="AI616" s="5">
        <v>0</v>
      </c>
      <c r="AJ616" s="5">
        <v>0</v>
      </c>
      <c r="AK616" s="5">
        <v>0</v>
      </c>
      <c r="AL616" s="5">
        <v>0</v>
      </c>
      <c r="AM616" s="5">
        <v>0</v>
      </c>
      <c r="AN616" s="5">
        <v>0</v>
      </c>
      <c r="AO616" s="5">
        <v>0</v>
      </c>
      <c r="AP616" s="5">
        <v>0</v>
      </c>
      <c r="AQ616" s="5">
        <v>0</v>
      </c>
      <c r="AR616" s="5">
        <v>0</v>
      </c>
      <c r="AS616" s="5">
        <v>0</v>
      </c>
      <c r="AT616" s="5">
        <v>0</v>
      </c>
      <c r="AU616" s="5">
        <v>0.32700000000000001</v>
      </c>
      <c r="AV616" s="5">
        <v>0.23400000000000001</v>
      </c>
      <c r="AW616" s="815">
        <v>0</v>
      </c>
      <c r="AX616" s="816">
        <v>0</v>
      </c>
      <c r="AY616" s="819">
        <v>0</v>
      </c>
      <c r="AZ616" s="816"/>
      <c r="BA616" s="818"/>
      <c r="BB616" s="802" t="str" cm="1">
        <f t="array" ref="BB616">INDEX(C$4:BA$4,MATCH(TRUE,INDEX(C616:BA616&lt;&gt;0,),0))</f>
        <v>2022-23</v>
      </c>
      <c r="BC616" s="803" t="str" cm="1">
        <f t="array" ref="BC616">LOOKUP(2,1/(C616:BA616&lt;&gt;0),$C$4:$BA$4)</f>
        <v>2023-24</v>
      </c>
      <c r="BD616" s="804">
        <f>COUNTIF(RDprograms[[#This Row],[1978-79]:[2028-29]], "&gt;0")</f>
        <v>2</v>
      </c>
      <c r="BE616" s="805">
        <f>SUM(C616:BA616)/RDprograms[[#This Row],[Years with &gt; $0 investment]]</f>
        <v>0.28050000000000003</v>
      </c>
      <c r="BF616" s="806" t="s">
        <v>273</v>
      </c>
      <c r="BG616" s="807" t="s">
        <v>362</v>
      </c>
      <c r="BH616" s="847" t="s">
        <v>258</v>
      </c>
      <c r="BI616" s="809"/>
      <c r="BJ616" s="809"/>
      <c r="BK616" s="809"/>
      <c r="BL616" s="809"/>
      <c r="BM616" s="809"/>
      <c r="BN616" s="810"/>
      <c r="BO616" s="811" t="s">
        <v>236</v>
      </c>
      <c r="BP616" s="812" t="s">
        <v>1504</v>
      </c>
      <c r="BQ616" s="812" t="s">
        <v>1505</v>
      </c>
      <c r="BR616" s="812" t="s">
        <v>508</v>
      </c>
      <c r="BS616" s="812"/>
      <c r="BT616" s="812"/>
    </row>
    <row r="617" spans="1:72" ht="12.75" customHeight="1">
      <c r="A617" s="813" t="s">
        <v>1401</v>
      </c>
      <c r="B617" s="820" t="s">
        <v>1506</v>
      </c>
      <c r="C617" s="5">
        <v>0</v>
      </c>
      <c r="D617" s="5">
        <v>0</v>
      </c>
      <c r="E617" s="5">
        <v>0</v>
      </c>
      <c r="F617" s="5">
        <v>0</v>
      </c>
      <c r="G617" s="5">
        <v>0</v>
      </c>
      <c r="H617" s="5">
        <v>0</v>
      </c>
      <c r="I617" s="5">
        <v>0</v>
      </c>
      <c r="J617" s="5">
        <v>0</v>
      </c>
      <c r="K617" s="5">
        <v>0</v>
      </c>
      <c r="L617" s="5">
        <v>0</v>
      </c>
      <c r="M617" s="5">
        <v>0</v>
      </c>
      <c r="N617" s="5">
        <v>0</v>
      </c>
      <c r="O617" s="5">
        <v>0</v>
      </c>
      <c r="P617" s="5">
        <v>0</v>
      </c>
      <c r="Q617" s="5">
        <v>0</v>
      </c>
      <c r="R617" s="5">
        <v>0</v>
      </c>
      <c r="S617" s="5">
        <v>0</v>
      </c>
      <c r="T617" s="5">
        <v>0</v>
      </c>
      <c r="U617" s="5">
        <v>0</v>
      </c>
      <c r="V617" s="5">
        <v>0</v>
      </c>
      <c r="W617" s="5">
        <v>0</v>
      </c>
      <c r="X617" s="5">
        <v>0</v>
      </c>
      <c r="Y617" s="5">
        <v>0</v>
      </c>
      <c r="Z617" s="5">
        <v>0</v>
      </c>
      <c r="AA617" s="5">
        <v>0</v>
      </c>
      <c r="AB617" s="5">
        <v>0</v>
      </c>
      <c r="AC617" s="5">
        <v>0</v>
      </c>
      <c r="AD617" s="5">
        <v>0</v>
      </c>
      <c r="AE617" s="5">
        <v>0</v>
      </c>
      <c r="AF617" s="5">
        <v>0</v>
      </c>
      <c r="AG617" s="5">
        <v>0</v>
      </c>
      <c r="AH617" s="5">
        <v>0</v>
      </c>
      <c r="AI617" s="5">
        <v>0</v>
      </c>
      <c r="AJ617" s="5">
        <v>0</v>
      </c>
      <c r="AK617" s="5">
        <v>0</v>
      </c>
      <c r="AL617" s="5">
        <v>0</v>
      </c>
      <c r="AM617" s="5">
        <v>0</v>
      </c>
      <c r="AN617" s="5">
        <v>0.05</v>
      </c>
      <c r="AO617" s="5">
        <v>0</v>
      </c>
      <c r="AP617" s="816">
        <v>0</v>
      </c>
      <c r="AQ617" s="816">
        <v>0</v>
      </c>
      <c r="AR617" s="5">
        <v>0</v>
      </c>
      <c r="AS617" s="5">
        <v>0</v>
      </c>
      <c r="AT617" s="5">
        <v>0</v>
      </c>
      <c r="AU617" s="5">
        <v>0</v>
      </c>
      <c r="AV617" s="5">
        <v>0</v>
      </c>
      <c r="AW617" s="815">
        <v>0</v>
      </c>
      <c r="AX617" s="816">
        <v>0</v>
      </c>
      <c r="AY617" s="819">
        <v>0</v>
      </c>
      <c r="AZ617" s="816"/>
      <c r="BA617" s="818"/>
      <c r="BB617" s="802" t="str" cm="1">
        <f t="array" ref="BB617">INDEX(C$4:BA$4,MATCH(TRUE,INDEX(C617:BA617&lt;&gt;0,),0))</f>
        <v>2015-16</v>
      </c>
      <c r="BC617" s="803" t="str" cm="1">
        <f t="array" ref="BC617">LOOKUP(2,1/(C617:BA617&lt;&gt;0),$C$4:$BA$4)</f>
        <v>2015-16</v>
      </c>
      <c r="BD617" s="804">
        <f>COUNTIF(RDprograms[[#This Row],[1978-79]:[2028-29]], "&gt;0")</f>
        <v>1</v>
      </c>
      <c r="BE617" s="805">
        <f>SUM(C617:BA617)/RDprograms[[#This Row],[Years with &gt; $0 investment]]</f>
        <v>0.05</v>
      </c>
      <c r="BF617" s="806" t="s">
        <v>273</v>
      </c>
      <c r="BG617" s="807" t="s">
        <v>362</v>
      </c>
      <c r="BH617" s="847" t="s">
        <v>241</v>
      </c>
      <c r="BI617" s="809"/>
      <c r="BJ617" s="809"/>
      <c r="BK617" s="809"/>
      <c r="BL617" s="809"/>
      <c r="BM617" s="809"/>
      <c r="BN617" s="810"/>
      <c r="BO617" s="811" t="s">
        <v>236</v>
      </c>
      <c r="BP617" s="812" t="s">
        <v>1403</v>
      </c>
      <c r="BQ617" s="812" t="s">
        <v>1507</v>
      </c>
      <c r="BR617" s="812" t="s">
        <v>508</v>
      </c>
      <c r="BS617" s="812"/>
      <c r="BT617" s="812" t="s">
        <v>238</v>
      </c>
    </row>
    <row r="618" spans="1:72" ht="12.75" customHeight="1">
      <c r="A618" s="813" t="s">
        <v>1401</v>
      </c>
      <c r="B618" s="820" t="s">
        <v>1508</v>
      </c>
      <c r="C618" s="5">
        <v>0</v>
      </c>
      <c r="D618" s="5">
        <v>0</v>
      </c>
      <c r="E618" s="5">
        <v>0</v>
      </c>
      <c r="F618" s="5">
        <v>0</v>
      </c>
      <c r="G618" s="5">
        <v>0</v>
      </c>
      <c r="H618" s="5">
        <v>0</v>
      </c>
      <c r="I618" s="5">
        <v>0</v>
      </c>
      <c r="J618" s="5">
        <v>0</v>
      </c>
      <c r="K618" s="5">
        <v>0</v>
      </c>
      <c r="L618" s="5">
        <v>0</v>
      </c>
      <c r="M618" s="5">
        <v>0</v>
      </c>
      <c r="N618" s="5">
        <v>0</v>
      </c>
      <c r="O618" s="5">
        <v>0</v>
      </c>
      <c r="P618" s="5">
        <v>0</v>
      </c>
      <c r="Q618" s="5">
        <v>0</v>
      </c>
      <c r="R618" s="5">
        <v>0</v>
      </c>
      <c r="S618" s="5">
        <v>0</v>
      </c>
      <c r="T618" s="5">
        <v>0</v>
      </c>
      <c r="U618" s="5">
        <v>0</v>
      </c>
      <c r="V618" s="5">
        <v>0</v>
      </c>
      <c r="W618" s="5">
        <v>0</v>
      </c>
      <c r="X618" s="5">
        <v>0</v>
      </c>
      <c r="Y618" s="5">
        <v>0</v>
      </c>
      <c r="Z618" s="5">
        <v>0</v>
      </c>
      <c r="AA618" s="5">
        <v>0</v>
      </c>
      <c r="AB618" s="5">
        <v>0</v>
      </c>
      <c r="AC618" s="5">
        <v>0</v>
      </c>
      <c r="AD618" s="5">
        <v>0</v>
      </c>
      <c r="AE618" s="5">
        <v>0</v>
      </c>
      <c r="AF618" s="5">
        <v>0</v>
      </c>
      <c r="AG618" s="5">
        <v>0</v>
      </c>
      <c r="AH618" s="5">
        <v>0</v>
      </c>
      <c r="AI618" s="5">
        <v>0</v>
      </c>
      <c r="AJ618" s="5">
        <v>0</v>
      </c>
      <c r="AK618" s="5">
        <v>0</v>
      </c>
      <c r="AL618" s="5">
        <v>0</v>
      </c>
      <c r="AM618" s="5">
        <v>0</v>
      </c>
      <c r="AN618" s="5">
        <v>0</v>
      </c>
      <c r="AO618" s="5">
        <v>0</v>
      </c>
      <c r="AP618" s="5">
        <v>0</v>
      </c>
      <c r="AQ618" s="5">
        <v>0</v>
      </c>
      <c r="AR618" s="5">
        <v>0</v>
      </c>
      <c r="AS618" s="5">
        <v>0</v>
      </c>
      <c r="AT618" s="5">
        <v>0</v>
      </c>
      <c r="AU618" s="5">
        <v>0</v>
      </c>
      <c r="AV618" s="5">
        <v>0</v>
      </c>
      <c r="AW618" s="815">
        <v>0.17399999999999999</v>
      </c>
      <c r="AX618" s="816">
        <v>1.1759999999999999</v>
      </c>
      <c r="AY618" s="819">
        <v>0.71499999999999997</v>
      </c>
      <c r="AZ618" s="826">
        <v>0.72399999999999998</v>
      </c>
      <c r="BA618" s="818"/>
      <c r="BB618" s="802" t="str" cm="1">
        <f t="array" ref="BB618">INDEX(C$4:BA$4,MATCH(TRUE,INDEX(C618:BA618&lt;&gt;0,),0))</f>
        <v>2024-25</v>
      </c>
      <c r="BC618" s="803" t="str" cm="1">
        <f t="array" ref="BC618">LOOKUP(2,1/(C618:BA618&lt;&gt;0),$C$4:$BA$4)</f>
        <v>2027-28</v>
      </c>
      <c r="BD618" s="804">
        <f>COUNTIF(RDprograms[[#This Row],[1978-79]:[2028-29]], "&gt;0")</f>
        <v>4</v>
      </c>
      <c r="BE618" s="805">
        <f>SUM(C618:BA618)/RDprograms[[#This Row],[Years with &gt; $0 investment]]</f>
        <v>0.69724999999999993</v>
      </c>
      <c r="BF618" s="806" t="s">
        <v>273</v>
      </c>
      <c r="BG618" s="807" t="s">
        <v>362</v>
      </c>
      <c r="BH618" s="847" t="s">
        <v>258</v>
      </c>
      <c r="BI618" s="809"/>
      <c r="BJ618" s="809">
        <v>1</v>
      </c>
      <c r="BK618" s="809"/>
      <c r="BL618" s="809"/>
      <c r="BM618" s="809"/>
      <c r="BN618" s="810">
        <v>1</v>
      </c>
      <c r="BO618" s="811" t="s">
        <v>236</v>
      </c>
      <c r="BP618" s="812" t="s">
        <v>1509</v>
      </c>
      <c r="BQ618" s="812" t="s">
        <v>1510</v>
      </c>
      <c r="BR618" s="812"/>
      <c r="BS618" s="812"/>
      <c r="BT618" s="812"/>
    </row>
    <row r="619" spans="1:72" ht="12.75" customHeight="1">
      <c r="A619" s="813" t="s">
        <v>1401</v>
      </c>
      <c r="B619" s="814" t="s">
        <v>1511</v>
      </c>
      <c r="C619" s="5">
        <v>0</v>
      </c>
      <c r="D619" s="5">
        <v>0</v>
      </c>
      <c r="E619" s="5">
        <v>0</v>
      </c>
      <c r="F619" s="5">
        <v>0</v>
      </c>
      <c r="G619" s="5">
        <v>0</v>
      </c>
      <c r="H619" s="5">
        <v>0</v>
      </c>
      <c r="I619" s="5">
        <v>0</v>
      </c>
      <c r="J619" s="5">
        <v>0</v>
      </c>
      <c r="K619" s="5">
        <v>0</v>
      </c>
      <c r="L619" s="5">
        <v>0</v>
      </c>
      <c r="M619" s="5">
        <v>0</v>
      </c>
      <c r="N619" s="5">
        <v>0</v>
      </c>
      <c r="O619" s="5">
        <v>0</v>
      </c>
      <c r="P619" s="5">
        <v>0</v>
      </c>
      <c r="Q619" s="5">
        <v>0</v>
      </c>
      <c r="R619" s="5">
        <v>0</v>
      </c>
      <c r="S619" s="5">
        <v>0</v>
      </c>
      <c r="T619" s="5">
        <v>0</v>
      </c>
      <c r="U619" s="5">
        <v>0</v>
      </c>
      <c r="V619" s="5">
        <v>0</v>
      </c>
      <c r="W619" s="5">
        <v>0</v>
      </c>
      <c r="X619" s="5">
        <v>0</v>
      </c>
      <c r="Y619" s="5">
        <v>0</v>
      </c>
      <c r="Z619" s="5">
        <v>0</v>
      </c>
      <c r="AA619" s="5">
        <v>0</v>
      </c>
      <c r="AB619" s="5">
        <v>0</v>
      </c>
      <c r="AC619" s="5">
        <v>0</v>
      </c>
      <c r="AD619" s="5">
        <v>0</v>
      </c>
      <c r="AE619" s="5">
        <v>0</v>
      </c>
      <c r="AF619" s="5">
        <v>0</v>
      </c>
      <c r="AG619" s="5">
        <v>0</v>
      </c>
      <c r="AH619" s="5">
        <v>0</v>
      </c>
      <c r="AI619" s="5">
        <v>0</v>
      </c>
      <c r="AJ619" s="5">
        <v>0</v>
      </c>
      <c r="AK619" s="5">
        <v>0</v>
      </c>
      <c r="AL619" s="5">
        <v>0</v>
      </c>
      <c r="AM619" s="5">
        <v>0</v>
      </c>
      <c r="AN619" s="5">
        <v>0</v>
      </c>
      <c r="AO619" s="5">
        <v>0</v>
      </c>
      <c r="AP619" s="5">
        <v>0</v>
      </c>
      <c r="AQ619" s="5">
        <v>0</v>
      </c>
      <c r="AR619" s="5">
        <v>0</v>
      </c>
      <c r="AS619" s="5">
        <v>0</v>
      </c>
      <c r="AT619" s="5">
        <v>0</v>
      </c>
      <c r="AU619" s="5">
        <v>0</v>
      </c>
      <c r="AV619" s="5">
        <v>0</v>
      </c>
      <c r="AW619" s="815">
        <v>0.55000000000000004</v>
      </c>
      <c r="AX619" s="816">
        <v>0.20499999999999999</v>
      </c>
      <c r="AY619" s="819">
        <v>3.78</v>
      </c>
      <c r="AZ619" s="826">
        <v>3.8069999999999999</v>
      </c>
      <c r="BA619" s="818">
        <v>3.85</v>
      </c>
      <c r="BB619" s="802" t="str" cm="1">
        <f t="array" ref="BB619">INDEX(C$4:BA$4,MATCH(TRUE,INDEX(C619:BA619&lt;&gt;0,),0))</f>
        <v>2024-25</v>
      </c>
      <c r="BC619" s="803" t="str" cm="1">
        <f t="array" ref="BC619">LOOKUP(2,1/(C619:BA619&lt;&gt;0),$C$4:$BA$4)</f>
        <v>2028-29</v>
      </c>
      <c r="BD619" s="804">
        <f>COUNTIF(RDprograms[[#This Row],[1978-79]:[2028-29]], "&gt;0")</f>
        <v>5</v>
      </c>
      <c r="BE619" s="805">
        <f>SUM(C619:BA619)/RDprograms[[#This Row],[Years with &gt; $0 investment]]</f>
        <v>2.4384000000000001</v>
      </c>
      <c r="BF619" s="806" t="s">
        <v>273</v>
      </c>
      <c r="BG619" s="807" t="s">
        <v>362</v>
      </c>
      <c r="BH619" s="847" t="s">
        <v>258</v>
      </c>
      <c r="BI619" s="809"/>
      <c r="BJ619" s="809">
        <v>1</v>
      </c>
      <c r="BK619" s="809"/>
      <c r="BL619" s="809"/>
      <c r="BM619" s="809"/>
      <c r="BN619" s="810">
        <v>1</v>
      </c>
      <c r="BO619" s="811" t="s">
        <v>236</v>
      </c>
      <c r="BP619" s="812" t="s">
        <v>1512</v>
      </c>
      <c r="BQ619" s="812" t="s">
        <v>1513</v>
      </c>
      <c r="BR619" s="812"/>
      <c r="BS619" s="812"/>
      <c r="BT619" s="812"/>
    </row>
    <row r="620" spans="1:72" ht="12.75" customHeight="1">
      <c r="A620" s="813" t="s">
        <v>1401</v>
      </c>
      <c r="B620" s="820" t="s">
        <v>1514</v>
      </c>
      <c r="C620" s="5">
        <v>0</v>
      </c>
      <c r="D620" s="5">
        <v>0</v>
      </c>
      <c r="E620" s="5">
        <v>0</v>
      </c>
      <c r="F620" s="5">
        <v>0</v>
      </c>
      <c r="G620" s="5">
        <v>0</v>
      </c>
      <c r="H620" s="5">
        <v>0</v>
      </c>
      <c r="I620" s="5">
        <v>0</v>
      </c>
      <c r="J620" s="5">
        <v>0</v>
      </c>
      <c r="K620" s="5">
        <v>0</v>
      </c>
      <c r="L620" s="5">
        <v>0</v>
      </c>
      <c r="M620" s="5">
        <v>0</v>
      </c>
      <c r="N620" s="5">
        <v>0</v>
      </c>
      <c r="O620" s="5">
        <v>0</v>
      </c>
      <c r="P620" s="5">
        <v>0</v>
      </c>
      <c r="Q620" s="5">
        <v>0</v>
      </c>
      <c r="R620" s="5">
        <v>0</v>
      </c>
      <c r="S620" s="5">
        <v>0</v>
      </c>
      <c r="T620" s="5">
        <v>0</v>
      </c>
      <c r="U620" s="5">
        <v>0</v>
      </c>
      <c r="V620" s="5">
        <v>0</v>
      </c>
      <c r="W620" s="5">
        <v>0</v>
      </c>
      <c r="X620" s="5">
        <v>0</v>
      </c>
      <c r="Y620" s="5">
        <v>0</v>
      </c>
      <c r="Z620" s="5">
        <v>0</v>
      </c>
      <c r="AA620" s="5">
        <v>0</v>
      </c>
      <c r="AB620" s="5">
        <v>0</v>
      </c>
      <c r="AC620" s="5">
        <v>0</v>
      </c>
      <c r="AD620" s="5">
        <v>0</v>
      </c>
      <c r="AE620" s="5">
        <v>0</v>
      </c>
      <c r="AF620" s="5">
        <v>0</v>
      </c>
      <c r="AG620" s="5">
        <v>0</v>
      </c>
      <c r="AH620" s="5">
        <v>0</v>
      </c>
      <c r="AI620" s="5">
        <v>0</v>
      </c>
      <c r="AJ620" s="5">
        <v>0</v>
      </c>
      <c r="AK620" s="5">
        <v>0</v>
      </c>
      <c r="AL620" s="5">
        <v>0</v>
      </c>
      <c r="AM620" s="5">
        <v>0</v>
      </c>
      <c r="AN620" s="5">
        <v>0</v>
      </c>
      <c r="AO620" s="5">
        <v>0</v>
      </c>
      <c r="AP620" s="816">
        <v>0</v>
      </c>
      <c r="AQ620" s="816">
        <v>0</v>
      </c>
      <c r="AR620" s="5">
        <v>0</v>
      </c>
      <c r="AS620" s="5">
        <v>0</v>
      </c>
      <c r="AT620" s="897">
        <v>4.42</v>
      </c>
      <c r="AU620" s="5">
        <v>4.42</v>
      </c>
      <c r="AV620" s="5">
        <v>4.82</v>
      </c>
      <c r="AW620" s="849">
        <v>4.5199999999999996</v>
      </c>
      <c r="AX620" s="816">
        <v>4.57</v>
      </c>
      <c r="AY620" s="819">
        <v>0</v>
      </c>
      <c r="AZ620" s="816"/>
      <c r="BA620" s="818"/>
      <c r="BB620" s="802" t="str" cm="1">
        <f t="array" ref="BB620">INDEX(C$4:BA$4,MATCH(TRUE,INDEX(C620:BA620&lt;&gt;0,),0))</f>
        <v>2021-22</v>
      </c>
      <c r="BC620" s="803" t="str" cm="1">
        <f t="array" ref="BC620">LOOKUP(2,1/(C620:BA620&lt;&gt;0),$C$4:$BA$4)</f>
        <v>2025-26</v>
      </c>
      <c r="BD620" s="804">
        <f>COUNTIF(RDprograms[[#This Row],[1978-79]:[2028-29]], "&gt;0")</f>
        <v>5</v>
      </c>
      <c r="BE620" s="805">
        <f>SUM(C620:BA620)/RDprograms[[#This Row],[Years with &gt; $0 investment]]</f>
        <v>4.55</v>
      </c>
      <c r="BF620" s="806" t="s">
        <v>273</v>
      </c>
      <c r="BG620" s="807" t="s">
        <v>362</v>
      </c>
      <c r="BH620" s="847" t="s">
        <v>258</v>
      </c>
      <c r="BI620" s="809"/>
      <c r="BJ620" s="809">
        <v>1</v>
      </c>
      <c r="BK620" s="809"/>
      <c r="BL620" s="809"/>
      <c r="BM620" s="809"/>
      <c r="BN620" s="810"/>
      <c r="BO620" s="811" t="s">
        <v>236</v>
      </c>
      <c r="BP620" s="812" t="s">
        <v>1515</v>
      </c>
      <c r="BQ620" s="812" t="s">
        <v>1516</v>
      </c>
      <c r="BR620" s="812"/>
      <c r="BS620" s="812"/>
      <c r="BT620" s="812" t="s">
        <v>238</v>
      </c>
    </row>
    <row r="621" spans="1:72" ht="12.75" customHeight="1">
      <c r="A621" s="813" t="s">
        <v>1401</v>
      </c>
      <c r="B621" s="820" t="s">
        <v>1517</v>
      </c>
      <c r="C621" s="5">
        <v>0</v>
      </c>
      <c r="D621" s="5">
        <v>0</v>
      </c>
      <c r="E621" s="5">
        <v>0</v>
      </c>
      <c r="F621" s="5">
        <v>0</v>
      </c>
      <c r="G621" s="5">
        <v>0</v>
      </c>
      <c r="H621" s="5">
        <v>0</v>
      </c>
      <c r="I621" s="5">
        <v>0</v>
      </c>
      <c r="J621" s="5">
        <v>0</v>
      </c>
      <c r="K621" s="5">
        <v>0</v>
      </c>
      <c r="L621" s="5">
        <v>0</v>
      </c>
      <c r="M621" s="5">
        <v>0</v>
      </c>
      <c r="N621" s="5">
        <v>0</v>
      </c>
      <c r="O621" s="5">
        <v>0</v>
      </c>
      <c r="P621" s="5">
        <v>0</v>
      </c>
      <c r="Q621" s="5">
        <v>0</v>
      </c>
      <c r="R621" s="5">
        <v>0</v>
      </c>
      <c r="S621" s="5">
        <v>0</v>
      </c>
      <c r="T621" s="5">
        <v>0</v>
      </c>
      <c r="U621" s="5">
        <v>0</v>
      </c>
      <c r="V621" s="5">
        <v>0</v>
      </c>
      <c r="W621" s="5">
        <v>0</v>
      </c>
      <c r="X621" s="5">
        <v>0</v>
      </c>
      <c r="Y621" s="5">
        <v>0</v>
      </c>
      <c r="Z621" s="5">
        <v>0</v>
      </c>
      <c r="AA621" s="5">
        <v>0</v>
      </c>
      <c r="AB621" s="5">
        <v>0</v>
      </c>
      <c r="AC621" s="5">
        <v>0</v>
      </c>
      <c r="AD621" s="5">
        <v>0</v>
      </c>
      <c r="AE621" s="5">
        <v>0</v>
      </c>
      <c r="AF621" s="5">
        <v>0</v>
      </c>
      <c r="AG621" s="5">
        <v>0</v>
      </c>
      <c r="AH621" s="5">
        <v>0</v>
      </c>
      <c r="AI621" s="5">
        <v>0</v>
      </c>
      <c r="AJ621" s="5">
        <v>0</v>
      </c>
      <c r="AK621" s="5">
        <v>0</v>
      </c>
      <c r="AL621" s="5">
        <v>0</v>
      </c>
      <c r="AM621" s="5">
        <v>0</v>
      </c>
      <c r="AN621" s="5">
        <v>0</v>
      </c>
      <c r="AO621" s="5">
        <v>0</v>
      </c>
      <c r="AP621" s="5">
        <v>0</v>
      </c>
      <c r="AQ621" s="5">
        <v>0</v>
      </c>
      <c r="AR621" s="5">
        <v>0</v>
      </c>
      <c r="AS621" s="5">
        <v>0</v>
      </c>
      <c r="AT621" s="5">
        <v>0</v>
      </c>
      <c r="AU621" s="5">
        <v>6.8000000000000005E-2</v>
      </c>
      <c r="AV621" s="5">
        <v>0.36799999999999999</v>
      </c>
      <c r="AW621" s="849">
        <v>0</v>
      </c>
      <c r="AX621" s="816">
        <v>0</v>
      </c>
      <c r="AY621" s="819">
        <v>0</v>
      </c>
      <c r="AZ621" s="826">
        <v>0</v>
      </c>
      <c r="BA621" s="838"/>
      <c r="BB621" s="802" t="str" cm="1">
        <f t="array" ref="BB621">INDEX(C$4:BA$4,MATCH(TRUE,INDEX(C621:BA621&lt;&gt;0,),0))</f>
        <v>2022-23</v>
      </c>
      <c r="BC621" s="803" t="str" cm="1">
        <f t="array" ref="BC621">LOOKUP(2,1/(C621:BA621&lt;&gt;0),$C$4:$BA$4)</f>
        <v>2023-24</v>
      </c>
      <c r="BD621" s="839">
        <f>COUNTIF(RDprograms[[#This Row],[1978-79]:[2028-29]], "&gt;0")</f>
        <v>2</v>
      </c>
      <c r="BE621" s="805">
        <f>SUM(C621:BA621)/RDprograms[[#This Row],[Years with &gt; $0 investment]]</f>
        <v>0.218</v>
      </c>
      <c r="BF621" s="806" t="s">
        <v>273</v>
      </c>
      <c r="BG621" s="807" t="s">
        <v>362</v>
      </c>
      <c r="BH621" s="847" t="s">
        <v>258</v>
      </c>
      <c r="BI621" s="809"/>
      <c r="BJ621" s="809"/>
      <c r="BK621" s="809"/>
      <c r="BL621" s="809"/>
      <c r="BM621" s="809"/>
      <c r="BN621" s="810"/>
      <c r="BO621" s="811" t="s">
        <v>236</v>
      </c>
      <c r="BP621" s="812" t="s">
        <v>1518</v>
      </c>
      <c r="BQ621" s="812" t="s">
        <v>1519</v>
      </c>
      <c r="BR621" s="812" t="s">
        <v>1488</v>
      </c>
      <c r="BS621" s="812"/>
      <c r="BT621" s="812"/>
    </row>
    <row r="622" spans="1:72" ht="12.75" customHeight="1">
      <c r="A622" s="813" t="s">
        <v>1401</v>
      </c>
      <c r="B622" s="820" t="s">
        <v>1520</v>
      </c>
      <c r="C622" s="5">
        <v>0</v>
      </c>
      <c r="D622" s="5">
        <v>0</v>
      </c>
      <c r="E622" s="5">
        <v>0</v>
      </c>
      <c r="F622" s="5">
        <v>0</v>
      </c>
      <c r="G622" s="5">
        <v>0</v>
      </c>
      <c r="H622" s="5">
        <v>0</v>
      </c>
      <c r="I622" s="5">
        <v>0</v>
      </c>
      <c r="J622" s="5">
        <v>0</v>
      </c>
      <c r="K622" s="5">
        <v>0</v>
      </c>
      <c r="L622" s="5">
        <v>0</v>
      </c>
      <c r="M622" s="5">
        <v>0</v>
      </c>
      <c r="N622" s="5">
        <v>0</v>
      </c>
      <c r="O622" s="5">
        <v>0</v>
      </c>
      <c r="P622" s="5">
        <v>0</v>
      </c>
      <c r="Q622" s="5">
        <v>0</v>
      </c>
      <c r="R622" s="5">
        <v>0</v>
      </c>
      <c r="S622" s="5">
        <v>0</v>
      </c>
      <c r="T622" s="5">
        <v>0</v>
      </c>
      <c r="U622" s="5">
        <v>0</v>
      </c>
      <c r="V622" s="5">
        <v>0</v>
      </c>
      <c r="W622" s="5">
        <v>0</v>
      </c>
      <c r="X622" s="5">
        <v>0</v>
      </c>
      <c r="Y622" s="5">
        <v>0</v>
      </c>
      <c r="Z622" s="5">
        <v>0</v>
      </c>
      <c r="AA622" s="5">
        <v>0</v>
      </c>
      <c r="AB622" s="5">
        <v>0</v>
      </c>
      <c r="AC622" s="5">
        <v>0</v>
      </c>
      <c r="AD622" s="5">
        <v>0</v>
      </c>
      <c r="AE622" s="5">
        <v>0</v>
      </c>
      <c r="AF622" s="5">
        <v>0</v>
      </c>
      <c r="AG622" s="5">
        <v>0</v>
      </c>
      <c r="AH622" s="5">
        <v>0</v>
      </c>
      <c r="AI622" s="5">
        <v>0</v>
      </c>
      <c r="AJ622" s="5">
        <v>0</v>
      </c>
      <c r="AK622" s="5">
        <v>0</v>
      </c>
      <c r="AL622" s="5">
        <v>0</v>
      </c>
      <c r="AM622" s="5">
        <v>0</v>
      </c>
      <c r="AN622" s="5">
        <v>0</v>
      </c>
      <c r="AO622" s="5">
        <v>0</v>
      </c>
      <c r="AP622" s="5">
        <v>0</v>
      </c>
      <c r="AQ622" s="5">
        <v>0</v>
      </c>
      <c r="AR622" s="5">
        <v>0</v>
      </c>
      <c r="AS622" s="5">
        <v>0</v>
      </c>
      <c r="AT622" s="5">
        <v>0</v>
      </c>
      <c r="AU622" s="5">
        <v>0</v>
      </c>
      <c r="AV622" s="5">
        <v>0.17399999999999999</v>
      </c>
      <c r="AW622" s="849">
        <v>0</v>
      </c>
      <c r="AX622" s="816">
        <v>0</v>
      </c>
      <c r="AY622" s="819">
        <v>0</v>
      </c>
      <c r="AZ622" s="826">
        <v>0</v>
      </c>
      <c r="BA622" s="838"/>
      <c r="BB622" s="802" t="str" cm="1">
        <f t="array" ref="BB622">INDEX(C$4:BA$4,MATCH(TRUE,INDEX(C622:BA622&lt;&gt;0,),0))</f>
        <v>2023-24</v>
      </c>
      <c r="BC622" s="803" t="str" cm="1">
        <f t="array" ref="BC622">LOOKUP(2,1/(C622:BA622&lt;&gt;0),$C$4:$BA$4)</f>
        <v>2023-24</v>
      </c>
      <c r="BD622" s="839">
        <f>COUNTIF(RDprograms[[#This Row],[1978-79]:[2028-29]], "&gt;0")</f>
        <v>1</v>
      </c>
      <c r="BE622" s="805">
        <f>SUM(C622:BA622)/RDprograms[[#This Row],[Years with &gt; $0 investment]]</f>
        <v>0.17399999999999999</v>
      </c>
      <c r="BF622" s="806" t="s">
        <v>273</v>
      </c>
      <c r="BG622" s="807" t="s">
        <v>362</v>
      </c>
      <c r="BH622" s="847" t="s">
        <v>258</v>
      </c>
      <c r="BI622" s="809"/>
      <c r="BJ622" s="809"/>
      <c r="BK622" s="809"/>
      <c r="BL622" s="809"/>
      <c r="BM622" s="809"/>
      <c r="BN622" s="810"/>
      <c r="BO622" s="811" t="s">
        <v>236</v>
      </c>
      <c r="BP622" s="812" t="s">
        <v>1521</v>
      </c>
      <c r="BQ622" s="812" t="s">
        <v>1519</v>
      </c>
      <c r="BR622" s="812" t="s">
        <v>1488</v>
      </c>
      <c r="BS622" s="812"/>
      <c r="BT622" s="812"/>
    </row>
    <row r="623" spans="1:72" ht="12.75" customHeight="1">
      <c r="A623" s="813" t="s">
        <v>1401</v>
      </c>
      <c r="B623" s="820" t="s">
        <v>1522</v>
      </c>
      <c r="C623" s="5">
        <v>0</v>
      </c>
      <c r="D623" s="5">
        <v>0</v>
      </c>
      <c r="E623" s="5">
        <v>0</v>
      </c>
      <c r="F623" s="5">
        <v>0</v>
      </c>
      <c r="G623" s="5">
        <v>0</v>
      </c>
      <c r="H623" s="5">
        <v>0</v>
      </c>
      <c r="I623" s="5">
        <v>0</v>
      </c>
      <c r="J623" s="5">
        <v>0</v>
      </c>
      <c r="K623" s="5">
        <v>0</v>
      </c>
      <c r="L623" s="5">
        <v>0</v>
      </c>
      <c r="M623" s="5">
        <v>0</v>
      </c>
      <c r="N623" s="5">
        <v>0</v>
      </c>
      <c r="O623" s="5">
        <v>0</v>
      </c>
      <c r="P623" s="5">
        <v>0</v>
      </c>
      <c r="Q623" s="5">
        <v>0</v>
      </c>
      <c r="R623" s="5">
        <v>0</v>
      </c>
      <c r="S623" s="5">
        <v>0</v>
      </c>
      <c r="T623" s="5">
        <v>0</v>
      </c>
      <c r="U623" s="5">
        <v>0</v>
      </c>
      <c r="V623" s="5">
        <v>0</v>
      </c>
      <c r="W623" s="5">
        <v>0</v>
      </c>
      <c r="X623" s="5">
        <v>0</v>
      </c>
      <c r="Y623" s="5">
        <v>0</v>
      </c>
      <c r="Z623" s="5">
        <v>0</v>
      </c>
      <c r="AA623" s="5">
        <v>0</v>
      </c>
      <c r="AB623" s="5">
        <v>0</v>
      </c>
      <c r="AC623" s="5">
        <v>0</v>
      </c>
      <c r="AD623" s="5">
        <v>0</v>
      </c>
      <c r="AE623" s="5">
        <v>0</v>
      </c>
      <c r="AF623" s="5">
        <v>0</v>
      </c>
      <c r="AG623" s="5">
        <v>0</v>
      </c>
      <c r="AH623" s="5">
        <v>0</v>
      </c>
      <c r="AI623" s="5">
        <v>0</v>
      </c>
      <c r="AJ623" s="5">
        <v>0</v>
      </c>
      <c r="AK623" s="5">
        <v>0</v>
      </c>
      <c r="AL623" s="5">
        <v>0</v>
      </c>
      <c r="AM623" s="5">
        <v>0</v>
      </c>
      <c r="AN623" s="5">
        <v>0</v>
      </c>
      <c r="AO623" s="5">
        <v>0</v>
      </c>
      <c r="AP623" s="5">
        <v>0</v>
      </c>
      <c r="AQ623" s="5">
        <v>0</v>
      </c>
      <c r="AR623" s="5">
        <v>0</v>
      </c>
      <c r="AS623" s="5">
        <v>0.44</v>
      </c>
      <c r="AT623" s="5">
        <v>0.17699999999999999</v>
      </c>
      <c r="AU623" s="5">
        <v>0</v>
      </c>
      <c r="AV623" s="5">
        <v>0</v>
      </c>
      <c r="AW623" s="815">
        <v>0</v>
      </c>
      <c r="AX623" s="816">
        <v>0</v>
      </c>
      <c r="AY623" s="819">
        <v>0</v>
      </c>
      <c r="AZ623" s="816"/>
      <c r="BA623" s="818"/>
      <c r="BB623" s="802" t="str" cm="1">
        <f t="array" ref="BB623">INDEX(C$4:BA$4,MATCH(TRUE,INDEX(C623:BA623&lt;&gt;0,),0))</f>
        <v>2020-21</v>
      </c>
      <c r="BC623" s="803" t="str" cm="1">
        <f t="array" ref="BC623">LOOKUP(2,1/(C623:BA623&lt;&gt;0),$C$4:$BA$4)</f>
        <v>2021-22</v>
      </c>
      <c r="BD623" s="804">
        <f>COUNTIF(RDprograms[[#This Row],[1978-79]:[2028-29]], "&gt;0")</f>
        <v>2</v>
      </c>
      <c r="BE623" s="805">
        <f>SUM(C623:BA623)/RDprograms[[#This Row],[Years with &gt; $0 investment]]</f>
        <v>0.3085</v>
      </c>
      <c r="BF623" s="806" t="s">
        <v>240</v>
      </c>
      <c r="BG623" s="807" t="s">
        <v>362</v>
      </c>
      <c r="BH623" s="847" t="s">
        <v>241</v>
      </c>
      <c r="BI623" s="809"/>
      <c r="BJ623" s="809"/>
      <c r="BK623" s="809"/>
      <c r="BL623" s="809"/>
      <c r="BM623" s="809"/>
      <c r="BN623" s="810"/>
      <c r="BO623" s="811" t="s">
        <v>236</v>
      </c>
      <c r="BP623" s="812" t="s">
        <v>1523</v>
      </c>
      <c r="BQ623" s="812" t="s">
        <v>1524</v>
      </c>
      <c r="BR623" s="812"/>
      <c r="BS623" s="812"/>
      <c r="BT623" s="812" t="s">
        <v>238</v>
      </c>
    </row>
    <row r="624" spans="1:72" ht="12.75" customHeight="1">
      <c r="A624" s="813" t="s">
        <v>1401</v>
      </c>
      <c r="B624" s="820" t="s">
        <v>1525</v>
      </c>
      <c r="C624" s="5">
        <v>0</v>
      </c>
      <c r="D624" s="5">
        <v>0</v>
      </c>
      <c r="E624" s="5">
        <v>0</v>
      </c>
      <c r="F624" s="5">
        <v>0</v>
      </c>
      <c r="G624" s="5">
        <v>0</v>
      </c>
      <c r="H624" s="5">
        <v>0</v>
      </c>
      <c r="I624" s="5">
        <v>0</v>
      </c>
      <c r="J624" s="5">
        <v>0</v>
      </c>
      <c r="K624" s="5">
        <v>0</v>
      </c>
      <c r="L624" s="5">
        <v>0</v>
      </c>
      <c r="M624" s="5">
        <v>0</v>
      </c>
      <c r="N624" s="5">
        <v>0</v>
      </c>
      <c r="O624" s="5">
        <v>0</v>
      </c>
      <c r="P624" s="5">
        <v>0</v>
      </c>
      <c r="Q624" s="5">
        <v>0</v>
      </c>
      <c r="R624" s="5">
        <v>0</v>
      </c>
      <c r="S624" s="5">
        <v>0</v>
      </c>
      <c r="T624" s="5">
        <v>0</v>
      </c>
      <c r="U624" s="5">
        <v>0</v>
      </c>
      <c r="V624" s="5">
        <v>0</v>
      </c>
      <c r="W624" s="5">
        <v>0</v>
      </c>
      <c r="X624" s="5">
        <v>0</v>
      </c>
      <c r="Y624" s="5">
        <v>0</v>
      </c>
      <c r="Z624" s="5">
        <v>0</v>
      </c>
      <c r="AA624" s="5">
        <v>0</v>
      </c>
      <c r="AB624" s="5">
        <v>0</v>
      </c>
      <c r="AC624" s="5">
        <v>0</v>
      </c>
      <c r="AD624" s="5">
        <v>0</v>
      </c>
      <c r="AE624" s="5">
        <v>0</v>
      </c>
      <c r="AF624" s="5">
        <v>0</v>
      </c>
      <c r="AG624" s="5">
        <v>0</v>
      </c>
      <c r="AH624" s="5">
        <v>0</v>
      </c>
      <c r="AI624" s="5">
        <v>0</v>
      </c>
      <c r="AJ624" s="5">
        <v>0</v>
      </c>
      <c r="AK624" s="5">
        <v>0</v>
      </c>
      <c r="AL624" s="5">
        <v>0</v>
      </c>
      <c r="AM624" s="5">
        <v>0</v>
      </c>
      <c r="AN624" s="5">
        <v>0</v>
      </c>
      <c r="AO624" s="5">
        <v>0</v>
      </c>
      <c r="AP624" s="816">
        <v>0</v>
      </c>
      <c r="AQ624" s="816">
        <v>0</v>
      </c>
      <c r="AR624" s="5">
        <v>0</v>
      </c>
      <c r="AS624" s="5">
        <v>0.22</v>
      </c>
      <c r="AT624" s="5">
        <v>7.0999999999999994E-2</v>
      </c>
      <c r="AU624" s="5">
        <v>0</v>
      </c>
      <c r="AV624" s="5">
        <v>0</v>
      </c>
      <c r="AW624" s="815">
        <v>0</v>
      </c>
      <c r="AX624" s="816">
        <v>0</v>
      </c>
      <c r="AY624" s="819">
        <v>0</v>
      </c>
      <c r="AZ624" s="816"/>
      <c r="BA624" s="818"/>
      <c r="BB624" s="802" t="str" cm="1">
        <f t="array" ref="BB624">INDEX(C$4:BA$4,MATCH(TRUE,INDEX(C624:BA624&lt;&gt;0,),0))</f>
        <v>2020-21</v>
      </c>
      <c r="BC624" s="803" t="str" cm="1">
        <f t="array" ref="BC624">LOOKUP(2,1/(C624:BA624&lt;&gt;0),$C$4:$BA$4)</f>
        <v>2021-22</v>
      </c>
      <c r="BD624" s="804">
        <f>COUNTIF(RDprograms[[#This Row],[1978-79]:[2028-29]], "&gt;0")</f>
        <v>2</v>
      </c>
      <c r="BE624" s="805">
        <f>SUM(C624:BA624)/RDprograms[[#This Row],[Years with &gt; $0 investment]]</f>
        <v>0.14549999999999999</v>
      </c>
      <c r="BF624" s="806" t="s">
        <v>240</v>
      </c>
      <c r="BG624" s="807" t="s">
        <v>362</v>
      </c>
      <c r="BH624" s="847" t="s">
        <v>241</v>
      </c>
      <c r="BI624" s="809"/>
      <c r="BJ624" s="809"/>
      <c r="BK624" s="809"/>
      <c r="BL624" s="809"/>
      <c r="BM624" s="809"/>
      <c r="BN624" s="810"/>
      <c r="BO624" s="811" t="s">
        <v>236</v>
      </c>
      <c r="BP624" s="812" t="s">
        <v>1526</v>
      </c>
      <c r="BQ624" s="812" t="s">
        <v>1524</v>
      </c>
      <c r="BR624" s="812"/>
      <c r="BS624" s="812"/>
      <c r="BT624" s="812" t="s">
        <v>238</v>
      </c>
    </row>
    <row r="625" spans="1:72" ht="12.75" customHeight="1">
      <c r="A625" s="813" t="s">
        <v>1401</v>
      </c>
      <c r="B625" s="820" t="s">
        <v>1527</v>
      </c>
      <c r="C625" s="5">
        <v>0</v>
      </c>
      <c r="D625" s="5">
        <v>0</v>
      </c>
      <c r="E625" s="5">
        <v>0</v>
      </c>
      <c r="F625" s="5">
        <v>0</v>
      </c>
      <c r="G625" s="5">
        <v>0</v>
      </c>
      <c r="H625" s="5">
        <v>0</v>
      </c>
      <c r="I625" s="5">
        <v>0</v>
      </c>
      <c r="J625" s="5">
        <v>0</v>
      </c>
      <c r="K625" s="5">
        <v>0</v>
      </c>
      <c r="L625" s="5">
        <v>0</v>
      </c>
      <c r="M625" s="5">
        <v>0</v>
      </c>
      <c r="N625" s="5">
        <v>0</v>
      </c>
      <c r="O625" s="5">
        <v>0</v>
      </c>
      <c r="P625" s="5">
        <v>0</v>
      </c>
      <c r="Q625" s="5">
        <v>0</v>
      </c>
      <c r="R625" s="5">
        <v>0</v>
      </c>
      <c r="S625" s="5">
        <v>0</v>
      </c>
      <c r="T625" s="5">
        <v>0</v>
      </c>
      <c r="U625" s="5">
        <v>0</v>
      </c>
      <c r="V625" s="5">
        <v>0</v>
      </c>
      <c r="W625" s="5">
        <v>0</v>
      </c>
      <c r="X625" s="5">
        <v>0</v>
      </c>
      <c r="Y625" s="5">
        <v>0</v>
      </c>
      <c r="Z625" s="5">
        <v>0</v>
      </c>
      <c r="AA625" s="5">
        <v>0</v>
      </c>
      <c r="AB625" s="5">
        <v>0</v>
      </c>
      <c r="AC625" s="5">
        <v>0</v>
      </c>
      <c r="AD625" s="5">
        <v>0</v>
      </c>
      <c r="AE625" s="5">
        <v>0</v>
      </c>
      <c r="AF625" s="5">
        <v>0</v>
      </c>
      <c r="AG625" s="5">
        <v>0</v>
      </c>
      <c r="AH625" s="5">
        <v>0</v>
      </c>
      <c r="AI625" s="5">
        <v>0</v>
      </c>
      <c r="AJ625" s="5">
        <v>0</v>
      </c>
      <c r="AK625" s="5">
        <v>0</v>
      </c>
      <c r="AL625" s="5">
        <v>0</v>
      </c>
      <c r="AM625" s="5">
        <v>0</v>
      </c>
      <c r="AN625" s="5">
        <v>0</v>
      </c>
      <c r="AO625" s="5">
        <v>0</v>
      </c>
      <c r="AP625" s="5">
        <v>0</v>
      </c>
      <c r="AQ625" s="5">
        <v>0</v>
      </c>
      <c r="AR625" s="5">
        <v>0</v>
      </c>
      <c r="AS625" s="5">
        <v>0</v>
      </c>
      <c r="AT625" s="5">
        <v>0</v>
      </c>
      <c r="AU625" s="5">
        <v>0</v>
      </c>
      <c r="AV625" s="5">
        <v>0</v>
      </c>
      <c r="AW625" s="849">
        <v>3.7999999999999999E-2</v>
      </c>
      <c r="AX625" s="5">
        <v>0.24</v>
      </c>
      <c r="AY625" s="850">
        <v>0</v>
      </c>
      <c r="AZ625" s="5">
        <v>0</v>
      </c>
      <c r="BA625" s="821">
        <v>0</v>
      </c>
      <c r="BB625" s="822" t="str" cm="1">
        <f t="array" ref="BB625">INDEX(C$4:BA$4,MATCH(TRUE,INDEX(C625:BA625&lt;&gt;0,),0))</f>
        <v>2024-25</v>
      </c>
      <c r="BC625" s="823" t="str" cm="1">
        <f t="array" ref="BC625">LOOKUP(2,1/(C625:BA625&lt;&gt;0),$C$4:$BA$4)</f>
        <v>2025-26</v>
      </c>
      <c r="BD625" s="824">
        <f>COUNTIF(RDprograms[[#This Row],[1978-79]:[2028-29]], "&gt;0")</f>
        <v>2</v>
      </c>
      <c r="BE625" s="805">
        <f>SUM(C625:BA625)/RDprograms[[#This Row],[Years with &gt; $0 investment]]</f>
        <v>0.13899999999999998</v>
      </c>
      <c r="BF625" s="806" t="s">
        <v>273</v>
      </c>
      <c r="BG625" s="807" t="s">
        <v>362</v>
      </c>
      <c r="BH625" s="851" t="s">
        <v>258</v>
      </c>
      <c r="BI625" s="809"/>
      <c r="BJ625" s="809">
        <v>1</v>
      </c>
      <c r="BK625" s="809"/>
      <c r="BL625" s="809"/>
      <c r="BM625" s="809"/>
      <c r="BN625" s="810"/>
      <c r="BO625" s="811" t="s">
        <v>236</v>
      </c>
      <c r="BP625" s="812" t="s">
        <v>1528</v>
      </c>
      <c r="BQ625" s="812" t="s">
        <v>1529</v>
      </c>
      <c r="BR625" s="812"/>
      <c r="BS625" s="812"/>
      <c r="BT625" s="812"/>
    </row>
    <row r="626" spans="1:72" ht="12.75" customHeight="1">
      <c r="A626" s="813" t="s">
        <v>1401</v>
      </c>
      <c r="B626" s="820" t="s">
        <v>1530</v>
      </c>
      <c r="C626" s="5">
        <v>0</v>
      </c>
      <c r="D626" s="5">
        <v>0</v>
      </c>
      <c r="E626" s="5">
        <v>0</v>
      </c>
      <c r="F626" s="5">
        <v>0</v>
      </c>
      <c r="G626" s="5">
        <v>0</v>
      </c>
      <c r="H626" s="5">
        <v>0</v>
      </c>
      <c r="I626" s="5">
        <v>0</v>
      </c>
      <c r="J626" s="5">
        <v>0</v>
      </c>
      <c r="K626" s="5">
        <v>0</v>
      </c>
      <c r="L626" s="5">
        <v>0</v>
      </c>
      <c r="M626" s="5">
        <v>0</v>
      </c>
      <c r="N626" s="5">
        <v>0</v>
      </c>
      <c r="O626" s="5">
        <v>0</v>
      </c>
      <c r="P626" s="5">
        <v>0</v>
      </c>
      <c r="Q626" s="5">
        <v>0</v>
      </c>
      <c r="R626" s="5">
        <v>0</v>
      </c>
      <c r="S626" s="5">
        <v>0</v>
      </c>
      <c r="T626" s="5">
        <v>0</v>
      </c>
      <c r="U626" s="5">
        <v>0</v>
      </c>
      <c r="V626" s="5">
        <v>0</v>
      </c>
      <c r="W626" s="5">
        <v>0</v>
      </c>
      <c r="X626" s="5">
        <v>0</v>
      </c>
      <c r="Y626" s="5">
        <v>0</v>
      </c>
      <c r="Z626" s="5">
        <v>0</v>
      </c>
      <c r="AA626" s="5">
        <v>0</v>
      </c>
      <c r="AB626" s="5">
        <v>0</v>
      </c>
      <c r="AC626" s="5">
        <v>0</v>
      </c>
      <c r="AD626" s="5">
        <v>0</v>
      </c>
      <c r="AE626" s="5">
        <v>0</v>
      </c>
      <c r="AF626" s="5">
        <v>0</v>
      </c>
      <c r="AG626" s="5">
        <v>0</v>
      </c>
      <c r="AH626" s="5">
        <v>0</v>
      </c>
      <c r="AI626" s="5">
        <v>0</v>
      </c>
      <c r="AJ626" s="5">
        <v>0</v>
      </c>
      <c r="AK626" s="5">
        <v>0</v>
      </c>
      <c r="AL626" s="5">
        <v>0</v>
      </c>
      <c r="AM626" s="5">
        <v>0</v>
      </c>
      <c r="AN626" s="5">
        <v>0</v>
      </c>
      <c r="AO626" s="5">
        <v>0</v>
      </c>
      <c r="AP626" s="816">
        <v>0</v>
      </c>
      <c r="AQ626" s="816">
        <v>0</v>
      </c>
      <c r="AR626" s="5">
        <v>0</v>
      </c>
      <c r="AS626" s="5">
        <v>7.0000000000000001E-3</v>
      </c>
      <c r="AT626" s="5">
        <v>0</v>
      </c>
      <c r="AU626" s="5">
        <v>0</v>
      </c>
      <c r="AV626" s="5">
        <v>0</v>
      </c>
      <c r="AW626" s="815">
        <v>0</v>
      </c>
      <c r="AX626" s="816">
        <v>0</v>
      </c>
      <c r="AY626" s="819">
        <v>0</v>
      </c>
      <c r="AZ626" s="816"/>
      <c r="BA626" s="818"/>
      <c r="BB626" s="802" t="str" cm="1">
        <f t="array" ref="BB626">INDEX(C$4:BA$4,MATCH(TRUE,INDEX(C626:BA626&lt;&gt;0,),0))</f>
        <v>2020-21</v>
      </c>
      <c r="BC626" s="803" t="str" cm="1">
        <f t="array" ref="BC626">LOOKUP(2,1/(C626:BA626&lt;&gt;0),$C$4:$BA$4)</f>
        <v>2020-21</v>
      </c>
      <c r="BD626" s="804">
        <f>COUNTIF(RDprograms[[#This Row],[1978-79]:[2028-29]], "&gt;0")</f>
        <v>1</v>
      </c>
      <c r="BE626" s="805">
        <f>SUM(C626:BA626)/RDprograms[[#This Row],[Years with &gt; $0 investment]]</f>
        <v>7.0000000000000001E-3</v>
      </c>
      <c r="BF626" s="806" t="s">
        <v>273</v>
      </c>
      <c r="BG626" s="807" t="s">
        <v>362</v>
      </c>
      <c r="BH626" s="847" t="s">
        <v>258</v>
      </c>
      <c r="BI626" s="809"/>
      <c r="BJ626" s="809"/>
      <c r="BK626" s="809"/>
      <c r="BL626" s="809"/>
      <c r="BM626" s="809"/>
      <c r="BN626" s="810"/>
      <c r="BO626" s="811" t="s">
        <v>236</v>
      </c>
      <c r="BP626" s="812" t="s">
        <v>1531</v>
      </c>
      <c r="BQ626" s="812" t="s">
        <v>1530</v>
      </c>
      <c r="BR626" s="812" t="s">
        <v>1532</v>
      </c>
      <c r="BS626" s="812" t="s">
        <v>684</v>
      </c>
      <c r="BT626" s="812" t="s">
        <v>238</v>
      </c>
    </row>
    <row r="627" spans="1:72" ht="12.75" customHeight="1">
      <c r="A627" s="813" t="s">
        <v>1401</v>
      </c>
      <c r="B627" s="820" t="s">
        <v>1533</v>
      </c>
      <c r="C627" s="5">
        <v>0</v>
      </c>
      <c r="D627" s="5">
        <v>0</v>
      </c>
      <c r="E627" s="5">
        <v>0</v>
      </c>
      <c r="F627" s="5">
        <v>0</v>
      </c>
      <c r="G627" s="5">
        <v>0</v>
      </c>
      <c r="H627" s="5">
        <v>0</v>
      </c>
      <c r="I627" s="5">
        <v>0</v>
      </c>
      <c r="J627" s="5">
        <v>0</v>
      </c>
      <c r="K627" s="5">
        <v>0</v>
      </c>
      <c r="L627" s="5">
        <v>0</v>
      </c>
      <c r="M627" s="5">
        <v>0</v>
      </c>
      <c r="N627" s="5">
        <v>0</v>
      </c>
      <c r="O627" s="5">
        <v>0</v>
      </c>
      <c r="P627" s="5">
        <v>0</v>
      </c>
      <c r="Q627" s="5">
        <v>0</v>
      </c>
      <c r="R627" s="5">
        <v>0</v>
      </c>
      <c r="S627" s="5">
        <v>0</v>
      </c>
      <c r="T627" s="5">
        <v>0</v>
      </c>
      <c r="U627" s="5">
        <v>0</v>
      </c>
      <c r="V627" s="5">
        <v>0</v>
      </c>
      <c r="W627" s="5">
        <v>0</v>
      </c>
      <c r="X627" s="5">
        <v>0</v>
      </c>
      <c r="Y627" s="5">
        <v>0</v>
      </c>
      <c r="Z627" s="5">
        <v>0</v>
      </c>
      <c r="AA627" s="5">
        <v>0</v>
      </c>
      <c r="AB627" s="5">
        <v>0</v>
      </c>
      <c r="AC627" s="5">
        <v>0</v>
      </c>
      <c r="AD627" s="5">
        <v>0</v>
      </c>
      <c r="AE627" s="5">
        <v>0</v>
      </c>
      <c r="AF627" s="5">
        <v>0</v>
      </c>
      <c r="AG627" s="5">
        <v>0</v>
      </c>
      <c r="AH627" s="5">
        <v>0</v>
      </c>
      <c r="AI627" s="5">
        <v>0</v>
      </c>
      <c r="AJ627" s="5">
        <v>0</v>
      </c>
      <c r="AK627" s="5">
        <v>0</v>
      </c>
      <c r="AL627" s="5">
        <v>0</v>
      </c>
      <c r="AM627" s="5">
        <v>0</v>
      </c>
      <c r="AN627" s="5">
        <v>0</v>
      </c>
      <c r="AO627" s="5">
        <v>0</v>
      </c>
      <c r="AP627" s="816">
        <v>0</v>
      </c>
      <c r="AQ627" s="816">
        <v>0</v>
      </c>
      <c r="AR627" s="5">
        <v>0</v>
      </c>
      <c r="AS627" s="5">
        <v>0.157</v>
      </c>
      <c r="AT627" s="5">
        <v>0</v>
      </c>
      <c r="AU627" s="5">
        <v>0</v>
      </c>
      <c r="AV627" s="5">
        <v>0</v>
      </c>
      <c r="AW627" s="815">
        <v>0</v>
      </c>
      <c r="AX627" s="816">
        <v>0</v>
      </c>
      <c r="AY627" s="819">
        <v>0</v>
      </c>
      <c r="AZ627" s="816"/>
      <c r="BA627" s="818"/>
      <c r="BB627" s="802" t="str" cm="1">
        <f t="array" ref="BB627">INDEX(C$4:BA$4,MATCH(TRUE,INDEX(C627:BA627&lt;&gt;0,),0))</f>
        <v>2020-21</v>
      </c>
      <c r="BC627" s="803" t="str" cm="1">
        <f t="array" ref="BC627">LOOKUP(2,1/(C627:BA627&lt;&gt;0),$C$4:$BA$4)</f>
        <v>2020-21</v>
      </c>
      <c r="BD627" s="804">
        <f>COUNTIF(RDprograms[[#This Row],[1978-79]:[2028-29]], "&gt;0")</f>
        <v>1</v>
      </c>
      <c r="BE627" s="805">
        <f>SUM(C627:BA627)/RDprograms[[#This Row],[Years with &gt; $0 investment]]</f>
        <v>0.157</v>
      </c>
      <c r="BF627" s="806" t="s">
        <v>273</v>
      </c>
      <c r="BG627" s="807" t="s">
        <v>362</v>
      </c>
      <c r="BH627" s="847" t="s">
        <v>258</v>
      </c>
      <c r="BI627" s="809"/>
      <c r="BJ627" s="809"/>
      <c r="BK627" s="809"/>
      <c r="BL627" s="809"/>
      <c r="BM627" s="809"/>
      <c r="BN627" s="810"/>
      <c r="BO627" s="811" t="s">
        <v>236</v>
      </c>
      <c r="BP627" s="812" t="s">
        <v>1534</v>
      </c>
      <c r="BQ627" s="812" t="s">
        <v>1533</v>
      </c>
      <c r="BR627" s="812" t="s">
        <v>1535</v>
      </c>
      <c r="BS627" s="812" t="s">
        <v>684</v>
      </c>
      <c r="BT627" s="812" t="s">
        <v>238</v>
      </c>
    </row>
    <row r="628" spans="1:72" ht="12.75" customHeight="1">
      <c r="A628" s="813" t="s">
        <v>1401</v>
      </c>
      <c r="B628" s="820" t="s">
        <v>1536</v>
      </c>
      <c r="C628" s="5">
        <v>0</v>
      </c>
      <c r="D628" s="5">
        <v>0</v>
      </c>
      <c r="E628" s="5">
        <v>0</v>
      </c>
      <c r="F628" s="5">
        <v>0</v>
      </c>
      <c r="G628" s="5">
        <v>0</v>
      </c>
      <c r="H628" s="5">
        <v>0</v>
      </c>
      <c r="I628" s="5">
        <v>0</v>
      </c>
      <c r="J628" s="5">
        <v>0</v>
      </c>
      <c r="K628" s="5">
        <v>0</v>
      </c>
      <c r="L628" s="5">
        <v>0</v>
      </c>
      <c r="M628" s="5">
        <v>0</v>
      </c>
      <c r="N628" s="5">
        <v>0</v>
      </c>
      <c r="O628" s="5">
        <v>0</v>
      </c>
      <c r="P628" s="5">
        <v>0</v>
      </c>
      <c r="Q628" s="5">
        <v>0</v>
      </c>
      <c r="R628" s="5">
        <v>0</v>
      </c>
      <c r="S628" s="5">
        <v>0</v>
      </c>
      <c r="T628" s="5">
        <v>0</v>
      </c>
      <c r="U628" s="5">
        <v>0</v>
      </c>
      <c r="V628" s="5">
        <v>0</v>
      </c>
      <c r="W628" s="5">
        <v>0</v>
      </c>
      <c r="X628" s="5">
        <v>0</v>
      </c>
      <c r="Y628" s="5">
        <v>0</v>
      </c>
      <c r="Z628" s="5">
        <v>0</v>
      </c>
      <c r="AA628" s="5">
        <v>0</v>
      </c>
      <c r="AB628" s="5">
        <v>0</v>
      </c>
      <c r="AC628" s="5">
        <v>0</v>
      </c>
      <c r="AD628" s="5">
        <v>0</v>
      </c>
      <c r="AE628" s="5">
        <v>0</v>
      </c>
      <c r="AF628" s="5">
        <v>0</v>
      </c>
      <c r="AG628" s="5">
        <v>0</v>
      </c>
      <c r="AH628" s="5">
        <v>0</v>
      </c>
      <c r="AI628" s="5">
        <v>0</v>
      </c>
      <c r="AJ628" s="5">
        <v>0</v>
      </c>
      <c r="AK628" s="5">
        <v>0</v>
      </c>
      <c r="AL628" s="5">
        <v>0</v>
      </c>
      <c r="AM628" s="5">
        <v>0</v>
      </c>
      <c r="AN628" s="5">
        <v>0</v>
      </c>
      <c r="AO628" s="5">
        <v>0</v>
      </c>
      <c r="AP628" s="5">
        <v>0</v>
      </c>
      <c r="AQ628" s="5">
        <v>0</v>
      </c>
      <c r="AR628" s="5">
        <v>0</v>
      </c>
      <c r="AS628" s="5">
        <v>0.16900000000000001</v>
      </c>
      <c r="AT628" s="5">
        <v>0</v>
      </c>
      <c r="AU628" s="5">
        <v>0</v>
      </c>
      <c r="AV628" s="5">
        <v>0</v>
      </c>
      <c r="AW628" s="815">
        <v>0</v>
      </c>
      <c r="AX628" s="816">
        <v>0</v>
      </c>
      <c r="AY628" s="819">
        <v>0</v>
      </c>
      <c r="AZ628" s="816"/>
      <c r="BA628" s="818"/>
      <c r="BB628" s="802" t="str" cm="1">
        <f t="array" ref="BB628">INDEX(C$4:BA$4,MATCH(TRUE,INDEX(C628:BA628&lt;&gt;0,),0))</f>
        <v>2020-21</v>
      </c>
      <c r="BC628" s="803" t="str" cm="1">
        <f t="array" ref="BC628">LOOKUP(2,1/(C628:BA628&lt;&gt;0),$C$4:$BA$4)</f>
        <v>2020-21</v>
      </c>
      <c r="BD628" s="804">
        <f>COUNTIF(RDprograms[[#This Row],[1978-79]:[2028-29]], "&gt;0")</f>
        <v>1</v>
      </c>
      <c r="BE628" s="805">
        <f>SUM(C628:BA628)/RDprograms[[#This Row],[Years with &gt; $0 investment]]</f>
        <v>0.16900000000000001</v>
      </c>
      <c r="BF628" s="806" t="s">
        <v>273</v>
      </c>
      <c r="BG628" s="807" t="s">
        <v>362</v>
      </c>
      <c r="BH628" s="847" t="s">
        <v>258</v>
      </c>
      <c r="BI628" s="809"/>
      <c r="BJ628" s="809"/>
      <c r="BK628" s="809"/>
      <c r="BL628" s="809"/>
      <c r="BM628" s="809"/>
      <c r="BN628" s="810"/>
      <c r="BO628" s="811" t="s">
        <v>236</v>
      </c>
      <c r="BP628" s="812" t="s">
        <v>1537</v>
      </c>
      <c r="BQ628" s="812" t="s">
        <v>1536</v>
      </c>
      <c r="BR628" s="812" t="s">
        <v>1538</v>
      </c>
      <c r="BS628" s="812" t="s">
        <v>684</v>
      </c>
      <c r="BT628" s="812" t="s">
        <v>238</v>
      </c>
    </row>
    <row r="629" spans="1:72" ht="12.75" customHeight="1">
      <c r="A629" s="813" t="s">
        <v>1401</v>
      </c>
      <c r="B629" s="820" t="s">
        <v>1539</v>
      </c>
      <c r="C629" s="5">
        <v>0</v>
      </c>
      <c r="D629" s="5">
        <v>0</v>
      </c>
      <c r="E629" s="5">
        <v>0</v>
      </c>
      <c r="F629" s="5">
        <v>0</v>
      </c>
      <c r="G629" s="5">
        <v>0</v>
      </c>
      <c r="H629" s="5">
        <v>0</v>
      </c>
      <c r="I629" s="5">
        <v>0</v>
      </c>
      <c r="J629" s="5">
        <v>0</v>
      </c>
      <c r="K629" s="5">
        <v>0</v>
      </c>
      <c r="L629" s="5">
        <v>0</v>
      </c>
      <c r="M629" s="5">
        <v>0</v>
      </c>
      <c r="N629" s="5">
        <v>0</v>
      </c>
      <c r="O629" s="5">
        <v>0</v>
      </c>
      <c r="P629" s="5">
        <v>0</v>
      </c>
      <c r="Q629" s="5">
        <v>0</v>
      </c>
      <c r="R629" s="5">
        <v>0</v>
      </c>
      <c r="S629" s="5">
        <v>0</v>
      </c>
      <c r="T629" s="5">
        <v>0</v>
      </c>
      <c r="U629" s="5">
        <v>0</v>
      </c>
      <c r="V629" s="5">
        <v>0</v>
      </c>
      <c r="W629" s="5">
        <v>0</v>
      </c>
      <c r="X629" s="5">
        <v>0</v>
      </c>
      <c r="Y629" s="5">
        <v>0</v>
      </c>
      <c r="Z629" s="5">
        <v>0</v>
      </c>
      <c r="AA629" s="5">
        <v>0</v>
      </c>
      <c r="AB629" s="5">
        <v>0</v>
      </c>
      <c r="AC629" s="5">
        <v>0</v>
      </c>
      <c r="AD629" s="5">
        <v>0</v>
      </c>
      <c r="AE629" s="5">
        <v>0</v>
      </c>
      <c r="AF629" s="5">
        <v>0</v>
      </c>
      <c r="AG629" s="5">
        <v>0</v>
      </c>
      <c r="AH629" s="5">
        <v>0</v>
      </c>
      <c r="AI629" s="5">
        <v>0</v>
      </c>
      <c r="AJ629" s="5">
        <v>0</v>
      </c>
      <c r="AK629" s="5">
        <v>0</v>
      </c>
      <c r="AL629" s="5">
        <v>0</v>
      </c>
      <c r="AM629" s="5">
        <v>0</v>
      </c>
      <c r="AN629" s="5">
        <v>0</v>
      </c>
      <c r="AO629" s="5">
        <v>0</v>
      </c>
      <c r="AP629" s="5">
        <v>0</v>
      </c>
      <c r="AQ629" s="5">
        <v>0</v>
      </c>
      <c r="AR629" s="5">
        <v>0</v>
      </c>
      <c r="AS629" s="5"/>
      <c r="AT629" s="5">
        <v>5.8999999999999997E-2</v>
      </c>
      <c r="AU629" s="5">
        <v>0</v>
      </c>
      <c r="AV629" s="5">
        <v>0</v>
      </c>
      <c r="AW629" s="815">
        <v>0</v>
      </c>
      <c r="AX629" s="816">
        <v>0</v>
      </c>
      <c r="AY629" s="819">
        <v>0</v>
      </c>
      <c r="AZ629" s="816"/>
      <c r="BA629" s="818"/>
      <c r="BB629" s="802" t="str" cm="1">
        <f t="array" ref="BB629">INDEX(C$4:BA$4,MATCH(TRUE,INDEX(C629:BA629&lt;&gt;0,),0))</f>
        <v>2021-22</v>
      </c>
      <c r="BC629" s="803" t="str" cm="1">
        <f t="array" ref="BC629">LOOKUP(2,1/(C629:BA629&lt;&gt;0),$C$4:$BA$4)</f>
        <v>2021-22</v>
      </c>
      <c r="BD629" s="804">
        <f>COUNTIF(RDprograms[[#This Row],[1978-79]:[2028-29]], "&gt;0")</f>
        <v>1</v>
      </c>
      <c r="BE629" s="805">
        <f>SUM(C629:BA629)/RDprograms[[#This Row],[Years with &gt; $0 investment]]</f>
        <v>5.8999999999999997E-2</v>
      </c>
      <c r="BF629" s="806" t="s">
        <v>273</v>
      </c>
      <c r="BG629" s="807" t="s">
        <v>362</v>
      </c>
      <c r="BH629" s="847" t="s">
        <v>258</v>
      </c>
      <c r="BI629" s="809"/>
      <c r="BJ629" s="809"/>
      <c r="BK629" s="809"/>
      <c r="BL629" s="809"/>
      <c r="BM629" s="809"/>
      <c r="BN629" s="810"/>
      <c r="BO629" s="811" t="s">
        <v>236</v>
      </c>
      <c r="BP629" s="812" t="s">
        <v>1540</v>
      </c>
      <c r="BQ629" s="812" t="s">
        <v>1539</v>
      </c>
      <c r="BR629" s="812" t="s">
        <v>1541</v>
      </c>
      <c r="BS629" s="812" t="s">
        <v>684</v>
      </c>
      <c r="BT629" s="812"/>
    </row>
    <row r="630" spans="1:72" ht="12.75" customHeight="1">
      <c r="A630" s="813" t="s">
        <v>1401</v>
      </c>
      <c r="B630" s="820" t="s">
        <v>1542</v>
      </c>
      <c r="C630" s="5">
        <v>0</v>
      </c>
      <c r="D630" s="5">
        <v>0</v>
      </c>
      <c r="E630" s="5">
        <v>0</v>
      </c>
      <c r="F630" s="5">
        <v>0</v>
      </c>
      <c r="G630" s="5">
        <v>0</v>
      </c>
      <c r="H630" s="5">
        <v>0</v>
      </c>
      <c r="I630" s="5">
        <v>0</v>
      </c>
      <c r="J630" s="5">
        <v>0</v>
      </c>
      <c r="K630" s="5">
        <v>0</v>
      </c>
      <c r="L630" s="5">
        <v>0</v>
      </c>
      <c r="M630" s="5">
        <v>0</v>
      </c>
      <c r="N630" s="5">
        <v>0</v>
      </c>
      <c r="O630" s="5">
        <v>0</v>
      </c>
      <c r="P630" s="5">
        <v>0</v>
      </c>
      <c r="Q630" s="5">
        <v>0</v>
      </c>
      <c r="R630" s="5">
        <v>0</v>
      </c>
      <c r="S630" s="5">
        <v>0</v>
      </c>
      <c r="T630" s="5">
        <v>0</v>
      </c>
      <c r="U630" s="5">
        <v>0</v>
      </c>
      <c r="V630" s="5">
        <v>0</v>
      </c>
      <c r="W630" s="5">
        <v>0</v>
      </c>
      <c r="X630" s="5">
        <v>0</v>
      </c>
      <c r="Y630" s="5">
        <v>0</v>
      </c>
      <c r="Z630" s="5">
        <v>0</v>
      </c>
      <c r="AA630" s="5">
        <v>0</v>
      </c>
      <c r="AB630" s="5">
        <v>0</v>
      </c>
      <c r="AC630" s="5">
        <v>0</v>
      </c>
      <c r="AD630" s="5">
        <v>0</v>
      </c>
      <c r="AE630" s="5">
        <v>0</v>
      </c>
      <c r="AF630" s="5">
        <v>0</v>
      </c>
      <c r="AG630" s="5">
        <v>0</v>
      </c>
      <c r="AH630" s="5">
        <v>0</v>
      </c>
      <c r="AI630" s="5">
        <v>0</v>
      </c>
      <c r="AJ630" s="5">
        <v>0</v>
      </c>
      <c r="AK630" s="5">
        <v>0</v>
      </c>
      <c r="AL630" s="5">
        <v>0</v>
      </c>
      <c r="AM630" s="5">
        <v>0</v>
      </c>
      <c r="AN630" s="5">
        <v>0</v>
      </c>
      <c r="AO630" s="5">
        <v>0</v>
      </c>
      <c r="AP630" s="816">
        <v>0</v>
      </c>
      <c r="AQ630" s="816">
        <v>0</v>
      </c>
      <c r="AR630" s="5">
        <v>0</v>
      </c>
      <c r="AS630" s="5">
        <v>1.4999999999999999E-2</v>
      </c>
      <c r="AT630" s="5">
        <v>1.9E-2</v>
      </c>
      <c r="AU630" s="5">
        <v>0</v>
      </c>
      <c r="AV630" s="5">
        <v>0</v>
      </c>
      <c r="AW630" s="815">
        <v>0</v>
      </c>
      <c r="AX630" s="816">
        <v>0</v>
      </c>
      <c r="AY630" s="819">
        <v>0</v>
      </c>
      <c r="AZ630" s="816"/>
      <c r="BA630" s="818"/>
      <c r="BB630" s="802" t="str" cm="1">
        <f t="array" ref="BB630">INDEX(C$4:BA$4,MATCH(TRUE,INDEX(C630:BA630&lt;&gt;0,),0))</f>
        <v>2020-21</v>
      </c>
      <c r="BC630" s="803" t="str" cm="1">
        <f t="array" ref="BC630">LOOKUP(2,1/(C630:BA630&lt;&gt;0),$C$4:$BA$4)</f>
        <v>2021-22</v>
      </c>
      <c r="BD630" s="804">
        <f>COUNTIF(RDprograms[[#This Row],[1978-79]:[2028-29]], "&gt;0")</f>
        <v>2</v>
      </c>
      <c r="BE630" s="805">
        <f>SUM(C630:BA630)/RDprograms[[#This Row],[Years with &gt; $0 investment]]</f>
        <v>1.7000000000000001E-2</v>
      </c>
      <c r="BF630" s="806" t="s">
        <v>273</v>
      </c>
      <c r="BG630" s="807" t="s">
        <v>362</v>
      </c>
      <c r="BH630" s="847" t="s">
        <v>258</v>
      </c>
      <c r="BI630" s="809"/>
      <c r="BJ630" s="809"/>
      <c r="BK630" s="809"/>
      <c r="BL630" s="809"/>
      <c r="BM630" s="809"/>
      <c r="BN630" s="810"/>
      <c r="BO630" s="811" t="s">
        <v>236</v>
      </c>
      <c r="BP630" s="812" t="s">
        <v>1543</v>
      </c>
      <c r="BQ630" s="812" t="s">
        <v>1542</v>
      </c>
      <c r="BR630" s="812" t="s">
        <v>1544</v>
      </c>
      <c r="BS630" s="812" t="s">
        <v>684</v>
      </c>
      <c r="BT630" s="812"/>
    </row>
    <row r="631" spans="1:72" ht="12.75" customHeight="1">
      <c r="A631" s="813" t="s">
        <v>1401</v>
      </c>
      <c r="B631" s="820" t="s">
        <v>1545</v>
      </c>
      <c r="C631" s="5">
        <v>0</v>
      </c>
      <c r="D631" s="5">
        <v>0</v>
      </c>
      <c r="E631" s="5">
        <v>0</v>
      </c>
      <c r="F631" s="5">
        <v>0</v>
      </c>
      <c r="G631" s="5">
        <v>0</v>
      </c>
      <c r="H631" s="5">
        <v>0</v>
      </c>
      <c r="I631" s="5">
        <v>0</v>
      </c>
      <c r="J631" s="5">
        <v>0</v>
      </c>
      <c r="K631" s="5">
        <v>0</v>
      </c>
      <c r="L631" s="5">
        <v>0</v>
      </c>
      <c r="M631" s="5">
        <v>0</v>
      </c>
      <c r="N631" s="5">
        <v>0</v>
      </c>
      <c r="O631" s="5">
        <v>0</v>
      </c>
      <c r="P631" s="5">
        <v>0</v>
      </c>
      <c r="Q631" s="5">
        <v>0</v>
      </c>
      <c r="R631" s="5">
        <v>0</v>
      </c>
      <c r="S631" s="5">
        <v>0</v>
      </c>
      <c r="T631" s="5">
        <v>0</v>
      </c>
      <c r="U631" s="5">
        <v>0</v>
      </c>
      <c r="V631" s="5">
        <v>0</v>
      </c>
      <c r="W631" s="5">
        <v>0</v>
      </c>
      <c r="X631" s="5">
        <v>0</v>
      </c>
      <c r="Y631" s="5">
        <v>0</v>
      </c>
      <c r="Z631" s="5">
        <v>0</v>
      </c>
      <c r="AA631" s="5">
        <v>0</v>
      </c>
      <c r="AB631" s="5">
        <v>0</v>
      </c>
      <c r="AC631" s="5">
        <v>0</v>
      </c>
      <c r="AD631" s="5">
        <v>0</v>
      </c>
      <c r="AE631" s="5">
        <v>0</v>
      </c>
      <c r="AF631" s="5">
        <v>0</v>
      </c>
      <c r="AG631" s="5">
        <v>0</v>
      </c>
      <c r="AH631" s="5">
        <v>0</v>
      </c>
      <c r="AI631" s="5">
        <v>0</v>
      </c>
      <c r="AJ631" s="5">
        <v>0</v>
      </c>
      <c r="AK631" s="5">
        <v>0</v>
      </c>
      <c r="AL631" s="5">
        <v>0</v>
      </c>
      <c r="AM631" s="5">
        <v>0</v>
      </c>
      <c r="AN631" s="5">
        <v>0</v>
      </c>
      <c r="AO631" s="5">
        <v>0</v>
      </c>
      <c r="AP631" s="5">
        <v>0</v>
      </c>
      <c r="AQ631" s="5">
        <v>0</v>
      </c>
      <c r="AR631" s="5">
        <v>0</v>
      </c>
      <c r="AS631" s="5">
        <v>0.309</v>
      </c>
      <c r="AT631" s="5">
        <v>0</v>
      </c>
      <c r="AU631" s="5">
        <v>0</v>
      </c>
      <c r="AV631" s="5">
        <v>0</v>
      </c>
      <c r="AW631" s="815">
        <v>0</v>
      </c>
      <c r="AX631" s="816">
        <v>0</v>
      </c>
      <c r="AY631" s="819">
        <v>0</v>
      </c>
      <c r="AZ631" s="816"/>
      <c r="BA631" s="818"/>
      <c r="BB631" s="802" t="str" cm="1">
        <f t="array" ref="BB631">INDEX(C$4:BA$4,MATCH(TRUE,INDEX(C631:BA631&lt;&gt;0,),0))</f>
        <v>2020-21</v>
      </c>
      <c r="BC631" s="803" t="str" cm="1">
        <f t="array" ref="BC631">LOOKUP(2,1/(C631:BA631&lt;&gt;0),$C$4:$BA$4)</f>
        <v>2020-21</v>
      </c>
      <c r="BD631" s="804">
        <f>COUNTIF(RDprograms[[#This Row],[1978-79]:[2028-29]], "&gt;0")</f>
        <v>1</v>
      </c>
      <c r="BE631" s="805">
        <f>SUM(C631:BA631)/RDprograms[[#This Row],[Years with &gt; $0 investment]]</f>
        <v>0.309</v>
      </c>
      <c r="BF631" s="806" t="s">
        <v>273</v>
      </c>
      <c r="BG631" s="807" t="s">
        <v>362</v>
      </c>
      <c r="BH631" s="847" t="s">
        <v>258</v>
      </c>
      <c r="BI631" s="33"/>
      <c r="BJ631" s="33"/>
      <c r="BK631" s="33"/>
      <c r="BL631" s="33"/>
      <c r="BM631" s="33"/>
      <c r="BN631" s="842"/>
      <c r="BO631" s="811" t="s">
        <v>236</v>
      </c>
      <c r="BP631" s="843" t="s">
        <v>1546</v>
      </c>
      <c r="BQ631" s="829" t="s">
        <v>1545</v>
      </c>
      <c r="BR631" s="812" t="s">
        <v>1547</v>
      </c>
      <c r="BS631" s="812" t="s">
        <v>684</v>
      </c>
      <c r="BT631" s="812" t="s">
        <v>684</v>
      </c>
    </row>
    <row r="632" spans="1:72" ht="12.75" customHeight="1">
      <c r="A632" s="813" t="s">
        <v>1401</v>
      </c>
      <c r="B632" s="820" t="s">
        <v>1548</v>
      </c>
      <c r="C632" s="5">
        <v>0</v>
      </c>
      <c r="D632" s="5">
        <v>0</v>
      </c>
      <c r="E632" s="5">
        <v>0</v>
      </c>
      <c r="F632" s="5">
        <v>0</v>
      </c>
      <c r="G632" s="5">
        <v>0</v>
      </c>
      <c r="H632" s="5">
        <v>0</v>
      </c>
      <c r="I632" s="5">
        <v>0</v>
      </c>
      <c r="J632" s="5">
        <v>0</v>
      </c>
      <c r="K632" s="5">
        <v>0</v>
      </c>
      <c r="L632" s="5">
        <v>0</v>
      </c>
      <c r="M632" s="5">
        <v>0</v>
      </c>
      <c r="N632" s="5">
        <v>0</v>
      </c>
      <c r="O632" s="5">
        <v>0</v>
      </c>
      <c r="P632" s="5">
        <v>0</v>
      </c>
      <c r="Q632" s="5">
        <v>0</v>
      </c>
      <c r="R632" s="5">
        <v>0</v>
      </c>
      <c r="S632" s="5">
        <v>0</v>
      </c>
      <c r="T632" s="5">
        <v>0</v>
      </c>
      <c r="U632" s="5">
        <v>0</v>
      </c>
      <c r="V632" s="5">
        <v>0</v>
      </c>
      <c r="W632" s="5">
        <v>0</v>
      </c>
      <c r="X632" s="5">
        <v>0</v>
      </c>
      <c r="Y632" s="5">
        <v>0</v>
      </c>
      <c r="Z632" s="5">
        <v>0</v>
      </c>
      <c r="AA632" s="5">
        <v>0</v>
      </c>
      <c r="AB632" s="5">
        <v>0</v>
      </c>
      <c r="AC632" s="5">
        <v>0</v>
      </c>
      <c r="AD632" s="5">
        <v>0</v>
      </c>
      <c r="AE632" s="5">
        <v>0</v>
      </c>
      <c r="AF632" s="5">
        <v>0</v>
      </c>
      <c r="AG632" s="5">
        <v>0</v>
      </c>
      <c r="AH632" s="5">
        <v>0</v>
      </c>
      <c r="AI632" s="5">
        <v>0</v>
      </c>
      <c r="AJ632" s="5">
        <v>0</v>
      </c>
      <c r="AK632" s="5">
        <v>0</v>
      </c>
      <c r="AL632" s="5">
        <v>0</v>
      </c>
      <c r="AM632" s="5">
        <v>0</v>
      </c>
      <c r="AN632" s="5">
        <v>0</v>
      </c>
      <c r="AO632" s="5">
        <v>0</v>
      </c>
      <c r="AP632" s="5">
        <v>0</v>
      </c>
      <c r="AQ632" s="5">
        <v>0</v>
      </c>
      <c r="AR632" s="5">
        <v>0</v>
      </c>
      <c r="AS632" s="5">
        <v>0</v>
      </c>
      <c r="AT632" s="5">
        <v>0.28999999999999998</v>
      </c>
      <c r="AU632" s="5">
        <v>0</v>
      </c>
      <c r="AV632" s="5">
        <v>0</v>
      </c>
      <c r="AW632" s="815">
        <v>0</v>
      </c>
      <c r="AX632" s="816">
        <v>0</v>
      </c>
      <c r="AY632" s="819">
        <v>0</v>
      </c>
      <c r="AZ632" s="816"/>
      <c r="BA632" s="818"/>
      <c r="BB632" s="802" t="str" cm="1">
        <f t="array" ref="BB632">INDEX(C$4:BA$4,MATCH(TRUE,INDEX(C632:BA632&lt;&gt;0,),0))</f>
        <v>2021-22</v>
      </c>
      <c r="BC632" s="803" t="str" cm="1">
        <f t="array" ref="BC632">LOOKUP(2,1/(C632:BA632&lt;&gt;0),$C$4:$BA$4)</f>
        <v>2021-22</v>
      </c>
      <c r="BD632" s="804">
        <f>COUNTIF(RDprograms[[#This Row],[1978-79]:[2028-29]], "&gt;0")</f>
        <v>1</v>
      </c>
      <c r="BE632" s="805">
        <f>SUM(C632:BA632)/RDprograms[[#This Row],[Years with &gt; $0 investment]]</f>
        <v>0.28999999999999998</v>
      </c>
      <c r="BF632" s="806" t="s">
        <v>273</v>
      </c>
      <c r="BG632" s="807" t="s">
        <v>362</v>
      </c>
      <c r="BH632" s="847" t="s">
        <v>258</v>
      </c>
      <c r="BI632" s="809"/>
      <c r="BJ632" s="809"/>
      <c r="BK632" s="809"/>
      <c r="BL632" s="809"/>
      <c r="BM632" s="809"/>
      <c r="BN632" s="810"/>
      <c r="BO632" s="811" t="s">
        <v>236</v>
      </c>
      <c r="BP632" s="812" t="s">
        <v>1549</v>
      </c>
      <c r="BQ632" s="812" t="s">
        <v>1548</v>
      </c>
      <c r="BR632" s="812" t="s">
        <v>1550</v>
      </c>
      <c r="BS632" s="812" t="s">
        <v>684</v>
      </c>
      <c r="BT632" s="812" t="s">
        <v>684</v>
      </c>
    </row>
    <row r="633" spans="1:72" ht="12.75" customHeight="1">
      <c r="A633" s="813" t="s">
        <v>1401</v>
      </c>
      <c r="B633" s="820" t="s">
        <v>1551</v>
      </c>
      <c r="C633" s="5">
        <v>0</v>
      </c>
      <c r="D633" s="5">
        <v>0</v>
      </c>
      <c r="E633" s="5">
        <v>0</v>
      </c>
      <c r="F633" s="5">
        <v>0</v>
      </c>
      <c r="G633" s="5">
        <v>0</v>
      </c>
      <c r="H633" s="5">
        <v>0</v>
      </c>
      <c r="I633" s="5">
        <v>0</v>
      </c>
      <c r="J633" s="5">
        <v>0</v>
      </c>
      <c r="K633" s="5">
        <v>0</v>
      </c>
      <c r="L633" s="5">
        <v>0</v>
      </c>
      <c r="M633" s="5">
        <v>0</v>
      </c>
      <c r="N633" s="5">
        <v>0</v>
      </c>
      <c r="O633" s="5">
        <v>0</v>
      </c>
      <c r="P633" s="5">
        <v>0</v>
      </c>
      <c r="Q633" s="5">
        <v>0</v>
      </c>
      <c r="R633" s="5">
        <v>0</v>
      </c>
      <c r="S633" s="5">
        <v>0</v>
      </c>
      <c r="T633" s="5">
        <v>0</v>
      </c>
      <c r="U633" s="5">
        <v>0</v>
      </c>
      <c r="V633" s="5">
        <v>0</v>
      </c>
      <c r="W633" s="5">
        <v>0</v>
      </c>
      <c r="X633" s="5">
        <v>0</v>
      </c>
      <c r="Y633" s="5">
        <v>0</v>
      </c>
      <c r="Z633" s="5">
        <v>0</v>
      </c>
      <c r="AA633" s="5">
        <v>0</v>
      </c>
      <c r="AB633" s="5">
        <v>0</v>
      </c>
      <c r="AC633" s="5">
        <v>0</v>
      </c>
      <c r="AD633" s="5">
        <v>0</v>
      </c>
      <c r="AE633" s="5">
        <v>0</v>
      </c>
      <c r="AF633" s="5">
        <v>0</v>
      </c>
      <c r="AG633" s="5">
        <v>0</v>
      </c>
      <c r="AH633" s="5">
        <v>0</v>
      </c>
      <c r="AI633" s="5">
        <v>0</v>
      </c>
      <c r="AJ633" s="5">
        <v>0</v>
      </c>
      <c r="AK633" s="5">
        <v>0</v>
      </c>
      <c r="AL633" s="5">
        <v>0</v>
      </c>
      <c r="AM633" s="5">
        <v>0</v>
      </c>
      <c r="AN633" s="5">
        <v>0</v>
      </c>
      <c r="AO633" s="5">
        <v>0</v>
      </c>
      <c r="AP633" s="816">
        <v>0</v>
      </c>
      <c r="AQ633" s="816">
        <v>0</v>
      </c>
      <c r="AR633" s="5">
        <v>0</v>
      </c>
      <c r="AS633" s="5">
        <v>0</v>
      </c>
      <c r="AT633" s="5">
        <v>0.26800000000000002</v>
      </c>
      <c r="AU633" s="5">
        <v>0.157</v>
      </c>
      <c r="AV633" s="5">
        <v>0</v>
      </c>
      <c r="AW633" s="815">
        <v>0</v>
      </c>
      <c r="AX633" s="816">
        <v>0</v>
      </c>
      <c r="AY633" s="819">
        <v>0</v>
      </c>
      <c r="AZ633" s="816"/>
      <c r="BA633" s="818"/>
      <c r="BB633" s="802" t="str" cm="1">
        <f t="array" ref="BB633">INDEX(C$4:BA$4,MATCH(TRUE,INDEX(C633:BA633&lt;&gt;0,),0))</f>
        <v>2021-22</v>
      </c>
      <c r="BC633" s="803" t="str" cm="1">
        <f t="array" ref="BC633">LOOKUP(2,1/(C633:BA633&lt;&gt;0),$C$4:$BA$4)</f>
        <v>2022-23</v>
      </c>
      <c r="BD633" s="804">
        <f>COUNTIF(RDprograms[[#This Row],[1978-79]:[2028-29]], "&gt;0")</f>
        <v>2</v>
      </c>
      <c r="BE633" s="805">
        <f>SUM(C633:BA633)/RDprograms[[#This Row],[Years with &gt; $0 investment]]</f>
        <v>0.21250000000000002</v>
      </c>
      <c r="BF633" s="806" t="s">
        <v>273</v>
      </c>
      <c r="BG633" s="807" t="s">
        <v>362</v>
      </c>
      <c r="BH633" s="847" t="s">
        <v>258</v>
      </c>
      <c r="BI633" s="809"/>
      <c r="BJ633" s="809"/>
      <c r="BK633" s="809"/>
      <c r="BL633" s="809"/>
      <c r="BM633" s="809"/>
      <c r="BN633" s="810"/>
      <c r="BO633" s="811" t="s">
        <v>236</v>
      </c>
      <c r="BP633" s="812" t="s">
        <v>1552</v>
      </c>
      <c r="BQ633" s="812" t="s">
        <v>1551</v>
      </c>
      <c r="BR633" s="812" t="s">
        <v>1553</v>
      </c>
      <c r="BS633" s="812" t="s">
        <v>684</v>
      </c>
      <c r="BT633" s="812" t="s">
        <v>684</v>
      </c>
    </row>
    <row r="634" spans="1:72" ht="12.75" customHeight="1">
      <c r="A634" s="813" t="s">
        <v>1401</v>
      </c>
      <c r="B634" s="820" t="s">
        <v>1554</v>
      </c>
      <c r="C634" s="5">
        <v>0</v>
      </c>
      <c r="D634" s="5">
        <v>0</v>
      </c>
      <c r="E634" s="5">
        <v>0</v>
      </c>
      <c r="F634" s="5">
        <v>0</v>
      </c>
      <c r="G634" s="5">
        <v>0</v>
      </c>
      <c r="H634" s="5">
        <v>0</v>
      </c>
      <c r="I634" s="5">
        <v>0</v>
      </c>
      <c r="J634" s="5">
        <v>0</v>
      </c>
      <c r="K634" s="5">
        <v>0</v>
      </c>
      <c r="L634" s="5">
        <v>0</v>
      </c>
      <c r="M634" s="5">
        <v>0</v>
      </c>
      <c r="N634" s="5">
        <v>0</v>
      </c>
      <c r="O634" s="5">
        <v>0</v>
      </c>
      <c r="P634" s="5">
        <v>0</v>
      </c>
      <c r="Q634" s="5">
        <v>0</v>
      </c>
      <c r="R634" s="5">
        <v>0</v>
      </c>
      <c r="S634" s="5">
        <v>0</v>
      </c>
      <c r="T634" s="5">
        <v>0</v>
      </c>
      <c r="U634" s="5">
        <v>0</v>
      </c>
      <c r="V634" s="5">
        <v>0</v>
      </c>
      <c r="W634" s="5">
        <v>0</v>
      </c>
      <c r="X634" s="5">
        <v>0</v>
      </c>
      <c r="Y634" s="5">
        <v>0</v>
      </c>
      <c r="Z634" s="5">
        <v>0</v>
      </c>
      <c r="AA634" s="5">
        <v>0</v>
      </c>
      <c r="AB634" s="5">
        <v>0</v>
      </c>
      <c r="AC634" s="5">
        <v>0</v>
      </c>
      <c r="AD634" s="5">
        <v>0</v>
      </c>
      <c r="AE634" s="5">
        <v>0</v>
      </c>
      <c r="AF634" s="5">
        <v>0</v>
      </c>
      <c r="AG634" s="5">
        <v>0</v>
      </c>
      <c r="AH634" s="5">
        <v>0</v>
      </c>
      <c r="AI634" s="5">
        <v>0</v>
      </c>
      <c r="AJ634" s="5">
        <v>0</v>
      </c>
      <c r="AK634" s="5">
        <v>0</v>
      </c>
      <c r="AL634" s="5">
        <v>0</v>
      </c>
      <c r="AM634" s="5">
        <v>0</v>
      </c>
      <c r="AN634" s="5">
        <v>0</v>
      </c>
      <c r="AO634" s="5">
        <v>0</v>
      </c>
      <c r="AP634" s="5">
        <v>0</v>
      </c>
      <c r="AQ634" s="5">
        <v>0</v>
      </c>
      <c r="AR634" s="5">
        <v>0</v>
      </c>
      <c r="AS634" s="5">
        <v>4.9000000000000002E-2</v>
      </c>
      <c r="AT634" s="5">
        <v>0</v>
      </c>
      <c r="AU634" s="5">
        <v>0</v>
      </c>
      <c r="AV634" s="5">
        <v>0</v>
      </c>
      <c r="AW634" s="815">
        <v>0</v>
      </c>
      <c r="AX634" s="816">
        <v>0</v>
      </c>
      <c r="AY634" s="819">
        <v>0</v>
      </c>
      <c r="AZ634" s="816"/>
      <c r="BA634" s="818"/>
      <c r="BB634" s="802" t="str" cm="1">
        <f t="array" ref="BB634">INDEX(C$4:BA$4,MATCH(TRUE,INDEX(C634:BA634&lt;&gt;0,),0))</f>
        <v>2020-21</v>
      </c>
      <c r="BC634" s="803" t="str" cm="1">
        <f t="array" ref="BC634">LOOKUP(2,1/(C634:BA634&lt;&gt;0),$C$4:$BA$4)</f>
        <v>2020-21</v>
      </c>
      <c r="BD634" s="804">
        <f>COUNTIF(RDprograms[[#This Row],[1978-79]:[2028-29]], "&gt;0")</f>
        <v>1</v>
      </c>
      <c r="BE634" s="805">
        <f>SUM(C634:BA634)/RDprograms[[#This Row],[Years with &gt; $0 investment]]</f>
        <v>4.9000000000000002E-2</v>
      </c>
      <c r="BF634" s="806" t="s">
        <v>273</v>
      </c>
      <c r="BG634" s="807" t="s">
        <v>362</v>
      </c>
      <c r="BH634" s="847" t="s">
        <v>258</v>
      </c>
      <c r="BI634" s="809"/>
      <c r="BJ634" s="809"/>
      <c r="BK634" s="809"/>
      <c r="BL634" s="809"/>
      <c r="BM634" s="809"/>
      <c r="BN634" s="810"/>
      <c r="BO634" s="811" t="s">
        <v>236</v>
      </c>
      <c r="BP634" s="812" t="s">
        <v>1555</v>
      </c>
      <c r="BQ634" s="812" t="s">
        <v>1554</v>
      </c>
      <c r="BR634" s="812" t="s">
        <v>1556</v>
      </c>
      <c r="BS634" s="812" t="s">
        <v>684</v>
      </c>
      <c r="BT634" s="812" t="s">
        <v>684</v>
      </c>
    </row>
    <row r="635" spans="1:72" ht="12.75" customHeight="1">
      <c r="A635" s="813" t="s">
        <v>1401</v>
      </c>
      <c r="B635" s="820" t="s">
        <v>1557</v>
      </c>
      <c r="C635" s="5">
        <v>0</v>
      </c>
      <c r="D635" s="5">
        <v>0</v>
      </c>
      <c r="E635" s="5">
        <v>0</v>
      </c>
      <c r="F635" s="5">
        <v>0</v>
      </c>
      <c r="G635" s="5">
        <v>0</v>
      </c>
      <c r="H635" s="5">
        <v>0</v>
      </c>
      <c r="I635" s="5">
        <v>0</v>
      </c>
      <c r="J635" s="5">
        <v>0</v>
      </c>
      <c r="K635" s="5">
        <v>0</v>
      </c>
      <c r="L635" s="5">
        <v>0</v>
      </c>
      <c r="M635" s="5">
        <v>0</v>
      </c>
      <c r="N635" s="5">
        <v>0</v>
      </c>
      <c r="O635" s="5">
        <v>0</v>
      </c>
      <c r="P635" s="5">
        <v>0</v>
      </c>
      <c r="Q635" s="5">
        <v>0</v>
      </c>
      <c r="R635" s="5">
        <v>0</v>
      </c>
      <c r="S635" s="5">
        <v>0</v>
      </c>
      <c r="T635" s="5">
        <v>0</v>
      </c>
      <c r="U635" s="5">
        <v>0</v>
      </c>
      <c r="V635" s="5">
        <v>0</v>
      </c>
      <c r="W635" s="5">
        <v>0</v>
      </c>
      <c r="X635" s="5">
        <v>0</v>
      </c>
      <c r="Y635" s="5">
        <v>0</v>
      </c>
      <c r="Z635" s="5">
        <v>0</v>
      </c>
      <c r="AA635" s="5">
        <v>0</v>
      </c>
      <c r="AB635" s="5">
        <v>0</v>
      </c>
      <c r="AC635" s="5">
        <v>0</v>
      </c>
      <c r="AD635" s="5">
        <v>0</v>
      </c>
      <c r="AE635" s="5">
        <v>0</v>
      </c>
      <c r="AF635" s="5">
        <v>0</v>
      </c>
      <c r="AG635" s="5">
        <v>0</v>
      </c>
      <c r="AH635" s="5">
        <v>0.47</v>
      </c>
      <c r="AI635" s="5">
        <v>0.32300000000000001</v>
      </c>
      <c r="AJ635" s="5">
        <v>0.86499999999999999</v>
      </c>
      <c r="AK635" s="5">
        <v>1.1339999999999999</v>
      </c>
      <c r="AL635" s="5">
        <v>0.76</v>
      </c>
      <c r="AM635" s="5">
        <v>0.53300000000000003</v>
      </c>
      <c r="AN635" s="5">
        <v>1.379</v>
      </c>
      <c r="AO635" s="5">
        <v>2.29</v>
      </c>
      <c r="AP635" s="816">
        <v>0.81499999999999995</v>
      </c>
      <c r="AQ635" s="816">
        <v>1.002</v>
      </c>
      <c r="AR635" s="5">
        <v>0.71299999999999997</v>
      </c>
      <c r="AS635" s="5">
        <v>0.84499999999999997</v>
      </c>
      <c r="AT635" s="5">
        <v>0</v>
      </c>
      <c r="AU635" s="5">
        <v>0</v>
      </c>
      <c r="AV635" s="5">
        <v>0</v>
      </c>
      <c r="AW635" s="815">
        <v>0</v>
      </c>
      <c r="AX635" s="816">
        <v>0</v>
      </c>
      <c r="AY635" s="819">
        <v>0</v>
      </c>
      <c r="AZ635" s="816"/>
      <c r="BA635" s="818"/>
      <c r="BB635" s="802" t="str" cm="1">
        <f t="array" ref="BB635">INDEX(C$4:BA$4,MATCH(TRUE,INDEX(C635:BA635&lt;&gt;0,),0))</f>
        <v>2009-10</v>
      </c>
      <c r="BC635" s="803" t="str" cm="1">
        <f t="array" ref="BC635">LOOKUP(2,1/(C635:BA635&lt;&gt;0),$C$4:$BA$4)</f>
        <v>2020-21</v>
      </c>
      <c r="BD635" s="804">
        <f>COUNTIF(RDprograms[[#This Row],[1978-79]:[2028-29]], "&gt;0")</f>
        <v>12</v>
      </c>
      <c r="BE635" s="805">
        <f>SUM(C635:BA635)/RDprograms[[#This Row],[Years with &gt; $0 investment]]</f>
        <v>0.92741666666666678</v>
      </c>
      <c r="BF635" s="806" t="s">
        <v>233</v>
      </c>
      <c r="BG635" s="807" t="s">
        <v>362</v>
      </c>
      <c r="BH635" s="847" t="s">
        <v>269</v>
      </c>
      <c r="BI635" s="809"/>
      <c r="BJ635" s="809"/>
      <c r="BK635" s="809"/>
      <c r="BL635" s="809"/>
      <c r="BM635" s="809"/>
      <c r="BN635" s="810"/>
      <c r="BO635" s="811" t="s">
        <v>236</v>
      </c>
      <c r="BP635" s="812" t="s">
        <v>1558</v>
      </c>
      <c r="BQ635" s="812" t="s">
        <v>1559</v>
      </c>
      <c r="BR635" s="812"/>
      <c r="BS635" s="812"/>
      <c r="BT635" s="812" t="s">
        <v>684</v>
      </c>
    </row>
    <row r="636" spans="1:72" ht="12.75" customHeight="1">
      <c r="A636" s="813" t="s">
        <v>1401</v>
      </c>
      <c r="B636" s="820" t="s">
        <v>1560</v>
      </c>
      <c r="C636" s="5">
        <v>0</v>
      </c>
      <c r="D636" s="5">
        <v>0</v>
      </c>
      <c r="E636" s="5">
        <v>0</v>
      </c>
      <c r="F636" s="5">
        <v>0</v>
      </c>
      <c r="G636" s="5">
        <v>0</v>
      </c>
      <c r="H636" s="5">
        <v>0</v>
      </c>
      <c r="I636" s="5">
        <v>0</v>
      </c>
      <c r="J636" s="5">
        <v>0</v>
      </c>
      <c r="K636" s="5">
        <v>0</v>
      </c>
      <c r="L636" s="5">
        <v>0</v>
      </c>
      <c r="M636" s="5">
        <v>0</v>
      </c>
      <c r="N636" s="5">
        <v>0</v>
      </c>
      <c r="O636" s="5">
        <v>0</v>
      </c>
      <c r="P636" s="5">
        <v>0</v>
      </c>
      <c r="Q636" s="5">
        <v>0</v>
      </c>
      <c r="R636" s="5">
        <v>0</v>
      </c>
      <c r="S636" s="5">
        <v>0</v>
      </c>
      <c r="T636" s="5">
        <v>0</v>
      </c>
      <c r="U636" s="5">
        <v>0</v>
      </c>
      <c r="V636" s="5">
        <v>0</v>
      </c>
      <c r="W636" s="5">
        <v>0</v>
      </c>
      <c r="X636" s="5">
        <v>0</v>
      </c>
      <c r="Y636" s="5">
        <v>0</v>
      </c>
      <c r="Z636" s="5">
        <v>0</v>
      </c>
      <c r="AA636" s="5">
        <v>0</v>
      </c>
      <c r="AB636" s="5">
        <v>0</v>
      </c>
      <c r="AC636" s="5">
        <v>0</v>
      </c>
      <c r="AD636" s="5">
        <v>0</v>
      </c>
      <c r="AE636" s="5">
        <v>0</v>
      </c>
      <c r="AF636" s="5">
        <v>0</v>
      </c>
      <c r="AG636" s="5">
        <v>0</v>
      </c>
      <c r="AH636" s="5">
        <v>0</v>
      </c>
      <c r="AI636" s="5">
        <v>0</v>
      </c>
      <c r="AJ636" s="5">
        <v>0</v>
      </c>
      <c r="AK636" s="5">
        <v>2.5000000000000001E-2</v>
      </c>
      <c r="AL636" s="5">
        <v>0.20200000000000001</v>
      </c>
      <c r="AM636" s="5">
        <v>1.3919999999999999</v>
      </c>
      <c r="AN636" s="5">
        <v>0.57999999999999996</v>
      </c>
      <c r="AO636" s="5">
        <v>0.85</v>
      </c>
      <c r="AP636" s="5">
        <v>0.13800000000000001</v>
      </c>
      <c r="AQ636" s="5">
        <v>0.52100000000000002</v>
      </c>
      <c r="AR636" s="5">
        <v>1.6279999999999999</v>
      </c>
      <c r="AS636" s="5">
        <v>0.91400000000000003</v>
      </c>
      <c r="AT636" s="5">
        <v>0.92600000000000005</v>
      </c>
      <c r="AU636" s="5">
        <v>0.24399999999999999</v>
      </c>
      <c r="AV636" s="5">
        <v>0.23899999999999999</v>
      </c>
      <c r="AW636" s="815">
        <v>0.15</v>
      </c>
      <c r="AX636" s="816">
        <v>0.15</v>
      </c>
      <c r="AY636" s="819">
        <v>0.15</v>
      </c>
      <c r="AZ636" s="816"/>
      <c r="BA636" s="818"/>
      <c r="BB636" s="802" t="str" cm="1">
        <f t="array" ref="BB636">INDEX(C$4:BA$4,MATCH(TRUE,INDEX(C636:BA636&lt;&gt;0,),0))</f>
        <v>2012-13</v>
      </c>
      <c r="BC636" s="803" t="str" cm="1">
        <f t="array" ref="BC636">LOOKUP(2,1/(C636:BA636&lt;&gt;0),$C$4:$BA$4)</f>
        <v>2026-27</v>
      </c>
      <c r="BD636" s="804">
        <f>COUNTIF(RDprograms[[#This Row],[1978-79]:[2028-29]], "&gt;0")</f>
        <v>15</v>
      </c>
      <c r="BE636" s="805">
        <f>SUM(C636:BA636)/RDprograms[[#This Row],[Years with &gt; $0 investment]]</f>
        <v>0.54059999999999997</v>
      </c>
      <c r="BF636" s="806" t="s">
        <v>273</v>
      </c>
      <c r="BG636" s="807" t="s">
        <v>362</v>
      </c>
      <c r="BH636" s="847" t="s">
        <v>241</v>
      </c>
      <c r="BI636" s="33"/>
      <c r="BJ636" s="33">
        <v>1</v>
      </c>
      <c r="BK636" s="33">
        <v>1</v>
      </c>
      <c r="BL636" s="33"/>
      <c r="BM636" s="33"/>
      <c r="BN636" s="842"/>
      <c r="BO636" s="811" t="s">
        <v>236</v>
      </c>
      <c r="BP636" s="843" t="s">
        <v>1561</v>
      </c>
      <c r="BQ636" s="829" t="s">
        <v>1562</v>
      </c>
      <c r="BR636" s="812"/>
      <c r="BS636" s="812"/>
      <c r="BT636" s="812" t="s">
        <v>238</v>
      </c>
    </row>
    <row r="637" spans="1:72" ht="12.75" customHeight="1">
      <c r="A637" s="813" t="s">
        <v>1401</v>
      </c>
      <c r="B637" s="820" t="s">
        <v>1563</v>
      </c>
      <c r="C637" s="5">
        <v>0</v>
      </c>
      <c r="D637" s="5">
        <v>0</v>
      </c>
      <c r="E637" s="5">
        <v>0</v>
      </c>
      <c r="F637" s="5">
        <v>0</v>
      </c>
      <c r="G637" s="5">
        <v>0</v>
      </c>
      <c r="H637" s="5">
        <v>0</v>
      </c>
      <c r="I637" s="5">
        <v>0</v>
      </c>
      <c r="J637" s="5">
        <v>0</v>
      </c>
      <c r="K637" s="5">
        <v>0</v>
      </c>
      <c r="L637" s="5">
        <v>0</v>
      </c>
      <c r="M637" s="5">
        <v>0</v>
      </c>
      <c r="N637" s="5">
        <v>0</v>
      </c>
      <c r="O637" s="5">
        <v>0</v>
      </c>
      <c r="P637" s="5">
        <v>0</v>
      </c>
      <c r="Q637" s="5">
        <v>0</v>
      </c>
      <c r="R637" s="5">
        <v>0</v>
      </c>
      <c r="S637" s="5">
        <v>0</v>
      </c>
      <c r="T637" s="5">
        <v>0</v>
      </c>
      <c r="U637" s="5">
        <v>0</v>
      </c>
      <c r="V637" s="5">
        <v>0</v>
      </c>
      <c r="W637" s="5">
        <v>0</v>
      </c>
      <c r="X637" s="5">
        <v>0</v>
      </c>
      <c r="Y637" s="5">
        <v>0</v>
      </c>
      <c r="Z637" s="5">
        <v>0</v>
      </c>
      <c r="AA637" s="5">
        <v>0</v>
      </c>
      <c r="AB637" s="5">
        <v>0</v>
      </c>
      <c r="AC637" s="5">
        <v>0</v>
      </c>
      <c r="AD637" s="5">
        <v>0</v>
      </c>
      <c r="AE637" s="5">
        <v>0</v>
      </c>
      <c r="AF637" s="5">
        <v>0</v>
      </c>
      <c r="AG637" s="5">
        <v>0</v>
      </c>
      <c r="AH637" s="5">
        <v>0</v>
      </c>
      <c r="AI637" s="5">
        <v>0</v>
      </c>
      <c r="AJ637" s="5">
        <v>0</v>
      </c>
      <c r="AK637" s="5">
        <v>0</v>
      </c>
      <c r="AL637" s="5">
        <v>0</v>
      </c>
      <c r="AM637" s="5">
        <v>0</v>
      </c>
      <c r="AN637" s="5">
        <v>0</v>
      </c>
      <c r="AO637" s="5">
        <v>0</v>
      </c>
      <c r="AP637" s="816">
        <v>0</v>
      </c>
      <c r="AQ637" s="816">
        <v>0</v>
      </c>
      <c r="AR637" s="5">
        <v>0</v>
      </c>
      <c r="AS637" s="5">
        <v>0</v>
      </c>
      <c r="AT637" s="5">
        <v>0.187</v>
      </c>
      <c r="AU637" s="5">
        <v>0.224</v>
      </c>
      <c r="AV637" s="5">
        <v>0</v>
      </c>
      <c r="AW637" s="815">
        <v>0</v>
      </c>
      <c r="AX637" s="816">
        <v>0</v>
      </c>
      <c r="AY637" s="819">
        <v>0</v>
      </c>
      <c r="AZ637" s="816"/>
      <c r="BA637" s="818"/>
      <c r="BB637" s="802" t="str" cm="1">
        <f t="array" ref="BB637">INDEX(C$4:BA$4,MATCH(TRUE,INDEX(C637:BA637&lt;&gt;0,),0))</f>
        <v>2021-22</v>
      </c>
      <c r="BC637" s="803" t="str" cm="1">
        <f t="array" ref="BC637">LOOKUP(2,1/(C637:BA637&lt;&gt;0),$C$4:$BA$4)</f>
        <v>2022-23</v>
      </c>
      <c r="BD637" s="804">
        <f>COUNTIF(RDprograms[[#This Row],[1978-79]:[2028-29]], "&gt;0")</f>
        <v>2</v>
      </c>
      <c r="BE637" s="805">
        <f>SUM(C637:BA637)/RDprograms[[#This Row],[Years with &gt; $0 investment]]</f>
        <v>0.20550000000000002</v>
      </c>
      <c r="BF637" s="806" t="s">
        <v>273</v>
      </c>
      <c r="BG637" s="807" t="s">
        <v>362</v>
      </c>
      <c r="BH637" s="847" t="s">
        <v>258</v>
      </c>
      <c r="BI637" s="809"/>
      <c r="BJ637" s="809"/>
      <c r="BK637" s="809"/>
      <c r="BL637" s="809"/>
      <c r="BM637" s="809"/>
      <c r="BN637" s="810"/>
      <c r="BO637" s="811" t="s">
        <v>236</v>
      </c>
      <c r="BP637" s="812" t="s">
        <v>1564</v>
      </c>
      <c r="BQ637" s="812"/>
      <c r="BR637" s="812" t="s">
        <v>1565</v>
      </c>
      <c r="BS637" s="812"/>
      <c r="BT637" s="812" t="s">
        <v>684</v>
      </c>
    </row>
    <row r="638" spans="1:72" ht="12.75" customHeight="1">
      <c r="A638" s="813" t="s">
        <v>1401</v>
      </c>
      <c r="B638" s="820" t="s">
        <v>1566</v>
      </c>
      <c r="C638" s="5">
        <v>0</v>
      </c>
      <c r="D638" s="5">
        <v>0</v>
      </c>
      <c r="E638" s="5">
        <v>0</v>
      </c>
      <c r="F638" s="5">
        <v>0</v>
      </c>
      <c r="G638" s="5">
        <v>0</v>
      </c>
      <c r="H638" s="5">
        <v>0</v>
      </c>
      <c r="I638" s="5">
        <v>0</v>
      </c>
      <c r="J638" s="5">
        <v>0</v>
      </c>
      <c r="K638" s="5">
        <v>0</v>
      </c>
      <c r="L638" s="5">
        <v>0</v>
      </c>
      <c r="M638" s="5">
        <v>0</v>
      </c>
      <c r="N638" s="5">
        <v>0</v>
      </c>
      <c r="O638" s="5">
        <v>0</v>
      </c>
      <c r="P638" s="5">
        <v>0</v>
      </c>
      <c r="Q638" s="5">
        <v>0</v>
      </c>
      <c r="R638" s="5">
        <v>0</v>
      </c>
      <c r="S638" s="5">
        <v>0</v>
      </c>
      <c r="T638" s="5">
        <v>0</v>
      </c>
      <c r="U638" s="5">
        <v>0</v>
      </c>
      <c r="V638" s="5">
        <v>0</v>
      </c>
      <c r="W638" s="5">
        <v>0</v>
      </c>
      <c r="X638" s="5">
        <v>0</v>
      </c>
      <c r="Y638" s="5">
        <v>0</v>
      </c>
      <c r="Z638" s="5">
        <v>0</v>
      </c>
      <c r="AA638" s="5">
        <v>0</v>
      </c>
      <c r="AB638" s="5">
        <v>0</v>
      </c>
      <c r="AC638" s="5">
        <v>0</v>
      </c>
      <c r="AD638" s="5">
        <v>0</v>
      </c>
      <c r="AE638" s="5">
        <v>0</v>
      </c>
      <c r="AF638" s="5">
        <v>0</v>
      </c>
      <c r="AG638" s="5">
        <v>0</v>
      </c>
      <c r="AH638" s="5">
        <v>0</v>
      </c>
      <c r="AI638" s="5">
        <v>0</v>
      </c>
      <c r="AJ638" s="5">
        <v>0</v>
      </c>
      <c r="AK638" s="5">
        <v>0</v>
      </c>
      <c r="AL638" s="5">
        <v>0</v>
      </c>
      <c r="AM638" s="5">
        <v>0</v>
      </c>
      <c r="AN638" s="5">
        <v>0</v>
      </c>
      <c r="AO638" s="5">
        <v>0</v>
      </c>
      <c r="AP638" s="5">
        <v>0</v>
      </c>
      <c r="AQ638" s="5">
        <v>0</v>
      </c>
      <c r="AR638" s="5">
        <v>0</v>
      </c>
      <c r="AS638" s="5">
        <v>0.5</v>
      </c>
      <c r="AT638" s="5">
        <v>0.5</v>
      </c>
      <c r="AU638" s="5">
        <v>0.5</v>
      </c>
      <c r="AV638" s="5">
        <v>0.5</v>
      </c>
      <c r="AW638" s="815">
        <v>0.5</v>
      </c>
      <c r="AX638" s="816">
        <v>0.5</v>
      </c>
      <c r="AY638" s="819">
        <v>0</v>
      </c>
      <c r="AZ638" s="816"/>
      <c r="BA638" s="818"/>
      <c r="BB638" s="802" t="str" cm="1">
        <f t="array" ref="BB638">INDEX(C$4:BA$4,MATCH(TRUE,INDEX(C638:BA638&lt;&gt;0,),0))</f>
        <v>2020-21</v>
      </c>
      <c r="BC638" s="803" t="str" cm="1">
        <f t="array" ref="BC638">LOOKUP(2,1/(C638:BA638&lt;&gt;0),$C$4:$BA$4)</f>
        <v>2025-26</v>
      </c>
      <c r="BD638" s="804">
        <f>COUNTIF(RDprograms[[#This Row],[1978-79]:[2028-29]], "&gt;0")</f>
        <v>6</v>
      </c>
      <c r="BE638" s="805">
        <f>SUM(C638:BA638)/RDprograms[[#This Row],[Years with &gt; $0 investment]]</f>
        <v>0.5</v>
      </c>
      <c r="BF638" s="806" t="s">
        <v>273</v>
      </c>
      <c r="BG638" s="807" t="s">
        <v>362</v>
      </c>
      <c r="BH638" s="847" t="s">
        <v>241</v>
      </c>
      <c r="BI638" s="809"/>
      <c r="BJ638" s="809"/>
      <c r="BK638" s="809"/>
      <c r="BL638" s="809"/>
      <c r="BM638" s="809"/>
      <c r="BN638" s="810">
        <v>1</v>
      </c>
      <c r="BO638" s="811" t="s">
        <v>236</v>
      </c>
      <c r="BP638" s="812" t="s">
        <v>1567</v>
      </c>
      <c r="BQ638" s="812" t="s">
        <v>1568</v>
      </c>
      <c r="BR638" s="812"/>
      <c r="BS638" s="812"/>
      <c r="BT638" s="812" t="s">
        <v>684</v>
      </c>
    </row>
    <row r="639" spans="1:72" ht="12.75" customHeight="1">
      <c r="A639" s="813" t="s">
        <v>1401</v>
      </c>
      <c r="B639" s="820" t="s">
        <v>1569</v>
      </c>
      <c r="C639" s="5">
        <v>0</v>
      </c>
      <c r="D639" s="5">
        <v>0</v>
      </c>
      <c r="E639" s="5">
        <v>0</v>
      </c>
      <c r="F639" s="5">
        <v>0</v>
      </c>
      <c r="G639" s="5">
        <v>0</v>
      </c>
      <c r="H639" s="5">
        <v>0</v>
      </c>
      <c r="I639" s="5">
        <v>0</v>
      </c>
      <c r="J639" s="5">
        <v>0</v>
      </c>
      <c r="K639" s="5">
        <v>0</v>
      </c>
      <c r="L639" s="5">
        <v>0</v>
      </c>
      <c r="M639" s="5">
        <v>0</v>
      </c>
      <c r="N639" s="5">
        <v>0</v>
      </c>
      <c r="O639" s="5">
        <v>0</v>
      </c>
      <c r="P639" s="5">
        <v>0</v>
      </c>
      <c r="Q639" s="5">
        <v>0</v>
      </c>
      <c r="R639" s="5">
        <v>0</v>
      </c>
      <c r="S639" s="5">
        <v>0</v>
      </c>
      <c r="T639" s="5">
        <v>0</v>
      </c>
      <c r="U639" s="5">
        <v>0</v>
      </c>
      <c r="V639" s="5">
        <v>0</v>
      </c>
      <c r="W639" s="5">
        <v>0</v>
      </c>
      <c r="X639" s="5">
        <v>0</v>
      </c>
      <c r="Y639" s="5">
        <v>0</v>
      </c>
      <c r="Z639" s="5">
        <v>0</v>
      </c>
      <c r="AA639" s="5">
        <v>0</v>
      </c>
      <c r="AB639" s="5">
        <v>0</v>
      </c>
      <c r="AC639" s="5">
        <v>0</v>
      </c>
      <c r="AD639" s="5">
        <v>0</v>
      </c>
      <c r="AE639" s="5">
        <v>0</v>
      </c>
      <c r="AF639" s="5">
        <v>0</v>
      </c>
      <c r="AG639" s="5">
        <v>0</v>
      </c>
      <c r="AH639" s="5">
        <v>0</v>
      </c>
      <c r="AI639" s="5">
        <v>0</v>
      </c>
      <c r="AJ639" s="5">
        <v>0</v>
      </c>
      <c r="AK639" s="5">
        <v>0</v>
      </c>
      <c r="AL639" s="5">
        <v>0</v>
      </c>
      <c r="AM639" s="5">
        <v>0</v>
      </c>
      <c r="AN639" s="5">
        <v>0</v>
      </c>
      <c r="AO639" s="5">
        <v>4.2000000000000003E-2</v>
      </c>
      <c r="AP639" s="816">
        <v>7.2999999999999995E-2</v>
      </c>
      <c r="AQ639" s="816">
        <v>0</v>
      </c>
      <c r="AR639" s="5">
        <v>0</v>
      </c>
      <c r="AS639" s="5">
        <v>0</v>
      </c>
      <c r="AT639" s="5">
        <v>0</v>
      </c>
      <c r="AU639" s="5">
        <v>0</v>
      </c>
      <c r="AV639" s="5">
        <v>0</v>
      </c>
      <c r="AW639" s="815">
        <v>0</v>
      </c>
      <c r="AX639" s="816">
        <v>0</v>
      </c>
      <c r="AY639" s="819">
        <v>0</v>
      </c>
      <c r="AZ639" s="816"/>
      <c r="BA639" s="818"/>
      <c r="BB639" s="802" t="str" cm="1">
        <f t="array" ref="BB639">INDEX(C$4:BA$4,MATCH(TRUE,INDEX(C639:BA639&lt;&gt;0,),0))</f>
        <v>2016-17</v>
      </c>
      <c r="BC639" s="803" t="str" cm="1">
        <f t="array" ref="BC639">LOOKUP(2,1/(C639:BA639&lt;&gt;0),$C$4:$BA$4)</f>
        <v>2017-18</v>
      </c>
      <c r="BD639" s="804">
        <f>COUNTIF(RDprograms[[#This Row],[1978-79]:[2028-29]], "&gt;0")</f>
        <v>2</v>
      </c>
      <c r="BE639" s="805">
        <f>SUM(C639:BA639)/RDprograms[[#This Row],[Years with &gt; $0 investment]]</f>
        <v>5.7499999999999996E-2</v>
      </c>
      <c r="BF639" s="806" t="s">
        <v>273</v>
      </c>
      <c r="BG639" s="807" t="s">
        <v>362</v>
      </c>
      <c r="BH639" s="847" t="s">
        <v>258</v>
      </c>
      <c r="BI639" s="809"/>
      <c r="BJ639" s="809"/>
      <c r="BK639" s="809"/>
      <c r="BL639" s="809"/>
      <c r="BM639" s="809"/>
      <c r="BN639" s="810"/>
      <c r="BO639" s="811" t="s">
        <v>236</v>
      </c>
      <c r="BP639" s="812" t="s">
        <v>1403</v>
      </c>
      <c r="BQ639" s="812" t="s">
        <v>1570</v>
      </c>
      <c r="BR639" s="812" t="s">
        <v>508</v>
      </c>
      <c r="BS639" s="812"/>
      <c r="BT639" s="812" t="s">
        <v>238</v>
      </c>
    </row>
    <row r="640" spans="1:72" ht="12.75" customHeight="1">
      <c r="A640" s="813" t="s">
        <v>1401</v>
      </c>
      <c r="B640" s="820" t="s">
        <v>1571</v>
      </c>
      <c r="C640" s="5">
        <v>0</v>
      </c>
      <c r="D640" s="5">
        <v>0</v>
      </c>
      <c r="E640" s="5">
        <v>0</v>
      </c>
      <c r="F640" s="5">
        <v>0</v>
      </c>
      <c r="G640" s="5">
        <v>0</v>
      </c>
      <c r="H640" s="5">
        <v>0</v>
      </c>
      <c r="I640" s="5">
        <v>0</v>
      </c>
      <c r="J640" s="5">
        <v>0</v>
      </c>
      <c r="K640" s="5">
        <v>0</v>
      </c>
      <c r="L640" s="5">
        <v>0</v>
      </c>
      <c r="M640" s="5">
        <v>0</v>
      </c>
      <c r="N640" s="5">
        <v>0</v>
      </c>
      <c r="O640" s="5">
        <v>0</v>
      </c>
      <c r="P640" s="5">
        <v>0</v>
      </c>
      <c r="Q640" s="5">
        <v>0</v>
      </c>
      <c r="R640" s="5">
        <v>0</v>
      </c>
      <c r="S640" s="5">
        <v>0</v>
      </c>
      <c r="T640" s="5">
        <v>0</v>
      </c>
      <c r="U640" s="5">
        <v>0</v>
      </c>
      <c r="V640" s="5">
        <v>0</v>
      </c>
      <c r="W640" s="5">
        <v>0</v>
      </c>
      <c r="X640" s="5">
        <v>0</v>
      </c>
      <c r="Y640" s="5">
        <v>0</v>
      </c>
      <c r="Z640" s="5">
        <v>0</v>
      </c>
      <c r="AA640" s="5">
        <v>0</v>
      </c>
      <c r="AB640" s="5">
        <v>0</v>
      </c>
      <c r="AC640" s="5">
        <v>0</v>
      </c>
      <c r="AD640" s="5">
        <v>0</v>
      </c>
      <c r="AE640" s="5">
        <v>0</v>
      </c>
      <c r="AF640" s="5">
        <v>0</v>
      </c>
      <c r="AG640" s="5">
        <v>1.6359999999999999</v>
      </c>
      <c r="AH640" s="5">
        <v>0.19500000000000001</v>
      </c>
      <c r="AI640" s="5">
        <v>0</v>
      </c>
      <c r="AJ640" s="5">
        <v>1.3819999999999999</v>
      </c>
      <c r="AK640" s="5">
        <v>1.4890000000000001</v>
      </c>
      <c r="AL640" s="5">
        <v>0</v>
      </c>
      <c r="AM640" s="5">
        <v>0.63</v>
      </c>
      <c r="AN640" s="5">
        <v>1.1000000000000001</v>
      </c>
      <c r="AO640" s="5">
        <v>2</v>
      </c>
      <c r="AP640" s="5">
        <v>0</v>
      </c>
      <c r="AQ640" s="5">
        <v>0.3</v>
      </c>
      <c r="AR640" s="5">
        <v>0.5</v>
      </c>
      <c r="AS640" s="5">
        <v>1.4</v>
      </c>
      <c r="AT640" s="5">
        <v>1.3</v>
      </c>
      <c r="AU640" s="5">
        <v>1.7250000000000001</v>
      </c>
      <c r="AV640" s="5">
        <v>1.7250000000000001</v>
      </c>
      <c r="AW640" s="815">
        <v>3.45</v>
      </c>
      <c r="AX640" s="816">
        <v>0</v>
      </c>
      <c r="AY640" s="819">
        <v>0</v>
      </c>
      <c r="AZ640" s="816"/>
      <c r="BA640" s="818"/>
      <c r="BB640" s="802" t="str" cm="1">
        <f t="array" ref="BB640">INDEX(C$4:BA$4,MATCH(TRUE,INDEX(C640:BA640&lt;&gt;0,),0))</f>
        <v>2008-09</v>
      </c>
      <c r="BC640" s="803" t="str" cm="1">
        <f t="array" ref="BC640">LOOKUP(2,1/(C640:BA640&lt;&gt;0),$C$4:$BA$4)</f>
        <v>2024-25</v>
      </c>
      <c r="BD640" s="804">
        <f>COUNTIF(RDprograms[[#This Row],[1978-79]:[2028-29]], "&gt;0")</f>
        <v>14</v>
      </c>
      <c r="BE640" s="805">
        <f>SUM(C640:BA640)/RDprograms[[#This Row],[Years with &gt; $0 investment]]</f>
        <v>1.3451428571428572</v>
      </c>
      <c r="BF640" s="806" t="s">
        <v>273</v>
      </c>
      <c r="BG640" s="807" t="s">
        <v>362</v>
      </c>
      <c r="BH640" s="847" t="s">
        <v>241</v>
      </c>
      <c r="BI640" s="809"/>
      <c r="BJ640" s="809"/>
      <c r="BK640" s="809"/>
      <c r="BL640" s="809"/>
      <c r="BM640" s="809"/>
      <c r="BN640" s="810"/>
      <c r="BO640" s="811" t="s">
        <v>236</v>
      </c>
      <c r="BP640" s="812" t="s">
        <v>1403</v>
      </c>
      <c r="BQ640" s="812" t="s">
        <v>1572</v>
      </c>
      <c r="BR640" s="812"/>
      <c r="BS640" s="812"/>
      <c r="BT640" s="812" t="s">
        <v>238</v>
      </c>
    </row>
    <row r="641" spans="1:72" ht="12.75" customHeight="1">
      <c r="A641" s="813" t="s">
        <v>1401</v>
      </c>
      <c r="B641" s="820" t="s">
        <v>1573</v>
      </c>
      <c r="C641" s="5">
        <v>0</v>
      </c>
      <c r="D641" s="5">
        <v>0</v>
      </c>
      <c r="E641" s="5">
        <v>0</v>
      </c>
      <c r="F641" s="5">
        <v>0</v>
      </c>
      <c r="G641" s="5">
        <v>0</v>
      </c>
      <c r="H641" s="5">
        <v>0</v>
      </c>
      <c r="I641" s="5">
        <v>0</v>
      </c>
      <c r="J641" s="5">
        <v>0</v>
      </c>
      <c r="K641" s="5">
        <v>0</v>
      </c>
      <c r="L641" s="5">
        <v>0</v>
      </c>
      <c r="M641" s="5">
        <v>0</v>
      </c>
      <c r="N641" s="5">
        <v>0</v>
      </c>
      <c r="O641" s="5">
        <v>0</v>
      </c>
      <c r="P641" s="5">
        <v>0</v>
      </c>
      <c r="Q641" s="5">
        <v>0</v>
      </c>
      <c r="R641" s="5">
        <v>0</v>
      </c>
      <c r="S641" s="5">
        <v>0</v>
      </c>
      <c r="T641" s="5">
        <v>0</v>
      </c>
      <c r="U641" s="5">
        <v>0</v>
      </c>
      <c r="V641" s="5">
        <v>0</v>
      </c>
      <c r="W641" s="5">
        <v>0</v>
      </c>
      <c r="X641" s="5">
        <v>0</v>
      </c>
      <c r="Y641" s="5">
        <v>0</v>
      </c>
      <c r="Z641" s="5">
        <v>0</v>
      </c>
      <c r="AA641" s="5">
        <v>0</v>
      </c>
      <c r="AB641" s="5">
        <v>0</v>
      </c>
      <c r="AC641" s="5">
        <v>0</v>
      </c>
      <c r="AD641" s="5">
        <v>0</v>
      </c>
      <c r="AE641" s="5">
        <v>0</v>
      </c>
      <c r="AF641" s="5">
        <v>0</v>
      </c>
      <c r="AG641" s="5">
        <v>0</v>
      </c>
      <c r="AH641" s="5">
        <v>0</v>
      </c>
      <c r="AI641" s="5">
        <v>0</v>
      </c>
      <c r="AJ641" s="5">
        <v>0</v>
      </c>
      <c r="AK641" s="5">
        <v>0</v>
      </c>
      <c r="AL641" s="5">
        <v>0</v>
      </c>
      <c r="AM641" s="5">
        <v>0</v>
      </c>
      <c r="AN641" s="5">
        <v>0</v>
      </c>
      <c r="AO641" s="5">
        <v>0</v>
      </c>
      <c r="AP641" s="5">
        <v>0.1</v>
      </c>
      <c r="AQ641" s="5">
        <v>1.9E-2</v>
      </c>
      <c r="AR641" s="5">
        <v>0</v>
      </c>
      <c r="AS641" s="5">
        <v>0</v>
      </c>
      <c r="AT641" s="5">
        <v>0</v>
      </c>
      <c r="AU641" s="5">
        <v>0</v>
      </c>
      <c r="AV641" s="5">
        <v>0</v>
      </c>
      <c r="AW641" s="815">
        <v>0</v>
      </c>
      <c r="AX641" s="816">
        <v>0</v>
      </c>
      <c r="AY641" s="819">
        <v>0</v>
      </c>
      <c r="AZ641" s="816"/>
      <c r="BA641" s="818"/>
      <c r="BB641" s="802" t="str" cm="1">
        <f t="array" ref="BB641">INDEX(C$4:BA$4,MATCH(TRUE,INDEX(C641:BA641&lt;&gt;0,),0))</f>
        <v>2017-18</v>
      </c>
      <c r="BC641" s="803" t="str" cm="1">
        <f t="array" ref="BC641">LOOKUP(2,1/(C641:BA641&lt;&gt;0),$C$4:$BA$4)</f>
        <v>2018-19</v>
      </c>
      <c r="BD641" s="804">
        <f>COUNTIF(RDprograms[[#This Row],[1978-79]:[2028-29]], "&gt;0")</f>
        <v>2</v>
      </c>
      <c r="BE641" s="805">
        <f>SUM(C641:BA641)/RDprograms[[#This Row],[Years with &gt; $0 investment]]</f>
        <v>5.9500000000000004E-2</v>
      </c>
      <c r="BF641" s="806" t="s">
        <v>273</v>
      </c>
      <c r="BG641" s="807" t="s">
        <v>362</v>
      </c>
      <c r="BH641" s="847" t="s">
        <v>258</v>
      </c>
      <c r="BI641" s="809"/>
      <c r="BJ641" s="809"/>
      <c r="BK641" s="809"/>
      <c r="BL641" s="809"/>
      <c r="BM641" s="809"/>
      <c r="BN641" s="810"/>
      <c r="BO641" s="811" t="s">
        <v>236</v>
      </c>
      <c r="BP641" s="812" t="s">
        <v>1403</v>
      </c>
      <c r="BQ641" s="812" t="s">
        <v>1412</v>
      </c>
      <c r="BR641" s="812" t="s">
        <v>508</v>
      </c>
      <c r="BS641" s="812"/>
      <c r="BT641" s="812" t="s">
        <v>238</v>
      </c>
    </row>
    <row r="642" spans="1:72" ht="12.75" customHeight="1">
      <c r="A642" s="813" t="s">
        <v>1401</v>
      </c>
      <c r="B642" s="820" t="s">
        <v>1574</v>
      </c>
      <c r="C642" s="5">
        <v>0</v>
      </c>
      <c r="D642" s="5">
        <v>0</v>
      </c>
      <c r="E642" s="5">
        <v>0</v>
      </c>
      <c r="F642" s="5">
        <v>0</v>
      </c>
      <c r="G642" s="5">
        <v>0</v>
      </c>
      <c r="H642" s="5">
        <v>0</v>
      </c>
      <c r="I642" s="5">
        <v>0</v>
      </c>
      <c r="J642" s="5">
        <v>0</v>
      </c>
      <c r="K642" s="5">
        <v>0</v>
      </c>
      <c r="L642" s="5">
        <v>0</v>
      </c>
      <c r="M642" s="5">
        <v>0</v>
      </c>
      <c r="N642" s="5">
        <v>0</v>
      </c>
      <c r="O642" s="5">
        <v>0</v>
      </c>
      <c r="P642" s="5">
        <v>0</v>
      </c>
      <c r="Q642" s="5">
        <v>0</v>
      </c>
      <c r="R642" s="5">
        <v>0</v>
      </c>
      <c r="S642" s="5">
        <v>0</v>
      </c>
      <c r="T642" s="5">
        <v>0</v>
      </c>
      <c r="U642" s="5">
        <v>0</v>
      </c>
      <c r="V642" s="5">
        <v>0</v>
      </c>
      <c r="W642" s="5">
        <v>0</v>
      </c>
      <c r="X642" s="5">
        <v>0</v>
      </c>
      <c r="Y642" s="5">
        <v>0</v>
      </c>
      <c r="Z642" s="5">
        <v>0</v>
      </c>
      <c r="AA642" s="5">
        <v>0</v>
      </c>
      <c r="AB642" s="5">
        <v>0</v>
      </c>
      <c r="AC642" s="5">
        <v>0</v>
      </c>
      <c r="AD642" s="5">
        <v>0</v>
      </c>
      <c r="AE642" s="5">
        <v>0</v>
      </c>
      <c r="AF642" s="5">
        <v>0</v>
      </c>
      <c r="AG642" s="5">
        <v>0</v>
      </c>
      <c r="AH642" s="5">
        <v>0</v>
      </c>
      <c r="AI642" s="5">
        <v>0</v>
      </c>
      <c r="AJ642" s="5">
        <v>0</v>
      </c>
      <c r="AK642" s="5">
        <v>0</v>
      </c>
      <c r="AL642" s="5">
        <v>0</v>
      </c>
      <c r="AM642" s="5">
        <v>0</v>
      </c>
      <c r="AN642" s="5">
        <v>0</v>
      </c>
      <c r="AO642" s="5">
        <v>0</v>
      </c>
      <c r="AP642" s="5">
        <v>0.2</v>
      </c>
      <c r="AQ642" s="5">
        <v>0</v>
      </c>
      <c r="AR642" s="5">
        <v>0</v>
      </c>
      <c r="AS642" s="5">
        <v>0</v>
      </c>
      <c r="AT642" s="5">
        <v>0</v>
      </c>
      <c r="AU642" s="5">
        <v>0</v>
      </c>
      <c r="AV642" s="5">
        <v>0</v>
      </c>
      <c r="AW642" s="815">
        <v>0</v>
      </c>
      <c r="AX642" s="816">
        <v>0</v>
      </c>
      <c r="AY642" s="819">
        <v>0</v>
      </c>
      <c r="AZ642" s="816"/>
      <c r="BA642" s="818"/>
      <c r="BB642" s="802" t="str" cm="1">
        <f t="array" ref="BB642">INDEX(C$4:BA$4,MATCH(TRUE,INDEX(C642:BA642&lt;&gt;0,),0))</f>
        <v>2017-18</v>
      </c>
      <c r="BC642" s="803" t="str" cm="1">
        <f t="array" ref="BC642">LOOKUP(2,1/(C642:BA642&lt;&gt;0),$C$4:$BA$4)</f>
        <v>2017-18</v>
      </c>
      <c r="BD642" s="804">
        <f>COUNTIF(RDprograms[[#This Row],[1978-79]:[2028-29]], "&gt;0")</f>
        <v>1</v>
      </c>
      <c r="BE642" s="805">
        <f>SUM(C642:BA642)/RDprograms[[#This Row],[Years with &gt; $0 investment]]</f>
        <v>0.2</v>
      </c>
      <c r="BF642" s="806" t="s">
        <v>273</v>
      </c>
      <c r="BG642" s="807" t="s">
        <v>362</v>
      </c>
      <c r="BH642" s="847" t="s">
        <v>258</v>
      </c>
      <c r="BI642" s="809"/>
      <c r="BJ642" s="809"/>
      <c r="BK642" s="809"/>
      <c r="BL642" s="809"/>
      <c r="BM642" s="809"/>
      <c r="BN642" s="810"/>
      <c r="BO642" s="811" t="s">
        <v>236</v>
      </c>
      <c r="BP642" s="812" t="s">
        <v>1403</v>
      </c>
      <c r="BQ642" s="812" t="s">
        <v>1412</v>
      </c>
      <c r="BR642" s="812" t="s">
        <v>508</v>
      </c>
      <c r="BS642" s="812"/>
      <c r="BT642" s="812" t="s">
        <v>238</v>
      </c>
    </row>
    <row r="643" spans="1:72" ht="12.75" customHeight="1">
      <c r="A643" s="813" t="s">
        <v>1401</v>
      </c>
      <c r="B643" s="820" t="s">
        <v>1575</v>
      </c>
      <c r="C643" s="5">
        <v>0</v>
      </c>
      <c r="D643" s="5">
        <v>0</v>
      </c>
      <c r="E643" s="5">
        <v>0</v>
      </c>
      <c r="F643" s="5">
        <v>0</v>
      </c>
      <c r="G643" s="5">
        <v>0</v>
      </c>
      <c r="H643" s="5">
        <v>0</v>
      </c>
      <c r="I643" s="5">
        <v>0</v>
      </c>
      <c r="J643" s="5">
        <v>0</v>
      </c>
      <c r="K643" s="5">
        <v>0</v>
      </c>
      <c r="L643" s="5">
        <v>0</v>
      </c>
      <c r="M643" s="5">
        <v>0</v>
      </c>
      <c r="N643" s="5">
        <v>0</v>
      </c>
      <c r="O643" s="5">
        <v>0</v>
      </c>
      <c r="P643" s="5">
        <v>0</v>
      </c>
      <c r="Q643" s="5">
        <v>0</v>
      </c>
      <c r="R643" s="5">
        <v>0</v>
      </c>
      <c r="S643" s="5">
        <v>0</v>
      </c>
      <c r="T643" s="5">
        <v>0</v>
      </c>
      <c r="U643" s="5">
        <v>0</v>
      </c>
      <c r="V643" s="5">
        <v>0</v>
      </c>
      <c r="W643" s="5">
        <v>0</v>
      </c>
      <c r="X643" s="5">
        <v>0</v>
      </c>
      <c r="Y643" s="5">
        <v>0</v>
      </c>
      <c r="Z643" s="5">
        <v>0</v>
      </c>
      <c r="AA643" s="5">
        <v>0</v>
      </c>
      <c r="AB643" s="5">
        <v>0</v>
      </c>
      <c r="AC643" s="5">
        <v>0</v>
      </c>
      <c r="AD643" s="5">
        <v>0</v>
      </c>
      <c r="AE643" s="5">
        <v>0</v>
      </c>
      <c r="AF643" s="5">
        <v>0</v>
      </c>
      <c r="AG643" s="5">
        <v>0</v>
      </c>
      <c r="AH643" s="5">
        <v>0</v>
      </c>
      <c r="AI643" s="5">
        <v>0</v>
      </c>
      <c r="AJ643" s="5">
        <v>0</v>
      </c>
      <c r="AK643" s="5">
        <v>0</v>
      </c>
      <c r="AL643" s="5">
        <v>0</v>
      </c>
      <c r="AM643" s="5">
        <v>0</v>
      </c>
      <c r="AN643" s="5">
        <v>0</v>
      </c>
      <c r="AO643" s="5">
        <v>0</v>
      </c>
      <c r="AP643" s="816">
        <v>0.38500000000000001</v>
      </c>
      <c r="AQ643" s="816">
        <v>0.11</v>
      </c>
      <c r="AR643" s="5">
        <v>0</v>
      </c>
      <c r="AS643" s="5">
        <v>0</v>
      </c>
      <c r="AT643" s="5">
        <v>0</v>
      </c>
      <c r="AU643" s="5">
        <v>0</v>
      </c>
      <c r="AV643" s="5">
        <v>0</v>
      </c>
      <c r="AW643" s="815">
        <v>0</v>
      </c>
      <c r="AX643" s="816">
        <v>0</v>
      </c>
      <c r="AY643" s="819">
        <v>0</v>
      </c>
      <c r="AZ643" s="816"/>
      <c r="BA643" s="818"/>
      <c r="BB643" s="802" t="str" cm="1">
        <f t="array" ref="BB643">INDEX(C$4:BA$4,MATCH(TRUE,INDEX(C643:BA643&lt;&gt;0,),0))</f>
        <v>2017-18</v>
      </c>
      <c r="BC643" s="803" t="str" cm="1">
        <f t="array" ref="BC643">LOOKUP(2,1/(C643:BA643&lt;&gt;0),$C$4:$BA$4)</f>
        <v>2018-19</v>
      </c>
      <c r="BD643" s="804">
        <f>COUNTIF(RDprograms[[#This Row],[1978-79]:[2028-29]], "&gt;0")</f>
        <v>2</v>
      </c>
      <c r="BE643" s="805">
        <f>SUM(C643:BA643)/RDprograms[[#This Row],[Years with &gt; $0 investment]]</f>
        <v>0.2475</v>
      </c>
      <c r="BF643" s="806" t="s">
        <v>273</v>
      </c>
      <c r="BG643" s="807" t="s">
        <v>362</v>
      </c>
      <c r="BH643" s="847" t="s">
        <v>258</v>
      </c>
      <c r="BI643" s="809"/>
      <c r="BJ643" s="809"/>
      <c r="BK643" s="809"/>
      <c r="BL643" s="809"/>
      <c r="BM643" s="809"/>
      <c r="BN643" s="810"/>
      <c r="BO643" s="811" t="s">
        <v>236</v>
      </c>
      <c r="BP643" s="812" t="s">
        <v>1403</v>
      </c>
      <c r="BQ643" s="812" t="s">
        <v>1576</v>
      </c>
      <c r="BR643" s="812" t="s">
        <v>508</v>
      </c>
      <c r="BS643" s="812"/>
      <c r="BT643" s="812" t="s">
        <v>238</v>
      </c>
    </row>
    <row r="644" spans="1:72" ht="12.75" customHeight="1">
      <c r="A644" s="813" t="s">
        <v>1401</v>
      </c>
      <c r="B644" s="820" t="s">
        <v>1577</v>
      </c>
      <c r="C644" s="5">
        <v>0</v>
      </c>
      <c r="D644" s="5">
        <v>0</v>
      </c>
      <c r="E644" s="5">
        <v>0</v>
      </c>
      <c r="F644" s="5">
        <v>0</v>
      </c>
      <c r="G644" s="5">
        <v>0</v>
      </c>
      <c r="H644" s="5">
        <v>0</v>
      </c>
      <c r="I644" s="5">
        <v>0</v>
      </c>
      <c r="J644" s="5">
        <v>0</v>
      </c>
      <c r="K644" s="5">
        <v>0</v>
      </c>
      <c r="L644" s="5">
        <v>0</v>
      </c>
      <c r="M644" s="5">
        <v>0</v>
      </c>
      <c r="N644" s="5">
        <v>0</v>
      </c>
      <c r="O644" s="5">
        <v>0</v>
      </c>
      <c r="P644" s="5">
        <v>0</v>
      </c>
      <c r="Q644" s="5">
        <v>0</v>
      </c>
      <c r="R644" s="5">
        <v>0</v>
      </c>
      <c r="S644" s="5">
        <v>0</v>
      </c>
      <c r="T644" s="5">
        <v>0</v>
      </c>
      <c r="U644" s="5">
        <v>0</v>
      </c>
      <c r="V644" s="5">
        <v>0</v>
      </c>
      <c r="W644" s="5">
        <v>0</v>
      </c>
      <c r="X644" s="5">
        <v>0</v>
      </c>
      <c r="Y644" s="5">
        <v>0</v>
      </c>
      <c r="Z644" s="5">
        <v>0</v>
      </c>
      <c r="AA644" s="5">
        <v>0</v>
      </c>
      <c r="AB644" s="5">
        <v>0</v>
      </c>
      <c r="AC644" s="5">
        <v>0</v>
      </c>
      <c r="AD644" s="5">
        <v>0</v>
      </c>
      <c r="AE644" s="5">
        <v>0</v>
      </c>
      <c r="AF644" s="5">
        <v>0</v>
      </c>
      <c r="AG644" s="5">
        <v>0</v>
      </c>
      <c r="AH644" s="5">
        <v>0</v>
      </c>
      <c r="AI644" s="5">
        <v>0</v>
      </c>
      <c r="AJ644" s="5">
        <v>0</v>
      </c>
      <c r="AK644" s="5">
        <v>0</v>
      </c>
      <c r="AL644" s="5">
        <v>0</v>
      </c>
      <c r="AM644" s="5">
        <v>0</v>
      </c>
      <c r="AN644" s="5">
        <v>0</v>
      </c>
      <c r="AO644" s="5">
        <v>0</v>
      </c>
      <c r="AP644" s="5">
        <v>0</v>
      </c>
      <c r="AQ644" s="5">
        <v>0</v>
      </c>
      <c r="AR644" s="5">
        <v>0</v>
      </c>
      <c r="AS644" s="5">
        <v>0</v>
      </c>
      <c r="AT644" s="5">
        <v>0</v>
      </c>
      <c r="AU644" s="5">
        <v>0.26600000000000001</v>
      </c>
      <c r="AV644" s="5">
        <v>1.2290000000000001</v>
      </c>
      <c r="AW644" s="849">
        <v>0.77100000000000002</v>
      </c>
      <c r="AX644" s="816">
        <v>0.68200000000000005</v>
      </c>
      <c r="AY644" s="819">
        <v>0.53</v>
      </c>
      <c r="AZ644" s="826">
        <v>0.51100000000000001</v>
      </c>
      <c r="BA644" s="838">
        <v>0.255</v>
      </c>
      <c r="BB644" s="802" t="str" cm="1">
        <f t="array" ref="BB644">INDEX(C$4:BA$4,MATCH(TRUE,INDEX(C644:BA644&lt;&gt;0,),0))</f>
        <v>2022-23</v>
      </c>
      <c r="BC644" s="803" t="str" cm="1">
        <f t="array" ref="BC644">LOOKUP(2,1/(C644:BA644&lt;&gt;0),$C$4:$BA$4)</f>
        <v>2028-29</v>
      </c>
      <c r="BD644" s="839">
        <f>COUNTIF(RDprograms[[#This Row],[1978-79]:[2028-29]], "&gt;0")</f>
        <v>7</v>
      </c>
      <c r="BE644" s="805">
        <f>SUM(C644:BA644)/RDprograms[[#This Row],[Years with &gt; $0 investment]]</f>
        <v>0.60628571428571421</v>
      </c>
      <c r="BF644" s="806" t="s">
        <v>240</v>
      </c>
      <c r="BG644" s="807" t="s">
        <v>362</v>
      </c>
      <c r="BH644" s="847" t="s">
        <v>358</v>
      </c>
      <c r="BI644" s="809"/>
      <c r="BJ644" s="809">
        <v>1</v>
      </c>
      <c r="BK644" s="809"/>
      <c r="BL644" s="809"/>
      <c r="BM644" s="809"/>
      <c r="BN644" s="810"/>
      <c r="BO644" s="811" t="s">
        <v>236</v>
      </c>
      <c r="BP644" s="812" t="s">
        <v>1578</v>
      </c>
      <c r="BQ644" s="812" t="s">
        <v>1579</v>
      </c>
      <c r="BR644" s="812"/>
      <c r="BS644" s="812"/>
      <c r="BT644" s="812"/>
    </row>
    <row r="645" spans="1:72" ht="12.75" customHeight="1">
      <c r="A645" s="813" t="s">
        <v>1401</v>
      </c>
      <c r="B645" s="820" t="s">
        <v>1580</v>
      </c>
      <c r="C645" s="5">
        <v>0</v>
      </c>
      <c r="D645" s="5">
        <v>0</v>
      </c>
      <c r="E645" s="5">
        <v>0</v>
      </c>
      <c r="F645" s="5">
        <v>0</v>
      </c>
      <c r="G645" s="5">
        <v>0</v>
      </c>
      <c r="H645" s="5">
        <v>0</v>
      </c>
      <c r="I645" s="5">
        <v>0</v>
      </c>
      <c r="J645" s="5">
        <v>0</v>
      </c>
      <c r="K645" s="5">
        <v>0</v>
      </c>
      <c r="L645" s="5">
        <v>0</v>
      </c>
      <c r="M645" s="5">
        <v>0</v>
      </c>
      <c r="N645" s="5">
        <v>0</v>
      </c>
      <c r="O645" s="5">
        <v>0</v>
      </c>
      <c r="P645" s="5">
        <v>0</v>
      </c>
      <c r="Q645" s="5">
        <v>0</v>
      </c>
      <c r="R645" s="5">
        <v>0</v>
      </c>
      <c r="S645" s="5">
        <v>0</v>
      </c>
      <c r="T645" s="5">
        <v>0</v>
      </c>
      <c r="U645" s="5">
        <v>0</v>
      </c>
      <c r="V645" s="5">
        <v>0</v>
      </c>
      <c r="W645" s="5">
        <v>0</v>
      </c>
      <c r="X645" s="5">
        <v>0</v>
      </c>
      <c r="Y645" s="5">
        <v>0</v>
      </c>
      <c r="Z645" s="5">
        <v>0</v>
      </c>
      <c r="AA645" s="5">
        <v>0</v>
      </c>
      <c r="AB645" s="5">
        <v>0</v>
      </c>
      <c r="AC645" s="5">
        <v>0</v>
      </c>
      <c r="AD645" s="5">
        <v>0</v>
      </c>
      <c r="AE645" s="5">
        <v>0</v>
      </c>
      <c r="AF645" s="5">
        <v>0</v>
      </c>
      <c r="AG645" s="5">
        <v>0</v>
      </c>
      <c r="AH645" s="5">
        <v>0.2</v>
      </c>
      <c r="AI645" s="5">
        <v>0.66</v>
      </c>
      <c r="AJ645" s="5">
        <v>0.35</v>
      </c>
      <c r="AK645" s="5">
        <v>1.365</v>
      </c>
      <c r="AL645" s="5">
        <v>0.77</v>
      </c>
      <c r="AM645" s="5">
        <v>0</v>
      </c>
      <c r="AN645" s="5">
        <v>0</v>
      </c>
      <c r="AO645" s="5">
        <v>0</v>
      </c>
      <c r="AP645" s="5">
        <v>0</v>
      </c>
      <c r="AQ645" s="5">
        <v>0</v>
      </c>
      <c r="AR645" s="5">
        <v>0</v>
      </c>
      <c r="AS645" s="5">
        <v>0</v>
      </c>
      <c r="AT645" s="5">
        <v>0</v>
      </c>
      <c r="AU645" s="5">
        <v>0</v>
      </c>
      <c r="AV645" s="5">
        <v>0</v>
      </c>
      <c r="AW645" s="815">
        <v>0</v>
      </c>
      <c r="AX645" s="816">
        <v>0</v>
      </c>
      <c r="AY645" s="819">
        <v>0</v>
      </c>
      <c r="AZ645" s="816"/>
      <c r="BA645" s="818"/>
      <c r="BB645" s="802" t="str" cm="1">
        <f t="array" ref="BB645">INDEX(C$4:BA$4,MATCH(TRUE,INDEX(C645:BA645&lt;&gt;0,),0))</f>
        <v>2009-10</v>
      </c>
      <c r="BC645" s="803" t="str" cm="1">
        <f t="array" ref="BC645">LOOKUP(2,1/(C645:BA645&lt;&gt;0),$C$4:$BA$4)</f>
        <v>2013-14</v>
      </c>
      <c r="BD645" s="804">
        <f>COUNTIF(RDprograms[[#This Row],[1978-79]:[2028-29]], "&gt;0")</f>
        <v>5</v>
      </c>
      <c r="BE645" s="805">
        <f>SUM(C645:BA645)/RDprograms[[#This Row],[Years with &gt; $0 investment]]</f>
        <v>0.66900000000000004</v>
      </c>
      <c r="BF645" s="806" t="s">
        <v>273</v>
      </c>
      <c r="BG645" s="807" t="s">
        <v>362</v>
      </c>
      <c r="BH645" s="847" t="s">
        <v>241</v>
      </c>
      <c r="BI645" s="33"/>
      <c r="BJ645" s="33"/>
      <c r="BK645" s="33"/>
      <c r="BL645" s="33"/>
      <c r="BM645" s="33"/>
      <c r="BN645" s="842"/>
      <c r="BO645" s="811" t="s">
        <v>236</v>
      </c>
      <c r="BP645" s="843" t="s">
        <v>1581</v>
      </c>
      <c r="BQ645" s="829" t="s">
        <v>1582</v>
      </c>
      <c r="BR645" s="812"/>
      <c r="BS645" s="812"/>
      <c r="BT645" s="812" t="s">
        <v>238</v>
      </c>
    </row>
    <row r="646" spans="1:72" ht="12.75" customHeight="1">
      <c r="A646" s="813" t="s">
        <v>1401</v>
      </c>
      <c r="B646" s="820" t="s">
        <v>1583</v>
      </c>
      <c r="C646" s="5">
        <v>0</v>
      </c>
      <c r="D646" s="5">
        <v>0</v>
      </c>
      <c r="E646" s="5">
        <v>0</v>
      </c>
      <c r="F646" s="5">
        <v>0</v>
      </c>
      <c r="G646" s="5">
        <v>0</v>
      </c>
      <c r="H646" s="5">
        <v>0</v>
      </c>
      <c r="I646" s="5">
        <v>0</v>
      </c>
      <c r="J646" s="5">
        <v>0</v>
      </c>
      <c r="K646" s="5">
        <v>0</v>
      </c>
      <c r="L646" s="5">
        <v>0</v>
      </c>
      <c r="M646" s="5">
        <v>0</v>
      </c>
      <c r="N646" s="5">
        <v>0</v>
      </c>
      <c r="O646" s="5">
        <v>0</v>
      </c>
      <c r="P646" s="5">
        <v>0</v>
      </c>
      <c r="Q646" s="5">
        <v>0</v>
      </c>
      <c r="R646" s="5">
        <v>0</v>
      </c>
      <c r="S646" s="5">
        <v>0</v>
      </c>
      <c r="T646" s="5">
        <v>0</v>
      </c>
      <c r="U646" s="5">
        <v>0</v>
      </c>
      <c r="V646" s="5">
        <v>0</v>
      </c>
      <c r="W646" s="5">
        <v>0</v>
      </c>
      <c r="X646" s="5">
        <v>0</v>
      </c>
      <c r="Y646" s="5">
        <v>0</v>
      </c>
      <c r="Z646" s="5">
        <v>0</v>
      </c>
      <c r="AA646" s="5">
        <v>0</v>
      </c>
      <c r="AB646" s="5">
        <v>0</v>
      </c>
      <c r="AC646" s="5">
        <v>0</v>
      </c>
      <c r="AD646" s="5">
        <v>0</v>
      </c>
      <c r="AE646" s="5">
        <v>0</v>
      </c>
      <c r="AF646" s="5">
        <v>0</v>
      </c>
      <c r="AG646" s="5">
        <v>0</v>
      </c>
      <c r="AH646" s="5">
        <v>0</v>
      </c>
      <c r="AI646" s="5">
        <v>0</v>
      </c>
      <c r="AJ646" s="5">
        <v>0</v>
      </c>
      <c r="AK646" s="5">
        <v>0</v>
      </c>
      <c r="AL646" s="5">
        <v>0</v>
      </c>
      <c r="AM646" s="5">
        <v>0</v>
      </c>
      <c r="AN646" s="5">
        <v>0</v>
      </c>
      <c r="AO646" s="5">
        <v>0</v>
      </c>
      <c r="AP646" s="5">
        <v>0.1366</v>
      </c>
      <c r="AQ646" s="5">
        <v>0.15</v>
      </c>
      <c r="AR646" s="5">
        <v>0</v>
      </c>
      <c r="AS646" s="5">
        <v>0</v>
      </c>
      <c r="AT646" s="5">
        <v>0</v>
      </c>
      <c r="AU646" s="5">
        <v>0</v>
      </c>
      <c r="AV646" s="5">
        <v>0</v>
      </c>
      <c r="AW646" s="815">
        <v>0</v>
      </c>
      <c r="AX646" s="816">
        <v>0</v>
      </c>
      <c r="AY646" s="819">
        <v>0</v>
      </c>
      <c r="AZ646" s="816"/>
      <c r="BA646" s="818"/>
      <c r="BB646" s="802" t="str" cm="1">
        <f t="array" ref="BB646">INDEX(C$4:BA$4,MATCH(TRUE,INDEX(C646:BA646&lt;&gt;0,),0))</f>
        <v>2017-18</v>
      </c>
      <c r="BC646" s="803" t="str" cm="1">
        <f t="array" ref="BC646">LOOKUP(2,1/(C646:BA646&lt;&gt;0),$C$4:$BA$4)</f>
        <v>2018-19</v>
      </c>
      <c r="BD646" s="804">
        <f>COUNTIF(RDprograms[[#This Row],[1978-79]:[2028-29]], "&gt;0")</f>
        <v>2</v>
      </c>
      <c r="BE646" s="805">
        <f>SUM(C646:BA646)/RDprograms[[#This Row],[Years with &gt; $0 investment]]</f>
        <v>0.14329999999999998</v>
      </c>
      <c r="BF646" s="806" t="s">
        <v>273</v>
      </c>
      <c r="BG646" s="807" t="s">
        <v>362</v>
      </c>
      <c r="BH646" s="847" t="s">
        <v>258</v>
      </c>
      <c r="BI646" s="33"/>
      <c r="BJ646" s="33"/>
      <c r="BK646" s="33"/>
      <c r="BL646" s="33"/>
      <c r="BM646" s="33"/>
      <c r="BN646" s="842"/>
      <c r="BO646" s="811" t="s">
        <v>236</v>
      </c>
      <c r="BP646" s="843" t="s">
        <v>1403</v>
      </c>
      <c r="BQ646" s="829" t="s">
        <v>1412</v>
      </c>
      <c r="BR646" s="812" t="s">
        <v>508</v>
      </c>
      <c r="BS646" s="812"/>
      <c r="BT646" s="812" t="s">
        <v>238</v>
      </c>
    </row>
    <row r="647" spans="1:72" ht="12.75" customHeight="1">
      <c r="A647" s="813" t="s">
        <v>1401</v>
      </c>
      <c r="B647" s="820" t="s">
        <v>1584</v>
      </c>
      <c r="C647" s="5">
        <v>0</v>
      </c>
      <c r="D647" s="5">
        <v>0</v>
      </c>
      <c r="E647" s="5">
        <v>0</v>
      </c>
      <c r="F647" s="5">
        <v>0</v>
      </c>
      <c r="G647" s="5">
        <v>0</v>
      </c>
      <c r="H647" s="5">
        <v>0</v>
      </c>
      <c r="I647" s="5">
        <v>0</v>
      </c>
      <c r="J647" s="5">
        <v>0</v>
      </c>
      <c r="K647" s="5">
        <v>0</v>
      </c>
      <c r="L647" s="5">
        <v>0</v>
      </c>
      <c r="M647" s="5">
        <v>0</v>
      </c>
      <c r="N647" s="5">
        <v>0</v>
      </c>
      <c r="O647" s="5">
        <v>0</v>
      </c>
      <c r="P647" s="5">
        <v>0</v>
      </c>
      <c r="Q647" s="5">
        <v>0</v>
      </c>
      <c r="R647" s="5">
        <v>0</v>
      </c>
      <c r="S647" s="5">
        <v>0</v>
      </c>
      <c r="T647" s="5">
        <v>0</v>
      </c>
      <c r="U647" s="5">
        <v>0</v>
      </c>
      <c r="V647" s="5">
        <v>0</v>
      </c>
      <c r="W647" s="5">
        <v>0</v>
      </c>
      <c r="X647" s="5">
        <v>0</v>
      </c>
      <c r="Y647" s="5">
        <v>0</v>
      </c>
      <c r="Z647" s="5">
        <v>0</v>
      </c>
      <c r="AA647" s="5">
        <v>0</v>
      </c>
      <c r="AB647" s="5">
        <v>0</v>
      </c>
      <c r="AC647" s="5">
        <v>0</v>
      </c>
      <c r="AD647" s="5">
        <v>0</v>
      </c>
      <c r="AE647" s="5">
        <v>0</v>
      </c>
      <c r="AF647" s="5">
        <v>0</v>
      </c>
      <c r="AG647" s="5">
        <v>0</v>
      </c>
      <c r="AH647" s="5">
        <v>0</v>
      </c>
      <c r="AI647" s="5">
        <v>0</v>
      </c>
      <c r="AJ647" s="5">
        <v>0</v>
      </c>
      <c r="AK647" s="5">
        <v>0</v>
      </c>
      <c r="AL647" s="5">
        <v>0</v>
      </c>
      <c r="AM647" s="5">
        <v>0</v>
      </c>
      <c r="AN647" s="5">
        <v>0</v>
      </c>
      <c r="AO647" s="5">
        <v>0</v>
      </c>
      <c r="AP647" s="5">
        <v>0.1</v>
      </c>
      <c r="AQ647" s="5">
        <v>0.1</v>
      </c>
      <c r="AR647" s="5">
        <v>0</v>
      </c>
      <c r="AS647" s="5">
        <v>0</v>
      </c>
      <c r="AT647" s="5">
        <v>0</v>
      </c>
      <c r="AU647" s="5">
        <v>0</v>
      </c>
      <c r="AV647" s="5">
        <v>0</v>
      </c>
      <c r="AW647" s="815">
        <v>0</v>
      </c>
      <c r="AX647" s="816">
        <v>0</v>
      </c>
      <c r="AY647" s="819">
        <v>0</v>
      </c>
      <c r="AZ647" s="816"/>
      <c r="BA647" s="818"/>
      <c r="BB647" s="802" t="str" cm="1">
        <f t="array" ref="BB647">INDEX(C$4:BA$4,MATCH(TRUE,INDEX(C647:BA647&lt;&gt;0,),0))</f>
        <v>2017-18</v>
      </c>
      <c r="BC647" s="803" t="str" cm="1">
        <f t="array" ref="BC647">LOOKUP(2,1/(C647:BA647&lt;&gt;0),$C$4:$BA$4)</f>
        <v>2018-19</v>
      </c>
      <c r="BD647" s="804">
        <f>COUNTIF(RDprograms[[#This Row],[1978-79]:[2028-29]], "&gt;0")</f>
        <v>2</v>
      </c>
      <c r="BE647" s="805">
        <f>SUM(C647:BA647)/RDprograms[[#This Row],[Years with &gt; $0 investment]]</f>
        <v>0.1</v>
      </c>
      <c r="BF647" s="806" t="s">
        <v>273</v>
      </c>
      <c r="BG647" s="807" t="s">
        <v>362</v>
      </c>
      <c r="BH647" s="847" t="s">
        <v>258</v>
      </c>
      <c r="BI647" s="33"/>
      <c r="BJ647" s="33"/>
      <c r="BK647" s="33"/>
      <c r="BL647" s="33"/>
      <c r="BM647" s="33"/>
      <c r="BN647" s="842"/>
      <c r="BO647" s="811" t="s">
        <v>236</v>
      </c>
      <c r="BP647" s="843" t="s">
        <v>1403</v>
      </c>
      <c r="BQ647" s="829" t="s">
        <v>1412</v>
      </c>
      <c r="BR647" s="812" t="s">
        <v>508</v>
      </c>
      <c r="BS647" s="812"/>
      <c r="BT647" s="812" t="s">
        <v>238</v>
      </c>
    </row>
    <row r="648" spans="1:72" ht="12.75" customHeight="1">
      <c r="A648" s="813" t="s">
        <v>1401</v>
      </c>
      <c r="B648" s="820" t="s">
        <v>1585</v>
      </c>
      <c r="C648" s="2">
        <v>0</v>
      </c>
      <c r="D648" s="2">
        <v>0</v>
      </c>
      <c r="E648" s="2">
        <v>0</v>
      </c>
      <c r="F648" s="2">
        <v>0</v>
      </c>
      <c r="G648" s="2">
        <v>0</v>
      </c>
      <c r="H648" s="2">
        <v>0</v>
      </c>
      <c r="I648" s="2">
        <v>0</v>
      </c>
      <c r="J648" s="2">
        <v>0</v>
      </c>
      <c r="K648" s="2">
        <v>0</v>
      </c>
      <c r="L648" s="2">
        <v>0</v>
      </c>
      <c r="M648" s="2">
        <v>0</v>
      </c>
      <c r="N648" s="2">
        <v>0</v>
      </c>
      <c r="O648" s="2">
        <v>0</v>
      </c>
      <c r="P648" s="2">
        <v>0</v>
      </c>
      <c r="Q648" s="2">
        <v>0</v>
      </c>
      <c r="R648" s="2">
        <v>0</v>
      </c>
      <c r="S648" s="2">
        <v>0</v>
      </c>
      <c r="T648" s="2">
        <v>0</v>
      </c>
      <c r="U648" s="2">
        <v>0</v>
      </c>
      <c r="V648" s="2">
        <v>0</v>
      </c>
      <c r="W648" s="2">
        <v>0</v>
      </c>
      <c r="X648" s="2">
        <v>0</v>
      </c>
      <c r="Y648" s="2">
        <v>0</v>
      </c>
      <c r="Z648" s="2">
        <v>0</v>
      </c>
      <c r="AA648" s="2">
        <v>0</v>
      </c>
      <c r="AB648" s="2">
        <v>0</v>
      </c>
      <c r="AC648" s="2">
        <v>0</v>
      </c>
      <c r="AD648" s="2">
        <v>0</v>
      </c>
      <c r="AE648" s="2">
        <v>0</v>
      </c>
      <c r="AF648" s="2">
        <v>0</v>
      </c>
      <c r="AG648" s="2">
        <v>0</v>
      </c>
      <c r="AH648" s="2">
        <v>0</v>
      </c>
      <c r="AI648" s="2">
        <v>0</v>
      </c>
      <c r="AJ648" s="2">
        <v>0</v>
      </c>
      <c r="AK648" s="2">
        <v>0</v>
      </c>
      <c r="AL648" s="2">
        <v>0</v>
      </c>
      <c r="AM648" s="2">
        <v>0</v>
      </c>
      <c r="AN648" s="2">
        <v>0</v>
      </c>
      <c r="AO648" s="2">
        <v>0</v>
      </c>
      <c r="AP648" s="2">
        <v>0.36399999999999999</v>
      </c>
      <c r="AQ648" s="2">
        <v>0.218</v>
      </c>
      <c r="AR648" s="2">
        <v>0</v>
      </c>
      <c r="AS648" s="361">
        <v>0</v>
      </c>
      <c r="AT648" s="361">
        <v>0</v>
      </c>
      <c r="AU648" s="361">
        <v>0</v>
      </c>
      <c r="AV648" s="361">
        <v>0</v>
      </c>
      <c r="AW648" s="898">
        <v>0</v>
      </c>
      <c r="AX648" s="2">
        <v>0</v>
      </c>
      <c r="AY648" s="899">
        <v>0</v>
      </c>
      <c r="AZ648" s="816"/>
      <c r="BA648" s="818"/>
      <c r="BB648" s="802" t="str" cm="1">
        <f t="array" ref="BB648">INDEX(C$4:BA$4,MATCH(TRUE,INDEX(C648:BA648&lt;&gt;0,),0))</f>
        <v>2017-18</v>
      </c>
      <c r="BC648" s="803" t="str" cm="1">
        <f t="array" ref="BC648">LOOKUP(2,1/(C648:BA648&lt;&gt;0),$C$4:$BA$4)</f>
        <v>2018-19</v>
      </c>
      <c r="BD648" s="804">
        <f>COUNTIF(RDprograms[[#This Row],[1978-79]:[2028-29]], "&gt;0")</f>
        <v>2</v>
      </c>
      <c r="BE648" s="805">
        <f>SUM(C648:BA648)/RDprograms[[#This Row],[Years with &gt; $0 investment]]</f>
        <v>0.29099999999999998</v>
      </c>
      <c r="BF648" s="6" t="s">
        <v>273</v>
      </c>
      <c r="BG648" s="820" t="s">
        <v>362</v>
      </c>
      <c r="BH648" s="848" t="s">
        <v>258</v>
      </c>
      <c r="BI648" s="33"/>
      <c r="BJ648" s="33"/>
      <c r="BK648" s="33"/>
      <c r="BL648" s="33"/>
      <c r="BM648" s="33"/>
      <c r="BN648" s="842"/>
      <c r="BO648" s="1" t="s">
        <v>236</v>
      </c>
      <c r="BP648" s="829" t="s">
        <v>1403</v>
      </c>
      <c r="BQ648" s="829" t="s">
        <v>1586</v>
      </c>
      <c r="BR648" s="829" t="s">
        <v>508</v>
      </c>
      <c r="BS648" s="362"/>
      <c r="BT648" s="812" t="s">
        <v>238</v>
      </c>
    </row>
    <row r="649" spans="1:72" ht="12.75" customHeight="1">
      <c r="A649" s="813" t="s">
        <v>1401</v>
      </c>
      <c r="B649" s="820" t="s">
        <v>1587</v>
      </c>
      <c r="C649" s="5">
        <v>0</v>
      </c>
      <c r="D649" s="5">
        <v>0</v>
      </c>
      <c r="E649" s="5">
        <v>0</v>
      </c>
      <c r="F649" s="5">
        <v>0</v>
      </c>
      <c r="G649" s="5">
        <v>0</v>
      </c>
      <c r="H649" s="5">
        <v>0</v>
      </c>
      <c r="I649" s="5">
        <v>0</v>
      </c>
      <c r="J649" s="5">
        <v>0</v>
      </c>
      <c r="K649" s="5">
        <v>0</v>
      </c>
      <c r="L649" s="5">
        <v>0</v>
      </c>
      <c r="M649" s="5">
        <v>0</v>
      </c>
      <c r="N649" s="5">
        <v>0</v>
      </c>
      <c r="O649" s="5">
        <v>0</v>
      </c>
      <c r="P649" s="5">
        <v>0</v>
      </c>
      <c r="Q649" s="5">
        <v>0</v>
      </c>
      <c r="R649" s="5">
        <v>0</v>
      </c>
      <c r="S649" s="5">
        <v>0</v>
      </c>
      <c r="T649" s="5">
        <v>0</v>
      </c>
      <c r="U649" s="5">
        <v>0</v>
      </c>
      <c r="V649" s="5">
        <v>0</v>
      </c>
      <c r="W649" s="5">
        <v>0</v>
      </c>
      <c r="X649" s="5">
        <v>0</v>
      </c>
      <c r="Y649" s="5">
        <v>0</v>
      </c>
      <c r="Z649" s="5">
        <v>0</v>
      </c>
      <c r="AA649" s="5">
        <v>0</v>
      </c>
      <c r="AB649" s="5">
        <v>0</v>
      </c>
      <c r="AC649" s="5">
        <v>0</v>
      </c>
      <c r="AD649" s="5">
        <v>0</v>
      </c>
      <c r="AE649" s="5">
        <v>0.312</v>
      </c>
      <c r="AF649" s="5">
        <v>0</v>
      </c>
      <c r="AG649" s="5">
        <v>0</v>
      </c>
      <c r="AH649" s="5">
        <v>1.29</v>
      </c>
      <c r="AI649" s="5">
        <v>5.4</v>
      </c>
      <c r="AJ649" s="5">
        <v>3.6819999999999999</v>
      </c>
      <c r="AK649" s="5">
        <v>0.15</v>
      </c>
      <c r="AL649" s="5">
        <v>6.7</v>
      </c>
      <c r="AM649" s="5">
        <v>5.45</v>
      </c>
      <c r="AN649" s="5">
        <v>0</v>
      </c>
      <c r="AO649" s="5">
        <v>0</v>
      </c>
      <c r="AP649" s="5">
        <v>3.2</v>
      </c>
      <c r="AQ649" s="5">
        <v>4.5</v>
      </c>
      <c r="AR649" s="5">
        <v>3.8</v>
      </c>
      <c r="AS649" s="5">
        <v>3</v>
      </c>
      <c r="AT649" s="5">
        <v>4.4000000000000004</v>
      </c>
      <c r="AU649" s="5">
        <v>4.5999999999999996</v>
      </c>
      <c r="AV649" s="5">
        <v>4</v>
      </c>
      <c r="AW649" s="815">
        <v>4.1669999999999998</v>
      </c>
      <c r="AX649" s="8">
        <v>12.76</v>
      </c>
      <c r="AY649" s="900">
        <v>3.25</v>
      </c>
      <c r="AZ649" s="816"/>
      <c r="BA649" s="818"/>
      <c r="BB649" s="802" t="str" cm="1">
        <f t="array" ref="BB649">INDEX(C$4:BA$4,MATCH(TRUE,INDEX(C649:BA649&lt;&gt;0,),0))</f>
        <v>2006-07</v>
      </c>
      <c r="BC649" s="803" t="str" cm="1">
        <f t="array" ref="BC649">LOOKUP(2,1/(C649:BA649&lt;&gt;0),$C$4:$BA$4)</f>
        <v>2026-27</v>
      </c>
      <c r="BD649" s="804">
        <f>COUNTIF(RDprograms[[#This Row],[1978-79]:[2028-29]], "&gt;0")</f>
        <v>17</v>
      </c>
      <c r="BE649" s="805">
        <f>SUM(C649:BA649)/RDprograms[[#This Row],[Years with &gt; $0 investment]]</f>
        <v>4.1565294117647058</v>
      </c>
      <c r="BF649" s="806" t="s">
        <v>273</v>
      </c>
      <c r="BG649" s="807" t="s">
        <v>362</v>
      </c>
      <c r="BH649" s="847" t="s">
        <v>258</v>
      </c>
      <c r="BI649" s="33"/>
      <c r="BJ649" s="33">
        <v>1</v>
      </c>
      <c r="BK649" s="33"/>
      <c r="BL649" s="33"/>
      <c r="BM649" s="33"/>
      <c r="BN649" s="842"/>
      <c r="BO649" s="811" t="s">
        <v>236</v>
      </c>
      <c r="BP649" s="843" t="s">
        <v>1403</v>
      </c>
      <c r="BQ649" s="829" t="s">
        <v>1572</v>
      </c>
      <c r="BR649" s="812"/>
      <c r="BS649" s="812"/>
      <c r="BT649" s="812"/>
    </row>
    <row r="650" spans="1:72" ht="12.75" customHeight="1">
      <c r="A650" s="813" t="s">
        <v>1401</v>
      </c>
      <c r="B650" s="820" t="s">
        <v>1588</v>
      </c>
      <c r="C650" s="5">
        <v>0</v>
      </c>
      <c r="D650" s="5">
        <v>0</v>
      </c>
      <c r="E650" s="5">
        <v>0</v>
      </c>
      <c r="F650" s="5">
        <v>0</v>
      </c>
      <c r="G650" s="5">
        <v>0</v>
      </c>
      <c r="H650" s="5">
        <v>0</v>
      </c>
      <c r="I650" s="5">
        <v>0</v>
      </c>
      <c r="J650" s="5">
        <v>0</v>
      </c>
      <c r="K650" s="5">
        <v>0</v>
      </c>
      <c r="L650" s="5">
        <v>0</v>
      </c>
      <c r="M650" s="5">
        <v>0</v>
      </c>
      <c r="N650" s="5">
        <v>0</v>
      </c>
      <c r="O650" s="5">
        <v>0</v>
      </c>
      <c r="P650" s="5">
        <v>0</v>
      </c>
      <c r="Q650" s="5">
        <v>0</v>
      </c>
      <c r="R650" s="5">
        <v>0</v>
      </c>
      <c r="S650" s="5">
        <v>0</v>
      </c>
      <c r="T650" s="5">
        <v>0</v>
      </c>
      <c r="U650" s="5">
        <v>0</v>
      </c>
      <c r="V650" s="5">
        <v>0</v>
      </c>
      <c r="W650" s="5">
        <v>0</v>
      </c>
      <c r="X650" s="5">
        <v>0</v>
      </c>
      <c r="Y650" s="5">
        <v>0</v>
      </c>
      <c r="Z650" s="5">
        <v>0</v>
      </c>
      <c r="AA650" s="5">
        <v>0</v>
      </c>
      <c r="AB650" s="5">
        <v>0</v>
      </c>
      <c r="AC650" s="5">
        <v>0</v>
      </c>
      <c r="AD650" s="5">
        <v>0</v>
      </c>
      <c r="AE650" s="5">
        <v>0</v>
      </c>
      <c r="AF650" s="5">
        <v>0</v>
      </c>
      <c r="AG650" s="5">
        <v>0</v>
      </c>
      <c r="AH650" s="5">
        <v>0</v>
      </c>
      <c r="AI650" s="5">
        <v>0</v>
      </c>
      <c r="AJ650" s="5">
        <v>0</v>
      </c>
      <c r="AK650" s="5">
        <v>0</v>
      </c>
      <c r="AL650" s="5">
        <v>0</v>
      </c>
      <c r="AM650" s="5">
        <v>0</v>
      </c>
      <c r="AN650" s="5">
        <v>0</v>
      </c>
      <c r="AO650" s="5">
        <v>0</v>
      </c>
      <c r="AP650" s="816">
        <v>0</v>
      </c>
      <c r="AQ650" s="816">
        <v>0</v>
      </c>
      <c r="AR650" s="5">
        <v>0.5</v>
      </c>
      <c r="AS650" s="5">
        <v>1</v>
      </c>
      <c r="AT650" s="5">
        <v>0</v>
      </c>
      <c r="AU650" s="5">
        <v>0</v>
      </c>
      <c r="AV650" s="5">
        <v>0</v>
      </c>
      <c r="AW650" s="815">
        <v>0</v>
      </c>
      <c r="AX650" s="2">
        <v>0</v>
      </c>
      <c r="AY650" s="899">
        <v>0</v>
      </c>
      <c r="AZ650" s="816"/>
      <c r="BA650" s="818"/>
      <c r="BB650" s="802" t="str" cm="1">
        <f t="array" ref="BB650">INDEX(C$4:BA$4,MATCH(TRUE,INDEX(C650:BA650&lt;&gt;0,),0))</f>
        <v>2019-20</v>
      </c>
      <c r="BC650" s="803" t="str" cm="1">
        <f t="array" ref="BC650">LOOKUP(2,1/(C650:BA650&lt;&gt;0),$C$4:$BA$4)</f>
        <v>2020-21</v>
      </c>
      <c r="BD650" s="804">
        <f>COUNTIF(RDprograms[[#This Row],[1978-79]:[2028-29]], "&gt;0")</f>
        <v>2</v>
      </c>
      <c r="BE650" s="805">
        <f>SUM(C650:BA650)/RDprograms[[#This Row],[Years with &gt; $0 investment]]</f>
        <v>0.75</v>
      </c>
      <c r="BF650" s="806" t="s">
        <v>273</v>
      </c>
      <c r="BG650" s="807" t="s">
        <v>362</v>
      </c>
      <c r="BH650" s="847" t="s">
        <v>258</v>
      </c>
      <c r="BI650" s="809"/>
      <c r="BJ650" s="809"/>
      <c r="BK650" s="809"/>
      <c r="BL650" s="809"/>
      <c r="BM650" s="809"/>
      <c r="BN650" s="810"/>
      <c r="BO650" s="811" t="s">
        <v>236</v>
      </c>
      <c r="BP650" s="812" t="s">
        <v>1589</v>
      </c>
      <c r="BQ650" s="812" t="s">
        <v>1590</v>
      </c>
      <c r="BR650" s="812" t="s">
        <v>1591</v>
      </c>
      <c r="BS650" s="812"/>
      <c r="BT650" s="812"/>
    </row>
    <row r="651" spans="1:72" ht="12.75" customHeight="1">
      <c r="A651" s="813" t="s">
        <v>1401</v>
      </c>
      <c r="B651" s="820" t="s">
        <v>1592</v>
      </c>
      <c r="C651" s="5">
        <v>0</v>
      </c>
      <c r="D651" s="5">
        <v>0</v>
      </c>
      <c r="E651" s="5">
        <v>0</v>
      </c>
      <c r="F651" s="5">
        <v>0</v>
      </c>
      <c r="G651" s="5">
        <v>0</v>
      </c>
      <c r="H651" s="5">
        <v>0</v>
      </c>
      <c r="I651" s="5">
        <v>0</v>
      </c>
      <c r="J651" s="5">
        <v>0</v>
      </c>
      <c r="K651" s="5">
        <v>0</v>
      </c>
      <c r="L651" s="5">
        <v>0</v>
      </c>
      <c r="M651" s="5">
        <v>0</v>
      </c>
      <c r="N651" s="5">
        <v>0</v>
      </c>
      <c r="O651" s="5">
        <v>0</v>
      </c>
      <c r="P651" s="5">
        <v>0</v>
      </c>
      <c r="Q651" s="5">
        <v>0</v>
      </c>
      <c r="R651" s="5">
        <v>0</v>
      </c>
      <c r="S651" s="5">
        <v>0</v>
      </c>
      <c r="T651" s="5">
        <v>0</v>
      </c>
      <c r="U651" s="5">
        <v>0</v>
      </c>
      <c r="V651" s="5">
        <v>0</v>
      </c>
      <c r="W651" s="5">
        <v>0</v>
      </c>
      <c r="X651" s="5">
        <v>0</v>
      </c>
      <c r="Y651" s="5">
        <v>0</v>
      </c>
      <c r="Z651" s="5">
        <v>0</v>
      </c>
      <c r="AA651" s="5">
        <v>0</v>
      </c>
      <c r="AB651" s="5">
        <v>0</v>
      </c>
      <c r="AC651" s="5">
        <v>0</v>
      </c>
      <c r="AD651" s="5">
        <v>0</v>
      </c>
      <c r="AE651" s="5">
        <v>0</v>
      </c>
      <c r="AF651" s="5">
        <v>0</v>
      </c>
      <c r="AG651" s="5">
        <v>0</v>
      </c>
      <c r="AH651" s="5">
        <v>0</v>
      </c>
      <c r="AI651" s="5">
        <v>0</v>
      </c>
      <c r="AJ651" s="5">
        <v>0</v>
      </c>
      <c r="AK651" s="5">
        <v>0</v>
      </c>
      <c r="AL651" s="5">
        <v>0</v>
      </c>
      <c r="AM651" s="5">
        <v>0</v>
      </c>
      <c r="AN651" s="5">
        <v>0</v>
      </c>
      <c r="AO651" s="5">
        <v>0</v>
      </c>
      <c r="AP651" s="5">
        <v>0</v>
      </c>
      <c r="AQ651" s="5">
        <v>0</v>
      </c>
      <c r="AR651" s="5">
        <v>0</v>
      </c>
      <c r="AS651" s="5">
        <v>0.90300000000000002</v>
      </c>
      <c r="AT651" s="5">
        <v>0.59699999999999998</v>
      </c>
      <c r="AU651" s="5">
        <v>0</v>
      </c>
      <c r="AV651" s="5">
        <v>0</v>
      </c>
      <c r="AW651" s="815">
        <v>0</v>
      </c>
      <c r="AX651" s="816">
        <v>0</v>
      </c>
      <c r="AY651" s="819">
        <v>0</v>
      </c>
      <c r="AZ651" s="816"/>
      <c r="BA651" s="818"/>
      <c r="BB651" s="802" t="str" cm="1">
        <f t="array" ref="BB651">INDEX(C$4:BA$4,MATCH(TRUE,INDEX(C651:BA651&lt;&gt;0,),0))</f>
        <v>2020-21</v>
      </c>
      <c r="BC651" s="803" t="str" cm="1">
        <f t="array" ref="BC651">LOOKUP(2,1/(C651:BA651&lt;&gt;0),$C$4:$BA$4)</f>
        <v>2021-22</v>
      </c>
      <c r="BD651" s="804">
        <f>COUNTIF(RDprograms[[#This Row],[1978-79]:[2028-29]], "&gt;0")</f>
        <v>2</v>
      </c>
      <c r="BE651" s="805">
        <f>SUM(C651:BA651)/RDprograms[[#This Row],[Years with &gt; $0 investment]]</f>
        <v>0.75</v>
      </c>
      <c r="BF651" s="806" t="s">
        <v>273</v>
      </c>
      <c r="BG651" s="807" t="s">
        <v>362</v>
      </c>
      <c r="BH651" s="847" t="s">
        <v>258</v>
      </c>
      <c r="BI651" s="33"/>
      <c r="BJ651" s="33"/>
      <c r="BK651" s="33"/>
      <c r="BL651" s="33"/>
      <c r="BM651" s="33"/>
      <c r="BN651" s="842"/>
      <c r="BO651" s="811" t="s">
        <v>236</v>
      </c>
      <c r="BP651" s="843" t="s">
        <v>1593</v>
      </c>
      <c r="BQ651" s="829" t="s">
        <v>1594</v>
      </c>
      <c r="BR651" s="812" t="s">
        <v>1591</v>
      </c>
      <c r="BS651" s="812"/>
      <c r="BT651" s="812" t="s">
        <v>238</v>
      </c>
    </row>
    <row r="652" spans="1:72" ht="12.75" customHeight="1">
      <c r="A652" s="813" t="s">
        <v>1401</v>
      </c>
      <c r="B652" s="820" t="s">
        <v>1595</v>
      </c>
      <c r="C652" s="5">
        <v>0</v>
      </c>
      <c r="D652" s="5">
        <v>0</v>
      </c>
      <c r="E652" s="5">
        <v>0</v>
      </c>
      <c r="F652" s="5">
        <v>0</v>
      </c>
      <c r="G652" s="5">
        <v>0</v>
      </c>
      <c r="H652" s="5">
        <v>0</v>
      </c>
      <c r="I652" s="5">
        <v>0</v>
      </c>
      <c r="J652" s="5">
        <v>0</v>
      </c>
      <c r="K652" s="5">
        <v>0</v>
      </c>
      <c r="L652" s="5">
        <v>0</v>
      </c>
      <c r="M652" s="5">
        <v>0</v>
      </c>
      <c r="N652" s="5">
        <v>0</v>
      </c>
      <c r="O652" s="5">
        <v>0</v>
      </c>
      <c r="P652" s="5">
        <v>0</v>
      </c>
      <c r="Q652" s="5">
        <v>0</v>
      </c>
      <c r="R652" s="5">
        <v>0</v>
      </c>
      <c r="S652" s="5">
        <v>0</v>
      </c>
      <c r="T652" s="5">
        <v>0</v>
      </c>
      <c r="U652" s="5">
        <v>0</v>
      </c>
      <c r="V652" s="5">
        <v>0</v>
      </c>
      <c r="W652" s="5">
        <v>0</v>
      </c>
      <c r="X652" s="5">
        <v>0</v>
      </c>
      <c r="Y652" s="5">
        <v>0</v>
      </c>
      <c r="Z652" s="5">
        <v>0</v>
      </c>
      <c r="AA652" s="5">
        <v>0</v>
      </c>
      <c r="AB652" s="5">
        <v>0</v>
      </c>
      <c r="AC652" s="5">
        <v>0</v>
      </c>
      <c r="AD652" s="5">
        <v>0</v>
      </c>
      <c r="AE652" s="5">
        <v>0</v>
      </c>
      <c r="AF652" s="5">
        <v>0</v>
      </c>
      <c r="AG652" s="5">
        <v>0</v>
      </c>
      <c r="AH652" s="5">
        <v>0</v>
      </c>
      <c r="AI652" s="5">
        <v>0</v>
      </c>
      <c r="AJ652" s="5">
        <v>0.28551100000000001</v>
      </c>
      <c r="AK652" s="5">
        <v>2.0195000000000001E-2</v>
      </c>
      <c r="AL652" s="5">
        <v>0</v>
      </c>
      <c r="AM652" s="5">
        <v>0</v>
      </c>
      <c r="AN652" s="5">
        <v>0</v>
      </c>
      <c r="AO652" s="5">
        <v>0</v>
      </c>
      <c r="AP652" s="5">
        <v>0</v>
      </c>
      <c r="AQ652" s="5">
        <v>0</v>
      </c>
      <c r="AR652" s="5">
        <v>0</v>
      </c>
      <c r="AS652" s="5">
        <v>0</v>
      </c>
      <c r="AT652" s="5">
        <v>0</v>
      </c>
      <c r="AU652" s="5">
        <v>0</v>
      </c>
      <c r="AV652" s="5">
        <v>0</v>
      </c>
      <c r="AW652" s="815">
        <v>0</v>
      </c>
      <c r="AX652" s="816">
        <v>0</v>
      </c>
      <c r="AY652" s="819">
        <v>0</v>
      </c>
      <c r="AZ652" s="816"/>
      <c r="BA652" s="818"/>
      <c r="BB652" s="802" t="str" cm="1">
        <f t="array" ref="BB652">INDEX(C$4:BA$4,MATCH(TRUE,INDEX(C652:BA652&lt;&gt;0,),0))</f>
        <v>2011-12</v>
      </c>
      <c r="BC652" s="803" t="str" cm="1">
        <f t="array" ref="BC652">LOOKUP(2,1/(C652:BA652&lt;&gt;0),$C$4:$BA$4)</f>
        <v>2012-13</v>
      </c>
      <c r="BD652" s="804">
        <f>COUNTIF(RDprograms[[#This Row],[1978-79]:[2028-29]], "&gt;0")</f>
        <v>2</v>
      </c>
      <c r="BE652" s="805">
        <f>SUM(C652:BA652)/RDprograms[[#This Row],[Years with &gt; $0 investment]]</f>
        <v>0.15285300000000002</v>
      </c>
      <c r="BF652" s="806" t="s">
        <v>273</v>
      </c>
      <c r="BG652" s="807" t="s">
        <v>362</v>
      </c>
      <c r="BH652" s="847" t="s">
        <v>241</v>
      </c>
      <c r="BI652" s="809"/>
      <c r="BJ652" s="809"/>
      <c r="BK652" s="809"/>
      <c r="BL652" s="809"/>
      <c r="BM652" s="809"/>
      <c r="BN652" s="810"/>
      <c r="BO652" s="811" t="s">
        <v>236</v>
      </c>
      <c r="BP652" s="812"/>
      <c r="BQ652" s="812" t="s">
        <v>1596</v>
      </c>
      <c r="BR652" s="812"/>
      <c r="BS652" s="812"/>
      <c r="BT652" s="812" t="s">
        <v>238</v>
      </c>
    </row>
    <row r="653" spans="1:72" ht="12.75" customHeight="1">
      <c r="A653" s="813" t="s">
        <v>1401</v>
      </c>
      <c r="B653" s="820" t="s">
        <v>1597</v>
      </c>
      <c r="C653" s="5">
        <v>0</v>
      </c>
      <c r="D653" s="5">
        <v>0</v>
      </c>
      <c r="E653" s="5">
        <v>0</v>
      </c>
      <c r="F653" s="5">
        <v>0</v>
      </c>
      <c r="G653" s="5">
        <v>0</v>
      </c>
      <c r="H653" s="5">
        <v>0</v>
      </c>
      <c r="I653" s="5">
        <v>0</v>
      </c>
      <c r="J653" s="5">
        <v>0</v>
      </c>
      <c r="K653" s="5">
        <v>0</v>
      </c>
      <c r="L653" s="5">
        <v>0</v>
      </c>
      <c r="M653" s="5">
        <v>0</v>
      </c>
      <c r="N653" s="5">
        <v>0</v>
      </c>
      <c r="O653" s="5">
        <v>0</v>
      </c>
      <c r="P653" s="5">
        <v>0</v>
      </c>
      <c r="Q653" s="5">
        <v>0</v>
      </c>
      <c r="R653" s="5">
        <v>0</v>
      </c>
      <c r="S653" s="5">
        <v>0</v>
      </c>
      <c r="T653" s="5">
        <v>0</v>
      </c>
      <c r="U653" s="5">
        <v>0</v>
      </c>
      <c r="V653" s="5">
        <v>0</v>
      </c>
      <c r="W653" s="5">
        <v>0</v>
      </c>
      <c r="X653" s="5">
        <v>0</v>
      </c>
      <c r="Y653" s="5">
        <v>0</v>
      </c>
      <c r="Z653" s="5">
        <v>0</v>
      </c>
      <c r="AA653" s="5">
        <v>0</v>
      </c>
      <c r="AB653" s="5">
        <v>0</v>
      </c>
      <c r="AC653" s="5">
        <v>0</v>
      </c>
      <c r="AD653" s="5">
        <v>0</v>
      </c>
      <c r="AE653" s="5">
        <v>0</v>
      </c>
      <c r="AF653" s="5">
        <v>0</v>
      </c>
      <c r="AG653" s="5">
        <v>0</v>
      </c>
      <c r="AH653" s="5">
        <v>0</v>
      </c>
      <c r="AI653" s="5">
        <v>0</v>
      </c>
      <c r="AJ653" s="5">
        <v>0</v>
      </c>
      <c r="AK653" s="5">
        <v>0</v>
      </c>
      <c r="AL653" s="5">
        <v>0</v>
      </c>
      <c r="AM653" s="5">
        <v>0</v>
      </c>
      <c r="AN653" s="5">
        <v>0</v>
      </c>
      <c r="AO653" s="5">
        <v>0</v>
      </c>
      <c r="AP653" s="5">
        <v>7.6999999999999999E-2</v>
      </c>
      <c r="AQ653" s="5">
        <v>0</v>
      </c>
      <c r="AR653" s="5">
        <v>0</v>
      </c>
      <c r="AS653" s="5">
        <v>0</v>
      </c>
      <c r="AT653" s="5">
        <v>0</v>
      </c>
      <c r="AU653" s="5">
        <v>0</v>
      </c>
      <c r="AV653" s="5">
        <v>0</v>
      </c>
      <c r="AW653" s="815">
        <v>0</v>
      </c>
      <c r="AX653" s="816">
        <v>0</v>
      </c>
      <c r="AY653" s="819">
        <v>0</v>
      </c>
      <c r="AZ653" s="816"/>
      <c r="BA653" s="818"/>
      <c r="BB653" s="802" t="str" cm="1">
        <f t="array" ref="BB653">INDEX(C$4:BA$4,MATCH(TRUE,INDEX(C653:BA653&lt;&gt;0,),0))</f>
        <v>2017-18</v>
      </c>
      <c r="BC653" s="803" t="str" cm="1">
        <f t="array" ref="BC653">LOOKUP(2,1/(C653:BA653&lt;&gt;0),$C$4:$BA$4)</f>
        <v>2017-18</v>
      </c>
      <c r="BD653" s="804">
        <f>COUNTIF(RDprograms[[#This Row],[1978-79]:[2028-29]], "&gt;0")</f>
        <v>1</v>
      </c>
      <c r="BE653" s="805">
        <f>SUM(C653:BA653)/RDprograms[[#This Row],[Years with &gt; $0 investment]]</f>
        <v>7.6999999999999999E-2</v>
      </c>
      <c r="BF653" s="806" t="s">
        <v>273</v>
      </c>
      <c r="BG653" s="807" t="s">
        <v>362</v>
      </c>
      <c r="BH653" s="847" t="s">
        <v>258</v>
      </c>
      <c r="BI653" s="33"/>
      <c r="BJ653" s="33"/>
      <c r="BK653" s="33"/>
      <c r="BL653" s="33"/>
      <c r="BM653" s="33"/>
      <c r="BN653" s="842"/>
      <c r="BO653" s="811" t="s">
        <v>236</v>
      </c>
      <c r="BP653" s="843" t="s">
        <v>1403</v>
      </c>
      <c r="BQ653" s="829" t="s">
        <v>1408</v>
      </c>
      <c r="BR653" s="812" t="s">
        <v>508</v>
      </c>
      <c r="BS653" s="812"/>
      <c r="BT653" s="812" t="s">
        <v>238</v>
      </c>
    </row>
    <row r="654" spans="1:72" ht="12.75" customHeight="1">
      <c r="A654" s="813" t="s">
        <v>1401</v>
      </c>
      <c r="B654" s="820" t="s">
        <v>1598</v>
      </c>
      <c r="C654" s="5">
        <v>0</v>
      </c>
      <c r="D654" s="5">
        <v>0</v>
      </c>
      <c r="E654" s="5">
        <v>0</v>
      </c>
      <c r="F654" s="5">
        <v>0</v>
      </c>
      <c r="G654" s="5">
        <v>0</v>
      </c>
      <c r="H654" s="5">
        <v>0</v>
      </c>
      <c r="I654" s="5">
        <v>0</v>
      </c>
      <c r="J654" s="5">
        <v>0</v>
      </c>
      <c r="K654" s="5">
        <v>0</v>
      </c>
      <c r="L654" s="5">
        <v>0</v>
      </c>
      <c r="M654" s="5">
        <v>0</v>
      </c>
      <c r="N654" s="5">
        <v>0</v>
      </c>
      <c r="O654" s="5">
        <v>0</v>
      </c>
      <c r="P654" s="5">
        <v>0</v>
      </c>
      <c r="Q654" s="5">
        <v>0</v>
      </c>
      <c r="R654" s="5">
        <v>0</v>
      </c>
      <c r="S654" s="5">
        <v>0</v>
      </c>
      <c r="T654" s="5">
        <v>0</v>
      </c>
      <c r="U654" s="5">
        <v>0</v>
      </c>
      <c r="V654" s="5">
        <v>0</v>
      </c>
      <c r="W654" s="5">
        <v>0</v>
      </c>
      <c r="X654" s="5">
        <v>0</v>
      </c>
      <c r="Y654" s="5">
        <v>0</v>
      </c>
      <c r="Z654" s="5">
        <v>0</v>
      </c>
      <c r="AA654" s="5">
        <v>0</v>
      </c>
      <c r="AB654" s="5">
        <v>0</v>
      </c>
      <c r="AC654" s="5">
        <v>0</v>
      </c>
      <c r="AD654" s="5">
        <v>0</v>
      </c>
      <c r="AE654" s="5">
        <v>0</v>
      </c>
      <c r="AF654" s="5">
        <v>0</v>
      </c>
      <c r="AG654" s="5">
        <v>0</v>
      </c>
      <c r="AH654" s="5">
        <v>0</v>
      </c>
      <c r="AI654" s="5">
        <v>0</v>
      </c>
      <c r="AJ654" s="5">
        <v>0</v>
      </c>
      <c r="AK654" s="5">
        <v>0</v>
      </c>
      <c r="AL654" s="5">
        <v>0</v>
      </c>
      <c r="AM654" s="5">
        <v>0</v>
      </c>
      <c r="AN654" s="5">
        <v>0</v>
      </c>
      <c r="AO654" s="5">
        <v>5.5E-2</v>
      </c>
      <c r="AP654" s="5">
        <v>3.6999999999999998E-2</v>
      </c>
      <c r="AQ654" s="5">
        <v>0</v>
      </c>
      <c r="AR654" s="5">
        <v>0</v>
      </c>
      <c r="AS654" s="5">
        <v>0</v>
      </c>
      <c r="AT654" s="5">
        <v>0</v>
      </c>
      <c r="AU654" s="5">
        <v>0</v>
      </c>
      <c r="AV654" s="5">
        <v>0</v>
      </c>
      <c r="AW654" s="815">
        <v>0</v>
      </c>
      <c r="AX654" s="816">
        <v>0</v>
      </c>
      <c r="AY654" s="819">
        <v>0</v>
      </c>
      <c r="AZ654" s="816"/>
      <c r="BA654" s="818"/>
      <c r="BB654" s="802" t="str" cm="1">
        <f t="array" ref="BB654">INDEX(C$4:BA$4,MATCH(TRUE,INDEX(C654:BA654&lt;&gt;0,),0))</f>
        <v>2016-17</v>
      </c>
      <c r="BC654" s="803" t="str" cm="1">
        <f t="array" ref="BC654">LOOKUP(2,1/(C654:BA654&lt;&gt;0),$C$4:$BA$4)</f>
        <v>2017-18</v>
      </c>
      <c r="BD654" s="804">
        <f>COUNTIF(RDprograms[[#This Row],[1978-79]:[2028-29]], "&gt;0")</f>
        <v>2</v>
      </c>
      <c r="BE654" s="805">
        <f>SUM(C654:BA654)/RDprograms[[#This Row],[Years with &gt; $0 investment]]</f>
        <v>4.5999999999999999E-2</v>
      </c>
      <c r="BF654" s="806" t="s">
        <v>273</v>
      </c>
      <c r="BG654" s="807" t="s">
        <v>362</v>
      </c>
      <c r="BH654" s="847" t="s">
        <v>258</v>
      </c>
      <c r="BI654" s="809"/>
      <c r="BJ654" s="809"/>
      <c r="BK654" s="809"/>
      <c r="BL654" s="809"/>
      <c r="BM654" s="809"/>
      <c r="BN654" s="810"/>
      <c r="BO654" s="811" t="s">
        <v>236</v>
      </c>
      <c r="BP654" s="812" t="s">
        <v>1403</v>
      </c>
      <c r="BQ654" s="812" t="s">
        <v>1408</v>
      </c>
      <c r="BR654" s="812" t="s">
        <v>508</v>
      </c>
      <c r="BS654" s="812"/>
      <c r="BT654" s="812" t="s">
        <v>238</v>
      </c>
    </row>
    <row r="655" spans="1:72" ht="12.75" customHeight="1">
      <c r="A655" s="813" t="s">
        <v>1401</v>
      </c>
      <c r="B655" s="820" t="s">
        <v>1599</v>
      </c>
      <c r="C655" s="5">
        <v>0</v>
      </c>
      <c r="D655" s="5">
        <v>0</v>
      </c>
      <c r="E655" s="5">
        <v>0</v>
      </c>
      <c r="F655" s="5">
        <v>0</v>
      </c>
      <c r="G655" s="5">
        <v>0</v>
      </c>
      <c r="H655" s="5">
        <v>0</v>
      </c>
      <c r="I655" s="5">
        <v>0</v>
      </c>
      <c r="J655" s="5">
        <v>0</v>
      </c>
      <c r="K655" s="5">
        <v>0</v>
      </c>
      <c r="L655" s="5">
        <v>0</v>
      </c>
      <c r="M655" s="5">
        <v>0</v>
      </c>
      <c r="N655" s="5">
        <v>0</v>
      </c>
      <c r="O655" s="5">
        <v>0</v>
      </c>
      <c r="P655" s="5">
        <v>0</v>
      </c>
      <c r="Q655" s="5">
        <v>0</v>
      </c>
      <c r="R655" s="5">
        <v>0</v>
      </c>
      <c r="S655" s="5">
        <v>0</v>
      </c>
      <c r="T655" s="5">
        <v>0</v>
      </c>
      <c r="U655" s="5">
        <v>0</v>
      </c>
      <c r="V655" s="5">
        <v>0</v>
      </c>
      <c r="W655" s="5">
        <v>0</v>
      </c>
      <c r="X655" s="5">
        <v>0</v>
      </c>
      <c r="Y655" s="5">
        <v>0</v>
      </c>
      <c r="Z655" s="5">
        <v>0</v>
      </c>
      <c r="AA655" s="5">
        <v>0</v>
      </c>
      <c r="AB655" s="5">
        <v>0</v>
      </c>
      <c r="AC655" s="5">
        <v>0</v>
      </c>
      <c r="AD655" s="5">
        <v>0</v>
      </c>
      <c r="AE655" s="5">
        <v>0</v>
      </c>
      <c r="AF655" s="5">
        <v>0</v>
      </c>
      <c r="AG655" s="5">
        <v>0</v>
      </c>
      <c r="AH655" s="5">
        <v>0</v>
      </c>
      <c r="AI655" s="5">
        <v>0</v>
      </c>
      <c r="AJ655" s="5">
        <v>0</v>
      </c>
      <c r="AK655" s="5">
        <v>0</v>
      </c>
      <c r="AL655" s="5">
        <v>0</v>
      </c>
      <c r="AM655" s="5">
        <v>0</v>
      </c>
      <c r="AN655" s="5">
        <v>0</v>
      </c>
      <c r="AO655" s="5">
        <v>0.16500000000000001</v>
      </c>
      <c r="AP655" s="5">
        <v>0.03</v>
      </c>
      <c r="AQ655" s="5">
        <v>0.13700000000000001</v>
      </c>
      <c r="AR655" s="5">
        <v>0.20300000000000001</v>
      </c>
      <c r="AS655" s="5">
        <v>0</v>
      </c>
      <c r="AT655" s="5">
        <v>0</v>
      </c>
      <c r="AU655" s="5">
        <v>0</v>
      </c>
      <c r="AV655" s="5">
        <v>0</v>
      </c>
      <c r="AW655" s="815">
        <v>0</v>
      </c>
      <c r="AX655" s="816">
        <v>0</v>
      </c>
      <c r="AY655" s="819">
        <v>0</v>
      </c>
      <c r="AZ655" s="816"/>
      <c r="BA655" s="818"/>
      <c r="BB655" s="802" t="str" cm="1">
        <f t="array" ref="BB655">INDEX(C$4:BA$4,MATCH(TRUE,INDEX(C655:BA655&lt;&gt;0,),0))</f>
        <v>2016-17</v>
      </c>
      <c r="BC655" s="803" t="str" cm="1">
        <f t="array" ref="BC655">LOOKUP(2,1/(C655:BA655&lt;&gt;0),$C$4:$BA$4)</f>
        <v>2019-20</v>
      </c>
      <c r="BD655" s="804">
        <f>COUNTIF(RDprograms[[#This Row],[1978-79]:[2028-29]], "&gt;0")</f>
        <v>4</v>
      </c>
      <c r="BE655" s="805">
        <f>SUM(C655:BA655)/RDprograms[[#This Row],[Years with &gt; $0 investment]]</f>
        <v>0.13375000000000001</v>
      </c>
      <c r="BF655" s="806" t="s">
        <v>273</v>
      </c>
      <c r="BG655" s="807" t="s">
        <v>362</v>
      </c>
      <c r="BH655" s="847" t="s">
        <v>863</v>
      </c>
      <c r="BI655" s="809"/>
      <c r="BJ655" s="809"/>
      <c r="BK655" s="809"/>
      <c r="BL655" s="809"/>
      <c r="BM655" s="809"/>
      <c r="BN655" s="810"/>
      <c r="BO655" s="811" t="s">
        <v>236</v>
      </c>
      <c r="BP655" s="812" t="s">
        <v>1600</v>
      </c>
      <c r="BQ655" s="812" t="s">
        <v>1601</v>
      </c>
      <c r="BR655" s="812"/>
      <c r="BS655" s="812"/>
      <c r="BT655" s="812" t="s">
        <v>238</v>
      </c>
    </row>
    <row r="656" spans="1:72" ht="12.75" customHeight="1">
      <c r="A656" s="813" t="s">
        <v>1401</v>
      </c>
      <c r="B656" s="820" t="s">
        <v>1602</v>
      </c>
      <c r="C656" s="5">
        <v>0</v>
      </c>
      <c r="D656" s="5">
        <v>0</v>
      </c>
      <c r="E656" s="5">
        <v>0</v>
      </c>
      <c r="F656" s="5">
        <v>0</v>
      </c>
      <c r="G656" s="5">
        <v>0</v>
      </c>
      <c r="H656" s="5">
        <v>0</v>
      </c>
      <c r="I656" s="5">
        <v>0</v>
      </c>
      <c r="J656" s="5">
        <v>0</v>
      </c>
      <c r="K656" s="5">
        <v>0</v>
      </c>
      <c r="L656" s="5">
        <v>0</v>
      </c>
      <c r="M656" s="5">
        <v>0</v>
      </c>
      <c r="N656" s="5">
        <v>0</v>
      </c>
      <c r="O656" s="5">
        <v>0</v>
      </c>
      <c r="P656" s="5">
        <v>0</v>
      </c>
      <c r="Q656" s="5">
        <v>0</v>
      </c>
      <c r="R656" s="5">
        <v>0</v>
      </c>
      <c r="S656" s="5">
        <v>0</v>
      </c>
      <c r="T656" s="5">
        <v>0</v>
      </c>
      <c r="U656" s="5">
        <v>0</v>
      </c>
      <c r="V656" s="5">
        <v>0</v>
      </c>
      <c r="W656" s="5">
        <v>0</v>
      </c>
      <c r="X656" s="5">
        <v>0</v>
      </c>
      <c r="Y656" s="5">
        <v>0</v>
      </c>
      <c r="Z656" s="5">
        <v>0</v>
      </c>
      <c r="AA656" s="5">
        <v>0</v>
      </c>
      <c r="AB656" s="5">
        <v>0</v>
      </c>
      <c r="AC656" s="5">
        <v>0</v>
      </c>
      <c r="AD656" s="5">
        <v>0</v>
      </c>
      <c r="AE656" s="5">
        <v>0</v>
      </c>
      <c r="AF656" s="5">
        <v>0</v>
      </c>
      <c r="AG656" s="5">
        <v>0</v>
      </c>
      <c r="AH656" s="5">
        <v>0</v>
      </c>
      <c r="AI656" s="5">
        <v>0</v>
      </c>
      <c r="AJ656" s="5">
        <v>0</v>
      </c>
      <c r="AK656" s="5">
        <v>0</v>
      </c>
      <c r="AL656" s="5">
        <v>0</v>
      </c>
      <c r="AM656" s="5">
        <v>0</v>
      </c>
      <c r="AN656" s="5">
        <v>0</v>
      </c>
      <c r="AO656" s="5">
        <v>0.125</v>
      </c>
      <c r="AP656" s="5">
        <v>0.27500000000000002</v>
      </c>
      <c r="AQ656" s="5">
        <v>7.4999999999999997E-2</v>
      </c>
      <c r="AR656" s="5">
        <v>0.16600000000000001</v>
      </c>
      <c r="AS656" s="5">
        <v>0.16200000000000001</v>
      </c>
      <c r="AT656" s="5">
        <v>0</v>
      </c>
      <c r="AU656" s="5">
        <v>0</v>
      </c>
      <c r="AV656" s="5">
        <v>0</v>
      </c>
      <c r="AW656" s="815">
        <v>0</v>
      </c>
      <c r="AX656" s="816">
        <v>0</v>
      </c>
      <c r="AY656" s="819">
        <v>0</v>
      </c>
      <c r="AZ656" s="816"/>
      <c r="BA656" s="818"/>
      <c r="BB656" s="802" t="str" cm="1">
        <f t="array" ref="BB656">INDEX(C$4:BA$4,MATCH(TRUE,INDEX(C656:BA656&lt;&gt;0,),0))</f>
        <v>2016-17</v>
      </c>
      <c r="BC656" s="803" t="str" cm="1">
        <f t="array" ref="BC656">LOOKUP(2,1/(C656:BA656&lt;&gt;0),$C$4:$BA$4)</f>
        <v>2020-21</v>
      </c>
      <c r="BD656" s="804">
        <f>COUNTIF(RDprograms[[#This Row],[1978-79]:[2028-29]], "&gt;0")</f>
        <v>5</v>
      </c>
      <c r="BE656" s="805">
        <f>SUM(C656:BA656)/RDprograms[[#This Row],[Years with &gt; $0 investment]]</f>
        <v>0.16060000000000002</v>
      </c>
      <c r="BF656" s="806" t="s">
        <v>273</v>
      </c>
      <c r="BG656" s="807" t="s">
        <v>362</v>
      </c>
      <c r="BH656" s="847" t="s">
        <v>258</v>
      </c>
      <c r="BI656" s="809"/>
      <c r="BJ656" s="809"/>
      <c r="BK656" s="809"/>
      <c r="BL656" s="809"/>
      <c r="BM656" s="809"/>
      <c r="BN656" s="810"/>
      <c r="BO656" s="811" t="s">
        <v>236</v>
      </c>
      <c r="BP656" s="812" t="s">
        <v>1403</v>
      </c>
      <c r="BQ656" s="812" t="s">
        <v>1603</v>
      </c>
      <c r="BR656" s="812" t="s">
        <v>508</v>
      </c>
      <c r="BS656" s="812"/>
      <c r="BT656" s="812" t="s">
        <v>238</v>
      </c>
    </row>
    <row r="657" spans="1:75" ht="12.75" customHeight="1">
      <c r="A657" s="813" t="s">
        <v>1401</v>
      </c>
      <c r="B657" s="820" t="s">
        <v>1604</v>
      </c>
      <c r="C657" s="5">
        <v>0</v>
      </c>
      <c r="D657" s="5">
        <v>0</v>
      </c>
      <c r="E657" s="5">
        <v>0</v>
      </c>
      <c r="F657" s="5">
        <v>0</v>
      </c>
      <c r="G657" s="5">
        <v>0</v>
      </c>
      <c r="H657" s="5">
        <v>0</v>
      </c>
      <c r="I657" s="5">
        <v>0</v>
      </c>
      <c r="J657" s="5">
        <v>0</v>
      </c>
      <c r="K657" s="5">
        <v>0</v>
      </c>
      <c r="L657" s="5">
        <v>0</v>
      </c>
      <c r="M657" s="5">
        <v>0</v>
      </c>
      <c r="N657" s="5">
        <v>0</v>
      </c>
      <c r="O657" s="5">
        <v>0</v>
      </c>
      <c r="P657" s="5">
        <v>0</v>
      </c>
      <c r="Q657" s="5">
        <v>0</v>
      </c>
      <c r="R657" s="5">
        <v>0</v>
      </c>
      <c r="S657" s="5">
        <v>0</v>
      </c>
      <c r="T657" s="5">
        <v>0</v>
      </c>
      <c r="U657" s="5">
        <v>0</v>
      </c>
      <c r="V657" s="5">
        <v>0</v>
      </c>
      <c r="W657" s="5">
        <v>0</v>
      </c>
      <c r="X657" s="5">
        <v>0</v>
      </c>
      <c r="Y657" s="5">
        <v>0</v>
      </c>
      <c r="Z657" s="5">
        <v>0</v>
      </c>
      <c r="AA657" s="5">
        <v>0</v>
      </c>
      <c r="AB657" s="5">
        <v>0</v>
      </c>
      <c r="AC657" s="5">
        <v>0</v>
      </c>
      <c r="AD657" s="5">
        <v>0</v>
      </c>
      <c r="AE657" s="5">
        <v>0</v>
      </c>
      <c r="AF657" s="5">
        <v>0</v>
      </c>
      <c r="AG657" s="5">
        <v>0</v>
      </c>
      <c r="AH657" s="5">
        <v>0</v>
      </c>
      <c r="AI657" s="5">
        <v>3.9E-2</v>
      </c>
      <c r="AJ657" s="5">
        <v>0.154</v>
      </c>
      <c r="AK657" s="5">
        <v>0</v>
      </c>
      <c r="AL657" s="5">
        <v>0</v>
      </c>
      <c r="AM657" s="5">
        <v>0</v>
      </c>
      <c r="AN657" s="5">
        <v>0</v>
      </c>
      <c r="AO657" s="5">
        <v>0</v>
      </c>
      <c r="AP657" s="5">
        <v>0</v>
      </c>
      <c r="AQ657" s="5">
        <v>0</v>
      </c>
      <c r="AR657" s="5">
        <v>0</v>
      </c>
      <c r="AS657" s="5">
        <v>0</v>
      </c>
      <c r="AT657" s="5">
        <v>0</v>
      </c>
      <c r="AU657" s="5">
        <v>0</v>
      </c>
      <c r="AV657" s="5">
        <v>0</v>
      </c>
      <c r="AW657" s="815">
        <v>0</v>
      </c>
      <c r="AX657" s="816">
        <v>0</v>
      </c>
      <c r="AY657" s="819">
        <v>0</v>
      </c>
      <c r="AZ657" s="816"/>
      <c r="BA657" s="818"/>
      <c r="BB657" s="802" t="str" cm="1">
        <f t="array" ref="BB657">INDEX(C$4:BA$4,MATCH(TRUE,INDEX(C657:BA657&lt;&gt;0,),0))</f>
        <v>2010-11</v>
      </c>
      <c r="BC657" s="803" t="str" cm="1">
        <f t="array" ref="BC657">LOOKUP(2,1/(C657:BA657&lt;&gt;0),$C$4:$BA$4)</f>
        <v>2011-12</v>
      </c>
      <c r="BD657" s="804">
        <f>COUNTIF(RDprograms[[#This Row],[1978-79]:[2028-29]], "&gt;0")</f>
        <v>2</v>
      </c>
      <c r="BE657" s="805">
        <f>SUM(C657:BA657)/RDprograms[[#This Row],[Years with &gt; $0 investment]]</f>
        <v>9.6500000000000002E-2</v>
      </c>
      <c r="BF657" s="806" t="s">
        <v>249</v>
      </c>
      <c r="BG657" s="807" t="s">
        <v>362</v>
      </c>
      <c r="BH657" s="847" t="s">
        <v>258</v>
      </c>
      <c r="BI657" s="809"/>
      <c r="BJ657" s="809"/>
      <c r="BK657" s="809"/>
      <c r="BL657" s="809"/>
      <c r="BM657" s="809"/>
      <c r="BN657" s="810"/>
      <c r="BO657" s="811" t="s">
        <v>236</v>
      </c>
      <c r="BP657" s="812"/>
      <c r="BQ657" s="812"/>
      <c r="BR657" s="812"/>
      <c r="BS657" s="812"/>
      <c r="BT657" s="812" t="s">
        <v>238</v>
      </c>
    </row>
    <row r="658" spans="1:75" ht="12.75" customHeight="1">
      <c r="A658" s="813" t="s">
        <v>1401</v>
      </c>
      <c r="B658" s="820" t="s">
        <v>1605</v>
      </c>
      <c r="C658" s="5">
        <v>0</v>
      </c>
      <c r="D658" s="5">
        <v>0</v>
      </c>
      <c r="E658" s="5">
        <v>0</v>
      </c>
      <c r="F658" s="5">
        <v>0</v>
      </c>
      <c r="G658" s="5">
        <v>0</v>
      </c>
      <c r="H658" s="5">
        <v>0</v>
      </c>
      <c r="I658" s="5">
        <v>0</v>
      </c>
      <c r="J658" s="5">
        <v>0</v>
      </c>
      <c r="K658" s="5">
        <v>0</v>
      </c>
      <c r="L658" s="5">
        <v>0</v>
      </c>
      <c r="M658" s="5">
        <v>0</v>
      </c>
      <c r="N658" s="5">
        <v>0</v>
      </c>
      <c r="O658" s="5">
        <v>0</v>
      </c>
      <c r="P658" s="5">
        <v>0</v>
      </c>
      <c r="Q658" s="5">
        <v>0</v>
      </c>
      <c r="R658" s="5">
        <v>0</v>
      </c>
      <c r="S658" s="5">
        <v>0</v>
      </c>
      <c r="T658" s="5">
        <v>0</v>
      </c>
      <c r="U658" s="5">
        <v>0</v>
      </c>
      <c r="V658" s="5">
        <v>0</v>
      </c>
      <c r="W658" s="5">
        <v>0</v>
      </c>
      <c r="X658" s="5">
        <v>0</v>
      </c>
      <c r="Y658" s="5">
        <v>0</v>
      </c>
      <c r="Z658" s="5">
        <v>0</v>
      </c>
      <c r="AA658" s="5">
        <v>0</v>
      </c>
      <c r="AB658" s="5">
        <v>0</v>
      </c>
      <c r="AC658" s="5">
        <v>0</v>
      </c>
      <c r="AD658" s="5">
        <v>0</v>
      </c>
      <c r="AE658" s="5">
        <v>0</v>
      </c>
      <c r="AF658" s="5">
        <v>0</v>
      </c>
      <c r="AG658" s="5">
        <v>0</v>
      </c>
      <c r="AH658" s="5">
        <v>0</v>
      </c>
      <c r="AI658" s="5">
        <v>0</v>
      </c>
      <c r="AJ658" s="5">
        <v>0</v>
      </c>
      <c r="AK658" s="5">
        <v>0</v>
      </c>
      <c r="AL658" s="5">
        <v>0</v>
      </c>
      <c r="AM658" s="5">
        <v>0</v>
      </c>
      <c r="AN658" s="5">
        <v>0</v>
      </c>
      <c r="AO658" s="5">
        <v>5.5E-2</v>
      </c>
      <c r="AP658" s="5">
        <v>6.3E-2</v>
      </c>
      <c r="AQ658" s="5">
        <v>0</v>
      </c>
      <c r="AR658" s="5">
        <v>0</v>
      </c>
      <c r="AS658" s="5">
        <v>0</v>
      </c>
      <c r="AT658" s="5">
        <v>0</v>
      </c>
      <c r="AU658" s="5">
        <v>0</v>
      </c>
      <c r="AV658" s="5">
        <v>0</v>
      </c>
      <c r="AW658" s="815">
        <v>0</v>
      </c>
      <c r="AX658" s="816">
        <v>0</v>
      </c>
      <c r="AY658" s="819">
        <v>0</v>
      </c>
      <c r="AZ658" s="816"/>
      <c r="BA658" s="818"/>
      <c r="BB658" s="802" t="str" cm="1">
        <f t="array" ref="BB658">INDEX(C$4:BA$4,MATCH(TRUE,INDEX(C658:BA658&lt;&gt;0,),0))</f>
        <v>2016-17</v>
      </c>
      <c r="BC658" s="803" t="str" cm="1">
        <f t="array" ref="BC658">LOOKUP(2,1/(C658:BA658&lt;&gt;0),$C$4:$BA$4)</f>
        <v>2017-18</v>
      </c>
      <c r="BD658" s="804">
        <f>COUNTIF(RDprograms[[#This Row],[1978-79]:[2028-29]], "&gt;0")</f>
        <v>2</v>
      </c>
      <c r="BE658" s="805">
        <f>SUM(C658:BA658)/RDprograms[[#This Row],[Years with &gt; $0 investment]]</f>
        <v>5.8999999999999997E-2</v>
      </c>
      <c r="BF658" s="806" t="s">
        <v>273</v>
      </c>
      <c r="BG658" s="807" t="s">
        <v>362</v>
      </c>
      <c r="BH658" s="847" t="s">
        <v>258</v>
      </c>
      <c r="BI658" s="809"/>
      <c r="BJ658" s="809"/>
      <c r="BK658" s="809"/>
      <c r="BL658" s="809"/>
      <c r="BM658" s="809"/>
      <c r="BN658" s="810"/>
      <c r="BO658" s="811" t="s">
        <v>236</v>
      </c>
      <c r="BP658" s="812" t="s">
        <v>1403</v>
      </c>
      <c r="BQ658" s="812" t="s">
        <v>1404</v>
      </c>
      <c r="BR658" s="812" t="s">
        <v>508</v>
      </c>
      <c r="BS658" s="812"/>
      <c r="BT658" s="812" t="s">
        <v>238</v>
      </c>
    </row>
    <row r="659" spans="1:75" ht="12.75" customHeight="1">
      <c r="A659" s="813" t="s">
        <v>1401</v>
      </c>
      <c r="B659" s="820" t="s">
        <v>1606</v>
      </c>
      <c r="C659" s="5">
        <v>0</v>
      </c>
      <c r="D659" s="5">
        <v>0</v>
      </c>
      <c r="E659" s="5">
        <v>0</v>
      </c>
      <c r="F659" s="5">
        <v>0</v>
      </c>
      <c r="G659" s="5">
        <v>0</v>
      </c>
      <c r="H659" s="5">
        <v>0</v>
      </c>
      <c r="I659" s="5">
        <v>0</v>
      </c>
      <c r="J659" s="5">
        <v>0</v>
      </c>
      <c r="K659" s="5">
        <v>0</v>
      </c>
      <c r="L659" s="5">
        <v>0</v>
      </c>
      <c r="M659" s="5">
        <v>0</v>
      </c>
      <c r="N659" s="5">
        <v>0</v>
      </c>
      <c r="O659" s="5">
        <v>0</v>
      </c>
      <c r="P659" s="5">
        <v>0</v>
      </c>
      <c r="Q659" s="5">
        <v>0</v>
      </c>
      <c r="R659" s="5">
        <v>0</v>
      </c>
      <c r="S659" s="5">
        <v>0</v>
      </c>
      <c r="T659" s="5">
        <v>0</v>
      </c>
      <c r="U659" s="5">
        <v>0</v>
      </c>
      <c r="V659" s="5">
        <v>0</v>
      </c>
      <c r="W659" s="5">
        <v>0</v>
      </c>
      <c r="X659" s="5">
        <v>0</v>
      </c>
      <c r="Y659" s="5">
        <v>0</v>
      </c>
      <c r="Z659" s="5">
        <v>0</v>
      </c>
      <c r="AA659" s="5">
        <v>0</v>
      </c>
      <c r="AB659" s="5">
        <v>0</v>
      </c>
      <c r="AC659" s="5">
        <v>0</v>
      </c>
      <c r="AD659" s="5">
        <v>0</v>
      </c>
      <c r="AE659" s="5">
        <v>0</v>
      </c>
      <c r="AF659" s="5">
        <v>0</v>
      </c>
      <c r="AG659" s="5">
        <v>0</v>
      </c>
      <c r="AH659" s="5">
        <v>0</v>
      </c>
      <c r="AI659" s="5">
        <v>0</v>
      </c>
      <c r="AJ659" s="5">
        <v>0</v>
      </c>
      <c r="AK659" s="5">
        <v>0</v>
      </c>
      <c r="AL659" s="5">
        <v>0</v>
      </c>
      <c r="AM659" s="5">
        <v>0</v>
      </c>
      <c r="AN659" s="5">
        <v>0</v>
      </c>
      <c r="AO659" s="5">
        <v>1.1000000000000001</v>
      </c>
      <c r="AP659" s="5">
        <v>2.2000000000000002</v>
      </c>
      <c r="AQ659" s="5">
        <v>1.1000000000000001</v>
      </c>
      <c r="AR659" s="5">
        <v>0</v>
      </c>
      <c r="AS659" s="5">
        <v>0</v>
      </c>
      <c r="AT659" s="5">
        <v>0</v>
      </c>
      <c r="AU659" s="5">
        <v>0</v>
      </c>
      <c r="AV659" s="5">
        <v>0</v>
      </c>
      <c r="AW659" s="815">
        <v>0</v>
      </c>
      <c r="AX659" s="816">
        <v>0</v>
      </c>
      <c r="AY659" s="819">
        <v>0</v>
      </c>
      <c r="AZ659" s="816"/>
      <c r="BA659" s="818"/>
      <c r="BB659" s="802" t="str" cm="1">
        <f t="array" ref="BB659">INDEX(C$4:BA$4,MATCH(TRUE,INDEX(C659:BA659&lt;&gt;0,),0))</f>
        <v>2016-17</v>
      </c>
      <c r="BC659" s="803" t="str" cm="1">
        <f t="array" ref="BC659">LOOKUP(2,1/(C659:BA659&lt;&gt;0),$C$4:$BA$4)</f>
        <v>2018-19</v>
      </c>
      <c r="BD659" s="804">
        <f>COUNTIF(RDprograms[[#This Row],[1978-79]:[2028-29]], "&gt;0")</f>
        <v>3</v>
      </c>
      <c r="BE659" s="805">
        <f>SUM(C659:BA659)/RDprograms[[#This Row],[Years with &gt; $0 investment]]</f>
        <v>1.4666666666666668</v>
      </c>
      <c r="BF659" s="806" t="s">
        <v>273</v>
      </c>
      <c r="BG659" s="807" t="s">
        <v>362</v>
      </c>
      <c r="BH659" s="847" t="s">
        <v>258</v>
      </c>
      <c r="BI659" s="809"/>
      <c r="BJ659" s="809"/>
      <c r="BK659" s="809"/>
      <c r="BL659" s="809"/>
      <c r="BM659" s="809"/>
      <c r="BN659" s="810"/>
      <c r="BO659" s="811" t="s">
        <v>236</v>
      </c>
      <c r="BP659" s="812" t="s">
        <v>1403</v>
      </c>
      <c r="BQ659" s="812" t="s">
        <v>1412</v>
      </c>
      <c r="BR659" s="812" t="s">
        <v>508</v>
      </c>
      <c r="BS659" s="812"/>
      <c r="BT659" s="812" t="s">
        <v>238</v>
      </c>
    </row>
    <row r="660" spans="1:75" ht="12.75" customHeight="1">
      <c r="A660" s="813" t="s">
        <v>1401</v>
      </c>
      <c r="B660" s="820" t="s">
        <v>1607</v>
      </c>
      <c r="C660" s="5">
        <v>0</v>
      </c>
      <c r="D660" s="5">
        <v>0</v>
      </c>
      <c r="E660" s="5">
        <v>0</v>
      </c>
      <c r="F660" s="5">
        <v>0</v>
      </c>
      <c r="G660" s="5">
        <v>0</v>
      </c>
      <c r="H660" s="5">
        <v>0</v>
      </c>
      <c r="I660" s="5">
        <v>0</v>
      </c>
      <c r="J660" s="5">
        <v>0</v>
      </c>
      <c r="K660" s="5">
        <v>0</v>
      </c>
      <c r="L660" s="5">
        <v>0</v>
      </c>
      <c r="M660" s="5">
        <v>0</v>
      </c>
      <c r="N660" s="5">
        <v>0</v>
      </c>
      <c r="O660" s="5">
        <v>0</v>
      </c>
      <c r="P660" s="5">
        <v>0</v>
      </c>
      <c r="Q660" s="5">
        <v>0</v>
      </c>
      <c r="R660" s="5">
        <v>0</v>
      </c>
      <c r="S660" s="5">
        <v>0</v>
      </c>
      <c r="T660" s="5">
        <v>0</v>
      </c>
      <c r="U660" s="5">
        <v>0</v>
      </c>
      <c r="V660" s="5">
        <v>0</v>
      </c>
      <c r="W660" s="5">
        <v>0</v>
      </c>
      <c r="X660" s="5">
        <v>0</v>
      </c>
      <c r="Y660" s="5">
        <v>0</v>
      </c>
      <c r="Z660" s="5">
        <v>0</v>
      </c>
      <c r="AA660" s="5">
        <v>0</v>
      </c>
      <c r="AB660" s="5">
        <v>0</v>
      </c>
      <c r="AC660" s="5">
        <v>0</v>
      </c>
      <c r="AD660" s="5">
        <v>0</v>
      </c>
      <c r="AE660" s="5">
        <v>0</v>
      </c>
      <c r="AF660" s="5">
        <v>0</v>
      </c>
      <c r="AG660" s="5">
        <v>0</v>
      </c>
      <c r="AH660" s="5">
        <v>0</v>
      </c>
      <c r="AI660" s="5">
        <v>0</v>
      </c>
      <c r="AJ660" s="5">
        <v>0</v>
      </c>
      <c r="AK660" s="5">
        <v>0</v>
      </c>
      <c r="AL660" s="5">
        <v>0</v>
      </c>
      <c r="AM660" s="5">
        <v>0</v>
      </c>
      <c r="AN660" s="5">
        <v>0</v>
      </c>
      <c r="AO660" s="5">
        <v>0.25</v>
      </c>
      <c r="AP660" s="5">
        <v>0.25</v>
      </c>
      <c r="AQ660" s="5">
        <v>0</v>
      </c>
      <c r="AR660" s="5">
        <v>0</v>
      </c>
      <c r="AS660" s="5">
        <v>0</v>
      </c>
      <c r="AT660" s="5">
        <v>0</v>
      </c>
      <c r="AU660" s="5">
        <v>0</v>
      </c>
      <c r="AV660" s="5">
        <v>0</v>
      </c>
      <c r="AW660" s="815">
        <v>0</v>
      </c>
      <c r="AX660" s="816">
        <v>0</v>
      </c>
      <c r="AY660" s="819">
        <v>0</v>
      </c>
      <c r="AZ660" s="816"/>
      <c r="BA660" s="818"/>
      <c r="BB660" s="802" t="str" cm="1">
        <f t="array" ref="BB660">INDEX(C$4:BA$4,MATCH(TRUE,INDEX(C660:BA660&lt;&gt;0,),0))</f>
        <v>2016-17</v>
      </c>
      <c r="BC660" s="803" t="str" cm="1">
        <f t="array" ref="BC660">LOOKUP(2,1/(C660:BA660&lt;&gt;0),$C$4:$BA$4)</f>
        <v>2017-18</v>
      </c>
      <c r="BD660" s="804">
        <f>COUNTIF(RDprograms[[#This Row],[1978-79]:[2028-29]], "&gt;0")</f>
        <v>2</v>
      </c>
      <c r="BE660" s="805">
        <f>SUM(C660:BA660)/RDprograms[[#This Row],[Years with &gt; $0 investment]]</f>
        <v>0.25</v>
      </c>
      <c r="BF660" s="806" t="s">
        <v>273</v>
      </c>
      <c r="BG660" s="807" t="s">
        <v>362</v>
      </c>
      <c r="BH660" s="847" t="s">
        <v>258</v>
      </c>
      <c r="BI660" s="809"/>
      <c r="BJ660" s="809"/>
      <c r="BK660" s="809"/>
      <c r="BL660" s="809"/>
      <c r="BM660" s="809"/>
      <c r="BN660" s="810"/>
      <c r="BO660" s="811" t="s">
        <v>236</v>
      </c>
      <c r="BP660" s="812" t="s">
        <v>1403</v>
      </c>
      <c r="BQ660" s="812" t="s">
        <v>1404</v>
      </c>
      <c r="BR660" s="812" t="s">
        <v>508</v>
      </c>
      <c r="BS660" s="812"/>
      <c r="BT660" s="812" t="s">
        <v>238</v>
      </c>
    </row>
    <row r="661" spans="1:75" ht="12.75" customHeight="1">
      <c r="A661" s="813" t="s">
        <v>1608</v>
      </c>
      <c r="B661" s="820" t="s">
        <v>1609</v>
      </c>
      <c r="C661" s="5">
        <v>0</v>
      </c>
      <c r="D661" s="5">
        <v>0</v>
      </c>
      <c r="E661" s="5">
        <v>0</v>
      </c>
      <c r="F661" s="5">
        <v>0</v>
      </c>
      <c r="G661" s="5">
        <v>0</v>
      </c>
      <c r="H661" s="5">
        <v>0</v>
      </c>
      <c r="I661" s="5">
        <v>0</v>
      </c>
      <c r="J661" s="5">
        <v>0</v>
      </c>
      <c r="K661" s="5">
        <v>0</v>
      </c>
      <c r="L661" s="5">
        <v>0</v>
      </c>
      <c r="M661" s="5">
        <v>0</v>
      </c>
      <c r="N661" s="5">
        <v>0</v>
      </c>
      <c r="O661" s="5">
        <v>0</v>
      </c>
      <c r="P661" s="5">
        <v>0</v>
      </c>
      <c r="Q661" s="5">
        <v>0</v>
      </c>
      <c r="R661" s="5">
        <v>0</v>
      </c>
      <c r="S661" s="5">
        <v>0</v>
      </c>
      <c r="T661" s="5">
        <v>0</v>
      </c>
      <c r="U661" s="5">
        <v>0</v>
      </c>
      <c r="V661" s="5">
        <v>0</v>
      </c>
      <c r="W661" s="5">
        <v>0</v>
      </c>
      <c r="X661" s="5">
        <v>0</v>
      </c>
      <c r="Y661" s="5">
        <v>0</v>
      </c>
      <c r="Z661" s="5">
        <v>0</v>
      </c>
      <c r="AA661" s="5">
        <v>0</v>
      </c>
      <c r="AB661" s="5">
        <v>0</v>
      </c>
      <c r="AC661" s="5">
        <v>0</v>
      </c>
      <c r="AD661" s="5">
        <v>0</v>
      </c>
      <c r="AE661" s="5">
        <v>0</v>
      </c>
      <c r="AF661" s="5">
        <v>0</v>
      </c>
      <c r="AG661" s="5">
        <v>0</v>
      </c>
      <c r="AH661" s="5">
        <v>1.5</v>
      </c>
      <c r="AI661" s="5">
        <v>1.53</v>
      </c>
      <c r="AJ661" s="5">
        <v>1.56</v>
      </c>
      <c r="AK661" s="5">
        <v>1.591812</v>
      </c>
      <c r="AL661" s="5">
        <v>1.623648</v>
      </c>
      <c r="AM661" s="5">
        <v>1.32274392</v>
      </c>
      <c r="AN661" s="5">
        <v>1.34919878</v>
      </c>
      <c r="AO661" s="5">
        <v>1.3761827</v>
      </c>
      <c r="AP661" s="5">
        <v>1.7538</v>
      </c>
      <c r="AQ661" s="5">
        <v>1.7888759999999999</v>
      </c>
      <c r="AR661" s="5">
        <v>1.825</v>
      </c>
      <c r="AS661" s="5">
        <v>1.861</v>
      </c>
      <c r="AT661" s="5">
        <v>1.8979999999999999</v>
      </c>
      <c r="AU661" s="5">
        <v>1.9359999999999999</v>
      </c>
      <c r="AV661" s="5">
        <v>1.984</v>
      </c>
      <c r="AW661" s="815">
        <v>0</v>
      </c>
      <c r="AX661" s="816">
        <v>0</v>
      </c>
      <c r="AY661" s="819">
        <v>0</v>
      </c>
      <c r="AZ661" s="816"/>
      <c r="BA661" s="818"/>
      <c r="BB661" s="802" t="str" cm="1">
        <f t="array" ref="BB661">INDEX(C$4:BA$4,MATCH(TRUE,INDEX(C661:BA661&lt;&gt;0,),0))</f>
        <v>2009-10</v>
      </c>
      <c r="BC661" s="803" t="str" cm="1">
        <f t="array" ref="BC661">LOOKUP(2,1/(C661:BA661&lt;&gt;0),$C$4:$BA$4)</f>
        <v>2023-24</v>
      </c>
      <c r="BD661" s="804">
        <f>COUNTIF(RDprograms[[#This Row],[1978-79]:[2028-29]], "&gt;0")</f>
        <v>15</v>
      </c>
      <c r="BE661" s="805">
        <f>SUM(C661:BA661)/RDprograms[[#This Row],[Years with &gt; $0 investment]]</f>
        <v>1.6600174266666665</v>
      </c>
      <c r="BF661" s="806" t="s">
        <v>273</v>
      </c>
      <c r="BG661" s="807" t="s">
        <v>510</v>
      </c>
      <c r="BH661" s="847" t="s">
        <v>269</v>
      </c>
      <c r="BI661" s="809"/>
      <c r="BJ661" s="809"/>
      <c r="BK661" s="809"/>
      <c r="BL661" s="809"/>
      <c r="BM661" s="809"/>
      <c r="BN661" s="810"/>
      <c r="BO661" s="811" t="s">
        <v>236</v>
      </c>
      <c r="BP661" s="812" t="s">
        <v>1610</v>
      </c>
      <c r="BQ661" s="812"/>
      <c r="BR661" s="812"/>
      <c r="BS661" s="812"/>
      <c r="BT661" s="812" t="s">
        <v>238</v>
      </c>
    </row>
    <row r="662" spans="1:75" ht="12.75" customHeight="1">
      <c r="A662" s="813" t="s">
        <v>1611</v>
      </c>
      <c r="B662" s="820" t="s">
        <v>1612</v>
      </c>
      <c r="C662" s="5">
        <v>0</v>
      </c>
      <c r="D662" s="5">
        <v>0</v>
      </c>
      <c r="E662" s="5">
        <v>0</v>
      </c>
      <c r="F662" s="5">
        <v>0</v>
      </c>
      <c r="G662" s="5">
        <v>0</v>
      </c>
      <c r="H662" s="5">
        <v>0</v>
      </c>
      <c r="I662" s="5">
        <v>0</v>
      </c>
      <c r="J662" s="5">
        <v>0</v>
      </c>
      <c r="K662" s="5">
        <v>0</v>
      </c>
      <c r="L662" s="5">
        <v>0</v>
      </c>
      <c r="M662" s="5">
        <v>0</v>
      </c>
      <c r="N662" s="5">
        <v>0</v>
      </c>
      <c r="O662" s="5">
        <v>0</v>
      </c>
      <c r="P662" s="5">
        <v>0</v>
      </c>
      <c r="Q662" s="5">
        <v>0</v>
      </c>
      <c r="R662" s="5">
        <v>0</v>
      </c>
      <c r="S662" s="5">
        <v>0</v>
      </c>
      <c r="T662" s="5">
        <v>0</v>
      </c>
      <c r="U662" s="5">
        <v>0</v>
      </c>
      <c r="V662" s="5">
        <v>0</v>
      </c>
      <c r="W662" s="5">
        <v>0</v>
      </c>
      <c r="X662" s="5">
        <v>0</v>
      </c>
      <c r="Y662" s="5">
        <v>0</v>
      </c>
      <c r="Z662" s="5">
        <v>0</v>
      </c>
      <c r="AA662" s="5">
        <v>0</v>
      </c>
      <c r="AB662" s="5">
        <v>1.6775000000000002E-2</v>
      </c>
      <c r="AC662" s="5">
        <v>0.26175999999999999</v>
      </c>
      <c r="AD662" s="5">
        <v>0.291935</v>
      </c>
      <c r="AE662" s="5">
        <v>0.27497100000000002</v>
      </c>
      <c r="AF662" s="5">
        <v>0.18972900000000001</v>
      </c>
      <c r="AG662" s="5">
        <v>0.19941800000000001</v>
      </c>
      <c r="AH662" s="5">
        <v>0.24276800000000001</v>
      </c>
      <c r="AI662" s="5">
        <v>0.174042</v>
      </c>
      <c r="AJ662" s="5">
        <v>0.13</v>
      </c>
      <c r="AK662" s="5">
        <v>0.115</v>
      </c>
      <c r="AL662" s="5">
        <v>0.11700000000000001</v>
      </c>
      <c r="AM662" s="5">
        <v>0.11799999999999999</v>
      </c>
      <c r="AN662" s="5">
        <v>0.20899999999999999</v>
      </c>
      <c r="AO662" s="5">
        <v>3.456</v>
      </c>
      <c r="AP662" s="5">
        <v>1.736</v>
      </c>
      <c r="AQ662" s="5">
        <v>1.768</v>
      </c>
      <c r="AR662" s="5">
        <v>1.9239999999999999</v>
      </c>
      <c r="AS662" s="5">
        <v>1.798</v>
      </c>
      <c r="AT662" s="5">
        <v>1.8240000000000001</v>
      </c>
      <c r="AU662" s="5">
        <v>1.5649999999999999</v>
      </c>
      <c r="AV662" s="5">
        <v>0</v>
      </c>
      <c r="AW662" s="815">
        <v>0</v>
      </c>
      <c r="AX662" s="816">
        <v>0</v>
      </c>
      <c r="AY662" s="819">
        <v>0</v>
      </c>
      <c r="AZ662" s="816">
        <v>0</v>
      </c>
      <c r="BA662" s="818"/>
      <c r="BB662" s="802" t="str" cm="1">
        <f t="array" ref="BB662">INDEX(C$4:BA$4,MATCH(TRUE,INDEX(C662:BA662&lt;&gt;0,),0))</f>
        <v>2003-04</v>
      </c>
      <c r="BC662" s="803" t="str" cm="1">
        <f t="array" ref="BC662">LOOKUP(2,1/(C662:BA662&lt;&gt;0),$C$4:$BA$4)</f>
        <v>2022-23</v>
      </c>
      <c r="BD662" s="804">
        <f>COUNTIF(RDprograms[[#This Row],[1978-79]:[2028-29]], "&gt;0")</f>
        <v>20</v>
      </c>
      <c r="BE662" s="805">
        <f>SUM(C662:BA662)/RDprograms[[#This Row],[Years with &gt; $0 investment]]</f>
        <v>0.82056989999999996</v>
      </c>
      <c r="BF662" s="806" t="s">
        <v>273</v>
      </c>
      <c r="BG662" s="807" t="s">
        <v>397</v>
      </c>
      <c r="BH662" s="847" t="s">
        <v>258</v>
      </c>
      <c r="BI662" s="809"/>
      <c r="BJ662" s="809"/>
      <c r="BK662" s="809"/>
      <c r="BL662" s="809"/>
      <c r="BM662" s="809"/>
      <c r="BN662" s="810"/>
      <c r="BO662" s="811" t="s">
        <v>236</v>
      </c>
      <c r="BP662" s="812" t="s">
        <v>1613</v>
      </c>
      <c r="BQ662" s="812" t="s">
        <v>1614</v>
      </c>
      <c r="BR662" s="812"/>
      <c r="BS662" s="812"/>
      <c r="BT662" s="812"/>
    </row>
    <row r="663" spans="1:75" ht="12.75" customHeight="1">
      <c r="A663" s="813" t="s">
        <v>1611</v>
      </c>
      <c r="B663" s="820" t="s">
        <v>1615</v>
      </c>
      <c r="C663" s="5">
        <v>0</v>
      </c>
      <c r="D663" s="5">
        <v>0</v>
      </c>
      <c r="E663" s="5">
        <v>0</v>
      </c>
      <c r="F663" s="5">
        <v>0</v>
      </c>
      <c r="G663" s="5">
        <v>0</v>
      </c>
      <c r="H663" s="5">
        <v>0</v>
      </c>
      <c r="I663" s="5">
        <v>0</v>
      </c>
      <c r="J663" s="5">
        <v>0</v>
      </c>
      <c r="K663" s="5">
        <v>0</v>
      </c>
      <c r="L663" s="5">
        <v>0</v>
      </c>
      <c r="M663" s="5">
        <v>0</v>
      </c>
      <c r="N663" s="5">
        <v>0</v>
      </c>
      <c r="O663" s="5">
        <v>0</v>
      </c>
      <c r="P663" s="5">
        <v>0</v>
      </c>
      <c r="Q663" s="5">
        <v>0</v>
      </c>
      <c r="R663" s="5">
        <v>0</v>
      </c>
      <c r="S663" s="5">
        <v>0</v>
      </c>
      <c r="T663" s="5">
        <v>0</v>
      </c>
      <c r="U663" s="5">
        <v>0</v>
      </c>
      <c r="V663" s="5">
        <v>0</v>
      </c>
      <c r="W663" s="5">
        <v>0</v>
      </c>
      <c r="X663" s="5">
        <v>0</v>
      </c>
      <c r="Y663" s="5">
        <v>0</v>
      </c>
      <c r="Z663" s="5">
        <v>0</v>
      </c>
      <c r="AA663" s="5">
        <v>0</v>
      </c>
      <c r="AB663" s="5">
        <v>0</v>
      </c>
      <c r="AC663" s="5">
        <v>0</v>
      </c>
      <c r="AD663" s="5">
        <v>0</v>
      </c>
      <c r="AE663" s="5">
        <v>0</v>
      </c>
      <c r="AF663" s="5">
        <v>0</v>
      </c>
      <c r="AG663" s="5">
        <v>0</v>
      </c>
      <c r="AH663" s="5">
        <v>1.4179999999999999</v>
      </c>
      <c r="AI663" s="5">
        <v>2.032</v>
      </c>
      <c r="AJ663" s="5">
        <v>1.6870000000000001</v>
      </c>
      <c r="AK663" s="5">
        <v>1.7430000000000001</v>
      </c>
      <c r="AL663" s="5">
        <v>2.41</v>
      </c>
      <c r="AM663" s="5">
        <v>2.504</v>
      </c>
      <c r="AN663" s="5">
        <v>2.4889999999999999</v>
      </c>
      <c r="AO663" s="5">
        <v>2.5249999999999999</v>
      </c>
      <c r="AP663" s="5">
        <v>2.5579999999999998</v>
      </c>
      <c r="AQ663" s="5">
        <v>2.5960000000000001</v>
      </c>
      <c r="AR663" s="5">
        <v>2.2240000000000002</v>
      </c>
      <c r="AS663" s="5">
        <v>2.4790000000000001</v>
      </c>
      <c r="AT663" s="5">
        <v>2.1579999999999999</v>
      </c>
      <c r="AU663" s="5">
        <v>2.5449999999999999</v>
      </c>
      <c r="AV663" s="5">
        <v>2.7250000000000001</v>
      </c>
      <c r="AW663" s="815">
        <v>3.1429999999999998</v>
      </c>
      <c r="AX663" s="816">
        <v>3.1930000000000001</v>
      </c>
      <c r="AY663" s="819">
        <v>3.258</v>
      </c>
      <c r="AZ663" s="816">
        <v>3.323</v>
      </c>
      <c r="BA663" s="818">
        <v>3.3959999999999999</v>
      </c>
      <c r="BB663" s="802" t="str" cm="1">
        <f t="array" ref="BB663">INDEX(C$4:BA$4,MATCH(TRUE,INDEX(C663:BA663&lt;&gt;0,),0))</f>
        <v>2009-10</v>
      </c>
      <c r="BC663" s="803" t="str" cm="1">
        <f t="array" ref="BC663">LOOKUP(2,1/(C663:BA663&lt;&gt;0),$C$4:$BA$4)</f>
        <v>2028-29</v>
      </c>
      <c r="BD663" s="804">
        <f>COUNTIF(RDprograms[[#This Row],[1978-79]:[2028-29]], "&gt;0")</f>
        <v>20</v>
      </c>
      <c r="BE663" s="805">
        <f>SUM(C663:BA663)/RDprograms[[#This Row],[Years with &gt; $0 investment]]</f>
        <v>2.5203000000000002</v>
      </c>
      <c r="BF663" s="806" t="s">
        <v>273</v>
      </c>
      <c r="BG663" s="807" t="s">
        <v>703</v>
      </c>
      <c r="BH663" s="847" t="s">
        <v>269</v>
      </c>
      <c r="BI663" s="809"/>
      <c r="BJ663" s="809"/>
      <c r="BK663" s="809"/>
      <c r="BL663" s="809"/>
      <c r="BM663" s="809"/>
      <c r="BN663" s="810">
        <v>1</v>
      </c>
      <c r="BO663" s="811" t="s">
        <v>236</v>
      </c>
      <c r="BP663" s="812" t="s">
        <v>1616</v>
      </c>
      <c r="BQ663" s="812"/>
      <c r="BR663" s="812"/>
      <c r="BS663" s="812"/>
      <c r="BT663" s="812" t="s">
        <v>238</v>
      </c>
      <c r="BW663" s="2"/>
    </row>
    <row r="664" spans="1:75" ht="12.75" customHeight="1">
      <c r="A664" s="813" t="s">
        <v>1611</v>
      </c>
      <c r="B664" s="820" t="s">
        <v>1617</v>
      </c>
      <c r="C664" s="5">
        <v>0</v>
      </c>
      <c r="D664" s="5">
        <v>0</v>
      </c>
      <c r="E664" s="5">
        <v>0</v>
      </c>
      <c r="F664" s="5">
        <v>0</v>
      </c>
      <c r="G664" s="5">
        <v>0</v>
      </c>
      <c r="H664" s="5">
        <v>0</v>
      </c>
      <c r="I664" s="5">
        <v>0</v>
      </c>
      <c r="J664" s="5">
        <v>0</v>
      </c>
      <c r="K664" s="5">
        <v>0</v>
      </c>
      <c r="L664" s="5">
        <v>0</v>
      </c>
      <c r="M664" s="5">
        <v>0</v>
      </c>
      <c r="N664" s="5">
        <v>0</v>
      </c>
      <c r="O664" s="5">
        <v>0</v>
      </c>
      <c r="P664" s="5">
        <v>0</v>
      </c>
      <c r="Q664" s="5">
        <v>0</v>
      </c>
      <c r="R664" s="5">
        <v>0</v>
      </c>
      <c r="S664" s="5">
        <v>0</v>
      </c>
      <c r="T664" s="5">
        <v>0</v>
      </c>
      <c r="U664" s="5">
        <v>0</v>
      </c>
      <c r="V664" s="5">
        <v>0</v>
      </c>
      <c r="W664" s="5">
        <v>0</v>
      </c>
      <c r="X664" s="5">
        <v>0</v>
      </c>
      <c r="Y664" s="5">
        <v>0</v>
      </c>
      <c r="Z664" s="5">
        <v>0</v>
      </c>
      <c r="AA664" s="5">
        <v>0</v>
      </c>
      <c r="AB664" s="5">
        <v>0</v>
      </c>
      <c r="AC664" s="5">
        <v>0</v>
      </c>
      <c r="AD664" s="5">
        <v>0</v>
      </c>
      <c r="AE664" s="5">
        <v>0</v>
      </c>
      <c r="AF664" s="5">
        <v>0</v>
      </c>
      <c r="AG664" s="5">
        <v>0</v>
      </c>
      <c r="AH664" s="5">
        <v>1.4059999999999999</v>
      </c>
      <c r="AI664" s="5">
        <v>1.363</v>
      </c>
      <c r="AJ664" s="5">
        <v>1.4319999999999999</v>
      </c>
      <c r="AK664" s="5">
        <v>1.357</v>
      </c>
      <c r="AL664" s="5">
        <v>1.2310000000000001</v>
      </c>
      <c r="AM664" s="5">
        <v>1.2649999999999999</v>
      </c>
      <c r="AN664" s="5">
        <v>1.2929999999999999</v>
      </c>
      <c r="AO664" s="5">
        <v>1.325</v>
      </c>
      <c r="AP664" s="5">
        <v>1.3540000000000001</v>
      </c>
      <c r="AQ664" s="5">
        <v>1.3819999999999999</v>
      </c>
      <c r="AR664" s="5">
        <v>1.411</v>
      </c>
      <c r="AS664" s="5">
        <v>1.4</v>
      </c>
      <c r="AT664" s="5">
        <v>1.4</v>
      </c>
      <c r="AU664" s="5">
        <v>1.4</v>
      </c>
      <c r="AV664" s="5">
        <v>1.4</v>
      </c>
      <c r="AW664" s="815">
        <v>0.6</v>
      </c>
      <c r="AX664" s="816">
        <v>1.4</v>
      </c>
      <c r="AY664" s="819">
        <v>1.4</v>
      </c>
      <c r="AZ664" s="816">
        <v>1.4</v>
      </c>
      <c r="BA664" s="818">
        <v>1.4</v>
      </c>
      <c r="BB664" s="802" t="str" cm="1">
        <f t="array" ref="BB664">INDEX(C$4:BA$4,MATCH(TRUE,INDEX(C664:BA664&lt;&gt;0,),0))</f>
        <v>2009-10</v>
      </c>
      <c r="BC664" s="803" t="str" cm="1">
        <f t="array" ref="BC664">LOOKUP(2,1/(C664:BA664&lt;&gt;0),$C$4:$BA$4)</f>
        <v>2028-29</v>
      </c>
      <c r="BD664" s="804">
        <f>COUNTIF(RDprograms[[#This Row],[1978-79]:[2028-29]], "&gt;0")</f>
        <v>20</v>
      </c>
      <c r="BE664" s="805">
        <f>SUM(C664:BA664)/RDprograms[[#This Row],[Years with &gt; $0 investment]]</f>
        <v>1.3309499999999994</v>
      </c>
      <c r="BF664" s="806" t="s">
        <v>273</v>
      </c>
      <c r="BG664" s="807" t="s">
        <v>703</v>
      </c>
      <c r="BH664" s="847" t="s">
        <v>269</v>
      </c>
      <c r="BI664" s="809"/>
      <c r="BJ664" s="809"/>
      <c r="BK664" s="809"/>
      <c r="BL664" s="809"/>
      <c r="BM664" s="809"/>
      <c r="BN664" s="810">
        <v>1</v>
      </c>
      <c r="BO664" s="811" t="s">
        <v>251</v>
      </c>
      <c r="BP664" s="812" t="s">
        <v>1618</v>
      </c>
      <c r="BQ664" s="812"/>
      <c r="BR664" s="812"/>
      <c r="BS664" s="812"/>
      <c r="BT664" s="812" t="s">
        <v>238</v>
      </c>
    </row>
    <row r="665" spans="1:75" ht="12.75" customHeight="1" thickBot="1">
      <c r="A665" s="813" t="s">
        <v>1611</v>
      </c>
      <c r="B665" s="901" t="s">
        <v>1619</v>
      </c>
      <c r="C665" s="5">
        <v>0</v>
      </c>
      <c r="D665" s="5">
        <v>0</v>
      </c>
      <c r="E665" s="5">
        <v>0</v>
      </c>
      <c r="F665" s="5">
        <v>0</v>
      </c>
      <c r="G665" s="5">
        <v>0</v>
      </c>
      <c r="H665" s="5">
        <v>0</v>
      </c>
      <c r="I665" s="5">
        <v>0</v>
      </c>
      <c r="J665" s="5">
        <v>0</v>
      </c>
      <c r="K665" s="5">
        <v>0</v>
      </c>
      <c r="L665" s="5">
        <v>0</v>
      </c>
      <c r="M665" s="5">
        <v>0</v>
      </c>
      <c r="N665" s="5">
        <v>0</v>
      </c>
      <c r="O665" s="5">
        <v>0</v>
      </c>
      <c r="P665" s="5">
        <v>0</v>
      </c>
      <c r="Q665" s="5">
        <v>0</v>
      </c>
      <c r="R665" s="5">
        <v>0</v>
      </c>
      <c r="S665" s="5">
        <v>0</v>
      </c>
      <c r="T665" s="5">
        <v>0</v>
      </c>
      <c r="U665" s="5">
        <v>0</v>
      </c>
      <c r="V665" s="5">
        <v>0</v>
      </c>
      <c r="W665" s="5">
        <v>0</v>
      </c>
      <c r="X665" s="5">
        <v>0</v>
      </c>
      <c r="Y665" s="5">
        <v>0</v>
      </c>
      <c r="Z665" s="5">
        <v>0</v>
      </c>
      <c r="AA665" s="5">
        <v>0</v>
      </c>
      <c r="AB665" s="5">
        <v>0</v>
      </c>
      <c r="AC665" s="5">
        <v>0</v>
      </c>
      <c r="AD665" s="5">
        <v>0</v>
      </c>
      <c r="AE665" s="5">
        <v>0</v>
      </c>
      <c r="AF665" s="5">
        <v>0</v>
      </c>
      <c r="AG665" s="5">
        <v>0</v>
      </c>
      <c r="AH665" s="5">
        <v>0</v>
      </c>
      <c r="AI665" s="5">
        <v>0</v>
      </c>
      <c r="AJ665" s="5">
        <v>0</v>
      </c>
      <c r="AK665" s="5">
        <v>0</v>
      </c>
      <c r="AL665" s="5">
        <v>0</v>
      </c>
      <c r="AM665" s="5">
        <v>1.3</v>
      </c>
      <c r="AN665" s="5">
        <v>1.3</v>
      </c>
      <c r="AO665" s="5">
        <v>1.3</v>
      </c>
      <c r="AP665" s="5">
        <v>1.3</v>
      </c>
      <c r="AQ665" s="5">
        <v>1.3</v>
      </c>
      <c r="AR665" s="5">
        <v>0.46</v>
      </c>
      <c r="AS665" s="5">
        <v>0.83699999999999997</v>
      </c>
      <c r="AT665" s="5">
        <v>0.36599999999999999</v>
      </c>
      <c r="AU665" s="5">
        <v>0.76400000000000001</v>
      </c>
      <c r="AV665" s="994">
        <v>1.18</v>
      </c>
      <c r="AW665" s="902">
        <v>1.3</v>
      </c>
      <c r="AX665" s="902">
        <v>1.3</v>
      </c>
      <c r="AY665" s="903">
        <v>1.3</v>
      </c>
      <c r="AZ665" s="904">
        <v>1.3</v>
      </c>
      <c r="BA665" s="905">
        <v>1.3</v>
      </c>
      <c r="BB665" s="906" t="str" cm="1">
        <f t="array" ref="BB665">INDEX(C$4:BA$4,MATCH(TRUE,INDEX(C665:BA665&lt;&gt;0,),0))</f>
        <v>2014-15</v>
      </c>
      <c r="BC665" s="907" t="str" cm="1">
        <f t="array" ref="BC665">LOOKUP(2,1/(C665:BA665&lt;&gt;0),$C$4:$BA$4)</f>
        <v>2028-29</v>
      </c>
      <c r="BD665" s="908">
        <f>COUNTIF(RDprograms[[#This Row],[1978-79]:[2028-29]], "&gt;0")</f>
        <v>15</v>
      </c>
      <c r="BE665" s="805">
        <f>SUM(C665:BA665)/RDprograms[[#This Row],[Years with &gt; $0 investment]]</f>
        <v>1.1071333333333335</v>
      </c>
      <c r="BF665" s="806" t="s">
        <v>273</v>
      </c>
      <c r="BG665" s="909" t="s">
        <v>703</v>
      </c>
      <c r="BH665" s="910" t="s">
        <v>269</v>
      </c>
      <c r="BI665" s="809"/>
      <c r="BJ665" s="809"/>
      <c r="BK665" s="809"/>
      <c r="BL665" s="809"/>
      <c r="BM665" s="809"/>
      <c r="BN665" s="995">
        <v>1</v>
      </c>
      <c r="BO665" s="811" t="s">
        <v>251</v>
      </c>
      <c r="BP665" s="812" t="s">
        <v>1620</v>
      </c>
      <c r="BQ665" s="812" t="s">
        <v>1621</v>
      </c>
      <c r="BR665" s="812"/>
      <c r="BS665" s="812"/>
      <c r="BT665" s="812" t="s">
        <v>684</v>
      </c>
    </row>
    <row r="666" spans="1:75" ht="15" customHeight="1" thickTop="1" thickBot="1">
      <c r="A666" s="720"/>
      <c r="B666" s="720" t="s">
        <v>1622</v>
      </c>
      <c r="C666" s="721">
        <f t="shared" ref="C666:AH666" si="0">SUM(C$5:C$665)</f>
        <v>685.90000000000009</v>
      </c>
      <c r="D666" s="721">
        <f t="shared" si="0"/>
        <v>773.8</v>
      </c>
      <c r="E666" s="721">
        <f t="shared" si="0"/>
        <v>889.4</v>
      </c>
      <c r="F666" s="721">
        <f t="shared" si="0"/>
        <v>1005.2</v>
      </c>
      <c r="G666" s="721">
        <f t="shared" si="0"/>
        <v>1154.8999999999999</v>
      </c>
      <c r="H666" s="721">
        <f t="shared" si="0"/>
        <v>1242.5000000000002</v>
      </c>
      <c r="I666" s="721">
        <f t="shared" si="0"/>
        <v>1417.9999999999998</v>
      </c>
      <c r="J666" s="721">
        <f t="shared" si="0"/>
        <v>1697.4</v>
      </c>
      <c r="K666" s="721">
        <f t="shared" si="0"/>
        <v>1848.8000000000004</v>
      </c>
      <c r="L666" s="721">
        <f t="shared" si="0"/>
        <v>1914.0000000000002</v>
      </c>
      <c r="M666" s="721">
        <f t="shared" si="0"/>
        <v>2044.3</v>
      </c>
      <c r="N666" s="721">
        <f t="shared" si="0"/>
        <v>2259.2000000000003</v>
      </c>
      <c r="O666" s="721">
        <f t="shared" si="0"/>
        <v>2478.9</v>
      </c>
      <c r="P666" s="721">
        <f t="shared" si="0"/>
        <v>2793.7999999999993</v>
      </c>
      <c r="Q666" s="721">
        <f t="shared" si="0"/>
        <v>3100.2</v>
      </c>
      <c r="R666" s="721">
        <f t="shared" si="0"/>
        <v>3429.9</v>
      </c>
      <c r="S666" s="721">
        <f t="shared" si="0"/>
        <v>3552.4999999999991</v>
      </c>
      <c r="T666" s="721">
        <f t="shared" si="0"/>
        <v>3829.3129999999992</v>
      </c>
      <c r="U666" s="721">
        <f t="shared" si="0"/>
        <v>3707.3999999999996</v>
      </c>
      <c r="V666" s="721">
        <f t="shared" si="0"/>
        <v>3678.8999999999996</v>
      </c>
      <c r="W666" s="721">
        <f t="shared" si="0"/>
        <v>3756.3199999999997</v>
      </c>
      <c r="X666" s="721">
        <f t="shared" si="0"/>
        <v>3985.2319999999991</v>
      </c>
      <c r="Y666" s="721">
        <f t="shared" si="0"/>
        <v>4153.4540000000015</v>
      </c>
      <c r="Z666" s="721">
        <f t="shared" si="0"/>
        <v>4570.8290000000006</v>
      </c>
      <c r="AA666" s="721">
        <f t="shared" si="0"/>
        <v>4909.514631179999</v>
      </c>
      <c r="AB666" s="721">
        <f t="shared" si="0"/>
        <v>5575.7718510399991</v>
      </c>
      <c r="AC666" s="721">
        <f t="shared" si="0"/>
        <v>5157.137523999997</v>
      </c>
      <c r="AD666" s="721">
        <f t="shared" si="0"/>
        <v>6047.4023349999998</v>
      </c>
      <c r="AE666" s="721">
        <f t="shared" si="0"/>
        <v>6556.0073310000025</v>
      </c>
      <c r="AF666" s="721">
        <f t="shared" si="0"/>
        <v>6661.1524980000004</v>
      </c>
      <c r="AG666" s="721">
        <f t="shared" si="0"/>
        <v>7414.6545059999999</v>
      </c>
      <c r="AH666" s="721">
        <f t="shared" si="0"/>
        <v>8312.5312070000018</v>
      </c>
      <c r="AI666" s="721">
        <f t="shared" ref="AI666:BA666" si="1">SUM(AI$5:AI$665)</f>
        <v>8864.2126779999962</v>
      </c>
      <c r="AJ666" s="721">
        <f t="shared" si="1"/>
        <v>10073.672857999996</v>
      </c>
      <c r="AK666" s="721">
        <f t="shared" si="1"/>
        <v>9783.5239169999986</v>
      </c>
      <c r="AL666" s="721">
        <f t="shared" si="1"/>
        <v>9825.3380080000024</v>
      </c>
      <c r="AM666" s="721">
        <f t="shared" si="1"/>
        <v>9834.2343994100029</v>
      </c>
      <c r="AN666" s="721">
        <f t="shared" si="1"/>
        <v>9638.0899567800025</v>
      </c>
      <c r="AO666" s="721">
        <f t="shared" si="1"/>
        <v>9493.5606507000011</v>
      </c>
      <c r="AP666" s="721">
        <f t="shared" si="1"/>
        <v>10192.040861000005</v>
      </c>
      <c r="AQ666" s="721">
        <f t="shared" si="1"/>
        <v>10038.44524500001</v>
      </c>
      <c r="AR666" s="721">
        <f t="shared" si="1"/>
        <v>10240.783999999994</v>
      </c>
      <c r="AS666" s="721">
        <f t="shared" si="1"/>
        <v>12069.720888000005</v>
      </c>
      <c r="AT666" s="721">
        <f t="shared" si="1"/>
        <v>12463.887646000003</v>
      </c>
      <c r="AU666" s="721">
        <f t="shared" si="1"/>
        <v>13165.461013600005</v>
      </c>
      <c r="AV666" s="733">
        <f t="shared" si="1"/>
        <v>13856.727292000001</v>
      </c>
      <c r="AW666" s="762">
        <f t="shared" si="1"/>
        <v>14924.494239898966</v>
      </c>
      <c r="AX666" s="762">
        <f t="shared" si="1"/>
        <v>15139.724072861751</v>
      </c>
      <c r="AY666" s="753">
        <f t="shared" si="1"/>
        <v>14925.687868100405</v>
      </c>
      <c r="AZ666" s="722">
        <f t="shared" si="1"/>
        <v>15646.137633649512</v>
      </c>
      <c r="BA666" s="722">
        <f t="shared" si="1"/>
        <v>11332.484396886952</v>
      </c>
      <c r="BB666" s="723"/>
      <c r="BC666" s="723"/>
      <c r="BD666" s="723"/>
      <c r="BE666" s="723"/>
      <c r="BF666" s="723"/>
      <c r="BG666" s="723"/>
      <c r="BH666" s="724"/>
      <c r="BI666" s="725">
        <f>SUM(RDprograms[Transitioning to a net zero future])</f>
        <v>40</v>
      </c>
      <c r="BJ666" s="725">
        <f>SUM(RDprograms[Supporting healthy and thriving communities])</f>
        <v>57</v>
      </c>
      <c r="BK666" s="725">
        <f>SUM(RDprograms[Elevating Aboriginal and Torres Strait Islander knowledge systems])</f>
        <v>25</v>
      </c>
      <c r="BL666" s="725">
        <f>SUM(RDprograms[Protecting and restoring Australia''s environment])</f>
        <v>43</v>
      </c>
      <c r="BM666" s="725">
        <f>SUM(RDprograms[Building a secure and resilient nation])</f>
        <v>61</v>
      </c>
      <c r="BN666" s="725">
        <f>SUM(RDprograms[Other research area])</f>
        <v>65</v>
      </c>
      <c r="BO666" s="725"/>
      <c r="BP666" s="725"/>
      <c r="BQ666" s="726"/>
      <c r="BR666" s="725"/>
      <c r="BS666" s="725"/>
      <c r="BT666" s="725"/>
    </row>
    <row r="667" spans="1:75" ht="13.5" thickTop="1">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W667" s="1"/>
      <c r="AX667" s="1"/>
      <c r="AY667" s="1"/>
      <c r="AZ667" s="1"/>
      <c r="BA667" s="1"/>
      <c r="BB667" s="1"/>
      <c r="BC667" s="1"/>
      <c r="BD667" s="1"/>
      <c r="BE667" s="1"/>
      <c r="BQ667" s="1"/>
    </row>
    <row r="668" spans="1:75">
      <c r="A668" s="52"/>
      <c r="B668" s="100"/>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c r="AR668" s="76"/>
      <c r="AS668" s="76"/>
      <c r="AT668" s="76"/>
      <c r="AU668" s="76"/>
      <c r="AV668" s="76"/>
      <c r="AW668" s="76"/>
      <c r="AX668" s="1"/>
      <c r="AY668" s="1"/>
      <c r="AZ668" s="1"/>
      <c r="BA668" s="1"/>
      <c r="BB668" s="1"/>
      <c r="BC668" s="1"/>
      <c r="BD668" s="1"/>
      <c r="BE668" s="1"/>
      <c r="BQ668" s="1"/>
    </row>
    <row r="669" spans="1:75">
      <c r="A669" s="52"/>
      <c r="B669" s="100"/>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c r="AR669" s="76"/>
      <c r="AS669" s="76"/>
      <c r="AT669" s="76"/>
      <c r="AU669" s="76"/>
      <c r="AV669" s="76"/>
      <c r="AW669" s="76"/>
      <c r="AX669" s="76"/>
      <c r="AY669" s="1"/>
      <c r="AZ669" s="1"/>
      <c r="BA669" s="1"/>
      <c r="BB669" s="1"/>
      <c r="BC669" s="1"/>
      <c r="BD669" s="1"/>
      <c r="BE669" s="1"/>
      <c r="BQ669" s="1"/>
    </row>
    <row r="670" spans="1:75">
      <c r="A670" s="52"/>
      <c r="B670" s="100"/>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c r="AR670" s="76"/>
      <c r="AS670" s="76"/>
      <c r="AT670" s="76"/>
      <c r="AU670" s="76"/>
      <c r="AV670" s="76"/>
      <c r="AW670" s="76"/>
      <c r="AX670" s="1"/>
      <c r="AY670" s="1"/>
      <c r="AZ670" s="1"/>
      <c r="BA670" s="1"/>
      <c r="BB670" s="1"/>
      <c r="BC670" s="1"/>
      <c r="BD670" s="1"/>
      <c r="BE670" s="1"/>
      <c r="BQ670" s="1"/>
    </row>
    <row r="671" spans="1:75">
      <c r="A671" s="52"/>
      <c r="B671" s="100"/>
      <c r="C671" s="100"/>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76"/>
      <c r="AT671" s="76"/>
      <c r="AU671" s="76"/>
      <c r="AV671" s="76"/>
      <c r="AW671" s="76"/>
      <c r="AX671" s="1"/>
      <c r="AY671" s="1"/>
      <c r="AZ671" s="1"/>
      <c r="BA671" s="1"/>
      <c r="BB671" s="1"/>
      <c r="BC671" s="1"/>
      <c r="BD671" s="1"/>
      <c r="BE671" s="1"/>
      <c r="BQ671" s="1"/>
    </row>
    <row r="672" spans="1:75">
      <c r="A672" s="494" t="s">
        <v>1623</v>
      </c>
      <c r="B672" s="494"/>
      <c r="C672" s="491"/>
      <c r="D672" s="492"/>
      <c r="E672" s="492"/>
      <c r="F672" s="492"/>
      <c r="G672" s="492"/>
      <c r="H672" s="492"/>
      <c r="I672" s="492"/>
      <c r="J672" s="492"/>
      <c r="K672" s="492"/>
      <c r="L672" s="492"/>
      <c r="M672" s="492"/>
      <c r="N672" s="492"/>
      <c r="O672" s="492"/>
      <c r="P672" s="492"/>
      <c r="Q672" s="492"/>
      <c r="R672" s="492"/>
      <c r="S672" s="492"/>
      <c r="T672" s="492"/>
      <c r="U672" s="492"/>
      <c r="V672" s="492"/>
      <c r="W672" s="492"/>
      <c r="X672" s="492"/>
      <c r="Y672" s="492"/>
      <c r="Z672" s="492"/>
      <c r="AA672" s="492"/>
      <c r="AB672" s="492"/>
      <c r="AC672" s="492"/>
      <c r="AD672" s="492"/>
      <c r="AE672" s="492"/>
      <c r="AF672" s="492"/>
      <c r="AG672" s="492"/>
      <c r="AH672" s="492"/>
      <c r="AI672" s="492"/>
      <c r="AJ672" s="492"/>
      <c r="AK672" s="492"/>
      <c r="AL672" s="492"/>
      <c r="AM672" s="492"/>
      <c r="AN672" s="492"/>
      <c r="AO672" s="492"/>
      <c r="AP672" s="492"/>
      <c r="AQ672" s="492"/>
      <c r="AR672" s="492"/>
      <c r="AS672" s="491"/>
      <c r="AT672" s="491"/>
      <c r="AU672" s="491"/>
      <c r="AV672" s="491"/>
      <c r="AW672" s="491"/>
      <c r="AX672" s="493"/>
      <c r="AY672" s="1"/>
      <c r="AZ672" s="1"/>
      <c r="BA672" s="1"/>
      <c r="BB672" s="1"/>
      <c r="BC672" s="1"/>
      <c r="BD672" s="1"/>
      <c r="BE672" s="1"/>
      <c r="BQ672" s="1"/>
    </row>
    <row r="673" spans="1:69">
      <c r="A673" s="491"/>
      <c r="B673" s="491"/>
      <c r="C673" s="495" t="s">
        <v>207</v>
      </c>
      <c r="D673" s="495" t="s">
        <v>194</v>
      </c>
      <c r="E673" s="495" t="s">
        <v>191</v>
      </c>
      <c r="F673" s="495" t="s">
        <v>188</v>
      </c>
      <c r="G673" s="495" t="s">
        <v>185</v>
      </c>
      <c r="H673" s="495" t="s">
        <v>181</v>
      </c>
      <c r="I673" s="495" t="s">
        <v>178</v>
      </c>
      <c r="J673" s="495" t="s">
        <v>175</v>
      </c>
      <c r="K673" s="495" t="s">
        <v>171</v>
      </c>
      <c r="L673" s="495" t="s">
        <v>168</v>
      </c>
      <c r="M673" s="495" t="s">
        <v>166</v>
      </c>
      <c r="N673" s="495" t="s">
        <v>163</v>
      </c>
      <c r="O673" s="495" t="s">
        <v>160</v>
      </c>
      <c r="P673" s="495" t="s">
        <v>157</v>
      </c>
      <c r="Q673" s="495" t="s">
        <v>153</v>
      </c>
      <c r="R673" s="495" t="s">
        <v>149</v>
      </c>
      <c r="S673" s="495" t="s">
        <v>146</v>
      </c>
      <c r="T673" s="495" t="s">
        <v>142</v>
      </c>
      <c r="U673" s="495" t="s">
        <v>139</v>
      </c>
      <c r="V673" s="495" t="s">
        <v>136</v>
      </c>
      <c r="W673" s="495" t="s">
        <v>132</v>
      </c>
      <c r="X673" s="495" t="s">
        <v>208</v>
      </c>
      <c r="Y673" s="495" t="s">
        <v>126</v>
      </c>
      <c r="Z673" s="495" t="s">
        <v>123</v>
      </c>
      <c r="AA673" s="495" t="s">
        <v>120</v>
      </c>
      <c r="AB673" s="495" t="s">
        <v>117</v>
      </c>
      <c r="AC673" s="495" t="s">
        <v>114</v>
      </c>
      <c r="AD673" s="495" t="s">
        <v>111</v>
      </c>
      <c r="AE673" s="495" t="s">
        <v>108</v>
      </c>
      <c r="AF673" s="495" t="s">
        <v>104</v>
      </c>
      <c r="AG673" s="495" t="s">
        <v>101</v>
      </c>
      <c r="AH673" s="495" t="s">
        <v>98</v>
      </c>
      <c r="AI673" s="495" t="s">
        <v>95</v>
      </c>
      <c r="AJ673" s="495" t="s">
        <v>91</v>
      </c>
      <c r="AK673" s="495" t="s">
        <v>87</v>
      </c>
      <c r="AL673" s="495" t="s">
        <v>83</v>
      </c>
      <c r="AM673" s="495" t="s">
        <v>79</v>
      </c>
      <c r="AN673" s="495" t="s">
        <v>75</v>
      </c>
      <c r="AO673" s="495" t="s">
        <v>72</v>
      </c>
      <c r="AP673" s="495" t="s">
        <v>69</v>
      </c>
      <c r="AQ673" s="495" t="s">
        <v>66</v>
      </c>
      <c r="AR673" s="495" t="s">
        <v>62</v>
      </c>
      <c r="AS673" s="496" t="s">
        <v>59</v>
      </c>
      <c r="AT673" s="496" t="s">
        <v>55</v>
      </c>
      <c r="AU673" s="496" t="s">
        <v>52</v>
      </c>
      <c r="AV673" s="496" t="s">
        <v>49</v>
      </c>
      <c r="AW673" s="496" t="s">
        <v>46</v>
      </c>
      <c r="AX673" s="496" t="s">
        <v>42</v>
      </c>
      <c r="AZ673" s="8"/>
    </row>
    <row r="674" spans="1:69">
      <c r="A674" s="494"/>
      <c r="B674" s="499" t="s">
        <v>1624</v>
      </c>
      <c r="C674" s="487">
        <f t="shared" ref="C674:AX674" si="2">COUNTIFS(C$5:C$665,"&gt;0",C$5:C$665,"&lt;1")</f>
        <v>5</v>
      </c>
      <c r="D674" s="487">
        <f t="shared" si="2"/>
        <v>7</v>
      </c>
      <c r="E674" s="487">
        <f t="shared" si="2"/>
        <v>6</v>
      </c>
      <c r="F674" s="487">
        <f t="shared" si="2"/>
        <v>5</v>
      </c>
      <c r="G674" s="487">
        <f t="shared" si="2"/>
        <v>4</v>
      </c>
      <c r="H674" s="487">
        <f t="shared" si="2"/>
        <v>5</v>
      </c>
      <c r="I674" s="487">
        <f t="shared" si="2"/>
        <v>3</v>
      </c>
      <c r="J674" s="487">
        <f t="shared" si="2"/>
        <v>5</v>
      </c>
      <c r="K674" s="487">
        <f t="shared" si="2"/>
        <v>1</v>
      </c>
      <c r="L674" s="487">
        <f t="shared" si="2"/>
        <v>2</v>
      </c>
      <c r="M674" s="487">
        <f t="shared" si="2"/>
        <v>4</v>
      </c>
      <c r="N674" s="487">
        <f t="shared" si="2"/>
        <v>4</v>
      </c>
      <c r="O674" s="487">
        <f t="shared" si="2"/>
        <v>0</v>
      </c>
      <c r="P674" s="487">
        <f t="shared" si="2"/>
        <v>2</v>
      </c>
      <c r="Q674" s="487">
        <f t="shared" si="2"/>
        <v>1</v>
      </c>
      <c r="R674" s="487">
        <f t="shared" si="2"/>
        <v>1</v>
      </c>
      <c r="S674" s="487">
        <f t="shared" si="2"/>
        <v>1</v>
      </c>
      <c r="T674" s="487">
        <f t="shared" si="2"/>
        <v>3</v>
      </c>
      <c r="U674" s="487">
        <f t="shared" si="2"/>
        <v>3</v>
      </c>
      <c r="V674" s="487">
        <f t="shared" si="2"/>
        <v>4</v>
      </c>
      <c r="W674" s="487">
        <f t="shared" si="2"/>
        <v>2</v>
      </c>
      <c r="X674" s="487">
        <f t="shared" si="2"/>
        <v>2</v>
      </c>
      <c r="Y674" s="487">
        <f t="shared" si="2"/>
        <v>1</v>
      </c>
      <c r="Z674" s="487">
        <f t="shared" si="2"/>
        <v>5</v>
      </c>
      <c r="AA674" s="487">
        <f t="shared" si="2"/>
        <v>9</v>
      </c>
      <c r="AB674" s="487">
        <f t="shared" si="2"/>
        <v>9</v>
      </c>
      <c r="AC674" s="487">
        <f t="shared" si="2"/>
        <v>17</v>
      </c>
      <c r="AD674" s="487">
        <f t="shared" si="2"/>
        <v>14</v>
      </c>
      <c r="AE674" s="487">
        <f t="shared" si="2"/>
        <v>16</v>
      </c>
      <c r="AF674" s="487">
        <f t="shared" si="2"/>
        <v>15</v>
      </c>
      <c r="AG674" s="487">
        <f t="shared" si="2"/>
        <v>20</v>
      </c>
      <c r="AH674" s="487">
        <f t="shared" si="2"/>
        <v>30</v>
      </c>
      <c r="AI674" s="487">
        <f t="shared" si="2"/>
        <v>42</v>
      </c>
      <c r="AJ674" s="487">
        <f t="shared" si="2"/>
        <v>47</v>
      </c>
      <c r="AK674" s="487">
        <f t="shared" si="2"/>
        <v>53</v>
      </c>
      <c r="AL674" s="487">
        <f t="shared" si="2"/>
        <v>51</v>
      </c>
      <c r="AM674" s="487">
        <f t="shared" si="2"/>
        <v>53</v>
      </c>
      <c r="AN674" s="487">
        <f t="shared" si="2"/>
        <v>62</v>
      </c>
      <c r="AO674" s="487">
        <f t="shared" si="2"/>
        <v>67</v>
      </c>
      <c r="AP674" s="487">
        <f t="shared" si="2"/>
        <v>69</v>
      </c>
      <c r="AQ674" s="487">
        <f t="shared" si="2"/>
        <v>62</v>
      </c>
      <c r="AR674" s="487">
        <f t="shared" si="2"/>
        <v>60</v>
      </c>
      <c r="AS674" s="487">
        <f t="shared" si="2"/>
        <v>69</v>
      </c>
      <c r="AT674" s="487">
        <f t="shared" si="2"/>
        <v>66</v>
      </c>
      <c r="AU674" s="487">
        <f t="shared" si="2"/>
        <v>62</v>
      </c>
      <c r="AV674" s="497">
        <f t="shared" si="2"/>
        <v>60</v>
      </c>
      <c r="AW674" s="497">
        <f t="shared" si="2"/>
        <v>50</v>
      </c>
      <c r="AX674" s="497">
        <f t="shared" si="2"/>
        <v>41</v>
      </c>
      <c r="AY674" s="1"/>
      <c r="AZ674" s="1"/>
      <c r="BA674" s="1"/>
      <c r="BB674" s="1"/>
      <c r="BC674" s="1"/>
      <c r="BD674" s="1"/>
      <c r="BE674" s="1"/>
      <c r="BQ674" s="1"/>
    </row>
    <row r="675" spans="1:69">
      <c r="A675" s="491"/>
      <c r="B675" s="499" t="s">
        <v>1625</v>
      </c>
      <c r="C675" s="487">
        <f t="shared" ref="C675:AX675" si="3">COUNTIFS(C$5:C$665,"&gt;=1",C$5:C$665,"&lt;10")</f>
        <v>12</v>
      </c>
      <c r="D675" s="487">
        <f t="shared" si="3"/>
        <v>14</v>
      </c>
      <c r="E675" s="487">
        <f t="shared" si="3"/>
        <v>16</v>
      </c>
      <c r="F675" s="487">
        <f t="shared" si="3"/>
        <v>18</v>
      </c>
      <c r="G675" s="487">
        <f t="shared" si="3"/>
        <v>18</v>
      </c>
      <c r="H675" s="487">
        <f t="shared" si="3"/>
        <v>15</v>
      </c>
      <c r="I675" s="487">
        <f t="shared" si="3"/>
        <v>17</v>
      </c>
      <c r="J675" s="487">
        <f t="shared" si="3"/>
        <v>17</v>
      </c>
      <c r="K675" s="487">
        <f t="shared" si="3"/>
        <v>18</v>
      </c>
      <c r="L675" s="487">
        <f t="shared" si="3"/>
        <v>21</v>
      </c>
      <c r="M675" s="487">
        <f t="shared" si="3"/>
        <v>19</v>
      </c>
      <c r="N675" s="487">
        <f t="shared" si="3"/>
        <v>17</v>
      </c>
      <c r="O675" s="487">
        <f t="shared" si="3"/>
        <v>22</v>
      </c>
      <c r="P675" s="487">
        <f t="shared" si="3"/>
        <v>18</v>
      </c>
      <c r="Q675" s="487">
        <f t="shared" si="3"/>
        <v>14</v>
      </c>
      <c r="R675" s="487">
        <f t="shared" si="3"/>
        <v>14</v>
      </c>
      <c r="S675" s="487">
        <f t="shared" si="3"/>
        <v>12</v>
      </c>
      <c r="T675" s="487">
        <f t="shared" si="3"/>
        <v>11</v>
      </c>
      <c r="U675" s="487">
        <f t="shared" si="3"/>
        <v>14</v>
      </c>
      <c r="V675" s="487">
        <f t="shared" si="3"/>
        <v>10</v>
      </c>
      <c r="W675" s="487">
        <f t="shared" si="3"/>
        <v>14</v>
      </c>
      <c r="X675" s="487">
        <f t="shared" si="3"/>
        <v>22</v>
      </c>
      <c r="Y675" s="487">
        <f t="shared" si="3"/>
        <v>24</v>
      </c>
      <c r="Z675" s="487">
        <f t="shared" si="3"/>
        <v>22</v>
      </c>
      <c r="AA675" s="487">
        <f t="shared" si="3"/>
        <v>23</v>
      </c>
      <c r="AB675" s="487">
        <f t="shared" si="3"/>
        <v>22</v>
      </c>
      <c r="AC675" s="487">
        <f t="shared" si="3"/>
        <v>23</v>
      </c>
      <c r="AD675" s="487">
        <f t="shared" si="3"/>
        <v>33</v>
      </c>
      <c r="AE675" s="487">
        <f t="shared" si="3"/>
        <v>35</v>
      </c>
      <c r="AF675" s="487">
        <f t="shared" si="3"/>
        <v>43</v>
      </c>
      <c r="AG675" s="487">
        <f t="shared" si="3"/>
        <v>47</v>
      </c>
      <c r="AH675" s="487">
        <f t="shared" si="3"/>
        <v>47</v>
      </c>
      <c r="AI675" s="487">
        <f t="shared" si="3"/>
        <v>59</v>
      </c>
      <c r="AJ675" s="487">
        <f t="shared" si="3"/>
        <v>62</v>
      </c>
      <c r="AK675" s="487">
        <f t="shared" si="3"/>
        <v>67</v>
      </c>
      <c r="AL675" s="487">
        <f t="shared" si="3"/>
        <v>69</v>
      </c>
      <c r="AM675" s="487">
        <f t="shared" si="3"/>
        <v>53</v>
      </c>
      <c r="AN675" s="487">
        <f t="shared" si="3"/>
        <v>49</v>
      </c>
      <c r="AO675" s="487">
        <f t="shared" si="3"/>
        <v>69</v>
      </c>
      <c r="AP675" s="487">
        <f t="shared" si="3"/>
        <v>65</v>
      </c>
      <c r="AQ675" s="487">
        <f t="shared" si="3"/>
        <v>69</v>
      </c>
      <c r="AR675" s="487">
        <f t="shared" si="3"/>
        <v>74</v>
      </c>
      <c r="AS675" s="487">
        <f t="shared" si="3"/>
        <v>85</v>
      </c>
      <c r="AT675" s="487">
        <f t="shared" si="3"/>
        <v>87</v>
      </c>
      <c r="AU675" s="487">
        <f t="shared" si="3"/>
        <v>93</v>
      </c>
      <c r="AV675" s="487">
        <f t="shared" si="3"/>
        <v>92</v>
      </c>
      <c r="AW675" s="487">
        <f t="shared" si="3"/>
        <v>98</v>
      </c>
      <c r="AX675" s="487">
        <f t="shared" si="3"/>
        <v>70</v>
      </c>
      <c r="AY675" s="1"/>
      <c r="AZ675" s="1"/>
      <c r="BA675" s="1"/>
      <c r="BB675" s="1"/>
      <c r="BC675" s="1"/>
      <c r="BD675" s="1"/>
      <c r="BE675" s="1"/>
      <c r="BQ675" s="1"/>
    </row>
    <row r="676" spans="1:69">
      <c r="A676" s="491"/>
      <c r="B676" s="499" t="s">
        <v>1626</v>
      </c>
      <c r="C676" s="487">
        <f t="shared" ref="C676:AX676" si="4">COUNTIFS(C$5:C$665,"&gt;=10",C$5:C$665,"&lt;100")</f>
        <v>8</v>
      </c>
      <c r="D676" s="487">
        <f t="shared" si="4"/>
        <v>9</v>
      </c>
      <c r="E676" s="487">
        <f t="shared" si="4"/>
        <v>8</v>
      </c>
      <c r="F676" s="487">
        <f t="shared" si="4"/>
        <v>9</v>
      </c>
      <c r="G676" s="487">
        <f t="shared" si="4"/>
        <v>11</v>
      </c>
      <c r="H676" s="487">
        <f t="shared" si="4"/>
        <v>13</v>
      </c>
      <c r="I676" s="487">
        <f t="shared" si="4"/>
        <v>15</v>
      </c>
      <c r="J676" s="487">
        <f t="shared" si="4"/>
        <v>16</v>
      </c>
      <c r="K676" s="487">
        <f t="shared" si="4"/>
        <v>17</v>
      </c>
      <c r="L676" s="487">
        <f t="shared" si="4"/>
        <v>12</v>
      </c>
      <c r="M676" s="487">
        <f t="shared" si="4"/>
        <v>14</v>
      </c>
      <c r="N676" s="487">
        <f t="shared" si="4"/>
        <v>16</v>
      </c>
      <c r="O676" s="487">
        <f t="shared" si="4"/>
        <v>14</v>
      </c>
      <c r="P676" s="487">
        <f t="shared" si="4"/>
        <v>15</v>
      </c>
      <c r="Q676" s="487">
        <f t="shared" si="4"/>
        <v>17</v>
      </c>
      <c r="R676" s="487">
        <f t="shared" si="4"/>
        <v>16</v>
      </c>
      <c r="S676" s="487">
        <f t="shared" si="4"/>
        <v>17</v>
      </c>
      <c r="T676" s="487">
        <f t="shared" si="4"/>
        <v>18</v>
      </c>
      <c r="U676" s="487">
        <f t="shared" si="4"/>
        <v>14</v>
      </c>
      <c r="V676" s="487">
        <f t="shared" si="4"/>
        <v>17</v>
      </c>
      <c r="W676" s="487">
        <f t="shared" si="4"/>
        <v>16</v>
      </c>
      <c r="X676" s="487">
        <f t="shared" si="4"/>
        <v>16</v>
      </c>
      <c r="Y676" s="487">
        <f t="shared" si="4"/>
        <v>19</v>
      </c>
      <c r="Z676" s="487">
        <f t="shared" si="4"/>
        <v>24</v>
      </c>
      <c r="AA676" s="487">
        <f t="shared" si="4"/>
        <v>24</v>
      </c>
      <c r="AB676" s="487">
        <f t="shared" si="4"/>
        <v>26</v>
      </c>
      <c r="AC676" s="487">
        <f t="shared" si="4"/>
        <v>21</v>
      </c>
      <c r="AD676" s="487">
        <f t="shared" si="4"/>
        <v>25</v>
      </c>
      <c r="AE676" s="487">
        <f t="shared" si="4"/>
        <v>27</v>
      </c>
      <c r="AF676" s="487">
        <f t="shared" si="4"/>
        <v>24</v>
      </c>
      <c r="AG676" s="487">
        <f t="shared" si="4"/>
        <v>29</v>
      </c>
      <c r="AH676" s="487">
        <f t="shared" si="4"/>
        <v>41</v>
      </c>
      <c r="AI676" s="487">
        <f t="shared" si="4"/>
        <v>43</v>
      </c>
      <c r="AJ676" s="487">
        <f t="shared" si="4"/>
        <v>36</v>
      </c>
      <c r="AK676" s="487">
        <f t="shared" si="4"/>
        <v>40</v>
      </c>
      <c r="AL676" s="487">
        <f t="shared" si="4"/>
        <v>32</v>
      </c>
      <c r="AM676" s="487">
        <f t="shared" si="4"/>
        <v>25</v>
      </c>
      <c r="AN676" s="487">
        <f t="shared" si="4"/>
        <v>22</v>
      </c>
      <c r="AO676" s="487">
        <f t="shared" si="4"/>
        <v>24</v>
      </c>
      <c r="AP676" s="487">
        <f t="shared" si="4"/>
        <v>29</v>
      </c>
      <c r="AQ676" s="487">
        <f t="shared" si="4"/>
        <v>27</v>
      </c>
      <c r="AR676" s="487">
        <f t="shared" si="4"/>
        <v>26</v>
      </c>
      <c r="AS676" s="487">
        <f t="shared" si="4"/>
        <v>23</v>
      </c>
      <c r="AT676" s="487">
        <f t="shared" si="4"/>
        <v>29</v>
      </c>
      <c r="AU676" s="487">
        <f t="shared" si="4"/>
        <v>30</v>
      </c>
      <c r="AV676" s="487">
        <f t="shared" si="4"/>
        <v>30</v>
      </c>
      <c r="AW676" s="487">
        <f t="shared" si="4"/>
        <v>23</v>
      </c>
      <c r="AX676" s="487">
        <f t="shared" si="4"/>
        <v>29</v>
      </c>
      <c r="AY676" s="1"/>
      <c r="AZ676" s="1"/>
      <c r="BA676" s="1"/>
      <c r="BB676" s="1"/>
      <c r="BC676" s="1"/>
      <c r="BD676" s="1"/>
      <c r="BE676" s="1"/>
      <c r="BQ676" s="1"/>
    </row>
    <row r="677" spans="1:69" ht="13.5" thickBot="1">
      <c r="A677" s="491"/>
      <c r="B677" s="499" t="s">
        <v>1627</v>
      </c>
      <c r="C677" s="487">
        <f t="shared" ref="C677:AX677" si="5">COUNTIF(C$5:C$665,"&gt;=100")</f>
        <v>2</v>
      </c>
      <c r="D677" s="488">
        <f t="shared" si="5"/>
        <v>2</v>
      </c>
      <c r="E677" s="488">
        <f t="shared" si="5"/>
        <v>2</v>
      </c>
      <c r="F677" s="488">
        <f t="shared" si="5"/>
        <v>3</v>
      </c>
      <c r="G677" s="488">
        <f t="shared" si="5"/>
        <v>3</v>
      </c>
      <c r="H677" s="488">
        <f t="shared" si="5"/>
        <v>3</v>
      </c>
      <c r="I677" s="488">
        <f t="shared" si="5"/>
        <v>3</v>
      </c>
      <c r="J677" s="488">
        <f t="shared" si="5"/>
        <v>4</v>
      </c>
      <c r="K677" s="488">
        <f t="shared" si="5"/>
        <v>4</v>
      </c>
      <c r="L677" s="488">
        <f t="shared" si="5"/>
        <v>5</v>
      </c>
      <c r="M677" s="488">
        <f t="shared" si="5"/>
        <v>5</v>
      </c>
      <c r="N677" s="488">
        <f t="shared" si="5"/>
        <v>5</v>
      </c>
      <c r="O677" s="488">
        <f t="shared" si="5"/>
        <v>6</v>
      </c>
      <c r="P677" s="488">
        <f t="shared" si="5"/>
        <v>7</v>
      </c>
      <c r="Q677" s="488">
        <f t="shared" si="5"/>
        <v>7</v>
      </c>
      <c r="R677" s="488">
        <f t="shared" si="5"/>
        <v>7</v>
      </c>
      <c r="S677" s="488">
        <f t="shared" si="5"/>
        <v>8</v>
      </c>
      <c r="T677" s="488">
        <f t="shared" si="5"/>
        <v>10</v>
      </c>
      <c r="U677" s="488">
        <f t="shared" si="5"/>
        <v>11</v>
      </c>
      <c r="V677" s="488">
        <f t="shared" si="5"/>
        <v>11</v>
      </c>
      <c r="W677" s="488">
        <f t="shared" si="5"/>
        <v>11</v>
      </c>
      <c r="X677" s="488">
        <f t="shared" si="5"/>
        <v>11</v>
      </c>
      <c r="Y677" s="488">
        <f t="shared" si="5"/>
        <v>12</v>
      </c>
      <c r="Z677" s="488">
        <f t="shared" si="5"/>
        <v>14</v>
      </c>
      <c r="AA677" s="488">
        <f t="shared" si="5"/>
        <v>15</v>
      </c>
      <c r="AB677" s="488">
        <f t="shared" si="5"/>
        <v>16</v>
      </c>
      <c r="AC677" s="488">
        <f t="shared" si="5"/>
        <v>16</v>
      </c>
      <c r="AD677" s="488">
        <f t="shared" si="5"/>
        <v>18</v>
      </c>
      <c r="AE677" s="488">
        <f t="shared" si="5"/>
        <v>17</v>
      </c>
      <c r="AF677" s="488">
        <f t="shared" si="5"/>
        <v>18</v>
      </c>
      <c r="AG677" s="488">
        <f t="shared" si="5"/>
        <v>19</v>
      </c>
      <c r="AH677" s="488">
        <f t="shared" si="5"/>
        <v>22</v>
      </c>
      <c r="AI677" s="488">
        <f t="shared" si="5"/>
        <v>24</v>
      </c>
      <c r="AJ677" s="488">
        <f t="shared" si="5"/>
        <v>23</v>
      </c>
      <c r="AK677" s="488">
        <f t="shared" si="5"/>
        <v>20</v>
      </c>
      <c r="AL677" s="488">
        <f t="shared" si="5"/>
        <v>18</v>
      </c>
      <c r="AM677" s="488">
        <f t="shared" si="5"/>
        <v>19</v>
      </c>
      <c r="AN677" s="488">
        <f t="shared" si="5"/>
        <v>18</v>
      </c>
      <c r="AO677" s="488">
        <f t="shared" si="5"/>
        <v>22</v>
      </c>
      <c r="AP677" s="488">
        <f t="shared" si="5"/>
        <v>17</v>
      </c>
      <c r="AQ677" s="488">
        <f t="shared" si="5"/>
        <v>17</v>
      </c>
      <c r="AR677" s="488">
        <f t="shared" si="5"/>
        <v>17</v>
      </c>
      <c r="AS677" s="488">
        <f t="shared" si="5"/>
        <v>16</v>
      </c>
      <c r="AT677" s="488">
        <f t="shared" si="5"/>
        <v>19</v>
      </c>
      <c r="AU677" s="488">
        <f t="shared" si="5"/>
        <v>19</v>
      </c>
      <c r="AV677" s="488">
        <f t="shared" si="5"/>
        <v>18</v>
      </c>
      <c r="AW677" s="488">
        <f t="shared" si="5"/>
        <v>22</v>
      </c>
      <c r="AX677" s="488">
        <f t="shared" si="5"/>
        <v>20</v>
      </c>
      <c r="AY677" s="1"/>
      <c r="AZ677" s="1"/>
      <c r="BA677" s="1"/>
      <c r="BB677" s="1"/>
      <c r="BC677" s="1"/>
      <c r="BD677" s="1"/>
      <c r="BE677" s="1"/>
      <c r="BQ677" s="1"/>
    </row>
    <row r="678" spans="1:69" ht="14.25" thickTop="1" thickBot="1">
      <c r="A678" s="491"/>
      <c r="B678" s="489" t="s">
        <v>1622</v>
      </c>
      <c r="C678" s="490">
        <f t="shared" ref="C678:AF678" si="6">SUM(C$674:C$677)</f>
        <v>27</v>
      </c>
      <c r="D678" s="490">
        <f t="shared" si="6"/>
        <v>32</v>
      </c>
      <c r="E678" s="490">
        <f t="shared" si="6"/>
        <v>32</v>
      </c>
      <c r="F678" s="490">
        <f t="shared" si="6"/>
        <v>35</v>
      </c>
      <c r="G678" s="490">
        <f t="shared" si="6"/>
        <v>36</v>
      </c>
      <c r="H678" s="490">
        <f t="shared" si="6"/>
        <v>36</v>
      </c>
      <c r="I678" s="490">
        <f t="shared" si="6"/>
        <v>38</v>
      </c>
      <c r="J678" s="490">
        <f t="shared" si="6"/>
        <v>42</v>
      </c>
      <c r="K678" s="490">
        <f t="shared" si="6"/>
        <v>40</v>
      </c>
      <c r="L678" s="490">
        <f t="shared" si="6"/>
        <v>40</v>
      </c>
      <c r="M678" s="490">
        <f t="shared" si="6"/>
        <v>42</v>
      </c>
      <c r="N678" s="490">
        <f t="shared" si="6"/>
        <v>42</v>
      </c>
      <c r="O678" s="490">
        <f t="shared" si="6"/>
        <v>42</v>
      </c>
      <c r="P678" s="490">
        <f t="shared" si="6"/>
        <v>42</v>
      </c>
      <c r="Q678" s="490">
        <f t="shared" si="6"/>
        <v>39</v>
      </c>
      <c r="R678" s="490">
        <f t="shared" si="6"/>
        <v>38</v>
      </c>
      <c r="S678" s="490">
        <f t="shared" si="6"/>
        <v>38</v>
      </c>
      <c r="T678" s="490">
        <f t="shared" si="6"/>
        <v>42</v>
      </c>
      <c r="U678" s="490">
        <f t="shared" si="6"/>
        <v>42</v>
      </c>
      <c r="V678" s="490">
        <f t="shared" si="6"/>
        <v>42</v>
      </c>
      <c r="W678" s="490">
        <f t="shared" si="6"/>
        <v>43</v>
      </c>
      <c r="X678" s="490">
        <f t="shared" si="6"/>
        <v>51</v>
      </c>
      <c r="Y678" s="490">
        <f t="shared" si="6"/>
        <v>56</v>
      </c>
      <c r="Z678" s="490">
        <f t="shared" si="6"/>
        <v>65</v>
      </c>
      <c r="AA678" s="490">
        <f t="shared" si="6"/>
        <v>71</v>
      </c>
      <c r="AB678" s="490">
        <f t="shared" si="6"/>
        <v>73</v>
      </c>
      <c r="AC678" s="490">
        <f t="shared" si="6"/>
        <v>77</v>
      </c>
      <c r="AD678" s="490">
        <f t="shared" si="6"/>
        <v>90</v>
      </c>
      <c r="AE678" s="490">
        <f t="shared" si="6"/>
        <v>95</v>
      </c>
      <c r="AF678" s="490">
        <f t="shared" si="6"/>
        <v>100</v>
      </c>
      <c r="AG678" s="490">
        <f>SUM(AG$674:AG$677)</f>
        <v>115</v>
      </c>
      <c r="AH678" s="490">
        <f t="shared" ref="AH678:AX678" si="7">SUM(AH$674:AH$677)</f>
        <v>140</v>
      </c>
      <c r="AI678" s="490">
        <f t="shared" si="7"/>
        <v>168</v>
      </c>
      <c r="AJ678" s="490">
        <f t="shared" si="7"/>
        <v>168</v>
      </c>
      <c r="AK678" s="490">
        <f t="shared" si="7"/>
        <v>180</v>
      </c>
      <c r="AL678" s="490">
        <f t="shared" si="7"/>
        <v>170</v>
      </c>
      <c r="AM678" s="490">
        <f t="shared" si="7"/>
        <v>150</v>
      </c>
      <c r="AN678" s="490">
        <f t="shared" si="7"/>
        <v>151</v>
      </c>
      <c r="AO678" s="490">
        <f t="shared" si="7"/>
        <v>182</v>
      </c>
      <c r="AP678" s="490">
        <f t="shared" si="7"/>
        <v>180</v>
      </c>
      <c r="AQ678" s="490">
        <f t="shared" si="7"/>
        <v>175</v>
      </c>
      <c r="AR678" s="490">
        <f t="shared" si="7"/>
        <v>177</v>
      </c>
      <c r="AS678" s="490">
        <f t="shared" si="7"/>
        <v>193</v>
      </c>
      <c r="AT678" s="490">
        <f t="shared" si="7"/>
        <v>201</v>
      </c>
      <c r="AU678" s="490">
        <f t="shared" si="7"/>
        <v>204</v>
      </c>
      <c r="AV678" s="490">
        <f t="shared" si="7"/>
        <v>200</v>
      </c>
      <c r="AW678" s="490">
        <f t="shared" si="7"/>
        <v>193</v>
      </c>
      <c r="AX678" s="490">
        <f t="shared" si="7"/>
        <v>160</v>
      </c>
      <c r="AY678" s="1"/>
      <c r="AZ678" s="1"/>
      <c r="BA678" s="1"/>
      <c r="BB678" s="1"/>
      <c r="BC678" s="1"/>
      <c r="BD678" s="1"/>
      <c r="BE678" s="1"/>
      <c r="BQ678" s="1"/>
    </row>
    <row r="679" spans="1:69" ht="13.5" thickTop="1">
      <c r="A679" s="491"/>
      <c r="B679" s="494"/>
      <c r="C679" s="498"/>
      <c r="D679" s="498"/>
      <c r="E679" s="498"/>
      <c r="F679" s="498"/>
      <c r="G679" s="498"/>
      <c r="H679" s="498"/>
      <c r="I679" s="498"/>
      <c r="J679" s="498"/>
      <c r="K679" s="498"/>
      <c r="L679" s="498"/>
      <c r="M679" s="498"/>
      <c r="N679" s="498"/>
      <c r="O679" s="498"/>
      <c r="P679" s="498"/>
      <c r="Q679" s="498"/>
      <c r="R679" s="498"/>
      <c r="S679" s="498"/>
      <c r="T679" s="498"/>
      <c r="U679" s="498"/>
      <c r="V679" s="498"/>
      <c r="W679" s="498"/>
      <c r="X679" s="498"/>
      <c r="Y679" s="498"/>
      <c r="Z679" s="498"/>
      <c r="AA679" s="498"/>
      <c r="AB679" s="498"/>
      <c r="AC679" s="498"/>
      <c r="AD679" s="498"/>
      <c r="AE679" s="498"/>
      <c r="AF679" s="498"/>
      <c r="AG679" s="498"/>
      <c r="AH679" s="498"/>
      <c r="AI679" s="498"/>
      <c r="AJ679" s="498"/>
      <c r="AK679" s="498"/>
      <c r="AL679" s="498"/>
      <c r="AM679" s="498"/>
      <c r="AN679" s="498"/>
      <c r="AO679" s="498"/>
      <c r="AP679" s="498"/>
      <c r="AQ679" s="498"/>
      <c r="AR679" s="498"/>
      <c r="AS679" s="498"/>
      <c r="AT679" s="498"/>
      <c r="AU679" s="498"/>
      <c r="AV679" s="498"/>
      <c r="AW679" s="498"/>
      <c r="AX679" s="493"/>
      <c r="AY679" s="1"/>
      <c r="AZ679" s="1"/>
      <c r="BA679" s="1"/>
      <c r="BB679" s="1"/>
      <c r="BC679" s="1"/>
      <c r="BD679" s="1"/>
      <c r="BE679" s="1"/>
      <c r="BQ679" s="1"/>
    </row>
    <row r="680" spans="1:69">
      <c r="A680" s="52"/>
      <c r="B680" s="100"/>
      <c r="C680" s="104"/>
      <c r="D680" s="104"/>
      <c r="E680" s="104"/>
      <c r="F680" s="104"/>
      <c r="G680" s="104"/>
      <c r="H680" s="104"/>
      <c r="I680" s="104"/>
      <c r="J680" s="104"/>
      <c r="K680" s="104"/>
      <c r="L680" s="104"/>
      <c r="M680" s="104"/>
      <c r="N680" s="104"/>
      <c r="O680" s="104"/>
      <c r="P680" s="104"/>
      <c r="Q680" s="104"/>
      <c r="R680" s="104"/>
      <c r="S680" s="104"/>
      <c r="T680" s="104"/>
      <c r="U680" s="104"/>
      <c r="V680" s="104"/>
      <c r="W680" s="104"/>
      <c r="X680" s="104"/>
      <c r="Y680" s="104"/>
      <c r="Z680" s="104"/>
      <c r="AA680" s="104"/>
      <c r="AB680" s="104"/>
      <c r="AC680" s="104"/>
      <c r="AD680" s="104"/>
      <c r="AE680" s="104"/>
      <c r="AF680" s="104"/>
      <c r="AG680" s="104"/>
      <c r="AH680" s="104"/>
      <c r="AI680" s="104"/>
      <c r="AJ680" s="104"/>
      <c r="AK680" s="104"/>
      <c r="AL680" s="104"/>
      <c r="AM680" s="104"/>
      <c r="AN680" s="104"/>
      <c r="AO680" s="104"/>
      <c r="AP680" s="104"/>
      <c r="AQ680" s="104"/>
      <c r="AR680" s="104"/>
      <c r="AS680" s="104"/>
      <c r="AT680" s="104"/>
      <c r="AU680" s="104"/>
      <c r="AV680" s="104"/>
      <c r="AW680" s="104"/>
      <c r="AX680" s="1"/>
      <c r="AY680" s="1"/>
      <c r="AZ680" s="1"/>
      <c r="BA680" s="1"/>
      <c r="BB680" s="1"/>
      <c r="BC680" s="1"/>
      <c r="BD680" s="1"/>
      <c r="BE680" s="1"/>
      <c r="BQ680" s="1"/>
    </row>
    <row r="681" spans="1:69" ht="15">
      <c r="A681" s="494" t="s">
        <v>1628</v>
      </c>
      <c r="B681" s="484"/>
      <c r="C681" s="491"/>
      <c r="D681" s="492"/>
      <c r="E681" s="492"/>
      <c r="F681" s="492"/>
      <c r="G681" s="492"/>
      <c r="H681" s="492"/>
      <c r="I681" s="492"/>
      <c r="J681" s="492"/>
      <c r="K681" s="492"/>
      <c r="L681" s="492"/>
      <c r="M681" s="492"/>
      <c r="N681" s="492"/>
      <c r="O681" s="492"/>
      <c r="P681" s="492"/>
      <c r="Q681" s="492"/>
      <c r="R681" s="492"/>
      <c r="S681" s="492"/>
      <c r="T681" s="492"/>
      <c r="U681" s="492"/>
      <c r="V681" s="492"/>
      <c r="W681" s="492"/>
      <c r="X681" s="492"/>
      <c r="Y681" s="492"/>
      <c r="Z681" s="492"/>
      <c r="AA681" s="492"/>
      <c r="AB681" s="492"/>
      <c r="AC681" s="492"/>
      <c r="AD681" s="492"/>
      <c r="AE681" s="492"/>
      <c r="AF681" s="492"/>
      <c r="AG681" s="492"/>
      <c r="AH681" s="492"/>
      <c r="AI681" s="492"/>
      <c r="AJ681" s="492"/>
      <c r="AK681" s="492"/>
      <c r="AL681" s="492"/>
      <c r="AM681" s="492"/>
      <c r="AN681" s="492"/>
      <c r="AO681" s="492"/>
      <c r="AP681" s="492"/>
      <c r="AQ681" s="492"/>
      <c r="AR681" s="492"/>
      <c r="AS681" s="491"/>
      <c r="AT681" s="491"/>
      <c r="AU681" s="491"/>
      <c r="AV681" s="491"/>
      <c r="AW681" s="491"/>
      <c r="AX681" s="493"/>
      <c r="AY681" s="1"/>
      <c r="AZ681" s="1"/>
      <c r="BA681" s="1"/>
      <c r="BB681" s="1"/>
      <c r="BC681" s="1"/>
      <c r="BD681" s="1"/>
      <c r="BE681" s="1"/>
      <c r="BQ681" s="1"/>
    </row>
    <row r="682" spans="1:69" ht="15">
      <c r="A682" s="491"/>
      <c r="B682" s="500"/>
      <c r="C682" s="495" t="s">
        <v>207</v>
      </c>
      <c r="D682" s="495" t="s">
        <v>194</v>
      </c>
      <c r="E682" s="495" t="s">
        <v>191</v>
      </c>
      <c r="F682" s="495" t="s">
        <v>188</v>
      </c>
      <c r="G682" s="495" t="s">
        <v>185</v>
      </c>
      <c r="H682" s="495" t="s">
        <v>181</v>
      </c>
      <c r="I682" s="495" t="s">
        <v>178</v>
      </c>
      <c r="J682" s="495" t="s">
        <v>175</v>
      </c>
      <c r="K682" s="495" t="s">
        <v>171</v>
      </c>
      <c r="L682" s="495" t="s">
        <v>168</v>
      </c>
      <c r="M682" s="495" t="s">
        <v>166</v>
      </c>
      <c r="N682" s="495" t="s">
        <v>163</v>
      </c>
      <c r="O682" s="495" t="s">
        <v>160</v>
      </c>
      <c r="P682" s="495" t="s">
        <v>157</v>
      </c>
      <c r="Q682" s="495" t="s">
        <v>153</v>
      </c>
      <c r="R682" s="495" t="s">
        <v>149</v>
      </c>
      <c r="S682" s="495" t="s">
        <v>146</v>
      </c>
      <c r="T682" s="495" t="s">
        <v>142</v>
      </c>
      <c r="U682" s="495" t="s">
        <v>139</v>
      </c>
      <c r="V682" s="495" t="s">
        <v>136</v>
      </c>
      <c r="W682" s="495" t="s">
        <v>132</v>
      </c>
      <c r="X682" s="495" t="s">
        <v>208</v>
      </c>
      <c r="Y682" s="495" t="s">
        <v>126</v>
      </c>
      <c r="Z682" s="495" t="s">
        <v>123</v>
      </c>
      <c r="AA682" s="495" t="s">
        <v>120</v>
      </c>
      <c r="AB682" s="495" t="s">
        <v>117</v>
      </c>
      <c r="AC682" s="495" t="s">
        <v>114</v>
      </c>
      <c r="AD682" s="495" t="s">
        <v>111</v>
      </c>
      <c r="AE682" s="495" t="s">
        <v>108</v>
      </c>
      <c r="AF682" s="495" t="s">
        <v>104</v>
      </c>
      <c r="AG682" s="495" t="s">
        <v>101</v>
      </c>
      <c r="AH682" s="495" t="s">
        <v>98</v>
      </c>
      <c r="AI682" s="495" t="s">
        <v>95</v>
      </c>
      <c r="AJ682" s="495" t="s">
        <v>91</v>
      </c>
      <c r="AK682" s="495" t="s">
        <v>87</v>
      </c>
      <c r="AL682" s="495" t="s">
        <v>83</v>
      </c>
      <c r="AM682" s="495" t="s">
        <v>79</v>
      </c>
      <c r="AN682" s="495" t="s">
        <v>75</v>
      </c>
      <c r="AO682" s="495" t="s">
        <v>72</v>
      </c>
      <c r="AP682" s="495" t="s">
        <v>69</v>
      </c>
      <c r="AQ682" s="495" t="s">
        <v>66</v>
      </c>
      <c r="AR682" s="495" t="s">
        <v>62</v>
      </c>
      <c r="AS682" s="496" t="s">
        <v>59</v>
      </c>
      <c r="AT682" s="496" t="s">
        <v>55</v>
      </c>
      <c r="AU682" s="496" t="s">
        <v>52</v>
      </c>
      <c r="AV682" s="496" t="s">
        <v>49</v>
      </c>
      <c r="AW682" s="496" t="s">
        <v>46</v>
      </c>
      <c r="AX682" s="496" t="s">
        <v>42</v>
      </c>
      <c r="AY682" s="1"/>
      <c r="AZ682" s="1"/>
      <c r="BA682" s="1"/>
      <c r="BB682" s="1"/>
      <c r="BC682" s="1"/>
      <c r="BD682" s="1"/>
      <c r="BE682" s="1"/>
      <c r="BQ682" s="1"/>
    </row>
    <row r="683" spans="1:69">
      <c r="A683" s="494"/>
      <c r="B683" s="501" t="s">
        <v>1624</v>
      </c>
      <c r="C683" s="512">
        <f t="shared" ref="C683:AX683" si="8">SUMIFS(C$5:C$665,C$5:C$665,"&gt;0",C$5:C$665,"&lt;1")</f>
        <v>2.1</v>
      </c>
      <c r="D683" s="512">
        <f t="shared" si="8"/>
        <v>2.8</v>
      </c>
      <c r="E683" s="512">
        <f t="shared" si="8"/>
        <v>2.8</v>
      </c>
      <c r="F683" s="512">
        <f t="shared" si="8"/>
        <v>3.3</v>
      </c>
      <c r="G683" s="512">
        <f t="shared" si="8"/>
        <v>1.1000000000000001</v>
      </c>
      <c r="H683" s="512">
        <f t="shared" si="8"/>
        <v>2.6</v>
      </c>
      <c r="I683" s="512">
        <f t="shared" si="8"/>
        <v>1.7</v>
      </c>
      <c r="J683" s="512">
        <f t="shared" si="8"/>
        <v>2.9000000000000004</v>
      </c>
      <c r="K683" s="512">
        <f t="shared" si="8"/>
        <v>0.4</v>
      </c>
      <c r="L683" s="512">
        <f t="shared" si="8"/>
        <v>1.5</v>
      </c>
      <c r="M683" s="512">
        <f t="shared" si="8"/>
        <v>1.8</v>
      </c>
      <c r="N683" s="512">
        <f t="shared" si="8"/>
        <v>1.8</v>
      </c>
      <c r="O683" s="512">
        <f t="shared" si="8"/>
        <v>0</v>
      </c>
      <c r="P683" s="512">
        <f t="shared" si="8"/>
        <v>0.2</v>
      </c>
      <c r="Q683" s="512">
        <f t="shared" si="8"/>
        <v>0.8</v>
      </c>
      <c r="R683" s="512">
        <f t="shared" si="8"/>
        <v>0.8</v>
      </c>
      <c r="S683" s="512">
        <f t="shared" si="8"/>
        <v>0.8</v>
      </c>
      <c r="T683" s="512">
        <f t="shared" si="8"/>
        <v>2.613</v>
      </c>
      <c r="U683" s="512">
        <f t="shared" si="8"/>
        <v>2.2999999999999998</v>
      </c>
      <c r="V683" s="512">
        <f t="shared" si="8"/>
        <v>2.8</v>
      </c>
      <c r="W683" s="512">
        <f t="shared" si="8"/>
        <v>1.82</v>
      </c>
      <c r="X683" s="512">
        <f t="shared" si="8"/>
        <v>1.3279999999999998</v>
      </c>
      <c r="Y683" s="512">
        <f t="shared" si="8"/>
        <v>0.82799999999999996</v>
      </c>
      <c r="Z683" s="512">
        <f t="shared" si="8"/>
        <v>3.9279999999999999</v>
      </c>
      <c r="AA683" s="512">
        <f t="shared" si="8"/>
        <v>3.4982521799999997</v>
      </c>
      <c r="AB683" s="512">
        <f t="shared" si="8"/>
        <v>2.5672800400000004</v>
      </c>
      <c r="AC683" s="512">
        <f t="shared" si="8"/>
        <v>6.9757600000000011</v>
      </c>
      <c r="AD683" s="512">
        <f t="shared" si="8"/>
        <v>4.4579349999999991</v>
      </c>
      <c r="AE683" s="512">
        <f t="shared" si="8"/>
        <v>6.4429709999999991</v>
      </c>
      <c r="AF683" s="512">
        <f t="shared" si="8"/>
        <v>4.6247289999999994</v>
      </c>
      <c r="AG683" s="512">
        <f t="shared" si="8"/>
        <v>6.6484179999999995</v>
      </c>
      <c r="AH683" s="512">
        <f t="shared" si="8"/>
        <v>11.181767999999998</v>
      </c>
      <c r="AI683" s="512">
        <f t="shared" si="8"/>
        <v>14.645605999999999</v>
      </c>
      <c r="AJ683" s="512">
        <f t="shared" si="8"/>
        <v>16.073200999999994</v>
      </c>
      <c r="AK683" s="512">
        <f t="shared" si="8"/>
        <v>15.758104999999997</v>
      </c>
      <c r="AL683" s="512">
        <f t="shared" si="8"/>
        <v>15.970359999999996</v>
      </c>
      <c r="AM683" s="512">
        <f t="shared" si="8"/>
        <v>16.521324</v>
      </c>
      <c r="AN683" s="512">
        <f t="shared" si="8"/>
        <v>22.676757999999996</v>
      </c>
      <c r="AO683" s="512">
        <f t="shared" si="8"/>
        <v>20.813467999999997</v>
      </c>
      <c r="AP683" s="512">
        <f t="shared" si="8"/>
        <v>18.83291100000001</v>
      </c>
      <c r="AQ683" s="512">
        <f t="shared" si="8"/>
        <v>21.600534999999994</v>
      </c>
      <c r="AR683" s="512">
        <f t="shared" si="8"/>
        <v>22.765999999999998</v>
      </c>
      <c r="AS683" s="512">
        <f t="shared" si="8"/>
        <v>24.914960999999995</v>
      </c>
      <c r="AT683" s="512">
        <f t="shared" si="8"/>
        <v>25.113999999999997</v>
      </c>
      <c r="AU683" s="512">
        <f t="shared" si="8"/>
        <v>21.801026840000002</v>
      </c>
      <c r="AV683" s="512">
        <f t="shared" si="8"/>
        <v>20.015000000000001</v>
      </c>
      <c r="AW683" s="512">
        <f t="shared" si="8"/>
        <v>20.208000000000002</v>
      </c>
      <c r="AX683" s="512">
        <f t="shared" si="8"/>
        <v>18.004999999999995</v>
      </c>
      <c r="AY683" s="1"/>
      <c r="AZ683" s="1"/>
      <c r="BA683" s="1"/>
      <c r="BB683" s="1"/>
      <c r="BC683" s="1"/>
      <c r="BD683" s="1"/>
      <c r="BE683" s="1"/>
      <c r="BQ683" s="1"/>
    </row>
    <row r="684" spans="1:69">
      <c r="A684" s="491"/>
      <c r="B684" s="501" t="s">
        <v>1625</v>
      </c>
      <c r="C684" s="512">
        <f t="shared" ref="C684:AX684" si="9">SUMIFS(C$5:C$665,C$5:C$665,"&gt;=1",C$5:C$665,"&lt;10")</f>
        <v>49.6</v>
      </c>
      <c r="D684" s="512">
        <f t="shared" si="9"/>
        <v>60.1</v>
      </c>
      <c r="E684" s="512">
        <f t="shared" si="9"/>
        <v>72.7</v>
      </c>
      <c r="F684" s="512">
        <f t="shared" si="9"/>
        <v>68.5</v>
      </c>
      <c r="G684" s="512">
        <f t="shared" si="9"/>
        <v>67.2</v>
      </c>
      <c r="H684" s="512">
        <f t="shared" si="9"/>
        <v>57.6</v>
      </c>
      <c r="I684" s="512">
        <f t="shared" si="9"/>
        <v>66</v>
      </c>
      <c r="J684" s="512">
        <f t="shared" si="9"/>
        <v>68.400000000000006</v>
      </c>
      <c r="K684" s="512">
        <f t="shared" si="9"/>
        <v>68.600000000000009</v>
      </c>
      <c r="L684" s="512">
        <f t="shared" si="9"/>
        <v>95.500000000000028</v>
      </c>
      <c r="M684" s="512">
        <f t="shared" si="9"/>
        <v>80</v>
      </c>
      <c r="N684" s="512">
        <f t="shared" si="9"/>
        <v>74.300000000000011</v>
      </c>
      <c r="O684" s="512">
        <f t="shared" si="9"/>
        <v>82.800000000000011</v>
      </c>
      <c r="P684" s="512">
        <f t="shared" si="9"/>
        <v>82.200000000000017</v>
      </c>
      <c r="Q684" s="512">
        <f t="shared" si="9"/>
        <v>62.8</v>
      </c>
      <c r="R684" s="512">
        <f t="shared" si="9"/>
        <v>65</v>
      </c>
      <c r="S684" s="512">
        <f t="shared" si="9"/>
        <v>54.4</v>
      </c>
      <c r="T684" s="512">
        <f t="shared" si="9"/>
        <v>49.70000000000001</v>
      </c>
      <c r="U684" s="512">
        <f t="shared" si="9"/>
        <v>60.70000000000001</v>
      </c>
      <c r="V684" s="512">
        <f t="shared" si="9"/>
        <v>36.6</v>
      </c>
      <c r="W684" s="512">
        <f t="shared" si="9"/>
        <v>43.300000000000004</v>
      </c>
      <c r="X684" s="512">
        <f t="shared" si="9"/>
        <v>87.43</v>
      </c>
      <c r="Y684" s="512">
        <f t="shared" si="9"/>
        <v>116.91500000000002</v>
      </c>
      <c r="Z684" s="512">
        <f t="shared" si="9"/>
        <v>100.50999999999999</v>
      </c>
      <c r="AA684" s="512">
        <f t="shared" si="9"/>
        <v>115.20100000000001</v>
      </c>
      <c r="AB684" s="512">
        <f t="shared" si="9"/>
        <v>99.684610000000021</v>
      </c>
      <c r="AC684" s="512">
        <f t="shared" si="9"/>
        <v>102.29078600000003</v>
      </c>
      <c r="AD684" s="512">
        <f t="shared" si="9"/>
        <v>133.333</v>
      </c>
      <c r="AE684" s="512">
        <f t="shared" si="9"/>
        <v>156.36600000000001</v>
      </c>
      <c r="AF684" s="512">
        <f t="shared" si="9"/>
        <v>162.28750000000002</v>
      </c>
      <c r="AG684" s="512">
        <f t="shared" si="9"/>
        <v>200.26999999999998</v>
      </c>
      <c r="AH684" s="512">
        <f t="shared" si="9"/>
        <v>188.52200000000002</v>
      </c>
      <c r="AI684" s="512">
        <f t="shared" si="9"/>
        <v>239.19700000000003</v>
      </c>
      <c r="AJ684" s="512">
        <f t="shared" si="9"/>
        <v>240.64099999999996</v>
      </c>
      <c r="AK684" s="512">
        <f t="shared" si="9"/>
        <v>197.45581200000001</v>
      </c>
      <c r="AL684" s="512">
        <f t="shared" si="9"/>
        <v>242.94364800000002</v>
      </c>
      <c r="AM684" s="512">
        <f t="shared" si="9"/>
        <v>206.35125700999993</v>
      </c>
      <c r="AN684" s="512">
        <f t="shared" si="9"/>
        <v>174.87019877999998</v>
      </c>
      <c r="AO684" s="512">
        <f t="shared" si="9"/>
        <v>241.81918269999994</v>
      </c>
      <c r="AP684" s="512">
        <f t="shared" si="9"/>
        <v>213.56179999999995</v>
      </c>
      <c r="AQ684" s="512">
        <f t="shared" si="9"/>
        <v>224.19471000000004</v>
      </c>
      <c r="AR684" s="512">
        <f t="shared" si="9"/>
        <v>245.08999999999992</v>
      </c>
      <c r="AS684" s="512">
        <f t="shared" si="9"/>
        <v>304.46866199999988</v>
      </c>
      <c r="AT684" s="512">
        <f t="shared" si="9"/>
        <v>309.27380000000016</v>
      </c>
      <c r="AU684" s="512">
        <f t="shared" si="9"/>
        <v>340.37798676000011</v>
      </c>
      <c r="AV684" s="512">
        <f t="shared" si="9"/>
        <v>330.220302</v>
      </c>
      <c r="AW684" s="512">
        <f t="shared" si="9"/>
        <v>393.42186499999985</v>
      </c>
      <c r="AX684" s="512">
        <f t="shared" si="9"/>
        <v>266.76700000000011</v>
      </c>
      <c r="AY684" s="1"/>
      <c r="AZ684" s="1"/>
      <c r="BA684" s="1"/>
      <c r="BB684" s="1"/>
      <c r="BC684" s="1"/>
      <c r="BD684" s="1"/>
      <c r="BE684" s="1"/>
      <c r="BQ684" s="1"/>
    </row>
    <row r="685" spans="1:69">
      <c r="A685" s="491"/>
      <c r="B685" s="501" t="s">
        <v>1626</v>
      </c>
      <c r="C685" s="512">
        <f t="shared" ref="C685:AX685" si="10">SUMIFS(C$5:C$665,C$5:C$665,"&gt;=10",C$5:C$665,"&lt;100")</f>
        <v>236.69999999999996</v>
      </c>
      <c r="D685" s="512">
        <f t="shared" si="10"/>
        <v>279.59999999999997</v>
      </c>
      <c r="E685" s="512">
        <f t="shared" si="10"/>
        <v>316.79999999999995</v>
      </c>
      <c r="F685" s="512">
        <f t="shared" si="10"/>
        <v>232.39999999999998</v>
      </c>
      <c r="G685" s="512">
        <f t="shared" si="10"/>
        <v>309.60000000000002</v>
      </c>
      <c r="H685" s="512">
        <f t="shared" si="10"/>
        <v>374.09999999999997</v>
      </c>
      <c r="I685" s="512">
        <f t="shared" si="10"/>
        <v>449.00000000000006</v>
      </c>
      <c r="J685" s="512">
        <f t="shared" si="10"/>
        <v>493.89999999999992</v>
      </c>
      <c r="K685" s="512">
        <f t="shared" si="10"/>
        <v>500.59999999999997</v>
      </c>
      <c r="L685" s="512">
        <f t="shared" si="10"/>
        <v>375.1</v>
      </c>
      <c r="M685" s="512">
        <f t="shared" si="10"/>
        <v>430.40000000000003</v>
      </c>
      <c r="N685" s="512">
        <f t="shared" si="10"/>
        <v>547.90000000000009</v>
      </c>
      <c r="O685" s="512">
        <f t="shared" si="10"/>
        <v>483.9</v>
      </c>
      <c r="P685" s="512">
        <f t="shared" si="10"/>
        <v>431.29999999999995</v>
      </c>
      <c r="Q685" s="512">
        <f t="shared" si="10"/>
        <v>522.70000000000005</v>
      </c>
      <c r="R685" s="512">
        <f t="shared" si="10"/>
        <v>533.4</v>
      </c>
      <c r="S685" s="512">
        <f t="shared" si="10"/>
        <v>505.6</v>
      </c>
      <c r="T685" s="512">
        <f t="shared" si="10"/>
        <v>515.4</v>
      </c>
      <c r="U685" s="512">
        <f t="shared" si="10"/>
        <v>422.7</v>
      </c>
      <c r="V685" s="512">
        <f t="shared" si="10"/>
        <v>483.90000000000003</v>
      </c>
      <c r="W685" s="512">
        <f t="shared" si="10"/>
        <v>487.20000000000005</v>
      </c>
      <c r="X685" s="512">
        <f t="shared" si="10"/>
        <v>478.5</v>
      </c>
      <c r="Y685" s="512">
        <f t="shared" si="10"/>
        <v>638.98</v>
      </c>
      <c r="Z685" s="512">
        <f t="shared" si="10"/>
        <v>764.75900000000013</v>
      </c>
      <c r="AA685" s="512">
        <f t="shared" si="10"/>
        <v>775.67399999999975</v>
      </c>
      <c r="AB685" s="512">
        <f t="shared" si="10"/>
        <v>887.59966699999984</v>
      </c>
      <c r="AC685" s="512">
        <f t="shared" si="10"/>
        <v>635.31897800000013</v>
      </c>
      <c r="AD685" s="512">
        <f t="shared" si="10"/>
        <v>725.72240000000011</v>
      </c>
      <c r="AE685" s="512">
        <f t="shared" si="10"/>
        <v>847.24836000000005</v>
      </c>
      <c r="AF685" s="512">
        <f t="shared" si="10"/>
        <v>654.99626899999998</v>
      </c>
      <c r="AG685" s="512">
        <f t="shared" si="10"/>
        <v>700.30408800000009</v>
      </c>
      <c r="AH685" s="512">
        <f t="shared" si="10"/>
        <v>1220.6364389999999</v>
      </c>
      <c r="AI685" s="512">
        <f t="shared" si="10"/>
        <v>1173.5570000000002</v>
      </c>
      <c r="AJ685" s="512">
        <f t="shared" si="10"/>
        <v>992.58199999999999</v>
      </c>
      <c r="AK685" s="512">
        <f t="shared" si="10"/>
        <v>1095.0609999999997</v>
      </c>
      <c r="AL685" s="512">
        <f t="shared" si="10"/>
        <v>981.54600000000005</v>
      </c>
      <c r="AM685" s="512">
        <f t="shared" si="10"/>
        <v>771.41531840000005</v>
      </c>
      <c r="AN685" s="512">
        <f t="shared" si="10"/>
        <v>792.32100000000003</v>
      </c>
      <c r="AO685" s="512">
        <f t="shared" si="10"/>
        <v>646.79300000000012</v>
      </c>
      <c r="AP685" s="512">
        <f t="shared" si="10"/>
        <v>891.25</v>
      </c>
      <c r="AQ685" s="512">
        <f t="shared" si="10"/>
        <v>788.68299999999999</v>
      </c>
      <c r="AR685" s="512">
        <f t="shared" si="10"/>
        <v>753.31000000000006</v>
      </c>
      <c r="AS685" s="512">
        <f t="shared" si="10"/>
        <v>736.3844949999999</v>
      </c>
      <c r="AT685" s="512">
        <f t="shared" si="10"/>
        <v>775.38623599999983</v>
      </c>
      <c r="AU685" s="512">
        <f t="shared" si="10"/>
        <v>867.44400000000007</v>
      </c>
      <c r="AV685" s="512">
        <f t="shared" si="10"/>
        <v>813.29899</v>
      </c>
      <c r="AW685" s="512">
        <f t="shared" si="10"/>
        <v>674.87637489896701</v>
      </c>
      <c r="AX685" s="512">
        <f t="shared" si="10"/>
        <v>806.73507286175459</v>
      </c>
      <c r="AY685" s="1"/>
      <c r="AZ685" s="1"/>
      <c r="BA685" s="1"/>
      <c r="BB685" s="1"/>
      <c r="BC685" s="1"/>
      <c r="BD685" s="1"/>
      <c r="BE685" s="1"/>
      <c r="BQ685" s="1"/>
    </row>
    <row r="686" spans="1:69" ht="13.5" thickBot="1">
      <c r="A686" s="491"/>
      <c r="B686" s="502" t="s">
        <v>1627</v>
      </c>
      <c r="C686" s="513">
        <f t="shared" ref="C686:AX686" si="11">SUMIF(C$5:C$665,"&gt;=100")</f>
        <v>397.5</v>
      </c>
      <c r="D686" s="513">
        <f t="shared" si="11"/>
        <v>431.3</v>
      </c>
      <c r="E686" s="513">
        <f t="shared" si="11"/>
        <v>497.1</v>
      </c>
      <c r="F686" s="513">
        <f t="shared" si="11"/>
        <v>701</v>
      </c>
      <c r="G686" s="513">
        <f t="shared" si="11"/>
        <v>777</v>
      </c>
      <c r="H686" s="513">
        <f t="shared" si="11"/>
        <v>808.2</v>
      </c>
      <c r="I686" s="513">
        <f t="shared" si="11"/>
        <v>901.3</v>
      </c>
      <c r="J686" s="513">
        <f t="shared" si="11"/>
        <v>1132.2</v>
      </c>
      <c r="K686" s="513">
        <f t="shared" si="11"/>
        <v>1279.2</v>
      </c>
      <c r="L686" s="513">
        <f t="shared" si="11"/>
        <v>1441.9</v>
      </c>
      <c r="M686" s="513">
        <f t="shared" si="11"/>
        <v>1532.1</v>
      </c>
      <c r="N686" s="513">
        <f t="shared" si="11"/>
        <v>1635.2</v>
      </c>
      <c r="O686" s="513">
        <f t="shared" si="11"/>
        <v>1912.1999999999998</v>
      </c>
      <c r="P686" s="513">
        <f t="shared" si="11"/>
        <v>2280.1</v>
      </c>
      <c r="Q686" s="513">
        <f t="shared" si="11"/>
        <v>2513.9</v>
      </c>
      <c r="R686" s="513">
        <f t="shared" si="11"/>
        <v>2830.7</v>
      </c>
      <c r="S686" s="513">
        <f t="shared" si="11"/>
        <v>2991.7</v>
      </c>
      <c r="T686" s="513">
        <f t="shared" si="11"/>
        <v>3261.6</v>
      </c>
      <c r="U686" s="513">
        <f t="shared" si="11"/>
        <v>3221.7000000000003</v>
      </c>
      <c r="V686" s="513">
        <f t="shared" si="11"/>
        <v>3155.6000000000004</v>
      </c>
      <c r="W686" s="513">
        <f t="shared" si="11"/>
        <v>3224.0000000000005</v>
      </c>
      <c r="X686" s="513">
        <f t="shared" si="11"/>
        <v>3417.9739999999997</v>
      </c>
      <c r="Y686" s="513">
        <f t="shared" si="11"/>
        <v>3396.7310000000002</v>
      </c>
      <c r="Z686" s="513">
        <f t="shared" si="11"/>
        <v>3701.6319999999996</v>
      </c>
      <c r="AA686" s="513">
        <f t="shared" si="11"/>
        <v>4015.1413789999997</v>
      </c>
      <c r="AB686" s="513">
        <f t="shared" si="11"/>
        <v>4585.9202939999996</v>
      </c>
      <c r="AC686" s="513">
        <f t="shared" si="11"/>
        <v>4412.5519999999997</v>
      </c>
      <c r="AD686" s="513">
        <f t="shared" si="11"/>
        <v>5183.8890000000001</v>
      </c>
      <c r="AE686" s="513">
        <f t="shared" si="11"/>
        <v>5545.95</v>
      </c>
      <c r="AF686" s="513">
        <f t="shared" si="11"/>
        <v>5839.2439999999997</v>
      </c>
      <c r="AG686" s="513">
        <f t="shared" si="11"/>
        <v>6507.4319999999998</v>
      </c>
      <c r="AH686" s="513">
        <f t="shared" si="11"/>
        <v>6892.1909999999998</v>
      </c>
      <c r="AI686" s="513">
        <f t="shared" si="11"/>
        <v>7436.8130720000008</v>
      </c>
      <c r="AJ686" s="513">
        <f t="shared" si="11"/>
        <v>9024.3766570000007</v>
      </c>
      <c r="AK686" s="513">
        <f t="shared" si="11"/>
        <v>8610.2489999999998</v>
      </c>
      <c r="AL686" s="513">
        <f t="shared" si="11"/>
        <v>8669.8780000000006</v>
      </c>
      <c r="AM686" s="513">
        <f t="shared" si="11"/>
        <v>8889.9465</v>
      </c>
      <c r="AN686" s="513">
        <f t="shared" si="11"/>
        <v>8673.2219999999998</v>
      </c>
      <c r="AO686" s="513">
        <f t="shared" si="11"/>
        <v>8615.8329999999987</v>
      </c>
      <c r="AP686" s="513">
        <f t="shared" si="11"/>
        <v>9068.4861500000006</v>
      </c>
      <c r="AQ686" s="513">
        <f t="shared" si="11"/>
        <v>9020.0320000000011</v>
      </c>
      <c r="AR686" s="513">
        <f t="shared" si="11"/>
        <v>9219.6180000000004</v>
      </c>
      <c r="AS686" s="513">
        <f t="shared" si="11"/>
        <v>11003.95277</v>
      </c>
      <c r="AT686" s="513">
        <f t="shared" si="11"/>
        <v>11354.11361</v>
      </c>
      <c r="AU686" s="513">
        <f t="shared" si="11"/>
        <v>11935.838</v>
      </c>
      <c r="AV686" s="513">
        <f t="shared" si="11"/>
        <v>12693.192999999999</v>
      </c>
      <c r="AW686" s="513">
        <f t="shared" si="11"/>
        <v>13835.987999999998</v>
      </c>
      <c r="AX686" s="513">
        <f t="shared" si="11"/>
        <v>14048.216999999999</v>
      </c>
      <c r="AY686" s="1"/>
      <c r="AZ686" s="1"/>
      <c r="BA686" s="1"/>
      <c r="BB686" s="1"/>
      <c r="BC686" s="1"/>
      <c r="BD686" s="1"/>
      <c r="BE686" s="1"/>
      <c r="BQ686" s="1"/>
    </row>
    <row r="687" spans="1:69" ht="14.25" thickTop="1" thickBot="1">
      <c r="A687" s="491"/>
      <c r="B687" s="489" t="s">
        <v>1622</v>
      </c>
      <c r="C687" s="514">
        <f>SUM(C683:C686)</f>
        <v>685.9</v>
      </c>
      <c r="D687" s="514">
        <f t="shared" ref="D687:AX687" si="12">SUM(D683:D686)</f>
        <v>773.8</v>
      </c>
      <c r="E687" s="514">
        <f t="shared" si="12"/>
        <v>889.4</v>
      </c>
      <c r="F687" s="514">
        <f t="shared" si="12"/>
        <v>1005.2</v>
      </c>
      <c r="G687" s="514">
        <f t="shared" si="12"/>
        <v>1154.9000000000001</v>
      </c>
      <c r="H687" s="514">
        <f t="shared" si="12"/>
        <v>1242.5</v>
      </c>
      <c r="I687" s="514">
        <f t="shared" si="12"/>
        <v>1418</v>
      </c>
      <c r="J687" s="514">
        <f t="shared" si="12"/>
        <v>1697.4</v>
      </c>
      <c r="K687" s="514">
        <f t="shared" si="12"/>
        <v>1848.8000000000002</v>
      </c>
      <c r="L687" s="514">
        <f t="shared" si="12"/>
        <v>1914</v>
      </c>
      <c r="M687" s="514">
        <f t="shared" si="12"/>
        <v>2044.3</v>
      </c>
      <c r="N687" s="514">
        <f t="shared" si="12"/>
        <v>2259.2000000000003</v>
      </c>
      <c r="O687" s="514">
        <f t="shared" si="12"/>
        <v>2478.8999999999996</v>
      </c>
      <c r="P687" s="514">
        <f t="shared" si="12"/>
        <v>2793.7999999999997</v>
      </c>
      <c r="Q687" s="514">
        <f t="shared" si="12"/>
        <v>3100.2000000000003</v>
      </c>
      <c r="R687" s="514">
        <f t="shared" si="12"/>
        <v>3429.8999999999996</v>
      </c>
      <c r="S687" s="514">
        <f t="shared" si="12"/>
        <v>3552.5</v>
      </c>
      <c r="T687" s="514">
        <f t="shared" si="12"/>
        <v>3829.3130000000001</v>
      </c>
      <c r="U687" s="514">
        <f t="shared" si="12"/>
        <v>3707.4</v>
      </c>
      <c r="V687" s="514">
        <f t="shared" si="12"/>
        <v>3678.9000000000005</v>
      </c>
      <c r="W687" s="514">
        <f t="shared" si="12"/>
        <v>3756.3200000000006</v>
      </c>
      <c r="X687" s="514">
        <f t="shared" si="12"/>
        <v>3985.232</v>
      </c>
      <c r="Y687" s="514">
        <f t="shared" si="12"/>
        <v>4153.4540000000006</v>
      </c>
      <c r="Z687" s="514">
        <f t="shared" si="12"/>
        <v>4570.8289999999997</v>
      </c>
      <c r="AA687" s="514">
        <f t="shared" si="12"/>
        <v>4909.5146311799999</v>
      </c>
      <c r="AB687" s="514">
        <f t="shared" si="12"/>
        <v>5575.7718510399991</v>
      </c>
      <c r="AC687" s="514">
        <f t="shared" si="12"/>
        <v>5157.1375239999998</v>
      </c>
      <c r="AD687" s="514">
        <f t="shared" si="12"/>
        <v>6047.4023350000007</v>
      </c>
      <c r="AE687" s="514">
        <f t="shared" si="12"/>
        <v>6556.0073309999998</v>
      </c>
      <c r="AF687" s="514">
        <f t="shared" si="12"/>
        <v>6661.1524979999995</v>
      </c>
      <c r="AG687" s="514">
        <f t="shared" si="12"/>
        <v>7414.6545059999999</v>
      </c>
      <c r="AH687" s="514">
        <f t="shared" si="12"/>
        <v>8312.531207</v>
      </c>
      <c r="AI687" s="514">
        <f t="shared" si="12"/>
        <v>8864.2126780000017</v>
      </c>
      <c r="AJ687" s="514">
        <f>SUM(AJ683:AJ686)</f>
        <v>10273.672858</v>
      </c>
      <c r="AK687" s="514">
        <f>SUM(AK683:AK686)</f>
        <v>9918.5239169999986</v>
      </c>
      <c r="AL687" s="514">
        <f t="shared" si="12"/>
        <v>9910.3380080000006</v>
      </c>
      <c r="AM687" s="514">
        <f t="shared" si="12"/>
        <v>9884.2343994099992</v>
      </c>
      <c r="AN687" s="514">
        <f t="shared" si="12"/>
        <v>9663.0899567800006</v>
      </c>
      <c r="AO687" s="514">
        <f t="shared" si="12"/>
        <v>9525.2586506999978</v>
      </c>
      <c r="AP687" s="514">
        <f t="shared" si="12"/>
        <v>10192.130861000001</v>
      </c>
      <c r="AQ687" s="514">
        <f t="shared" si="12"/>
        <v>10054.510245000001</v>
      </c>
      <c r="AR687" s="514">
        <f t="shared" si="12"/>
        <v>10240.784</v>
      </c>
      <c r="AS687" s="514">
        <f t="shared" si="12"/>
        <v>12069.720888</v>
      </c>
      <c r="AT687" s="514">
        <f t="shared" si="12"/>
        <v>12463.887646000001</v>
      </c>
      <c r="AU687" s="514">
        <f t="shared" si="12"/>
        <v>13165.461013599999</v>
      </c>
      <c r="AV687" s="514">
        <f t="shared" si="12"/>
        <v>13856.727292</v>
      </c>
      <c r="AW687" s="514">
        <f t="shared" si="12"/>
        <v>14924.494239898964</v>
      </c>
      <c r="AX687" s="514">
        <f t="shared" si="12"/>
        <v>15139.724072861754</v>
      </c>
      <c r="AY687" s="1"/>
      <c r="AZ687" s="1"/>
      <c r="BA687" s="1"/>
      <c r="BB687" s="1"/>
      <c r="BC687" s="1"/>
      <c r="BD687" s="1"/>
      <c r="BE687" s="1"/>
      <c r="BQ687" s="1"/>
    </row>
    <row r="688" spans="1:69" ht="15.75" thickTop="1">
      <c r="A688" s="491"/>
      <c r="B688" s="484"/>
      <c r="C688" s="503"/>
      <c r="D688" s="503"/>
      <c r="E688" s="503"/>
      <c r="F688" s="503"/>
      <c r="G688" s="503"/>
      <c r="H688" s="503"/>
      <c r="I688" s="503"/>
      <c r="J688" s="503"/>
      <c r="K688" s="503"/>
      <c r="L688" s="503"/>
      <c r="M688" s="503"/>
      <c r="N688" s="503"/>
      <c r="O688" s="503"/>
      <c r="P688" s="503"/>
      <c r="Q688" s="503"/>
      <c r="R688" s="503"/>
      <c r="S688" s="503"/>
      <c r="T688" s="503"/>
      <c r="U688" s="503"/>
      <c r="V688" s="503"/>
      <c r="W688" s="503"/>
      <c r="X688" s="503"/>
      <c r="Y688" s="503"/>
      <c r="Z688" s="503"/>
      <c r="AA688" s="503"/>
      <c r="AB688" s="503"/>
      <c r="AC688" s="503"/>
      <c r="AD688" s="503"/>
      <c r="AE688" s="503"/>
      <c r="AF688" s="503"/>
      <c r="AG688" s="503"/>
      <c r="AH688" s="503"/>
      <c r="AI688" s="503"/>
      <c r="AJ688" s="503"/>
      <c r="AK688" s="503"/>
      <c r="AL688" s="503"/>
      <c r="AM688" s="503"/>
      <c r="AN688" s="503"/>
      <c r="AO688" s="503"/>
      <c r="AP688" s="503"/>
      <c r="AQ688" s="503"/>
      <c r="AR688" s="503"/>
      <c r="AS688" s="503"/>
      <c r="AT688" s="503"/>
      <c r="AU688" s="503"/>
      <c r="AV688" s="503"/>
      <c r="AW688" s="503"/>
      <c r="AX688" s="493"/>
      <c r="AY688" s="1"/>
      <c r="AZ688" s="1"/>
      <c r="BA688" s="1"/>
      <c r="BB688" s="1"/>
      <c r="BC688" s="1"/>
      <c r="BD688" s="1"/>
      <c r="BE688" s="1"/>
      <c r="BQ688" s="1"/>
    </row>
    <row r="689" spans="1:69">
      <c r="A689" s="52"/>
      <c r="B689" s="100"/>
      <c r="C689" s="385"/>
      <c r="D689" s="385"/>
      <c r="E689" s="385"/>
      <c r="F689" s="385"/>
      <c r="G689" s="385"/>
      <c r="H689" s="385"/>
      <c r="I689" s="385"/>
      <c r="J689" s="385"/>
      <c r="K689" s="385"/>
      <c r="L689" s="385"/>
      <c r="M689" s="385"/>
      <c r="N689" s="385"/>
      <c r="O689" s="385"/>
      <c r="P689" s="385"/>
      <c r="Q689" s="385"/>
      <c r="R689" s="385"/>
      <c r="S689" s="385"/>
      <c r="T689" s="385"/>
      <c r="U689" s="385"/>
      <c r="V689" s="385"/>
      <c r="W689" s="385"/>
      <c r="X689" s="385"/>
      <c r="Y689" s="385"/>
      <c r="Z689" s="385"/>
      <c r="AA689" s="385"/>
      <c r="AB689" s="385"/>
      <c r="AC689" s="385"/>
      <c r="AD689" s="385"/>
      <c r="AE689" s="385"/>
      <c r="AF689" s="385"/>
      <c r="AG689" s="385"/>
      <c r="AH689" s="385"/>
      <c r="AI689" s="385"/>
      <c r="AJ689" s="385"/>
      <c r="AK689" s="385"/>
      <c r="AL689" s="385"/>
      <c r="AM689" s="385"/>
      <c r="AN689" s="385"/>
      <c r="AO689" s="385"/>
      <c r="AP689" s="385"/>
      <c r="AQ689" s="385"/>
      <c r="AR689" s="385"/>
      <c r="AS689" s="385"/>
      <c r="AT689" s="385"/>
      <c r="AU689" s="385"/>
      <c r="AV689" s="385"/>
      <c r="AW689" s="385"/>
      <c r="AX689" s="1"/>
      <c r="AY689" s="1"/>
      <c r="AZ689" s="1"/>
      <c r="BA689" s="1"/>
      <c r="BB689" s="1"/>
      <c r="BC689" s="1"/>
      <c r="BD689" s="1"/>
      <c r="BE689" s="1"/>
      <c r="BQ689" s="1"/>
    </row>
    <row r="690" spans="1:69">
      <c r="A690" s="100"/>
      <c r="B690" s="52" t="s">
        <v>1100</v>
      </c>
      <c r="C690" s="52" t="s">
        <v>1100</v>
      </c>
      <c r="D690" s="76" t="s">
        <v>1100</v>
      </c>
      <c r="E690" s="76" t="s">
        <v>1100</v>
      </c>
      <c r="F690" s="76" t="s">
        <v>1100</v>
      </c>
      <c r="G690" s="76" t="s">
        <v>1100</v>
      </c>
      <c r="H690" s="76" t="s">
        <v>1100</v>
      </c>
      <c r="I690" s="76" t="s">
        <v>1100</v>
      </c>
      <c r="J690" s="76" t="s">
        <v>1100</v>
      </c>
      <c r="K690" s="76" t="s">
        <v>1100</v>
      </c>
      <c r="L690" s="76" t="s">
        <v>1100</v>
      </c>
      <c r="M690" s="76" t="s">
        <v>1100</v>
      </c>
      <c r="N690" s="76" t="s">
        <v>1100</v>
      </c>
      <c r="O690" s="76" t="s">
        <v>1100</v>
      </c>
      <c r="P690" s="76" t="s">
        <v>1100</v>
      </c>
      <c r="Q690" s="76" t="s">
        <v>1100</v>
      </c>
      <c r="R690" s="76" t="s">
        <v>1100</v>
      </c>
      <c r="S690" s="76" t="s">
        <v>1100</v>
      </c>
      <c r="T690" s="76" t="s">
        <v>1100</v>
      </c>
      <c r="U690" s="76" t="s">
        <v>1100</v>
      </c>
      <c r="V690" s="76" t="s">
        <v>1100</v>
      </c>
      <c r="W690" s="76" t="s">
        <v>1100</v>
      </c>
      <c r="X690" s="76" t="s">
        <v>1100</v>
      </c>
      <c r="Y690" s="76" t="s">
        <v>1100</v>
      </c>
      <c r="Z690" s="76" t="s">
        <v>1100</v>
      </c>
      <c r="AA690" s="76" t="s">
        <v>1100</v>
      </c>
      <c r="AB690" s="76" t="s">
        <v>1100</v>
      </c>
      <c r="AC690" s="76" t="s">
        <v>1100</v>
      </c>
      <c r="AD690" s="76" t="s">
        <v>1100</v>
      </c>
      <c r="AE690" s="76" t="s">
        <v>1100</v>
      </c>
      <c r="AF690" s="76" t="s">
        <v>1100</v>
      </c>
      <c r="AG690" s="76" t="s">
        <v>1100</v>
      </c>
      <c r="AH690" s="76" t="s">
        <v>1100</v>
      </c>
      <c r="AI690" s="76" t="s">
        <v>1100</v>
      </c>
      <c r="AJ690" s="76" t="s">
        <v>1100</v>
      </c>
      <c r="AK690" s="76" t="s">
        <v>1100</v>
      </c>
      <c r="AL690" s="76" t="s">
        <v>1100</v>
      </c>
      <c r="AM690" s="76" t="s">
        <v>1100</v>
      </c>
      <c r="AN690" s="76" t="s">
        <v>1100</v>
      </c>
      <c r="AO690" s="76" t="s">
        <v>1100</v>
      </c>
      <c r="AP690" s="76" t="s">
        <v>1100</v>
      </c>
      <c r="AQ690" s="76" t="s">
        <v>1100</v>
      </c>
      <c r="AR690" s="76" t="s">
        <v>1100</v>
      </c>
      <c r="AS690" s="52" t="s">
        <v>1100</v>
      </c>
      <c r="AT690" s="52" t="s">
        <v>1100</v>
      </c>
      <c r="AU690" s="52" t="s">
        <v>1100</v>
      </c>
      <c r="AV690" s="52" t="s">
        <v>1100</v>
      </c>
      <c r="AW690" s="52" t="s">
        <v>1100</v>
      </c>
      <c r="AX690" s="1"/>
      <c r="AY690" s="1"/>
      <c r="AZ690" s="1"/>
      <c r="BA690" s="1"/>
      <c r="BB690" s="1"/>
      <c r="BC690" s="1"/>
      <c r="BD690" s="1"/>
      <c r="BE690" s="1"/>
      <c r="BQ690" s="1"/>
    </row>
    <row r="691" spans="1:69">
      <c r="A691" s="494" t="s">
        <v>1629</v>
      </c>
      <c r="B691" s="493"/>
      <c r="C691" s="504"/>
      <c r="D691" s="504"/>
      <c r="E691" s="504"/>
      <c r="F691" s="504"/>
      <c r="G691" s="504"/>
      <c r="H691" s="504"/>
      <c r="I691" s="504"/>
      <c r="J691" s="504"/>
      <c r="K691" s="504"/>
      <c r="L691" s="504"/>
      <c r="M691" s="504"/>
      <c r="N691" s="504"/>
      <c r="O691" s="504"/>
      <c r="P691" s="504"/>
      <c r="Q691" s="504"/>
      <c r="R691" s="504"/>
      <c r="S691" s="504"/>
      <c r="T691" s="504"/>
      <c r="U691" s="504"/>
      <c r="V691" s="504"/>
      <c r="W691" s="504"/>
      <c r="X691" s="504"/>
      <c r="Y691" s="504"/>
      <c r="Z691" s="504"/>
      <c r="AA691" s="504"/>
      <c r="AB691" s="504"/>
      <c r="AC691" s="504"/>
      <c r="AD691" s="504"/>
      <c r="AE691" s="504"/>
      <c r="AF691" s="504"/>
      <c r="AG691" s="504"/>
      <c r="AH691" s="504"/>
      <c r="AI691" s="504"/>
      <c r="AJ691" s="504"/>
      <c r="AK691" s="504"/>
      <c r="AL691" s="504"/>
      <c r="AM691" s="504"/>
      <c r="AN691" s="504"/>
      <c r="AO691" s="504"/>
      <c r="AP691" s="504"/>
      <c r="AQ691" s="504"/>
      <c r="AR691" s="504"/>
      <c r="AS691" s="504"/>
      <c r="AT691" s="493"/>
      <c r="AU691" s="493"/>
      <c r="AV691" s="493"/>
      <c r="AW691" s="493"/>
      <c r="AX691" s="493"/>
      <c r="AY691" s="1"/>
      <c r="AZ691" s="1"/>
      <c r="BA691" s="1"/>
      <c r="BB691" s="1"/>
      <c r="BC691" s="1"/>
      <c r="BD691" s="1"/>
      <c r="BE691" s="1"/>
      <c r="BQ691" s="1"/>
    </row>
    <row r="692" spans="1:69">
      <c r="A692" s="493"/>
      <c r="B692" s="493"/>
      <c r="C692" s="495" t="s">
        <v>207</v>
      </c>
      <c r="D692" s="495" t="s">
        <v>194</v>
      </c>
      <c r="E692" s="495" t="s">
        <v>191</v>
      </c>
      <c r="F692" s="495" t="s">
        <v>188</v>
      </c>
      <c r="G692" s="495" t="s">
        <v>185</v>
      </c>
      <c r="H692" s="495" t="s">
        <v>181</v>
      </c>
      <c r="I692" s="495" t="s">
        <v>178</v>
      </c>
      <c r="J692" s="495" t="s">
        <v>175</v>
      </c>
      <c r="K692" s="495" t="s">
        <v>171</v>
      </c>
      <c r="L692" s="495" t="s">
        <v>168</v>
      </c>
      <c r="M692" s="495" t="s">
        <v>166</v>
      </c>
      <c r="N692" s="495" t="s">
        <v>163</v>
      </c>
      <c r="O692" s="495" t="s">
        <v>160</v>
      </c>
      <c r="P692" s="495" t="s">
        <v>157</v>
      </c>
      <c r="Q692" s="495" t="s">
        <v>153</v>
      </c>
      <c r="R692" s="495" t="s">
        <v>149</v>
      </c>
      <c r="S692" s="495" t="s">
        <v>146</v>
      </c>
      <c r="T692" s="495" t="s">
        <v>142</v>
      </c>
      <c r="U692" s="495" t="s">
        <v>139</v>
      </c>
      <c r="V692" s="495" t="s">
        <v>136</v>
      </c>
      <c r="W692" s="495" t="s">
        <v>132</v>
      </c>
      <c r="X692" s="495" t="s">
        <v>208</v>
      </c>
      <c r="Y692" s="495" t="s">
        <v>126</v>
      </c>
      <c r="Z692" s="495" t="s">
        <v>123</v>
      </c>
      <c r="AA692" s="495" t="s">
        <v>120</v>
      </c>
      <c r="AB692" s="495" t="s">
        <v>117</v>
      </c>
      <c r="AC692" s="495" t="s">
        <v>114</v>
      </c>
      <c r="AD692" s="495" t="s">
        <v>111</v>
      </c>
      <c r="AE692" s="495" t="s">
        <v>108</v>
      </c>
      <c r="AF692" s="495" t="s">
        <v>104</v>
      </c>
      <c r="AG692" s="495" t="s">
        <v>101</v>
      </c>
      <c r="AH692" s="495" t="s">
        <v>98</v>
      </c>
      <c r="AI692" s="495" t="s">
        <v>95</v>
      </c>
      <c r="AJ692" s="495" t="s">
        <v>91</v>
      </c>
      <c r="AK692" s="495" t="s">
        <v>87</v>
      </c>
      <c r="AL692" s="495" t="s">
        <v>83</v>
      </c>
      <c r="AM692" s="495" t="s">
        <v>79</v>
      </c>
      <c r="AN692" s="495" t="s">
        <v>75</v>
      </c>
      <c r="AO692" s="495" t="s">
        <v>72</v>
      </c>
      <c r="AP692" s="495" t="s">
        <v>69</v>
      </c>
      <c r="AQ692" s="495" t="s">
        <v>66</v>
      </c>
      <c r="AR692" s="495" t="s">
        <v>62</v>
      </c>
      <c r="AS692" s="496" t="s">
        <v>59</v>
      </c>
      <c r="AT692" s="496" t="s">
        <v>55</v>
      </c>
      <c r="AU692" s="496" t="s">
        <v>52</v>
      </c>
      <c r="AV692" s="496" t="s">
        <v>49</v>
      </c>
      <c r="AW692" s="496" t="s">
        <v>46</v>
      </c>
      <c r="AX692" s="496" t="s">
        <v>42</v>
      </c>
      <c r="AY692" s="1"/>
      <c r="AZ692" s="1"/>
      <c r="BA692" s="1"/>
      <c r="BB692" s="1"/>
      <c r="BC692" s="1"/>
      <c r="BD692" s="1"/>
      <c r="BE692" s="1"/>
      <c r="BQ692" s="1"/>
    </row>
    <row r="693" spans="1:69">
      <c r="A693" s="493"/>
      <c r="B693" s="501" t="s">
        <v>1624</v>
      </c>
      <c r="C693" s="505">
        <f>C683/C$687</f>
        <v>3.0616707974923459E-3</v>
      </c>
      <c r="D693" s="505">
        <f t="shared" ref="D693:AX693" si="13">D683/D$687</f>
        <v>3.6185060739209098E-3</v>
      </c>
      <c r="E693" s="505">
        <f t="shared" si="13"/>
        <v>3.1481897908702495E-3</v>
      </c>
      <c r="F693" s="505">
        <f t="shared" si="13"/>
        <v>3.282928770393951E-3</v>
      </c>
      <c r="G693" s="505">
        <f t="shared" si="13"/>
        <v>9.5246341674603858E-4</v>
      </c>
      <c r="H693" s="505">
        <f t="shared" si="13"/>
        <v>2.0925553319919516E-3</v>
      </c>
      <c r="I693" s="505">
        <f t="shared" si="13"/>
        <v>1.1988716502115656E-3</v>
      </c>
      <c r="J693" s="505">
        <f t="shared" si="13"/>
        <v>1.7084953458230236E-3</v>
      </c>
      <c r="K693" s="505">
        <f t="shared" si="13"/>
        <v>2.1635655560363478E-4</v>
      </c>
      <c r="L693" s="505">
        <f t="shared" si="13"/>
        <v>7.836990595611285E-4</v>
      </c>
      <c r="M693" s="505">
        <f t="shared" si="13"/>
        <v>8.8049699163527859E-4</v>
      </c>
      <c r="N693" s="505">
        <f t="shared" si="13"/>
        <v>7.9674220963172802E-4</v>
      </c>
      <c r="O693" s="505">
        <f t="shared" si="13"/>
        <v>0</v>
      </c>
      <c r="P693" s="505">
        <f t="shared" si="13"/>
        <v>7.1587085689741575E-5</v>
      </c>
      <c r="Q693" s="505">
        <f t="shared" si="13"/>
        <v>2.5804786787949165E-4</v>
      </c>
      <c r="R693" s="786">
        <f t="shared" si="13"/>
        <v>2.3324295168955367E-4</v>
      </c>
      <c r="S693" s="786">
        <f t="shared" si="13"/>
        <v>2.2519352568613655E-4</v>
      </c>
      <c r="T693" s="786">
        <f t="shared" si="13"/>
        <v>6.8236782942527805E-4</v>
      </c>
      <c r="U693" s="786">
        <f t="shared" si="13"/>
        <v>6.2038085990181796E-4</v>
      </c>
      <c r="V693" s="786">
        <f t="shared" si="13"/>
        <v>7.6109706705808789E-4</v>
      </c>
      <c r="W693" s="786">
        <f t="shared" si="13"/>
        <v>4.8451676108531748E-4</v>
      </c>
      <c r="X693" s="786">
        <f t="shared" si="13"/>
        <v>3.3323028621671207E-4</v>
      </c>
      <c r="Y693" s="786">
        <f t="shared" si="13"/>
        <v>1.9935215365332078E-4</v>
      </c>
      <c r="Z693" s="786">
        <f t="shared" si="13"/>
        <v>8.5936271079053712E-4</v>
      </c>
      <c r="AA693" s="786">
        <f t="shared" si="13"/>
        <v>7.1254542308171027E-4</v>
      </c>
      <c r="AB693" s="786">
        <f t="shared" si="13"/>
        <v>4.6043491530614697E-4</v>
      </c>
      <c r="AC693" s="786">
        <f t="shared" si="13"/>
        <v>1.3526418420173201E-3</v>
      </c>
      <c r="AD693" s="786">
        <f t="shared" si="13"/>
        <v>7.3716527412095837E-4</v>
      </c>
      <c r="AE693" s="786">
        <f t="shared" si="13"/>
        <v>9.8275835805345887E-4</v>
      </c>
      <c r="AF693" s="786">
        <f t="shared" si="13"/>
        <v>6.9428360953882487E-4</v>
      </c>
      <c r="AG693" s="786">
        <f t="shared" si="13"/>
        <v>8.9665917604387962E-4</v>
      </c>
      <c r="AH693" s="786">
        <f t="shared" si="13"/>
        <v>1.34517004767258E-3</v>
      </c>
      <c r="AI693" s="786">
        <f t="shared" si="13"/>
        <v>1.6522173521793739E-3</v>
      </c>
      <c r="AJ693" s="786">
        <f t="shared" si="13"/>
        <v>1.5645038753092047E-3</v>
      </c>
      <c r="AK693" s="786">
        <f t="shared" si="13"/>
        <v>1.5887550538635253E-3</v>
      </c>
      <c r="AL693" s="786">
        <f t="shared" si="13"/>
        <v>1.6114848945725279E-3</v>
      </c>
      <c r="AM693" s="786">
        <f t="shared" si="13"/>
        <v>1.6714824165831373E-3</v>
      </c>
      <c r="AN693" s="786">
        <f t="shared" si="13"/>
        <v>2.3467398214676765E-3</v>
      </c>
      <c r="AO693" s="786">
        <f t="shared" si="13"/>
        <v>2.185081661637655E-3</v>
      </c>
      <c r="AP693" s="786">
        <f t="shared" si="13"/>
        <v>1.8477893638575416E-3</v>
      </c>
      <c r="AQ693" s="786">
        <f t="shared" si="13"/>
        <v>2.1483428305960209E-3</v>
      </c>
      <c r="AR693" s="786">
        <f t="shared" si="13"/>
        <v>2.2230719835512592E-3</v>
      </c>
      <c r="AS693" s="788">
        <f t="shared" si="13"/>
        <v>2.0642532856555975E-3</v>
      </c>
      <c r="AT693" s="788">
        <f t="shared" si="13"/>
        <v>2.0149411414230583E-3</v>
      </c>
      <c r="AU693" s="788">
        <f t="shared" si="13"/>
        <v>1.6559258211679341E-3</v>
      </c>
      <c r="AV693" s="788">
        <f t="shared" si="13"/>
        <v>1.4444247604956041E-3</v>
      </c>
      <c r="AW693" s="788">
        <f t="shared" si="13"/>
        <v>1.3540157324712671E-3</v>
      </c>
      <c r="AX693" s="788">
        <f t="shared" si="13"/>
        <v>1.1892554919329277E-3</v>
      </c>
      <c r="AY693" s="1"/>
      <c r="AZ693" s="1"/>
      <c r="BA693" s="1"/>
      <c r="BB693" s="1"/>
      <c r="BC693" s="1"/>
      <c r="BD693" s="1"/>
      <c r="BE693" s="1"/>
      <c r="BQ693" s="1"/>
    </row>
    <row r="694" spans="1:69">
      <c r="A694" s="493"/>
      <c r="B694" s="501" t="s">
        <v>1625</v>
      </c>
      <c r="C694" s="505">
        <f>C684/C$687</f>
        <v>7.2313748359819213E-2</v>
      </c>
      <c r="D694" s="505">
        <f t="shared" ref="D694:AX694" si="14">D684/D$687</f>
        <v>7.7668648229516676E-2</v>
      </c>
      <c r="E694" s="505">
        <f t="shared" si="14"/>
        <v>8.1740499212952553E-2</v>
      </c>
      <c r="F694" s="505">
        <f t="shared" si="14"/>
        <v>6.8145642658177477E-2</v>
      </c>
      <c r="G694" s="505">
        <f t="shared" si="14"/>
        <v>5.8186856004848901E-2</v>
      </c>
      <c r="H694" s="505">
        <f t="shared" si="14"/>
        <v>4.6358148893360165E-2</v>
      </c>
      <c r="I694" s="505">
        <f t="shared" si="14"/>
        <v>4.6544428772919602E-2</v>
      </c>
      <c r="J694" s="505">
        <f t="shared" si="14"/>
        <v>4.0296924708377521E-2</v>
      </c>
      <c r="K694" s="505">
        <f t="shared" si="14"/>
        <v>3.7105149286023369E-2</v>
      </c>
      <c r="L694" s="505">
        <f t="shared" si="14"/>
        <v>4.9895506792058529E-2</v>
      </c>
      <c r="M694" s="505">
        <f t="shared" si="14"/>
        <v>3.9133199628234604E-2</v>
      </c>
      <c r="N694" s="505">
        <f t="shared" si="14"/>
        <v>3.2887747875354111E-2</v>
      </c>
      <c r="O694" s="505">
        <f t="shared" si="14"/>
        <v>3.3401912138448515E-2</v>
      </c>
      <c r="P694" s="505">
        <f t="shared" si="14"/>
        <v>2.9422292218483796E-2</v>
      </c>
      <c r="Q694" s="505">
        <f t="shared" si="14"/>
        <v>2.0256757628540092E-2</v>
      </c>
      <c r="R694" s="786">
        <f t="shared" si="14"/>
        <v>1.8950989824776235E-2</v>
      </c>
      <c r="S694" s="786">
        <f t="shared" si="14"/>
        <v>1.5313159746657283E-2</v>
      </c>
      <c r="T694" s="786">
        <f t="shared" si="14"/>
        <v>1.2978829361820255E-2</v>
      </c>
      <c r="U694" s="786">
        <f t="shared" si="14"/>
        <v>1.6372660085234938E-2</v>
      </c>
      <c r="V694" s="786">
        <f t="shared" si="14"/>
        <v>9.9486259479735772E-3</v>
      </c>
      <c r="W694" s="786">
        <f t="shared" si="14"/>
        <v>1.1527239425821015E-2</v>
      </c>
      <c r="X694" s="786">
        <f t="shared" si="14"/>
        <v>2.1938496930668027E-2</v>
      </c>
      <c r="Y694" s="786">
        <f t="shared" si="14"/>
        <v>2.8148861164707734E-2</v>
      </c>
      <c r="Z694" s="786">
        <f t="shared" si="14"/>
        <v>2.1989446553349511E-2</v>
      </c>
      <c r="AA694" s="786">
        <f t="shared" si="14"/>
        <v>2.3464845031393969E-2</v>
      </c>
      <c r="AB694" s="786">
        <f t="shared" si="14"/>
        <v>1.7878172325398633E-2</v>
      </c>
      <c r="AC694" s="786">
        <f t="shared" si="14"/>
        <v>1.9834798960463019E-2</v>
      </c>
      <c r="AD694" s="786">
        <f t="shared" si="14"/>
        <v>2.2047979051818781E-2</v>
      </c>
      <c r="AE694" s="786">
        <f t="shared" si="14"/>
        <v>2.3850797002716168E-2</v>
      </c>
      <c r="AF694" s="786">
        <f t="shared" si="14"/>
        <v>2.4363276482369467E-2</v>
      </c>
      <c r="AG694" s="786">
        <f t="shared" si="14"/>
        <v>2.701002451805945E-2</v>
      </c>
      <c r="AH694" s="786">
        <f t="shared" si="14"/>
        <v>2.2679253202832518E-2</v>
      </c>
      <c r="AI694" s="786">
        <f t="shared" si="14"/>
        <v>2.6984573665934326E-2</v>
      </c>
      <c r="AJ694" s="786">
        <f t="shared" si="14"/>
        <v>2.3423074038474503E-2</v>
      </c>
      <c r="AK694" s="786">
        <f t="shared" si="14"/>
        <v>1.9907782009938771E-2</v>
      </c>
      <c r="AL694" s="786">
        <f t="shared" si="14"/>
        <v>2.4514163674729025E-2</v>
      </c>
      <c r="AM694" s="786">
        <f t="shared" si="14"/>
        <v>2.0876807314719008E-2</v>
      </c>
      <c r="AN694" s="786">
        <f t="shared" si="14"/>
        <v>1.8096716429438209E-2</v>
      </c>
      <c r="AO694" s="786">
        <f t="shared" si="14"/>
        <v>2.5387151317117145E-2</v>
      </c>
      <c r="AP694" s="786">
        <f t="shared" si="14"/>
        <v>2.0953596741697087E-2</v>
      </c>
      <c r="AQ694" s="786">
        <f t="shared" si="14"/>
        <v>2.2297924467428898E-2</v>
      </c>
      <c r="AR694" s="786">
        <f t="shared" si="14"/>
        <v>2.3932737962249758E-2</v>
      </c>
      <c r="AS694" s="788">
        <f t="shared" si="14"/>
        <v>2.5225824592407086E-2</v>
      </c>
      <c r="AT694" s="788">
        <f t="shared" si="14"/>
        <v>2.4813590172184721E-2</v>
      </c>
      <c r="AU694" s="788">
        <f t="shared" si="14"/>
        <v>2.5853860066760111E-2</v>
      </c>
      <c r="AV694" s="788">
        <f t="shared" si="14"/>
        <v>2.3831045747046517E-2</v>
      </c>
      <c r="AW694" s="788">
        <f t="shared" si="14"/>
        <v>2.6360817236153338E-2</v>
      </c>
      <c r="AX694" s="788">
        <f t="shared" si="14"/>
        <v>1.7620334341375814E-2</v>
      </c>
      <c r="AY694" s="1"/>
      <c r="AZ694" s="1"/>
      <c r="BA694" s="1"/>
      <c r="BB694" s="1"/>
      <c r="BC694" s="1"/>
      <c r="BD694" s="1"/>
      <c r="BE694" s="1"/>
      <c r="BQ694" s="1"/>
    </row>
    <row r="695" spans="1:69">
      <c r="A695" s="493"/>
      <c r="B695" s="501" t="s">
        <v>1626</v>
      </c>
      <c r="C695" s="505">
        <f>C685/C$687</f>
        <v>0.34509403703163721</v>
      </c>
      <c r="D695" s="505">
        <f t="shared" ref="D695:AU695" si="15">D685/D$687</f>
        <v>0.3613336779529594</v>
      </c>
      <c r="E695" s="505">
        <f t="shared" si="15"/>
        <v>0.35619518776703391</v>
      </c>
      <c r="F695" s="505">
        <f t="shared" si="15"/>
        <v>0.23119777158774371</v>
      </c>
      <c r="G695" s="505">
        <f t="shared" si="15"/>
        <v>0.26807515802233961</v>
      </c>
      <c r="H695" s="505">
        <f t="shared" si="15"/>
        <v>0.30108651911468809</v>
      </c>
      <c r="I695" s="505">
        <f t="shared" si="15"/>
        <v>0.31664315937940768</v>
      </c>
      <c r="J695" s="505">
        <f t="shared" si="15"/>
        <v>0.29097443148344521</v>
      </c>
      <c r="K695" s="505">
        <f t="shared" si="15"/>
        <v>0.27077022933794892</v>
      </c>
      <c r="L695" s="505">
        <f t="shared" si="15"/>
        <v>0.1959770114942529</v>
      </c>
      <c r="M695" s="505">
        <f t="shared" si="15"/>
        <v>0.2105366139999022</v>
      </c>
      <c r="N695" s="505">
        <f t="shared" si="15"/>
        <v>0.24251947592067991</v>
      </c>
      <c r="O695" s="505">
        <f t="shared" si="15"/>
        <v>0.19520755173665741</v>
      </c>
      <c r="P695" s="505">
        <f t="shared" si="15"/>
        <v>0.1543775502899277</v>
      </c>
      <c r="Q695" s="505">
        <f t="shared" si="15"/>
        <v>0.16860202567576285</v>
      </c>
      <c r="R695" s="786">
        <f t="shared" si="15"/>
        <v>0.15551473803900989</v>
      </c>
      <c r="S695" s="786">
        <f t="shared" si="15"/>
        <v>0.14232230823363828</v>
      </c>
      <c r="T695" s="786">
        <f t="shared" si="15"/>
        <v>0.13459333306000318</v>
      </c>
      <c r="U695" s="786">
        <f t="shared" si="15"/>
        <v>0.11401521281760803</v>
      </c>
      <c r="V695" s="786">
        <f t="shared" si="15"/>
        <v>0.13153388241050312</v>
      </c>
      <c r="W695" s="786">
        <f t="shared" si="15"/>
        <v>0.12970140989053114</v>
      </c>
      <c r="X695" s="786">
        <f t="shared" si="15"/>
        <v>0.1200682921345608</v>
      </c>
      <c r="Y695" s="786">
        <f t="shared" si="15"/>
        <v>0.15384304244130306</v>
      </c>
      <c r="Z695" s="786">
        <f t="shared" si="15"/>
        <v>0.16731297539242884</v>
      </c>
      <c r="AA695" s="786">
        <f t="shared" si="15"/>
        <v>0.15799402960808914</v>
      </c>
      <c r="AB695" s="786">
        <f t="shared" si="15"/>
        <v>0.15918866315063515</v>
      </c>
      <c r="AC695" s="786">
        <f t="shared" si="15"/>
        <v>0.1231921729919724</v>
      </c>
      <c r="AD695" s="786">
        <f t="shared" si="15"/>
        <v>0.12000564205887254</v>
      </c>
      <c r="AE695" s="786">
        <f t="shared" si="15"/>
        <v>0.12923236921865486</v>
      </c>
      <c r="AF695" s="786">
        <f t="shared" si="15"/>
        <v>9.8330772219471271E-2</v>
      </c>
      <c r="AG695" s="786">
        <f t="shared" si="15"/>
        <v>9.4448647261083873E-2</v>
      </c>
      <c r="AH695" s="786">
        <f t="shared" si="15"/>
        <v>0.14684293010197658</v>
      </c>
      <c r="AI695" s="786">
        <f t="shared" si="15"/>
        <v>0.13239269438025097</v>
      </c>
      <c r="AJ695" s="786">
        <f t="shared" si="15"/>
        <v>9.6614133398951571E-2</v>
      </c>
      <c r="AK695" s="786">
        <f t="shared" si="15"/>
        <v>0.11040564192451095</v>
      </c>
      <c r="AL695" s="786">
        <f t="shared" si="15"/>
        <v>9.9042636003702292E-2</v>
      </c>
      <c r="AM695" s="786">
        <f t="shared" si="15"/>
        <v>7.8045024756398601E-2</v>
      </c>
      <c r="AN695" s="786">
        <f t="shared" si="15"/>
        <v>8.1994579740414894E-2</v>
      </c>
      <c r="AO695" s="786">
        <f t="shared" si="15"/>
        <v>6.7902933003553476E-2</v>
      </c>
      <c r="AP695" s="786">
        <f t="shared" si="15"/>
        <v>8.7444913350784331E-2</v>
      </c>
      <c r="AQ695" s="786">
        <f t="shared" si="15"/>
        <v>7.8440717725878642E-2</v>
      </c>
      <c r="AR695" s="786">
        <f t="shared" si="15"/>
        <v>7.3559797765483589E-2</v>
      </c>
      <c r="AS695" s="788">
        <f t="shared" si="15"/>
        <v>6.101089675836089E-2</v>
      </c>
      <c r="AT695" s="788">
        <f t="shared" si="15"/>
        <v>6.2210624647987919E-2</v>
      </c>
      <c r="AU695" s="788">
        <f t="shared" si="15"/>
        <v>6.5887856042710941E-2</v>
      </c>
      <c r="AV695" s="788">
        <f t="shared" ref="AV695:AX696" si="16">AV685/AV$687</f>
        <v>5.8693439862206681E-2</v>
      </c>
      <c r="AW695" s="788">
        <f t="shared" si="16"/>
        <v>4.5219379903324336E-2</v>
      </c>
      <c r="AX695" s="788">
        <f t="shared" si="16"/>
        <v>5.3285982556831576E-2</v>
      </c>
      <c r="AY695" s="1"/>
      <c r="AZ695" s="1"/>
      <c r="BA695" s="1"/>
      <c r="BB695" s="1"/>
      <c r="BC695" s="1"/>
      <c r="BD695" s="1"/>
      <c r="BE695" s="1"/>
      <c r="BQ695" s="1"/>
    </row>
    <row r="696" spans="1:69" ht="13.5" thickBot="1">
      <c r="A696" s="493"/>
      <c r="B696" s="502" t="s">
        <v>1627</v>
      </c>
      <c r="C696" s="505">
        <f>C686/C$687</f>
        <v>0.57953054381105118</v>
      </c>
      <c r="D696" s="505">
        <f t="shared" ref="D696:AU696" si="17">D686/D$687</f>
        <v>0.55737916774360308</v>
      </c>
      <c r="E696" s="505">
        <f t="shared" si="17"/>
        <v>0.5589161232291433</v>
      </c>
      <c r="F696" s="505">
        <f t="shared" si="17"/>
        <v>0.69737365698368481</v>
      </c>
      <c r="G696" s="505">
        <f t="shared" si="17"/>
        <v>0.67278552255606539</v>
      </c>
      <c r="H696" s="505">
        <f t="shared" si="17"/>
        <v>0.65046277665995977</v>
      </c>
      <c r="I696" s="505">
        <f t="shared" si="17"/>
        <v>0.63561354019746119</v>
      </c>
      <c r="J696" s="505">
        <f t="shared" si="17"/>
        <v>0.66702014846235413</v>
      </c>
      <c r="K696" s="505">
        <f t="shared" si="17"/>
        <v>0.691908264820424</v>
      </c>
      <c r="L696" s="505">
        <f t="shared" si="17"/>
        <v>0.75334378265412749</v>
      </c>
      <c r="M696" s="505">
        <f t="shared" si="17"/>
        <v>0.74944968938022793</v>
      </c>
      <c r="N696" s="505">
        <f t="shared" si="17"/>
        <v>0.72379603399433423</v>
      </c>
      <c r="O696" s="505">
        <f t="shared" si="17"/>
        <v>0.77139053612489417</v>
      </c>
      <c r="P696" s="505">
        <f t="shared" si="17"/>
        <v>0.81612857040589881</v>
      </c>
      <c r="Q696" s="505">
        <f t="shared" si="17"/>
        <v>0.81088316882781752</v>
      </c>
      <c r="R696" s="786">
        <f t="shared" si="17"/>
        <v>0.82530102918452442</v>
      </c>
      <c r="S696" s="786">
        <f t="shared" si="17"/>
        <v>0.84213933849401823</v>
      </c>
      <c r="T696" s="786">
        <f t="shared" si="17"/>
        <v>0.8517454697487512</v>
      </c>
      <c r="U696" s="786">
        <f t="shared" si="17"/>
        <v>0.86899174623725528</v>
      </c>
      <c r="V696" s="786">
        <f t="shared" si="17"/>
        <v>0.85775639457446518</v>
      </c>
      <c r="W696" s="786">
        <f t="shared" si="17"/>
        <v>0.85828683392256244</v>
      </c>
      <c r="X696" s="786">
        <f t="shared" si="17"/>
        <v>0.85765998064855442</v>
      </c>
      <c r="Y696" s="786">
        <f t="shared" si="17"/>
        <v>0.81780874424033578</v>
      </c>
      <c r="Z696" s="786">
        <f t="shared" si="17"/>
        <v>0.80983821534343114</v>
      </c>
      <c r="AA696" s="786">
        <f t="shared" si="17"/>
        <v>0.81782857993743507</v>
      </c>
      <c r="AB696" s="786">
        <f t="shared" si="17"/>
        <v>0.82247272960866014</v>
      </c>
      <c r="AC696" s="786">
        <f t="shared" si="17"/>
        <v>0.85562038620554726</v>
      </c>
      <c r="AD696" s="786">
        <f t="shared" si="17"/>
        <v>0.85720921361518765</v>
      </c>
      <c r="AE696" s="786">
        <f t="shared" si="17"/>
        <v>0.84593407542057553</v>
      </c>
      <c r="AF696" s="786">
        <f t="shared" si="17"/>
        <v>0.87661166768862042</v>
      </c>
      <c r="AG696" s="786">
        <f t="shared" si="17"/>
        <v>0.87764466904481275</v>
      </c>
      <c r="AH696" s="786">
        <f t="shared" si="17"/>
        <v>0.82913264664751829</v>
      </c>
      <c r="AI696" s="786">
        <f t="shared" si="17"/>
        <v>0.8389705146016353</v>
      </c>
      <c r="AJ696" s="786">
        <f t="shared" si="17"/>
        <v>0.87839828868726477</v>
      </c>
      <c r="AK696" s="786">
        <f t="shared" si="17"/>
        <v>0.86809782101168687</v>
      </c>
      <c r="AL696" s="786">
        <f t="shared" si="17"/>
        <v>0.87483171542699611</v>
      </c>
      <c r="AM696" s="786">
        <f t="shared" si="17"/>
        <v>0.8994066855122993</v>
      </c>
      <c r="AN696" s="786">
        <f t="shared" si="17"/>
        <v>0.89756196400867916</v>
      </c>
      <c r="AO696" s="786">
        <f t="shared" si="17"/>
        <v>0.90452483401769179</v>
      </c>
      <c r="AP696" s="786">
        <f t="shared" si="17"/>
        <v>0.88975370054366099</v>
      </c>
      <c r="AQ696" s="786">
        <f t="shared" si="17"/>
        <v>0.89711301497609641</v>
      </c>
      <c r="AR696" s="786">
        <f t="shared" si="17"/>
        <v>0.90028439228871548</v>
      </c>
      <c r="AS696" s="788">
        <f t="shared" si="17"/>
        <v>0.91169902536357639</v>
      </c>
      <c r="AT696" s="788">
        <f t="shared" si="17"/>
        <v>0.91096084403840427</v>
      </c>
      <c r="AU696" s="788">
        <f t="shared" si="17"/>
        <v>0.90660235806936107</v>
      </c>
      <c r="AV696" s="788">
        <f t="shared" si="16"/>
        <v>0.91603108963025115</v>
      </c>
      <c r="AW696" s="788">
        <f t="shared" si="16"/>
        <v>0.9270657871280511</v>
      </c>
      <c r="AX696" s="788">
        <f t="shared" si="16"/>
        <v>0.92790442760985958</v>
      </c>
      <c r="AY696" s="1"/>
      <c r="AZ696" s="1"/>
      <c r="BA696" s="1"/>
      <c r="BB696" s="1"/>
      <c r="BC696" s="1"/>
      <c r="BD696" s="1"/>
      <c r="BE696" s="1"/>
      <c r="BQ696" s="1"/>
    </row>
    <row r="697" spans="1:69" ht="14.25" thickTop="1" thickBot="1">
      <c r="A697" s="493"/>
      <c r="B697" s="489" t="s">
        <v>1622</v>
      </c>
      <c r="C697" s="506">
        <f>SUM(C693:C696)</f>
        <v>1</v>
      </c>
      <c r="D697" s="506">
        <f t="shared" ref="D697:AU697" si="18">SUM(D693:D696)</f>
        <v>1</v>
      </c>
      <c r="E697" s="506">
        <f t="shared" si="18"/>
        <v>1</v>
      </c>
      <c r="F697" s="506">
        <f t="shared" si="18"/>
        <v>1</v>
      </c>
      <c r="G697" s="506">
        <f t="shared" si="18"/>
        <v>1</v>
      </c>
      <c r="H697" s="506">
        <f t="shared" si="18"/>
        <v>1</v>
      </c>
      <c r="I697" s="506">
        <f t="shared" si="18"/>
        <v>1</v>
      </c>
      <c r="J697" s="506">
        <f t="shared" si="18"/>
        <v>0.99999999999999989</v>
      </c>
      <c r="K697" s="506">
        <f t="shared" si="18"/>
        <v>1</v>
      </c>
      <c r="L697" s="506">
        <f t="shared" si="18"/>
        <v>1</v>
      </c>
      <c r="M697" s="506">
        <f t="shared" si="18"/>
        <v>1</v>
      </c>
      <c r="N697" s="506">
        <f t="shared" si="18"/>
        <v>1</v>
      </c>
      <c r="O697" s="506">
        <f t="shared" si="18"/>
        <v>1</v>
      </c>
      <c r="P697" s="506">
        <f t="shared" si="18"/>
        <v>1</v>
      </c>
      <c r="Q697" s="506">
        <f t="shared" si="18"/>
        <v>1</v>
      </c>
      <c r="R697" s="787">
        <f t="shared" si="18"/>
        <v>1</v>
      </c>
      <c r="S697" s="787">
        <f t="shared" si="18"/>
        <v>1</v>
      </c>
      <c r="T697" s="787">
        <f t="shared" si="18"/>
        <v>0.99999999999999989</v>
      </c>
      <c r="U697" s="787">
        <f t="shared" si="18"/>
        <v>1</v>
      </c>
      <c r="V697" s="787">
        <f t="shared" si="18"/>
        <v>1</v>
      </c>
      <c r="W697" s="787">
        <f t="shared" si="18"/>
        <v>0.99999999999999989</v>
      </c>
      <c r="X697" s="787">
        <f t="shared" si="18"/>
        <v>1</v>
      </c>
      <c r="Y697" s="787">
        <f t="shared" si="18"/>
        <v>0.99999999999999989</v>
      </c>
      <c r="Z697" s="787">
        <f t="shared" si="18"/>
        <v>1</v>
      </c>
      <c r="AA697" s="787">
        <f t="shared" si="18"/>
        <v>0.99999999999999989</v>
      </c>
      <c r="AB697" s="787">
        <f t="shared" si="18"/>
        <v>1</v>
      </c>
      <c r="AC697" s="787">
        <f t="shared" si="18"/>
        <v>1</v>
      </c>
      <c r="AD697" s="787">
        <f t="shared" si="18"/>
        <v>1</v>
      </c>
      <c r="AE697" s="787">
        <f t="shared" si="18"/>
        <v>1</v>
      </c>
      <c r="AF697" s="787">
        <f t="shared" si="18"/>
        <v>1</v>
      </c>
      <c r="AG697" s="787">
        <f t="shared" si="18"/>
        <v>1</v>
      </c>
      <c r="AH697" s="787">
        <f t="shared" si="18"/>
        <v>1</v>
      </c>
      <c r="AI697" s="787">
        <f t="shared" si="18"/>
        <v>1</v>
      </c>
      <c r="AJ697" s="787">
        <f t="shared" si="18"/>
        <v>1</v>
      </c>
      <c r="AK697" s="787">
        <f t="shared" si="18"/>
        <v>1</v>
      </c>
      <c r="AL697" s="787">
        <f t="shared" si="18"/>
        <v>1</v>
      </c>
      <c r="AM697" s="787">
        <f t="shared" si="18"/>
        <v>1</v>
      </c>
      <c r="AN697" s="787">
        <f t="shared" si="18"/>
        <v>1</v>
      </c>
      <c r="AO697" s="787">
        <f t="shared" si="18"/>
        <v>1</v>
      </c>
      <c r="AP697" s="787">
        <f t="shared" si="18"/>
        <v>1</v>
      </c>
      <c r="AQ697" s="787">
        <f t="shared" si="18"/>
        <v>1</v>
      </c>
      <c r="AR697" s="787">
        <f t="shared" si="18"/>
        <v>1</v>
      </c>
      <c r="AS697" s="789">
        <f t="shared" si="18"/>
        <v>1</v>
      </c>
      <c r="AT697" s="789">
        <f t="shared" si="18"/>
        <v>1</v>
      </c>
      <c r="AU697" s="789">
        <f t="shared" si="18"/>
        <v>1</v>
      </c>
      <c r="AV697" s="789">
        <f>SUM(AV693:AV696)</f>
        <v>1</v>
      </c>
      <c r="AW697" s="789">
        <f>SUM(AW693:AW696)</f>
        <v>1</v>
      </c>
      <c r="AX697" s="789">
        <f>SUM(AX693:AX696)</f>
        <v>0.99999999999999989</v>
      </c>
      <c r="AY697" s="1"/>
      <c r="AZ697" s="1"/>
      <c r="BA697" s="1"/>
      <c r="BB697" s="1"/>
      <c r="BC697" s="1"/>
      <c r="BD697" s="1"/>
      <c r="BE697" s="1"/>
      <c r="BQ697" s="1"/>
    </row>
    <row r="698" spans="1:69" ht="13.5" thickTop="1">
      <c r="A698" s="493"/>
      <c r="B698" s="493"/>
      <c r="C698" s="504"/>
      <c r="D698" s="504"/>
      <c r="E698" s="504"/>
      <c r="F698" s="504"/>
      <c r="G698" s="504"/>
      <c r="H698" s="504"/>
      <c r="I698" s="504"/>
      <c r="J698" s="504"/>
      <c r="K698" s="504"/>
      <c r="L698" s="504"/>
      <c r="M698" s="504"/>
      <c r="N698" s="504"/>
      <c r="O698" s="504"/>
      <c r="P698" s="504"/>
      <c r="Q698" s="504"/>
      <c r="R698" s="504"/>
      <c r="S698" s="504"/>
      <c r="T698" s="504"/>
      <c r="U698" s="504"/>
      <c r="V698" s="504"/>
      <c r="W698" s="504"/>
      <c r="X698" s="504"/>
      <c r="Y698" s="504"/>
      <c r="Z698" s="504"/>
      <c r="AA698" s="504"/>
      <c r="AB698" s="504"/>
      <c r="AC698" s="504"/>
      <c r="AD698" s="504"/>
      <c r="AE698" s="504"/>
      <c r="AF698" s="504"/>
      <c r="AG698" s="504"/>
      <c r="AH698" s="504"/>
      <c r="AI698" s="504"/>
      <c r="AJ698" s="504"/>
      <c r="AK698" s="504"/>
      <c r="AL698" s="504"/>
      <c r="AM698" s="504"/>
      <c r="AN698" s="504"/>
      <c r="AO698" s="504"/>
      <c r="AP698" s="504"/>
      <c r="AQ698" s="504"/>
      <c r="AR698" s="504"/>
      <c r="AS698" s="504"/>
      <c r="AT698" s="493"/>
      <c r="AU698" s="493"/>
      <c r="AV698" s="493"/>
      <c r="AW698" s="493"/>
      <c r="AX698" s="493"/>
      <c r="AY698" s="1"/>
      <c r="AZ698" s="1"/>
      <c r="BA698" s="1"/>
      <c r="BB698" s="1"/>
      <c r="BC698" s="1"/>
      <c r="BD698" s="1"/>
      <c r="BE698" s="1"/>
      <c r="BQ698" s="1"/>
    </row>
    <row r="699" spans="1:69">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W699" s="1"/>
      <c r="AX699" s="1"/>
      <c r="AY699" s="1"/>
      <c r="AZ699" s="1"/>
      <c r="BA699" s="1"/>
      <c r="BB699" s="1"/>
      <c r="BC699" s="1"/>
      <c r="BD699" s="1"/>
      <c r="BE699" s="1"/>
      <c r="BQ699" s="1"/>
    </row>
    <row r="700" spans="1:69">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W700" s="1"/>
      <c r="AX700" s="1"/>
      <c r="AY700" s="1"/>
      <c r="AZ700" s="1"/>
      <c r="BA700" s="1"/>
      <c r="BB700" s="1"/>
      <c r="BC700" s="1"/>
      <c r="BD700" s="1"/>
      <c r="BE700" s="1"/>
      <c r="BQ700" s="1"/>
    </row>
    <row r="701" spans="1:69">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W701" s="1"/>
      <c r="AX701" s="1"/>
      <c r="AY701" s="1"/>
      <c r="AZ701" s="1"/>
      <c r="BA701" s="1"/>
      <c r="BB701" s="1"/>
      <c r="BC701" s="1"/>
      <c r="BD701" s="1"/>
      <c r="BE701" s="1"/>
      <c r="BQ701" s="1"/>
    </row>
    <row r="702" spans="1:69">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W702" s="1"/>
      <c r="AX702" s="1"/>
      <c r="AY702" s="1"/>
      <c r="AZ702" s="454"/>
      <c r="BA702" s="454"/>
      <c r="BB702" s="454"/>
      <c r="BC702" s="1"/>
      <c r="BD702" s="1"/>
      <c r="BE702" s="1"/>
      <c r="BQ702" s="1"/>
    </row>
    <row r="703" spans="1:69">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W703" s="1"/>
      <c r="AX703" s="1"/>
      <c r="AY703" s="1"/>
      <c r="AZ703" s="454"/>
      <c r="BA703" s="454"/>
      <c r="BB703" s="454"/>
      <c r="BC703" s="1"/>
      <c r="BD703" s="1"/>
      <c r="BE703" s="1"/>
      <c r="BQ703" s="1"/>
    </row>
    <row r="704" spans="1:69">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W704" s="1"/>
      <c r="AX704" s="1"/>
      <c r="AY704" s="1"/>
      <c r="AZ704" s="454"/>
      <c r="BA704" s="454"/>
      <c r="BB704" s="454"/>
      <c r="BC704" s="1"/>
      <c r="BD704" s="1"/>
      <c r="BE704" s="1"/>
      <c r="BQ704" s="1"/>
    </row>
    <row r="705" spans="3:69">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W705" s="1"/>
      <c r="AX705" s="1"/>
      <c r="AY705" s="1"/>
      <c r="AZ705" s="1"/>
      <c r="BA705" s="1"/>
      <c r="BB705" s="1"/>
      <c r="BC705" s="1"/>
      <c r="BD705" s="1"/>
      <c r="BE705" s="1"/>
      <c r="BQ705" s="1"/>
    </row>
    <row r="706" spans="3:69">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W706" s="1"/>
      <c r="AX706" s="1"/>
      <c r="AY706" s="1"/>
      <c r="AZ706" s="1"/>
      <c r="BA706" s="1"/>
      <c r="BB706" s="1"/>
      <c r="BC706" s="1"/>
      <c r="BD706" s="1"/>
      <c r="BE706" s="1"/>
      <c r="BQ706" s="1"/>
    </row>
    <row r="707" spans="3:69">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W707" s="1"/>
      <c r="AX707" s="1"/>
      <c r="AY707" s="1"/>
      <c r="AZ707" s="1"/>
      <c r="BA707" s="1"/>
      <c r="BB707" s="1"/>
      <c r="BC707" s="1"/>
      <c r="BD707" s="1"/>
      <c r="BE707" s="1"/>
      <c r="BQ707" s="1"/>
    </row>
    <row r="708" spans="3:69">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W708" s="1"/>
      <c r="AX708" s="1"/>
      <c r="AY708" s="1"/>
      <c r="AZ708" s="1"/>
      <c r="BA708" s="1"/>
      <c r="BB708" s="1"/>
      <c r="BC708" s="1"/>
      <c r="BD708" s="1"/>
      <c r="BE708" s="1"/>
      <c r="BQ708" s="1"/>
    </row>
    <row r="709" spans="3:69">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W709" s="1"/>
      <c r="AX709" s="1"/>
      <c r="AY709" s="1"/>
      <c r="AZ709" s="1"/>
      <c r="BA709" s="1"/>
      <c r="BB709" s="1"/>
      <c r="BC709" s="1"/>
      <c r="BD709" s="1"/>
      <c r="BE709" s="1"/>
      <c r="BQ709" s="1"/>
    </row>
    <row r="710" spans="3:69">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W710" s="1"/>
      <c r="AX710" s="1"/>
      <c r="AY710" s="1"/>
      <c r="AZ710" s="1"/>
      <c r="BA710" s="1"/>
      <c r="BB710" s="1"/>
      <c r="BC710" s="1"/>
      <c r="BD710" s="1"/>
      <c r="BE710" s="1"/>
      <c r="BQ710" s="1"/>
    </row>
    <row r="711" spans="3:69">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W711" s="1"/>
      <c r="AX711" s="1"/>
      <c r="AY711" s="1"/>
      <c r="AZ711" s="1"/>
      <c r="BA711" s="1"/>
      <c r="BB711" s="1"/>
      <c r="BC711" s="1"/>
      <c r="BD711" s="1"/>
      <c r="BE711" s="1"/>
      <c r="BQ711" s="1"/>
    </row>
    <row r="712" spans="3:69">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W712" s="1"/>
      <c r="AX712" s="1"/>
      <c r="AY712" s="1"/>
      <c r="AZ712" s="1"/>
      <c r="BA712" s="1"/>
      <c r="BB712" s="1"/>
      <c r="BC712" s="1"/>
      <c r="BD712" s="1"/>
      <c r="BE712" s="1"/>
      <c r="BQ712" s="1"/>
    </row>
    <row r="713" spans="3:69">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W713" s="1"/>
      <c r="AX713" s="1"/>
      <c r="AY713" s="1"/>
      <c r="AZ713" s="1"/>
      <c r="BA713" s="1"/>
      <c r="BB713" s="1"/>
      <c r="BC713" s="1"/>
      <c r="BD713" s="1"/>
      <c r="BE713" s="1"/>
      <c r="BQ713" s="1"/>
    </row>
    <row r="714" spans="3:69">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W714" s="1"/>
      <c r="AX714" s="1"/>
      <c r="AY714" s="1"/>
      <c r="AZ714" s="1"/>
      <c r="BA714" s="1"/>
      <c r="BB714" s="1"/>
      <c r="BC714" s="1"/>
      <c r="BD714" s="1"/>
      <c r="BE714" s="1"/>
      <c r="BQ714" s="1"/>
    </row>
    <row r="715" spans="3:69">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W715" s="1"/>
      <c r="AX715" s="1"/>
      <c r="AY715" s="1"/>
      <c r="AZ715" s="1"/>
      <c r="BA715" s="1"/>
      <c r="BB715" s="1"/>
      <c r="BC715" s="1"/>
      <c r="BD715" s="1"/>
      <c r="BE715" s="1"/>
      <c r="BQ715" s="1"/>
    </row>
    <row r="716" spans="3:69">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W716" s="1"/>
      <c r="AX716" s="1"/>
      <c r="AY716" s="1"/>
      <c r="AZ716" s="1"/>
      <c r="BA716" s="1"/>
      <c r="BB716" s="1"/>
      <c r="BC716" s="1"/>
      <c r="BD716" s="1"/>
      <c r="BE716" s="1"/>
      <c r="BQ716" s="1"/>
    </row>
    <row r="717" spans="3:69">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W717" s="1"/>
      <c r="AX717" s="1"/>
      <c r="AY717" s="1"/>
      <c r="AZ717" s="1"/>
      <c r="BA717" s="1"/>
      <c r="BB717" s="1"/>
      <c r="BC717" s="1"/>
      <c r="BD717" s="1"/>
      <c r="BE717" s="1"/>
      <c r="BQ717" s="1"/>
    </row>
    <row r="718" spans="3:69">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W718" s="1"/>
      <c r="AX718" s="1"/>
      <c r="AY718" s="1"/>
      <c r="AZ718" s="1"/>
      <c r="BA718" s="1"/>
      <c r="BB718" s="1"/>
      <c r="BC718" s="1"/>
      <c r="BD718" s="1"/>
      <c r="BE718" s="1"/>
      <c r="BQ718" s="1"/>
    </row>
    <row r="719" spans="3:69">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W719" s="1"/>
      <c r="AX719" s="1"/>
      <c r="AY719" s="1"/>
      <c r="AZ719" s="1"/>
      <c r="BA719" s="1"/>
      <c r="BB719" s="1"/>
      <c r="BC719" s="1"/>
      <c r="BD719" s="1"/>
      <c r="BE719" s="1"/>
      <c r="BQ719" s="1"/>
    </row>
    <row r="720" spans="3:69">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W720" s="1"/>
      <c r="AX720" s="1"/>
      <c r="AY720" s="1"/>
      <c r="AZ720" s="1"/>
      <c r="BA720" s="1"/>
      <c r="BB720" s="1"/>
      <c r="BC720" s="1"/>
      <c r="BD720" s="1"/>
      <c r="BE720" s="1"/>
      <c r="BQ720" s="1"/>
    </row>
    <row r="721" spans="3:69">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W721" s="1"/>
      <c r="AX721" s="1"/>
      <c r="AY721" s="1"/>
      <c r="AZ721" s="1"/>
      <c r="BA721" s="1"/>
      <c r="BB721" s="1"/>
      <c r="BC721" s="1"/>
      <c r="BD721" s="1"/>
      <c r="BE721" s="1"/>
      <c r="BQ721" s="1"/>
    </row>
    <row r="722" spans="3:69">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W722" s="1"/>
      <c r="AX722" s="1"/>
      <c r="AY722" s="1"/>
      <c r="AZ722" s="1"/>
      <c r="BA722" s="1"/>
      <c r="BB722" s="1"/>
      <c r="BC722" s="1"/>
      <c r="BD722" s="1"/>
      <c r="BE722" s="1"/>
      <c r="BQ722" s="1"/>
    </row>
    <row r="723" spans="3:69">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W723" s="1"/>
      <c r="AX723" s="1"/>
      <c r="AY723" s="1"/>
      <c r="AZ723" s="1"/>
      <c r="BA723" s="1"/>
      <c r="BB723" s="1"/>
      <c r="BC723" s="1"/>
      <c r="BD723" s="1"/>
      <c r="BE723" s="1"/>
      <c r="BQ723" s="1"/>
    </row>
    <row r="724" spans="3:69">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W724" s="1"/>
      <c r="AX724" s="1"/>
      <c r="AY724" s="1"/>
      <c r="AZ724" s="1"/>
      <c r="BA724" s="1"/>
      <c r="BB724" s="1"/>
      <c r="BC724" s="1"/>
      <c r="BD724" s="1"/>
      <c r="BE724" s="1"/>
      <c r="BQ724" s="1"/>
    </row>
    <row r="725" spans="3:69">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W725" s="1"/>
      <c r="AX725" s="1"/>
      <c r="AY725" s="1"/>
      <c r="AZ725" s="1"/>
      <c r="BA725" s="1"/>
      <c r="BB725" s="1"/>
      <c r="BC725" s="1"/>
      <c r="BD725" s="1"/>
      <c r="BE725" s="1"/>
      <c r="BQ725" s="1"/>
    </row>
    <row r="726" spans="3:69">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W726" s="1"/>
      <c r="AX726" s="1"/>
      <c r="AY726" s="1"/>
      <c r="AZ726" s="1"/>
      <c r="BA726" s="1"/>
      <c r="BB726" s="1"/>
      <c r="BC726" s="1"/>
      <c r="BD726" s="1"/>
      <c r="BE726" s="1"/>
      <c r="BQ726" s="1"/>
    </row>
    <row r="727" spans="3:69">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W727" s="1"/>
      <c r="AX727" s="1"/>
      <c r="AY727" s="1"/>
      <c r="AZ727" s="1"/>
      <c r="BA727" s="1"/>
      <c r="BB727" s="1"/>
      <c r="BC727" s="1"/>
      <c r="BD727" s="1"/>
      <c r="BE727" s="1"/>
      <c r="BQ727" s="1"/>
    </row>
    <row r="728" spans="3:69">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W728" s="1"/>
      <c r="AX728" s="1"/>
      <c r="AY728" s="1"/>
      <c r="AZ728" s="1"/>
      <c r="BA728" s="1"/>
      <c r="BB728" s="1"/>
      <c r="BC728" s="1"/>
      <c r="BD728" s="1"/>
      <c r="BE728" s="1"/>
      <c r="BQ728" s="1"/>
    </row>
    <row r="729" spans="3:69">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W729" s="1"/>
      <c r="AX729" s="1"/>
      <c r="AY729" s="1"/>
      <c r="AZ729" s="1"/>
      <c r="BA729" s="1"/>
      <c r="BB729" s="1"/>
      <c r="BC729" s="1"/>
      <c r="BD729" s="1"/>
      <c r="BE729" s="1"/>
      <c r="BQ729" s="1"/>
    </row>
    <row r="730" spans="3:69">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W730" s="1"/>
      <c r="AX730" s="1"/>
      <c r="AY730" s="1"/>
      <c r="AZ730" s="1"/>
      <c r="BA730" s="1"/>
      <c r="BB730" s="1"/>
      <c r="BC730" s="1"/>
      <c r="BD730" s="1"/>
      <c r="BE730" s="1"/>
      <c r="BQ730" s="1"/>
    </row>
    <row r="731" spans="3:69">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W731" s="1"/>
      <c r="AX731" s="1"/>
      <c r="AY731" s="1"/>
      <c r="AZ731" s="1"/>
      <c r="BA731" s="1"/>
      <c r="BB731" s="1"/>
      <c r="BC731" s="1"/>
      <c r="BD731" s="1"/>
      <c r="BE731" s="1"/>
      <c r="BQ731" s="1"/>
    </row>
    <row r="732" spans="3:69">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W732" s="1"/>
      <c r="AX732" s="1"/>
      <c r="AY732" s="1"/>
      <c r="AZ732" s="1"/>
      <c r="BA732" s="1"/>
      <c r="BB732" s="1"/>
      <c r="BC732" s="1"/>
      <c r="BD732" s="1"/>
      <c r="BE732" s="1"/>
      <c r="BQ732" s="1"/>
    </row>
    <row r="733" spans="3:69">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W733" s="1"/>
      <c r="AX733" s="1"/>
      <c r="AY733" s="1"/>
      <c r="AZ733" s="1"/>
      <c r="BA733" s="1"/>
      <c r="BB733" s="1"/>
      <c r="BC733" s="1"/>
      <c r="BD733" s="1"/>
      <c r="BE733" s="1"/>
      <c r="BQ733" s="1"/>
    </row>
    <row r="734" spans="3:69">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W734" s="1"/>
      <c r="AX734" s="1"/>
      <c r="AY734" s="1"/>
      <c r="AZ734" s="1"/>
      <c r="BA734" s="1"/>
      <c r="BB734" s="1"/>
      <c r="BC734" s="1"/>
      <c r="BD734" s="1"/>
      <c r="BE734" s="1"/>
      <c r="BQ734" s="1"/>
    </row>
    <row r="735" spans="3:69">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W735" s="1"/>
      <c r="AX735" s="1"/>
      <c r="AY735" s="1"/>
      <c r="AZ735" s="1"/>
      <c r="BA735" s="1"/>
      <c r="BB735" s="1"/>
      <c r="BC735" s="1"/>
      <c r="BD735" s="1"/>
      <c r="BE735" s="1"/>
      <c r="BQ735" s="1"/>
    </row>
    <row r="736" spans="3:69">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W736" s="1"/>
      <c r="AX736" s="1"/>
      <c r="AY736" s="1"/>
      <c r="AZ736" s="1"/>
      <c r="BA736" s="1"/>
      <c r="BB736" s="1"/>
      <c r="BC736" s="1"/>
      <c r="BD736" s="1"/>
      <c r="BE736" s="1"/>
      <c r="BQ736" s="1"/>
    </row>
    <row r="737" spans="3:69">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W737" s="1"/>
      <c r="AX737" s="1"/>
      <c r="AY737" s="1"/>
      <c r="AZ737" s="1"/>
      <c r="BA737" s="1"/>
      <c r="BB737" s="1"/>
      <c r="BC737" s="1"/>
      <c r="BD737" s="1"/>
      <c r="BE737" s="1"/>
      <c r="BQ737" s="1"/>
    </row>
    <row r="738" spans="3:69">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W738" s="1"/>
      <c r="AX738" s="1"/>
      <c r="AY738" s="1"/>
      <c r="AZ738" s="1"/>
      <c r="BA738" s="1"/>
      <c r="BB738" s="1"/>
      <c r="BC738" s="1"/>
      <c r="BD738" s="1"/>
      <c r="BE738" s="1"/>
      <c r="BQ738" s="1"/>
    </row>
    <row r="739" spans="3:69">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W739" s="1"/>
      <c r="AX739" s="1"/>
      <c r="AY739" s="1"/>
      <c r="AZ739" s="1"/>
      <c r="BA739" s="1"/>
      <c r="BB739" s="1"/>
      <c r="BC739" s="1"/>
      <c r="BD739" s="1"/>
      <c r="BE739" s="1"/>
      <c r="BQ739" s="1"/>
    </row>
    <row r="740" spans="3:69">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W740" s="1"/>
      <c r="AX740" s="1"/>
      <c r="AY740" s="1"/>
      <c r="AZ740" s="1"/>
      <c r="BA740" s="1"/>
      <c r="BB740" s="1"/>
      <c r="BC740" s="1"/>
      <c r="BD740" s="1"/>
      <c r="BE740" s="1"/>
      <c r="BQ740" s="1"/>
    </row>
    <row r="741" spans="3:69">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W741" s="1"/>
      <c r="AX741" s="1"/>
      <c r="AY741" s="1"/>
      <c r="AZ741" s="1"/>
      <c r="BA741" s="1"/>
      <c r="BB741" s="1"/>
      <c r="BC741" s="1"/>
      <c r="BD741" s="1"/>
      <c r="BE741" s="1"/>
      <c r="BQ741" s="1"/>
    </row>
    <row r="742" spans="3:69">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W742" s="1"/>
      <c r="AX742" s="1"/>
      <c r="AY742" s="1"/>
      <c r="AZ742" s="1"/>
      <c r="BA742" s="1"/>
      <c r="BB742" s="1"/>
      <c r="BC742" s="1"/>
      <c r="BD742" s="1"/>
      <c r="BE742" s="1"/>
      <c r="BQ742" s="1"/>
    </row>
    <row r="743" spans="3:69">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W743" s="1"/>
      <c r="AX743" s="1"/>
      <c r="AY743" s="1"/>
      <c r="AZ743" s="1"/>
      <c r="BA743" s="1"/>
      <c r="BB743" s="1"/>
      <c r="BC743" s="1"/>
      <c r="BD743" s="1"/>
      <c r="BE743" s="1"/>
      <c r="BQ743" s="1"/>
    </row>
    <row r="744" spans="3:69">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W744" s="1"/>
      <c r="AX744" s="1"/>
      <c r="AY744" s="1"/>
      <c r="AZ744" s="1"/>
      <c r="BA744" s="1"/>
      <c r="BB744" s="1"/>
      <c r="BC744" s="1"/>
      <c r="BD744" s="1"/>
      <c r="BE744" s="1"/>
      <c r="BQ744" s="1"/>
    </row>
    <row r="745" spans="3:69">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W745" s="1"/>
      <c r="AX745" s="1"/>
      <c r="AY745" s="1"/>
      <c r="AZ745" s="1"/>
      <c r="BA745" s="1"/>
      <c r="BB745" s="1"/>
      <c r="BC745" s="1"/>
      <c r="BD745" s="1"/>
      <c r="BE745" s="1"/>
      <c r="BQ745" s="1"/>
    </row>
    <row r="746" spans="3:69">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W746" s="1"/>
      <c r="AX746" s="1"/>
      <c r="AY746" s="1"/>
      <c r="AZ746" s="1"/>
      <c r="BA746" s="1"/>
      <c r="BB746" s="1"/>
      <c r="BC746" s="1"/>
      <c r="BD746" s="1"/>
      <c r="BE746" s="1"/>
      <c r="BQ746" s="1"/>
    </row>
    <row r="747" spans="3:69">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W747" s="1"/>
      <c r="AX747" s="1"/>
      <c r="AY747" s="1"/>
      <c r="AZ747" s="1"/>
      <c r="BA747" s="1"/>
      <c r="BB747" s="1"/>
      <c r="BC747" s="1"/>
      <c r="BD747" s="1"/>
      <c r="BE747" s="1"/>
      <c r="BQ747" s="1"/>
    </row>
    <row r="748" spans="3:69">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W748" s="1"/>
      <c r="AX748" s="1"/>
      <c r="AY748" s="1"/>
      <c r="AZ748" s="1"/>
      <c r="BA748" s="1"/>
      <c r="BB748" s="1"/>
      <c r="BC748" s="1"/>
      <c r="BD748" s="1"/>
      <c r="BE748" s="1"/>
      <c r="BQ748" s="1"/>
    </row>
    <row r="749" spans="3:69">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W749" s="1"/>
      <c r="AX749" s="1"/>
      <c r="AY749" s="1"/>
      <c r="AZ749" s="1"/>
      <c r="BA749" s="1"/>
      <c r="BB749" s="1"/>
      <c r="BC749" s="1"/>
      <c r="BD749" s="1"/>
      <c r="BE749" s="1"/>
      <c r="BQ749" s="1"/>
    </row>
    <row r="750" spans="3:69">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W750" s="1"/>
      <c r="AX750" s="1"/>
      <c r="AY750" s="1"/>
      <c r="AZ750" s="1"/>
      <c r="BA750" s="1"/>
      <c r="BB750" s="1"/>
      <c r="BC750" s="1"/>
      <c r="BD750" s="1"/>
      <c r="BE750" s="1"/>
      <c r="BQ750" s="1"/>
    </row>
    <row r="751" spans="3:69">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W751" s="1"/>
      <c r="AX751" s="1"/>
      <c r="AY751" s="1"/>
      <c r="AZ751" s="1"/>
      <c r="BA751" s="1"/>
      <c r="BB751" s="1"/>
      <c r="BC751" s="1"/>
      <c r="BD751" s="1"/>
      <c r="BE751" s="1"/>
      <c r="BQ751" s="1"/>
    </row>
    <row r="752" spans="3:69">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W752" s="1"/>
      <c r="AX752" s="1"/>
      <c r="AY752" s="1"/>
      <c r="AZ752" s="1"/>
      <c r="BA752" s="1"/>
      <c r="BB752" s="1"/>
      <c r="BC752" s="1"/>
      <c r="BD752" s="1"/>
      <c r="BE752" s="1"/>
      <c r="BQ752" s="1"/>
    </row>
    <row r="753" spans="3:69">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W753" s="1"/>
      <c r="AX753" s="1"/>
      <c r="AY753" s="1"/>
      <c r="AZ753" s="1"/>
      <c r="BA753" s="1"/>
      <c r="BB753" s="1"/>
      <c r="BC753" s="1"/>
      <c r="BD753" s="1"/>
      <c r="BE753" s="1"/>
      <c r="BQ753" s="1"/>
    </row>
    <row r="754" spans="3:69">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W754" s="1"/>
      <c r="AX754" s="1"/>
      <c r="AY754" s="1"/>
      <c r="AZ754" s="1"/>
      <c r="BA754" s="1"/>
      <c r="BB754" s="1"/>
      <c r="BC754" s="1"/>
      <c r="BD754" s="1"/>
      <c r="BE754" s="1"/>
      <c r="BQ754" s="1"/>
    </row>
    <row r="755" spans="3:69">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W755" s="1"/>
      <c r="AX755" s="1"/>
      <c r="AY755" s="1"/>
      <c r="AZ755" s="1"/>
      <c r="BA755" s="1"/>
      <c r="BB755" s="1"/>
      <c r="BC755" s="1"/>
      <c r="BD755" s="1"/>
      <c r="BE755" s="1"/>
      <c r="BQ755" s="1"/>
    </row>
    <row r="756" spans="3:69">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W756" s="1"/>
      <c r="AX756" s="1"/>
      <c r="AY756" s="1"/>
      <c r="AZ756" s="1"/>
      <c r="BA756" s="1"/>
      <c r="BB756" s="1"/>
      <c r="BC756" s="1"/>
      <c r="BD756" s="1"/>
      <c r="BE756" s="1"/>
      <c r="BQ756" s="1"/>
    </row>
    <row r="757" spans="3:69">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W757" s="1"/>
      <c r="AX757" s="1"/>
      <c r="AY757" s="1"/>
      <c r="AZ757" s="1"/>
      <c r="BA757" s="1"/>
      <c r="BB757" s="1"/>
      <c r="BC757" s="1"/>
      <c r="BD757" s="1"/>
      <c r="BE757" s="1"/>
      <c r="BQ757" s="1"/>
    </row>
    <row r="758" spans="3:69">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W758" s="1"/>
      <c r="AX758" s="1"/>
      <c r="AY758" s="1"/>
      <c r="AZ758" s="1"/>
      <c r="BA758" s="1"/>
      <c r="BB758" s="1"/>
      <c r="BC758" s="1"/>
      <c r="BD758" s="1"/>
      <c r="BE758" s="1"/>
      <c r="BQ758" s="1"/>
    </row>
    <row r="759" spans="3:69">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W759" s="1"/>
      <c r="AX759" s="1"/>
      <c r="AY759" s="1"/>
      <c r="AZ759" s="1"/>
      <c r="BA759" s="1"/>
      <c r="BB759" s="1"/>
      <c r="BC759" s="1"/>
      <c r="BD759" s="1"/>
      <c r="BE759" s="1"/>
      <c r="BQ759" s="1"/>
    </row>
    <row r="760" spans="3:69">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W760" s="1"/>
      <c r="AX760" s="1"/>
      <c r="AY760" s="1"/>
      <c r="AZ760" s="1"/>
      <c r="BA760" s="1"/>
      <c r="BB760" s="1"/>
      <c r="BC760" s="1"/>
      <c r="BD760" s="1"/>
      <c r="BE760" s="1"/>
      <c r="BQ760" s="1"/>
    </row>
    <row r="761" spans="3:69">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W761" s="1"/>
      <c r="AX761" s="1"/>
      <c r="AY761" s="1"/>
      <c r="AZ761" s="1"/>
      <c r="BA761" s="1"/>
      <c r="BB761" s="1"/>
      <c r="BC761" s="1"/>
      <c r="BD761" s="1"/>
      <c r="BE761" s="1"/>
      <c r="BQ761" s="1"/>
    </row>
    <row r="762" spans="3:69">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W762" s="1"/>
      <c r="AX762" s="1"/>
      <c r="AY762" s="1"/>
      <c r="AZ762" s="1"/>
      <c r="BA762" s="1"/>
      <c r="BB762" s="1"/>
      <c r="BC762" s="1"/>
      <c r="BD762" s="1"/>
      <c r="BE762" s="1"/>
      <c r="BQ762" s="1"/>
    </row>
    <row r="763" spans="3:69">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W763" s="1"/>
      <c r="AX763" s="1"/>
      <c r="AY763" s="1"/>
      <c r="AZ763" s="1"/>
      <c r="BA763" s="1"/>
      <c r="BB763" s="1"/>
      <c r="BC763" s="1"/>
      <c r="BD763" s="1"/>
      <c r="BE763" s="1"/>
      <c r="BQ763" s="1"/>
    </row>
    <row r="764" spans="3:69">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W764" s="1"/>
      <c r="AX764" s="1"/>
      <c r="AY764" s="1"/>
      <c r="AZ764" s="1"/>
      <c r="BA764" s="1"/>
      <c r="BB764" s="1"/>
      <c r="BC764" s="1"/>
      <c r="BD764" s="1"/>
      <c r="BE764" s="1"/>
      <c r="BQ764" s="1"/>
    </row>
    <row r="765" spans="3:69">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W765" s="1"/>
      <c r="AX765" s="1"/>
      <c r="AY765" s="1"/>
      <c r="AZ765" s="1"/>
      <c r="BA765" s="1"/>
      <c r="BB765" s="1"/>
      <c r="BC765" s="1"/>
      <c r="BD765" s="1"/>
      <c r="BE765" s="1"/>
      <c r="BQ765" s="1"/>
    </row>
    <row r="766" spans="3:69">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W766" s="1"/>
      <c r="AX766" s="1"/>
      <c r="AY766" s="1"/>
      <c r="AZ766" s="1"/>
      <c r="BA766" s="1"/>
      <c r="BB766" s="1"/>
      <c r="BC766" s="1"/>
      <c r="BD766" s="1"/>
      <c r="BE766" s="1"/>
      <c r="BQ766" s="1"/>
    </row>
    <row r="767" spans="3:69">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W767" s="1"/>
      <c r="AX767" s="1"/>
      <c r="AY767" s="1"/>
      <c r="AZ767" s="1"/>
      <c r="BA767" s="1"/>
      <c r="BB767" s="1"/>
      <c r="BC767" s="1"/>
      <c r="BD767" s="1"/>
      <c r="BE767" s="1"/>
      <c r="BQ767" s="1"/>
    </row>
    <row r="768" spans="3:69">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W768" s="1"/>
      <c r="AX768" s="1"/>
      <c r="AY768" s="1"/>
      <c r="AZ768" s="1"/>
      <c r="BA768" s="1"/>
      <c r="BB768" s="1"/>
      <c r="BC768" s="1"/>
      <c r="BD768" s="1"/>
      <c r="BE768" s="1"/>
      <c r="BQ768" s="1"/>
    </row>
    <row r="769" spans="3:69">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W769" s="1"/>
      <c r="AX769" s="1"/>
      <c r="AY769" s="1"/>
      <c r="AZ769" s="1"/>
      <c r="BA769" s="1"/>
      <c r="BB769" s="1"/>
      <c r="BC769" s="1"/>
      <c r="BD769" s="1"/>
      <c r="BE769" s="1"/>
      <c r="BQ769" s="1"/>
    </row>
    <row r="770" spans="3:69">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W770" s="1"/>
      <c r="AX770" s="1"/>
      <c r="AY770" s="1"/>
      <c r="AZ770" s="1"/>
      <c r="BA770" s="1"/>
      <c r="BB770" s="1"/>
      <c r="BC770" s="1"/>
      <c r="BD770" s="1"/>
      <c r="BE770" s="1"/>
      <c r="BQ770" s="1"/>
    </row>
    <row r="771" spans="3:69">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W771" s="1"/>
      <c r="AX771" s="1"/>
      <c r="AY771" s="1"/>
      <c r="AZ771" s="1"/>
      <c r="BA771" s="1"/>
      <c r="BB771" s="1"/>
      <c r="BC771" s="1"/>
      <c r="BD771" s="1"/>
      <c r="BE771" s="1"/>
      <c r="BQ771" s="1"/>
    </row>
    <row r="772" spans="3:69">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W772" s="1"/>
      <c r="AX772" s="1"/>
      <c r="AY772" s="1"/>
      <c r="AZ772" s="1"/>
      <c r="BA772" s="1"/>
      <c r="BB772" s="1"/>
      <c r="BC772" s="1"/>
      <c r="BD772" s="1"/>
      <c r="BE772" s="1"/>
      <c r="BQ772" s="1"/>
    </row>
    <row r="773" spans="3:69">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W773" s="1"/>
      <c r="AX773" s="1"/>
      <c r="AY773" s="1"/>
      <c r="AZ773" s="1"/>
      <c r="BA773" s="1"/>
      <c r="BB773" s="1"/>
      <c r="BC773" s="1"/>
      <c r="BD773" s="1"/>
      <c r="BE773" s="1"/>
      <c r="BQ773" s="1"/>
    </row>
    <row r="774" spans="3:69">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W774" s="1"/>
      <c r="AX774" s="1"/>
      <c r="AY774" s="1"/>
      <c r="AZ774" s="1"/>
      <c r="BA774" s="1"/>
      <c r="BB774" s="1"/>
      <c r="BC774" s="1"/>
      <c r="BD774" s="1"/>
      <c r="BE774" s="1"/>
      <c r="BQ774" s="1"/>
    </row>
    <row r="775" spans="3:69">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W775" s="1"/>
      <c r="AX775" s="1"/>
      <c r="AY775" s="1"/>
      <c r="AZ775" s="1"/>
      <c r="BA775" s="1"/>
      <c r="BB775" s="1"/>
      <c r="BC775" s="1"/>
      <c r="BD775" s="1"/>
      <c r="BE775" s="1"/>
      <c r="BQ775" s="1"/>
    </row>
    <row r="776" spans="3:69">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W776" s="1"/>
      <c r="AX776" s="1"/>
      <c r="AY776" s="1"/>
      <c r="AZ776" s="1"/>
      <c r="BA776" s="1"/>
      <c r="BB776" s="1"/>
      <c r="BC776" s="1"/>
      <c r="BD776" s="1"/>
      <c r="BE776" s="1"/>
      <c r="BQ776" s="1"/>
    </row>
    <row r="777" spans="3:69">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W777" s="1"/>
      <c r="AX777" s="1"/>
      <c r="AY777" s="1"/>
      <c r="AZ777" s="6"/>
      <c r="BA777" s="1"/>
      <c r="BB777" s="1"/>
      <c r="BC777" s="1"/>
      <c r="BD777" s="1"/>
      <c r="BE777" s="1"/>
      <c r="BQ777" s="1"/>
    </row>
    <row r="778" spans="3:69">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W778" s="1"/>
      <c r="AX778" s="1"/>
      <c r="AY778" s="1"/>
      <c r="AZ778" s="6"/>
      <c r="BA778" s="1"/>
      <c r="BB778" s="1"/>
      <c r="BC778" s="1"/>
      <c r="BD778" s="1"/>
      <c r="BE778" s="1"/>
      <c r="BQ778" s="1"/>
    </row>
    <row r="779" spans="3:69">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W779" s="1"/>
      <c r="AX779" s="1"/>
      <c r="AY779" s="1"/>
      <c r="AZ779" s="6"/>
      <c r="BA779" s="1"/>
      <c r="BB779" s="1"/>
      <c r="BC779" s="1"/>
      <c r="BD779" s="1"/>
      <c r="BE779" s="1"/>
      <c r="BQ779" s="1"/>
    </row>
    <row r="780" spans="3:69">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W780" s="1"/>
      <c r="AX780" s="1"/>
      <c r="AY780" s="1"/>
      <c r="AZ780" s="6"/>
      <c r="BA780" s="1"/>
      <c r="BB780" s="1"/>
      <c r="BC780" s="1"/>
      <c r="BD780" s="1"/>
      <c r="BE780" s="1"/>
      <c r="BQ780" s="1"/>
    </row>
    <row r="781" spans="3:69">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W781" s="1"/>
      <c r="AX781" s="1"/>
      <c r="AY781" s="1"/>
      <c r="AZ781" s="6"/>
      <c r="BA781" s="1"/>
      <c r="BB781" s="1"/>
      <c r="BC781" s="1"/>
      <c r="BD781" s="1"/>
      <c r="BE781" s="1"/>
      <c r="BQ781" s="1"/>
    </row>
    <row r="782" spans="3:69">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W782" s="1"/>
      <c r="AX782" s="1"/>
      <c r="AY782" s="1"/>
      <c r="AZ782" s="6"/>
      <c r="BA782" s="1"/>
      <c r="BB782" s="1"/>
      <c r="BC782" s="1"/>
      <c r="BD782" s="1"/>
      <c r="BE782" s="1"/>
      <c r="BQ782" s="1"/>
    </row>
    <row r="783" spans="3:69">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W783" s="1"/>
      <c r="AX783" s="1"/>
      <c r="AY783" s="1"/>
      <c r="AZ783" s="6"/>
      <c r="BA783" s="1"/>
      <c r="BB783" s="1"/>
      <c r="BC783" s="1"/>
      <c r="BD783" s="1"/>
      <c r="BE783" s="1"/>
      <c r="BQ783" s="1"/>
    </row>
    <row r="784" spans="3:69">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W784" s="1"/>
      <c r="AX784" s="1"/>
      <c r="AY784" s="1"/>
      <c r="AZ784" s="6"/>
      <c r="BA784" s="1"/>
      <c r="BB784" s="1"/>
      <c r="BC784" s="1"/>
      <c r="BD784" s="1"/>
      <c r="BE784" s="1"/>
      <c r="BQ784" s="1"/>
    </row>
    <row r="785" spans="3:69">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W785" s="1"/>
      <c r="AX785" s="1"/>
      <c r="AY785" s="1"/>
      <c r="AZ785" s="6"/>
      <c r="BA785" s="1"/>
      <c r="BB785" s="1"/>
      <c r="BC785" s="1"/>
      <c r="BD785" s="1"/>
      <c r="BE785" s="1"/>
      <c r="BQ785" s="1"/>
    </row>
    <row r="786" spans="3:69">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W786" s="1"/>
      <c r="AX786" s="1"/>
      <c r="AY786" s="1"/>
      <c r="AZ786" s="6"/>
      <c r="BA786" s="1"/>
      <c r="BB786" s="1"/>
      <c r="BC786" s="1"/>
      <c r="BD786" s="1"/>
      <c r="BE786" s="1"/>
      <c r="BQ786" s="1"/>
    </row>
    <row r="787" spans="3:69">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W787" s="1"/>
      <c r="AX787" s="1"/>
      <c r="AY787" s="1"/>
      <c r="AZ787" s="6"/>
      <c r="BA787" s="1"/>
      <c r="BB787" s="1"/>
      <c r="BC787" s="1"/>
      <c r="BD787" s="1"/>
      <c r="BE787" s="1"/>
      <c r="BQ787" s="1"/>
    </row>
    <row r="788" spans="3:69">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W788" s="1"/>
      <c r="AX788" s="1"/>
      <c r="AY788" s="1"/>
      <c r="AZ788" s="6"/>
      <c r="BA788" s="1"/>
      <c r="BB788" s="1"/>
      <c r="BC788" s="1"/>
      <c r="BD788" s="1"/>
      <c r="BE788" s="1"/>
      <c r="BQ788" s="1"/>
    </row>
    <row r="789" spans="3:69">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W789" s="1"/>
      <c r="AX789" s="1"/>
      <c r="AY789" s="1"/>
      <c r="AZ789" s="6"/>
      <c r="BA789" s="1"/>
      <c r="BB789" s="1"/>
      <c r="BC789" s="1"/>
      <c r="BD789" s="1"/>
      <c r="BE789" s="1"/>
      <c r="BQ789" s="1"/>
    </row>
    <row r="790" spans="3:69">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W790" s="1"/>
      <c r="AX790" s="1"/>
      <c r="AY790" s="1"/>
      <c r="AZ790" s="6"/>
      <c r="BA790" s="1"/>
      <c r="BB790" s="1"/>
      <c r="BC790" s="1"/>
      <c r="BD790" s="1"/>
      <c r="BE790" s="1"/>
      <c r="BQ790" s="1"/>
    </row>
    <row r="791" spans="3:69">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W791" s="1"/>
      <c r="AX791" s="1"/>
      <c r="AY791" s="1"/>
      <c r="AZ791" s="6"/>
      <c r="BA791" s="1"/>
      <c r="BB791" s="1"/>
      <c r="BC791" s="1"/>
      <c r="BD791" s="1"/>
      <c r="BE791" s="1"/>
      <c r="BQ791" s="1"/>
    </row>
    <row r="792" spans="3:69">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W792" s="1"/>
      <c r="AX792" s="1"/>
      <c r="AY792" s="1"/>
      <c r="AZ792" s="6"/>
      <c r="BA792" s="1"/>
      <c r="BB792" s="1"/>
      <c r="BC792" s="1"/>
      <c r="BD792" s="1"/>
      <c r="BE792" s="1"/>
      <c r="BQ792" s="1"/>
    </row>
    <row r="793" spans="3:69">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W793" s="1"/>
      <c r="AX793" s="1"/>
      <c r="AY793" s="1"/>
      <c r="AZ793" s="6"/>
      <c r="BA793" s="1"/>
      <c r="BB793" s="1"/>
      <c r="BC793" s="1"/>
      <c r="BD793" s="1"/>
      <c r="BE793" s="1"/>
      <c r="BQ793" s="1"/>
    </row>
    <row r="794" spans="3:69">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W794" s="1"/>
      <c r="AX794" s="1"/>
      <c r="AY794" s="1"/>
      <c r="AZ794" s="6"/>
      <c r="BA794" s="1"/>
      <c r="BB794" s="1"/>
      <c r="BC794" s="1"/>
      <c r="BD794" s="1"/>
      <c r="BE794" s="1"/>
      <c r="BQ794" s="1"/>
    </row>
    <row r="795" spans="3:69">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W795" s="1"/>
      <c r="AX795" s="1"/>
      <c r="AY795" s="1"/>
      <c r="AZ795" s="6"/>
      <c r="BA795" s="1"/>
      <c r="BB795" s="1"/>
      <c r="BC795" s="1"/>
      <c r="BD795" s="1"/>
      <c r="BE795" s="1"/>
      <c r="BQ795" s="1"/>
    </row>
    <row r="796" spans="3:69">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W796" s="1"/>
      <c r="AX796" s="1"/>
      <c r="AY796" s="1"/>
      <c r="AZ796" s="6"/>
      <c r="BA796" s="1"/>
      <c r="BB796" s="1"/>
      <c r="BC796" s="1"/>
      <c r="BD796" s="1"/>
      <c r="BE796" s="1"/>
      <c r="BQ796" s="1"/>
    </row>
    <row r="797" spans="3:69">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W797" s="1"/>
      <c r="AX797" s="1"/>
      <c r="AY797" s="1"/>
      <c r="AZ797" s="6"/>
      <c r="BA797" s="1"/>
      <c r="BB797" s="1"/>
      <c r="BC797" s="1"/>
      <c r="BD797" s="1"/>
      <c r="BE797" s="1"/>
      <c r="BQ797" s="1"/>
    </row>
    <row r="798" spans="3:69">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W798" s="1"/>
      <c r="AX798" s="1"/>
      <c r="AY798" s="1"/>
      <c r="AZ798" s="6"/>
      <c r="BA798" s="1"/>
      <c r="BB798" s="1"/>
      <c r="BC798" s="1"/>
      <c r="BD798" s="1"/>
      <c r="BE798" s="1"/>
      <c r="BQ798" s="1"/>
    </row>
    <row r="799" spans="3:69">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W799" s="1"/>
      <c r="AX799" s="1"/>
      <c r="AY799" s="1"/>
      <c r="AZ799" s="6"/>
      <c r="BA799" s="1"/>
      <c r="BB799" s="1"/>
      <c r="BC799" s="1"/>
      <c r="BD799" s="1"/>
      <c r="BE799" s="1"/>
      <c r="BQ799" s="1"/>
    </row>
    <row r="800" spans="3:69">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W800" s="1"/>
      <c r="AX800" s="1"/>
      <c r="AY800" s="1"/>
      <c r="AZ800" s="6"/>
      <c r="BA800" s="1"/>
      <c r="BB800" s="1"/>
      <c r="BC800" s="1"/>
      <c r="BD800" s="1"/>
      <c r="BE800" s="1"/>
      <c r="BQ800" s="1"/>
    </row>
    <row r="801" spans="3:69">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W801" s="1"/>
      <c r="AX801" s="1"/>
      <c r="AY801" s="1"/>
      <c r="AZ801" s="6"/>
      <c r="BA801" s="1"/>
      <c r="BB801" s="1"/>
      <c r="BC801" s="1"/>
      <c r="BD801" s="1"/>
      <c r="BE801" s="1"/>
      <c r="BQ801" s="1"/>
    </row>
    <row r="802" spans="3:69">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W802" s="1"/>
      <c r="AX802" s="1"/>
      <c r="AY802" s="1"/>
      <c r="AZ802" s="6"/>
      <c r="BA802" s="1"/>
      <c r="BB802" s="1"/>
      <c r="BC802" s="1"/>
      <c r="BD802" s="1"/>
      <c r="BE802" s="1"/>
      <c r="BQ802" s="1"/>
    </row>
    <row r="803" spans="3:69">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W803" s="1"/>
      <c r="AX803" s="1"/>
      <c r="AY803" s="1"/>
      <c r="AZ803" s="6"/>
      <c r="BA803" s="1"/>
      <c r="BB803" s="1"/>
      <c r="BC803" s="1"/>
      <c r="BD803" s="1"/>
      <c r="BE803" s="1"/>
      <c r="BQ803" s="1"/>
    </row>
    <row r="804" spans="3:69">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W804" s="1"/>
      <c r="AX804" s="1"/>
      <c r="AY804" s="1"/>
      <c r="AZ804" s="6"/>
      <c r="BA804" s="1"/>
      <c r="BB804" s="1"/>
      <c r="BC804" s="1"/>
      <c r="BD804" s="1"/>
      <c r="BE804" s="1"/>
      <c r="BQ804" s="1"/>
    </row>
    <row r="805" spans="3:69">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W805" s="1"/>
      <c r="AX805" s="1"/>
      <c r="AY805" s="1"/>
      <c r="AZ805" s="6"/>
      <c r="BA805" s="1"/>
      <c r="BB805" s="1"/>
      <c r="BC805" s="1"/>
      <c r="BD805" s="1"/>
      <c r="BE805" s="1"/>
      <c r="BQ805" s="1"/>
    </row>
    <row r="806" spans="3:69">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W806" s="1"/>
      <c r="AX806" s="1"/>
      <c r="AY806" s="1"/>
      <c r="AZ806" s="6"/>
      <c r="BA806" s="1"/>
      <c r="BB806" s="1"/>
      <c r="BC806" s="1"/>
      <c r="BD806" s="1"/>
      <c r="BE806" s="1"/>
      <c r="BQ806" s="1"/>
    </row>
    <row r="807" spans="3:69">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W807" s="1"/>
      <c r="AX807" s="1"/>
      <c r="AY807" s="1"/>
      <c r="AZ807" s="6"/>
      <c r="BA807" s="1"/>
      <c r="BB807" s="1"/>
      <c r="BC807" s="1"/>
      <c r="BD807" s="1"/>
      <c r="BE807" s="1"/>
      <c r="BQ807" s="1"/>
    </row>
    <row r="808" spans="3:69">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W808" s="1"/>
      <c r="AX808" s="1"/>
      <c r="AY808" s="1"/>
      <c r="AZ808" s="6"/>
      <c r="BA808" s="1"/>
      <c r="BB808" s="1"/>
      <c r="BC808" s="1"/>
      <c r="BD808" s="1"/>
      <c r="BE808" s="1"/>
      <c r="BQ808" s="1"/>
    </row>
    <row r="809" spans="3:69">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W809" s="1"/>
      <c r="AX809" s="1"/>
      <c r="AY809" s="1"/>
      <c r="AZ809" s="6"/>
      <c r="BA809" s="1"/>
      <c r="BB809" s="1"/>
      <c r="BC809" s="1"/>
      <c r="BD809" s="1"/>
      <c r="BE809" s="1"/>
      <c r="BQ809" s="1"/>
    </row>
    <row r="810" spans="3:69">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W810" s="1"/>
      <c r="AX810" s="1"/>
      <c r="AY810" s="1"/>
      <c r="AZ810" s="6"/>
      <c r="BA810" s="1"/>
      <c r="BB810" s="1"/>
      <c r="BC810" s="1"/>
      <c r="BD810" s="1"/>
      <c r="BE810" s="1"/>
      <c r="BQ810" s="1"/>
    </row>
    <row r="811" spans="3:69">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W811" s="1"/>
      <c r="AX811" s="1"/>
      <c r="AY811" s="1"/>
      <c r="AZ811" s="6"/>
      <c r="BA811" s="1"/>
      <c r="BB811" s="1"/>
      <c r="BC811" s="1"/>
      <c r="BD811" s="1"/>
      <c r="BE811" s="1"/>
      <c r="BQ811" s="1"/>
    </row>
    <row r="812" spans="3:69">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W812" s="1"/>
      <c r="AX812" s="1"/>
      <c r="AY812" s="1"/>
      <c r="AZ812" s="6"/>
      <c r="BA812" s="1"/>
      <c r="BB812" s="1"/>
      <c r="BC812" s="1"/>
      <c r="BD812" s="1"/>
      <c r="BE812" s="1"/>
      <c r="BQ812" s="1"/>
    </row>
    <row r="813" spans="3:69">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W813" s="1"/>
      <c r="AX813" s="1"/>
      <c r="AY813" s="1"/>
      <c r="AZ813" s="6"/>
      <c r="BA813" s="1"/>
      <c r="BB813" s="1"/>
      <c r="BC813" s="1"/>
      <c r="BD813" s="1"/>
      <c r="BE813" s="1"/>
      <c r="BQ813" s="1"/>
    </row>
    <row r="814" spans="3:69">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W814" s="1"/>
      <c r="AX814" s="1"/>
      <c r="AY814" s="1"/>
      <c r="AZ814" s="6"/>
      <c r="BA814" s="1"/>
      <c r="BB814" s="1"/>
      <c r="BC814" s="1"/>
      <c r="BD814" s="1"/>
      <c r="BE814" s="1"/>
      <c r="BQ814" s="1"/>
    </row>
    <row r="815" spans="3:69">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W815" s="1"/>
      <c r="AX815" s="1"/>
      <c r="AY815" s="1"/>
      <c r="AZ815" s="6"/>
      <c r="BA815" s="1"/>
      <c r="BB815" s="1"/>
      <c r="BC815" s="1"/>
      <c r="BD815" s="1"/>
      <c r="BE815" s="1"/>
      <c r="BQ815" s="1"/>
    </row>
    <row r="816" spans="3:69">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W816" s="1"/>
      <c r="AX816" s="1"/>
      <c r="AY816" s="1"/>
      <c r="AZ816" s="6"/>
      <c r="BA816" s="1"/>
      <c r="BB816" s="1"/>
      <c r="BC816" s="1"/>
      <c r="BD816" s="1"/>
      <c r="BE816" s="1"/>
      <c r="BQ816" s="1"/>
    </row>
    <row r="817" spans="3:69">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W817" s="1"/>
      <c r="AX817" s="1"/>
      <c r="AY817" s="1"/>
      <c r="AZ817" s="6"/>
      <c r="BA817" s="1"/>
      <c r="BB817" s="1"/>
      <c r="BC817" s="1"/>
      <c r="BD817" s="1"/>
      <c r="BE817" s="1"/>
      <c r="BQ817" s="1"/>
    </row>
    <row r="818" spans="3:69">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W818" s="1"/>
      <c r="AX818" s="1"/>
      <c r="AY818" s="1"/>
      <c r="AZ818" s="6"/>
      <c r="BA818" s="1"/>
      <c r="BB818" s="1"/>
      <c r="BC818" s="1"/>
      <c r="BD818" s="1"/>
      <c r="BE818" s="1"/>
      <c r="BQ818" s="1"/>
    </row>
    <row r="819" spans="3:69">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W819" s="1"/>
      <c r="AX819" s="1"/>
      <c r="AY819" s="1"/>
      <c r="AZ819" s="6"/>
      <c r="BA819" s="1"/>
      <c r="BB819" s="1"/>
      <c r="BC819" s="1"/>
      <c r="BD819" s="1"/>
      <c r="BE819" s="1"/>
      <c r="BQ819" s="1"/>
    </row>
    <row r="820" spans="3:69">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W820" s="1"/>
      <c r="AX820" s="1"/>
      <c r="AY820" s="1"/>
      <c r="AZ820" s="6"/>
      <c r="BA820" s="1"/>
      <c r="BB820" s="1"/>
      <c r="BC820" s="1"/>
      <c r="BD820" s="1"/>
      <c r="BE820" s="1"/>
      <c r="BQ820" s="1"/>
    </row>
    <row r="821" spans="3:69">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W821" s="1"/>
      <c r="AX821" s="1"/>
      <c r="AY821" s="1"/>
      <c r="AZ821" s="6"/>
      <c r="BA821" s="1"/>
      <c r="BB821" s="1"/>
      <c r="BC821" s="1"/>
      <c r="BD821" s="1"/>
      <c r="BE821" s="1"/>
      <c r="BQ821" s="1"/>
    </row>
    <row r="822" spans="3:69">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W822" s="1"/>
      <c r="AX822" s="1"/>
      <c r="AY822" s="1"/>
      <c r="AZ822" s="6"/>
      <c r="BA822" s="1"/>
      <c r="BB822" s="1"/>
      <c r="BC822" s="1"/>
      <c r="BD822" s="1"/>
      <c r="BE822" s="1"/>
      <c r="BQ822" s="1"/>
    </row>
    <row r="823" spans="3:69">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W823" s="1"/>
      <c r="AX823" s="1"/>
      <c r="AY823" s="1"/>
      <c r="AZ823" s="6"/>
      <c r="BA823" s="1"/>
      <c r="BB823" s="1"/>
      <c r="BC823" s="1"/>
      <c r="BD823" s="1"/>
      <c r="BE823" s="1"/>
      <c r="BQ823" s="1"/>
    </row>
    <row r="824" spans="3:69">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W824" s="1"/>
      <c r="AX824" s="1"/>
      <c r="AY824" s="1"/>
      <c r="AZ824" s="6"/>
      <c r="BA824" s="1"/>
      <c r="BB824" s="1"/>
      <c r="BC824" s="1"/>
      <c r="BD824" s="1"/>
      <c r="BE824" s="1"/>
      <c r="BQ824" s="1"/>
    </row>
    <row r="825" spans="3:69">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W825" s="1"/>
      <c r="AX825" s="1"/>
      <c r="AY825" s="1"/>
      <c r="AZ825" s="6"/>
      <c r="BA825" s="1"/>
      <c r="BB825" s="1"/>
      <c r="BC825" s="1"/>
      <c r="BD825" s="1"/>
      <c r="BE825" s="1"/>
      <c r="BQ825" s="1"/>
    </row>
    <row r="826" spans="3:69">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W826" s="1"/>
      <c r="AX826" s="1"/>
      <c r="AY826" s="1"/>
      <c r="AZ826" s="6"/>
      <c r="BA826" s="1"/>
      <c r="BB826" s="1"/>
      <c r="BC826" s="1"/>
      <c r="BD826" s="1"/>
      <c r="BE826" s="1"/>
      <c r="BQ826" s="1"/>
    </row>
    <row r="827" spans="3:69">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W827" s="1"/>
      <c r="AX827" s="1"/>
      <c r="AY827" s="1"/>
      <c r="AZ827" s="6"/>
      <c r="BA827" s="1"/>
      <c r="BB827" s="1"/>
      <c r="BC827" s="1"/>
      <c r="BD827" s="1"/>
      <c r="BE827" s="1"/>
      <c r="BQ827" s="1"/>
    </row>
    <row r="828" spans="3:69">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W828" s="1"/>
      <c r="AX828" s="1"/>
      <c r="AY828" s="1"/>
      <c r="AZ828" s="6"/>
      <c r="BA828" s="1"/>
      <c r="BB828" s="1"/>
      <c r="BC828" s="1"/>
      <c r="BD828" s="1"/>
      <c r="BE828" s="1"/>
      <c r="BQ828" s="1"/>
    </row>
    <row r="829" spans="3:69">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W829" s="1"/>
      <c r="AX829" s="1"/>
      <c r="AY829" s="1"/>
      <c r="AZ829" s="6"/>
      <c r="BA829" s="1"/>
      <c r="BB829" s="1"/>
      <c r="BC829" s="1"/>
      <c r="BD829" s="1"/>
      <c r="BE829" s="1"/>
      <c r="BQ829" s="1"/>
    </row>
    <row r="830" spans="3:69">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W830" s="1"/>
      <c r="AX830" s="1"/>
      <c r="AY830" s="1"/>
      <c r="AZ830" s="6"/>
      <c r="BA830" s="1"/>
      <c r="BB830" s="1"/>
      <c r="BC830" s="1"/>
      <c r="BD830" s="1"/>
      <c r="BE830" s="1"/>
      <c r="BQ830" s="1"/>
    </row>
    <row r="831" spans="3:69">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W831" s="1"/>
      <c r="AX831" s="1"/>
      <c r="AY831" s="1"/>
      <c r="AZ831" s="6"/>
      <c r="BA831" s="1"/>
      <c r="BB831" s="1"/>
      <c r="BC831" s="1"/>
      <c r="BD831" s="1"/>
      <c r="BE831" s="1"/>
      <c r="BQ831" s="1"/>
    </row>
    <row r="832" spans="3:69">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W832" s="1"/>
      <c r="AX832" s="1"/>
      <c r="AY832" s="1"/>
      <c r="AZ832" s="6"/>
      <c r="BA832" s="1"/>
      <c r="BB832" s="1"/>
      <c r="BC832" s="1"/>
      <c r="BD832" s="1"/>
      <c r="BE832" s="1"/>
      <c r="BQ832" s="1"/>
    </row>
    <row r="833" spans="3:69">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W833" s="1"/>
      <c r="AX833" s="1"/>
      <c r="AY833" s="1"/>
      <c r="AZ833" s="6"/>
      <c r="BA833" s="1"/>
      <c r="BB833" s="1"/>
      <c r="BC833" s="1"/>
      <c r="BD833" s="1"/>
      <c r="BE833" s="1"/>
      <c r="BQ833" s="1"/>
    </row>
    <row r="834" spans="3:69">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W834" s="1"/>
      <c r="AX834" s="1"/>
      <c r="AY834" s="1"/>
      <c r="AZ834" s="6"/>
      <c r="BA834" s="1"/>
      <c r="BB834" s="1"/>
      <c r="BC834" s="1"/>
      <c r="BD834" s="1"/>
      <c r="BE834" s="1"/>
      <c r="BQ834" s="1"/>
    </row>
    <row r="835" spans="3:69">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W835" s="1"/>
      <c r="AX835" s="1"/>
      <c r="AY835" s="1"/>
      <c r="AZ835" s="6"/>
      <c r="BA835" s="1"/>
      <c r="BB835" s="1"/>
      <c r="BC835" s="1"/>
      <c r="BD835" s="1"/>
      <c r="BE835" s="1"/>
      <c r="BQ835" s="1"/>
    </row>
    <row r="836" spans="3:69">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W836" s="1"/>
      <c r="AX836" s="1"/>
      <c r="AY836" s="1"/>
      <c r="AZ836" s="6"/>
      <c r="BA836" s="1"/>
      <c r="BB836" s="1"/>
      <c r="BC836" s="1"/>
      <c r="BD836" s="1"/>
      <c r="BE836" s="1"/>
      <c r="BQ836" s="1"/>
    </row>
    <row r="837" spans="3:69">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W837" s="1"/>
      <c r="AX837" s="1"/>
      <c r="AY837" s="1"/>
      <c r="AZ837" s="6"/>
      <c r="BA837" s="1"/>
      <c r="BB837" s="1"/>
      <c r="BC837" s="1"/>
      <c r="BD837" s="1"/>
      <c r="BE837" s="1"/>
      <c r="BQ837" s="1"/>
    </row>
    <row r="838" spans="3:69">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W838" s="1"/>
      <c r="AX838" s="1"/>
      <c r="AY838" s="1"/>
      <c r="AZ838" s="6"/>
      <c r="BA838" s="1"/>
      <c r="BB838" s="1"/>
      <c r="BC838" s="1"/>
      <c r="BD838" s="1"/>
      <c r="BE838" s="1"/>
      <c r="BQ838" s="1"/>
    </row>
    <row r="839" spans="3:69">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W839" s="1"/>
      <c r="AX839" s="1"/>
      <c r="AY839" s="1"/>
      <c r="AZ839" s="6"/>
      <c r="BA839" s="1"/>
      <c r="BB839" s="1"/>
      <c r="BC839" s="1"/>
      <c r="BD839" s="1"/>
      <c r="BE839" s="1"/>
      <c r="BQ839" s="1"/>
    </row>
    <row r="840" spans="3:69">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W840" s="1"/>
      <c r="AX840" s="1"/>
      <c r="AY840" s="1"/>
      <c r="AZ840" s="6"/>
      <c r="BA840" s="1"/>
      <c r="BB840" s="1"/>
      <c r="BC840" s="1"/>
      <c r="BD840" s="1"/>
      <c r="BE840" s="1"/>
      <c r="BQ840" s="1"/>
    </row>
    <row r="841" spans="3:69">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W841" s="1"/>
      <c r="AX841" s="1"/>
      <c r="AY841" s="1"/>
      <c r="AZ841" s="6"/>
      <c r="BA841" s="1"/>
      <c r="BB841" s="1"/>
      <c r="BC841" s="1"/>
      <c r="BD841" s="1"/>
      <c r="BE841" s="1"/>
      <c r="BQ841" s="1"/>
    </row>
    <row r="842" spans="3:69">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W842" s="1"/>
      <c r="AX842" s="1"/>
      <c r="AY842" s="1"/>
      <c r="AZ842" s="6"/>
      <c r="BA842" s="1"/>
      <c r="BB842" s="1"/>
      <c r="BC842" s="1"/>
      <c r="BD842" s="1"/>
      <c r="BE842" s="1"/>
      <c r="BQ842" s="1"/>
    </row>
    <row r="843" spans="3:69">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W843" s="1"/>
      <c r="AX843" s="1"/>
      <c r="AY843" s="1"/>
      <c r="AZ843" s="6"/>
      <c r="BA843" s="1"/>
      <c r="BB843" s="1"/>
      <c r="BC843" s="1"/>
      <c r="BD843" s="1"/>
      <c r="BE843" s="1"/>
      <c r="BQ843" s="1"/>
    </row>
    <row r="844" spans="3:69">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W844" s="1"/>
      <c r="AX844" s="1"/>
      <c r="AY844" s="1"/>
      <c r="AZ844" s="6"/>
      <c r="BA844" s="1"/>
      <c r="BB844" s="1"/>
      <c r="BC844" s="1"/>
      <c r="BD844" s="1"/>
      <c r="BE844" s="1"/>
      <c r="BQ844" s="1"/>
    </row>
    <row r="845" spans="3:69">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W845" s="1"/>
      <c r="AX845" s="1"/>
      <c r="AY845" s="1"/>
      <c r="AZ845" s="6"/>
      <c r="BA845" s="1"/>
      <c r="BB845" s="1"/>
      <c r="BC845" s="1"/>
      <c r="BD845" s="1"/>
      <c r="BE845" s="1"/>
      <c r="BQ845" s="1"/>
    </row>
    <row r="846" spans="3:69">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W846" s="1"/>
      <c r="AX846" s="1"/>
      <c r="AY846" s="1"/>
      <c r="AZ846" s="6"/>
      <c r="BA846" s="1"/>
      <c r="BB846" s="1"/>
      <c r="BC846" s="1"/>
      <c r="BD846" s="1"/>
      <c r="BE846" s="1"/>
      <c r="BQ846" s="1"/>
    </row>
    <row r="847" spans="3:69">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W847" s="1"/>
      <c r="AX847" s="1"/>
      <c r="AY847" s="1"/>
      <c r="AZ847" s="6"/>
      <c r="BA847" s="1"/>
      <c r="BB847" s="1"/>
      <c r="BC847" s="1"/>
      <c r="BD847" s="1"/>
      <c r="BE847" s="1"/>
      <c r="BQ847" s="1"/>
    </row>
    <row r="848" spans="3:69">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W848" s="1"/>
      <c r="AX848" s="1"/>
      <c r="AY848" s="1"/>
      <c r="AZ848" s="6"/>
      <c r="BA848" s="1"/>
      <c r="BB848" s="1"/>
      <c r="BC848" s="1"/>
      <c r="BD848" s="1"/>
      <c r="BE848" s="1"/>
      <c r="BQ848" s="1"/>
    </row>
    <row r="849" spans="3:69">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W849" s="1"/>
      <c r="AX849" s="1"/>
      <c r="AY849" s="1"/>
      <c r="AZ849" s="6"/>
      <c r="BA849" s="1"/>
      <c r="BB849" s="1"/>
      <c r="BC849" s="1"/>
      <c r="BD849" s="1"/>
      <c r="BE849" s="1"/>
      <c r="BQ849" s="1"/>
    </row>
    <row r="850" spans="3:69">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W850" s="1"/>
      <c r="AX850" s="1"/>
      <c r="AY850" s="1"/>
      <c r="AZ850" s="6"/>
      <c r="BA850" s="1"/>
      <c r="BB850" s="1"/>
      <c r="BC850" s="1"/>
      <c r="BD850" s="1"/>
      <c r="BE850" s="1"/>
      <c r="BQ850" s="1"/>
    </row>
    <row r="851" spans="3:69">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W851" s="1"/>
      <c r="AX851" s="1"/>
      <c r="AY851" s="1"/>
      <c r="AZ851" s="6"/>
      <c r="BA851" s="1"/>
      <c r="BB851" s="1"/>
      <c r="BC851" s="1"/>
      <c r="BD851" s="1"/>
      <c r="BE851" s="1"/>
      <c r="BQ851" s="1"/>
    </row>
    <row r="852" spans="3:69">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W852" s="1"/>
      <c r="AX852" s="1"/>
      <c r="AY852" s="1"/>
      <c r="AZ852" s="6"/>
      <c r="BA852" s="1"/>
      <c r="BB852" s="1"/>
      <c r="BC852" s="1"/>
      <c r="BD852" s="1"/>
      <c r="BE852" s="1"/>
      <c r="BQ852" s="1"/>
    </row>
    <row r="853" spans="3:69">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W853" s="1"/>
      <c r="AX853" s="1"/>
      <c r="AY853" s="1"/>
      <c r="AZ853" s="6"/>
      <c r="BA853" s="1"/>
      <c r="BB853" s="1"/>
      <c r="BC853" s="1"/>
      <c r="BD853" s="1"/>
      <c r="BE853" s="1"/>
      <c r="BQ853" s="1"/>
    </row>
    <row r="854" spans="3:69">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W854" s="1"/>
      <c r="AX854" s="1"/>
      <c r="AY854" s="1"/>
      <c r="AZ854" s="6"/>
      <c r="BA854" s="1"/>
      <c r="BB854" s="1"/>
      <c r="BC854" s="1"/>
      <c r="BD854" s="1"/>
      <c r="BE854" s="1"/>
      <c r="BQ854" s="1"/>
    </row>
    <row r="855" spans="3:69">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W855" s="1"/>
      <c r="AX855" s="1"/>
      <c r="AY855" s="1"/>
      <c r="AZ855" s="6"/>
      <c r="BA855" s="1"/>
      <c r="BB855" s="1"/>
      <c r="BC855" s="1"/>
      <c r="BD855" s="1"/>
      <c r="BE855" s="1"/>
      <c r="BQ855" s="1"/>
    </row>
    <row r="856" spans="3:69">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W856" s="1"/>
      <c r="AX856" s="1"/>
      <c r="AY856" s="1"/>
      <c r="AZ856" s="6"/>
      <c r="BA856" s="1"/>
      <c r="BB856" s="1"/>
      <c r="BC856" s="1"/>
      <c r="BD856" s="1"/>
      <c r="BE856" s="1"/>
      <c r="BQ856" s="1"/>
    </row>
    <row r="857" spans="3:69">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W857" s="1"/>
      <c r="AX857" s="1"/>
      <c r="AY857" s="1"/>
      <c r="AZ857" s="6"/>
      <c r="BA857" s="1"/>
      <c r="BB857" s="1"/>
      <c r="BC857" s="1"/>
      <c r="BD857" s="1"/>
      <c r="BE857" s="1"/>
      <c r="BQ857" s="1"/>
    </row>
    <row r="858" spans="3:69">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W858" s="1"/>
      <c r="AX858" s="1"/>
      <c r="AY858" s="1"/>
      <c r="AZ858" s="6"/>
      <c r="BA858" s="1"/>
      <c r="BB858" s="1"/>
      <c r="BC858" s="1"/>
      <c r="BD858" s="1"/>
      <c r="BE858" s="1"/>
      <c r="BQ858" s="1"/>
    </row>
    <row r="859" spans="3:69">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W859" s="1"/>
      <c r="AX859" s="1"/>
      <c r="AY859" s="1"/>
      <c r="AZ859" s="6"/>
      <c r="BA859" s="1"/>
      <c r="BB859" s="1"/>
      <c r="BC859" s="1"/>
      <c r="BD859" s="1"/>
      <c r="BE859" s="1"/>
      <c r="BQ859" s="1"/>
    </row>
    <row r="860" spans="3:69">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W860" s="1"/>
      <c r="AX860" s="1"/>
      <c r="AY860" s="1"/>
      <c r="AZ860" s="6"/>
      <c r="BA860" s="1"/>
      <c r="BB860" s="1"/>
      <c r="BC860" s="1"/>
      <c r="BD860" s="1"/>
      <c r="BE860" s="1"/>
      <c r="BQ860" s="1"/>
    </row>
    <row r="861" spans="3:69">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W861" s="1"/>
      <c r="AX861" s="1"/>
      <c r="AY861" s="1"/>
      <c r="AZ861" s="6"/>
      <c r="BA861" s="1"/>
      <c r="BB861" s="1"/>
      <c r="BC861" s="1"/>
      <c r="BD861" s="1"/>
      <c r="BE861" s="1"/>
      <c r="BQ861" s="1"/>
    </row>
    <row r="862" spans="3:69">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W862" s="1"/>
      <c r="AX862" s="1"/>
      <c r="AY862" s="1"/>
      <c r="AZ862" s="6"/>
      <c r="BA862" s="1"/>
      <c r="BB862" s="1"/>
      <c r="BC862" s="1"/>
      <c r="BD862" s="1"/>
      <c r="BE862" s="1"/>
      <c r="BQ862" s="1"/>
    </row>
    <row r="863" spans="3:69">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W863" s="1"/>
      <c r="AX863" s="1"/>
      <c r="AY863" s="1"/>
      <c r="AZ863" s="6"/>
      <c r="BA863" s="1"/>
      <c r="BB863" s="1"/>
      <c r="BC863" s="1"/>
      <c r="BD863" s="1"/>
      <c r="BE863" s="1"/>
      <c r="BQ863" s="1"/>
    </row>
    <row r="864" spans="3:69">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W864" s="1"/>
      <c r="AX864" s="1"/>
      <c r="AY864" s="1"/>
      <c r="AZ864" s="6"/>
      <c r="BA864" s="1"/>
      <c r="BB864" s="1"/>
      <c r="BC864" s="1"/>
      <c r="BD864" s="1"/>
      <c r="BE864" s="1"/>
      <c r="BQ864" s="1"/>
    </row>
    <row r="865" spans="3:69">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W865" s="1"/>
      <c r="AX865" s="1"/>
      <c r="AY865" s="1"/>
      <c r="AZ865" s="6"/>
      <c r="BA865" s="1"/>
      <c r="BB865" s="1"/>
      <c r="BC865" s="1"/>
      <c r="BD865" s="1"/>
      <c r="BE865" s="1"/>
      <c r="BQ865" s="1"/>
    </row>
    <row r="866" spans="3:69">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W866" s="1"/>
      <c r="AX866" s="1"/>
      <c r="AY866" s="1"/>
      <c r="AZ866" s="6"/>
      <c r="BA866" s="1"/>
      <c r="BB866" s="1"/>
      <c r="BC866" s="1"/>
      <c r="BD866" s="1"/>
      <c r="BE866" s="1"/>
      <c r="BQ866" s="1"/>
    </row>
    <row r="867" spans="3:69">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W867" s="1"/>
      <c r="AX867" s="1"/>
      <c r="AY867" s="1"/>
      <c r="AZ867" s="6"/>
      <c r="BA867" s="1"/>
      <c r="BB867" s="1"/>
      <c r="BC867" s="1"/>
      <c r="BD867" s="1"/>
      <c r="BE867" s="1"/>
      <c r="BQ867" s="1"/>
    </row>
    <row r="868" spans="3:69">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W868" s="1"/>
      <c r="AX868" s="1"/>
      <c r="AY868" s="1"/>
      <c r="AZ868" s="6"/>
      <c r="BA868" s="1"/>
      <c r="BB868" s="1"/>
      <c r="BC868" s="1"/>
      <c r="BD868" s="1"/>
      <c r="BE868" s="1"/>
      <c r="BQ868" s="1"/>
    </row>
    <row r="869" spans="3:69">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W869" s="1"/>
      <c r="AX869" s="1"/>
      <c r="AY869" s="1"/>
      <c r="AZ869" s="6"/>
      <c r="BA869" s="1"/>
      <c r="BB869" s="1"/>
      <c r="BC869" s="1"/>
      <c r="BD869" s="1"/>
      <c r="BE869" s="1"/>
      <c r="BQ869" s="1"/>
    </row>
    <row r="870" spans="3:69">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W870" s="1"/>
      <c r="AX870" s="1"/>
      <c r="AY870" s="1"/>
      <c r="AZ870" s="6"/>
      <c r="BA870" s="1"/>
      <c r="BB870" s="1"/>
      <c r="BC870" s="1"/>
      <c r="BD870" s="1"/>
      <c r="BE870" s="1"/>
      <c r="BQ870" s="1"/>
    </row>
    <row r="871" spans="3:69">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W871" s="1"/>
      <c r="AX871" s="1"/>
      <c r="AY871" s="1"/>
      <c r="AZ871" s="6"/>
      <c r="BA871" s="1"/>
      <c r="BB871" s="1"/>
      <c r="BC871" s="1"/>
      <c r="BD871" s="1"/>
      <c r="BE871" s="1"/>
      <c r="BQ871" s="1"/>
    </row>
    <row r="872" spans="3:69">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W872" s="1"/>
      <c r="AX872" s="1"/>
      <c r="AY872" s="1"/>
      <c r="AZ872" s="6"/>
      <c r="BA872" s="1"/>
      <c r="BB872" s="1"/>
      <c r="BC872" s="1"/>
      <c r="BD872" s="1"/>
      <c r="BE872" s="1"/>
      <c r="BQ872" s="1"/>
    </row>
    <row r="873" spans="3:69">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W873" s="1"/>
      <c r="AX873" s="1"/>
      <c r="AY873" s="1"/>
      <c r="AZ873" s="6"/>
      <c r="BA873" s="1"/>
      <c r="BB873" s="1"/>
      <c r="BC873" s="1"/>
      <c r="BD873" s="1"/>
      <c r="BE873" s="1"/>
      <c r="BQ873" s="1"/>
    </row>
    <row r="874" spans="3:69">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W874" s="1"/>
      <c r="AX874" s="1"/>
      <c r="AY874" s="1"/>
      <c r="AZ874" s="6"/>
      <c r="BA874" s="1"/>
      <c r="BB874" s="1"/>
      <c r="BC874" s="1"/>
      <c r="BD874" s="1"/>
      <c r="BE874" s="1"/>
      <c r="BQ874" s="1"/>
    </row>
    <row r="875" spans="3:69">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W875" s="1"/>
      <c r="AX875" s="1"/>
      <c r="AY875" s="1"/>
      <c r="AZ875" s="6"/>
      <c r="BA875" s="1"/>
      <c r="BB875" s="1"/>
      <c r="BC875" s="1"/>
      <c r="BD875" s="1"/>
      <c r="BE875" s="1"/>
      <c r="BQ875" s="1"/>
    </row>
    <row r="876" spans="3:69">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W876" s="1"/>
      <c r="AX876" s="1"/>
      <c r="AY876" s="1"/>
      <c r="AZ876" s="6"/>
      <c r="BA876" s="1"/>
      <c r="BB876" s="1"/>
      <c r="BC876" s="1"/>
      <c r="BD876" s="1"/>
      <c r="BE876" s="1"/>
      <c r="BQ876" s="1"/>
    </row>
    <row r="877" spans="3:69">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W877" s="1"/>
      <c r="AX877" s="1"/>
      <c r="AY877" s="1"/>
      <c r="AZ877" s="6"/>
      <c r="BA877" s="1"/>
      <c r="BB877" s="1"/>
      <c r="BC877" s="1"/>
      <c r="BD877" s="1"/>
      <c r="BE877" s="1"/>
      <c r="BQ877" s="1"/>
    </row>
    <row r="878" spans="3:69">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W878" s="1"/>
      <c r="AX878" s="1"/>
      <c r="AY878" s="1"/>
      <c r="AZ878" s="6"/>
      <c r="BA878" s="1"/>
      <c r="BB878" s="1"/>
      <c r="BC878" s="1"/>
      <c r="BD878" s="1"/>
      <c r="BE878" s="1"/>
      <c r="BQ878" s="1"/>
    </row>
    <row r="879" spans="3:69">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W879" s="1"/>
      <c r="AX879" s="1"/>
      <c r="AY879" s="1"/>
      <c r="AZ879" s="6"/>
      <c r="BA879" s="1"/>
      <c r="BB879" s="1"/>
      <c r="BC879" s="1"/>
      <c r="BD879" s="1"/>
      <c r="BE879" s="1"/>
      <c r="BQ879" s="1"/>
    </row>
    <row r="880" spans="3:69">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W880" s="1"/>
      <c r="AX880" s="1"/>
      <c r="AY880" s="1"/>
      <c r="AZ880" s="6"/>
      <c r="BA880" s="1"/>
      <c r="BB880" s="1"/>
      <c r="BC880" s="1"/>
      <c r="BD880" s="1"/>
      <c r="BE880" s="1"/>
      <c r="BQ880" s="1"/>
    </row>
    <row r="881" spans="3:69">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W881" s="1"/>
      <c r="AX881" s="1"/>
      <c r="AY881" s="1"/>
      <c r="AZ881" s="6"/>
      <c r="BA881" s="1"/>
      <c r="BB881" s="1"/>
      <c r="BC881" s="1"/>
      <c r="BD881" s="1"/>
      <c r="BE881" s="1"/>
      <c r="BQ881" s="1"/>
    </row>
    <row r="882" spans="3:69">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W882" s="1"/>
      <c r="AX882" s="1"/>
      <c r="AY882" s="1"/>
      <c r="AZ882" s="6"/>
      <c r="BA882" s="1"/>
      <c r="BB882" s="1"/>
      <c r="BC882" s="1"/>
      <c r="BD882" s="1"/>
      <c r="BE882" s="1"/>
      <c r="BQ882" s="1"/>
    </row>
    <row r="883" spans="3:69">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W883" s="1"/>
      <c r="AX883" s="1"/>
      <c r="AY883" s="1"/>
      <c r="AZ883" s="6"/>
      <c r="BA883" s="1"/>
      <c r="BB883" s="1"/>
      <c r="BC883" s="1"/>
      <c r="BD883" s="1"/>
      <c r="BE883" s="1"/>
      <c r="BQ883" s="1"/>
    </row>
    <row r="884" spans="3:69">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W884" s="1"/>
      <c r="AX884" s="1"/>
      <c r="AY884" s="1"/>
      <c r="AZ884" s="6"/>
      <c r="BA884" s="1"/>
      <c r="BB884" s="1"/>
      <c r="BC884" s="1"/>
      <c r="BD884" s="1"/>
      <c r="BE884" s="1"/>
      <c r="BQ884" s="1"/>
    </row>
    <row r="885" spans="3:69">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W885" s="1"/>
      <c r="AX885" s="1"/>
      <c r="AY885" s="1"/>
      <c r="AZ885" s="6"/>
      <c r="BA885" s="1"/>
      <c r="BB885" s="1"/>
      <c r="BC885" s="1"/>
      <c r="BD885" s="1"/>
      <c r="BE885" s="1"/>
      <c r="BQ885" s="1"/>
    </row>
    <row r="886" spans="3:69">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W886" s="1"/>
      <c r="AX886" s="1"/>
      <c r="AY886" s="1"/>
      <c r="AZ886" s="6"/>
      <c r="BA886" s="1"/>
      <c r="BB886" s="1"/>
      <c r="BC886" s="1"/>
      <c r="BD886" s="1"/>
      <c r="BE886" s="1"/>
      <c r="BQ886" s="1"/>
    </row>
    <row r="887" spans="3:69">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W887" s="1"/>
      <c r="AX887" s="1"/>
      <c r="AY887" s="1"/>
      <c r="AZ887" s="6"/>
      <c r="BA887" s="1"/>
      <c r="BB887" s="1"/>
      <c r="BC887" s="1"/>
      <c r="BD887" s="1"/>
      <c r="BE887" s="1"/>
      <c r="BQ887" s="1"/>
    </row>
    <row r="888" spans="3:69">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W888" s="1"/>
      <c r="AX888" s="1"/>
      <c r="AY888" s="1"/>
      <c r="AZ888" s="6"/>
      <c r="BA888" s="1"/>
      <c r="BB888" s="1"/>
      <c r="BC888" s="1"/>
      <c r="BD888" s="1"/>
      <c r="BE888" s="1"/>
      <c r="BQ888" s="1"/>
    </row>
    <row r="889" spans="3:69">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W889" s="1"/>
      <c r="AX889" s="1"/>
      <c r="AY889" s="1"/>
      <c r="AZ889" s="6"/>
      <c r="BA889" s="1"/>
      <c r="BB889" s="1"/>
      <c r="BC889" s="1"/>
      <c r="BD889" s="1"/>
      <c r="BE889" s="1"/>
      <c r="BQ889" s="1"/>
    </row>
    <row r="890" spans="3:69">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W890" s="1"/>
      <c r="AX890" s="1"/>
      <c r="AY890" s="1"/>
      <c r="AZ890" s="6"/>
      <c r="BA890" s="1"/>
      <c r="BB890" s="1"/>
      <c r="BC890" s="1"/>
      <c r="BD890" s="1"/>
      <c r="BE890" s="1"/>
      <c r="BQ890" s="1"/>
    </row>
    <row r="891" spans="3:69">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W891" s="1"/>
      <c r="AX891" s="1"/>
      <c r="AY891" s="1"/>
      <c r="AZ891" s="6"/>
      <c r="BA891" s="1"/>
      <c r="BB891" s="1"/>
      <c r="BC891" s="1"/>
      <c r="BD891" s="1"/>
      <c r="BE891" s="1"/>
      <c r="BQ891" s="1"/>
    </row>
    <row r="892" spans="3:69">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W892" s="1"/>
      <c r="AX892" s="1"/>
      <c r="AY892" s="1"/>
      <c r="AZ892" s="6"/>
      <c r="BA892" s="1"/>
      <c r="BB892" s="1"/>
      <c r="BC892" s="1"/>
      <c r="BD892" s="1"/>
      <c r="BE892" s="1"/>
      <c r="BQ892" s="1"/>
    </row>
    <row r="893" spans="3:69">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W893" s="1"/>
      <c r="AX893" s="1"/>
      <c r="AY893" s="1"/>
      <c r="AZ893" s="6"/>
      <c r="BA893" s="1"/>
      <c r="BB893" s="1"/>
      <c r="BC893" s="1"/>
      <c r="BD893" s="1"/>
      <c r="BE893" s="1"/>
      <c r="BQ893" s="1"/>
    </row>
    <row r="894" spans="3:69">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W894" s="1"/>
      <c r="AX894" s="1"/>
      <c r="AY894" s="1"/>
      <c r="AZ894" s="6"/>
      <c r="BA894" s="1"/>
      <c r="BB894" s="1"/>
      <c r="BC894" s="1"/>
      <c r="BD894" s="1"/>
      <c r="BE894" s="1"/>
      <c r="BQ894" s="1"/>
    </row>
    <row r="895" spans="3:69">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W895" s="1"/>
      <c r="AX895" s="1"/>
      <c r="AY895" s="1"/>
      <c r="AZ895" s="6"/>
      <c r="BA895" s="1"/>
      <c r="BB895" s="1"/>
      <c r="BC895" s="1"/>
      <c r="BD895" s="1"/>
      <c r="BE895" s="1"/>
      <c r="BQ895" s="1"/>
    </row>
    <row r="896" spans="3:69">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W896" s="1"/>
      <c r="AX896" s="1"/>
      <c r="AY896" s="1"/>
      <c r="AZ896" s="6"/>
      <c r="BA896" s="1"/>
      <c r="BB896" s="1"/>
      <c r="BC896" s="1"/>
      <c r="BD896" s="1"/>
      <c r="BE896" s="1"/>
      <c r="BQ896" s="1"/>
    </row>
    <row r="897" spans="3:69">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W897" s="1"/>
      <c r="AX897" s="1"/>
      <c r="AY897" s="1"/>
      <c r="AZ897" s="6"/>
      <c r="BA897" s="1"/>
      <c r="BB897" s="1"/>
      <c r="BC897" s="1"/>
      <c r="BD897" s="1"/>
      <c r="BE897" s="1"/>
      <c r="BQ897" s="1"/>
    </row>
    <row r="898" spans="3:69">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W898" s="1"/>
      <c r="AX898" s="1"/>
      <c r="AY898" s="1"/>
      <c r="AZ898" s="6"/>
      <c r="BA898" s="1"/>
      <c r="BB898" s="1"/>
      <c r="BC898" s="1"/>
      <c r="BD898" s="1"/>
      <c r="BE898" s="1"/>
      <c r="BQ898" s="1"/>
    </row>
    <row r="899" spans="3:69">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W899" s="1"/>
      <c r="AX899" s="1"/>
      <c r="AY899" s="1"/>
      <c r="AZ899" s="6"/>
      <c r="BA899" s="1"/>
      <c r="BB899" s="1"/>
      <c r="BC899" s="1"/>
      <c r="BD899" s="1"/>
      <c r="BE899" s="1"/>
      <c r="BQ899" s="1"/>
    </row>
    <row r="900" spans="3:69">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W900" s="1"/>
      <c r="AX900" s="1"/>
      <c r="AY900" s="1"/>
      <c r="AZ900" s="6"/>
      <c r="BA900" s="1"/>
      <c r="BB900" s="1"/>
      <c r="BC900" s="1"/>
      <c r="BD900" s="1"/>
      <c r="BE900" s="1"/>
      <c r="BQ900" s="1"/>
    </row>
    <row r="901" spans="3:69">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W901" s="1"/>
      <c r="AX901" s="1"/>
      <c r="AY901" s="1"/>
      <c r="AZ901" s="6"/>
      <c r="BA901" s="1"/>
      <c r="BB901" s="1"/>
      <c r="BC901" s="1"/>
      <c r="BD901" s="1"/>
      <c r="BE901" s="1"/>
      <c r="BQ901" s="1"/>
    </row>
    <row r="902" spans="3:69">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W902" s="1"/>
      <c r="AX902" s="1"/>
      <c r="AY902" s="1"/>
      <c r="AZ902" s="6"/>
      <c r="BA902" s="1"/>
      <c r="BB902" s="1"/>
      <c r="BC902" s="1"/>
      <c r="BD902" s="1"/>
      <c r="BE902" s="1"/>
      <c r="BQ902" s="1"/>
    </row>
    <row r="903" spans="3:69">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W903" s="1"/>
      <c r="AX903" s="1"/>
      <c r="AY903" s="1"/>
      <c r="AZ903" s="6"/>
      <c r="BA903" s="1"/>
      <c r="BB903" s="1"/>
      <c r="BC903" s="1"/>
      <c r="BD903" s="1"/>
      <c r="BE903" s="1"/>
      <c r="BQ903" s="1"/>
    </row>
    <row r="904" spans="3:69">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W904" s="1"/>
      <c r="AX904" s="1"/>
      <c r="AY904" s="1"/>
      <c r="AZ904" s="6"/>
      <c r="BA904" s="1"/>
      <c r="BB904" s="1"/>
      <c r="BC904" s="1"/>
      <c r="BD904" s="1"/>
      <c r="BE904" s="1"/>
      <c r="BQ904" s="1"/>
    </row>
    <row r="905" spans="3:69">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W905" s="1"/>
      <c r="AX905" s="1"/>
      <c r="AY905" s="1"/>
      <c r="AZ905" s="6"/>
      <c r="BA905" s="1"/>
      <c r="BB905" s="1"/>
      <c r="BC905" s="1"/>
      <c r="BD905" s="1"/>
      <c r="BE905" s="1"/>
      <c r="BQ905" s="1"/>
    </row>
    <row r="906" spans="3:69">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W906" s="1"/>
      <c r="AX906" s="1"/>
      <c r="AY906" s="1"/>
      <c r="AZ906" s="6"/>
      <c r="BA906" s="1"/>
      <c r="BB906" s="1"/>
      <c r="BC906" s="1"/>
      <c r="BD906" s="1"/>
      <c r="BE906" s="1"/>
      <c r="BQ906" s="1"/>
    </row>
    <row r="907" spans="3:69">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W907" s="1"/>
      <c r="AX907" s="1"/>
      <c r="AY907" s="1"/>
      <c r="AZ907" s="6"/>
      <c r="BA907" s="1"/>
      <c r="BB907" s="1"/>
      <c r="BC907" s="1"/>
      <c r="BD907" s="1"/>
      <c r="BE907" s="1"/>
      <c r="BQ907" s="1"/>
    </row>
    <row r="908" spans="3:69">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W908" s="1"/>
      <c r="AX908" s="1"/>
      <c r="AY908" s="1"/>
      <c r="AZ908" s="6"/>
      <c r="BA908" s="1"/>
      <c r="BB908" s="1"/>
      <c r="BC908" s="1"/>
      <c r="BD908" s="1"/>
      <c r="BE908" s="1"/>
      <c r="BQ908" s="1"/>
    </row>
    <row r="909" spans="3:69">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W909" s="1"/>
      <c r="AX909" s="1"/>
      <c r="AY909" s="1"/>
      <c r="AZ909" s="6"/>
      <c r="BA909" s="1"/>
      <c r="BB909" s="1"/>
      <c r="BC909" s="1"/>
      <c r="BD909" s="1"/>
      <c r="BE909" s="1"/>
      <c r="BQ909" s="1"/>
    </row>
    <row r="910" spans="3:69">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W910" s="1"/>
      <c r="AX910" s="1"/>
      <c r="AY910" s="1"/>
      <c r="AZ910" s="6"/>
      <c r="BA910" s="1"/>
      <c r="BB910" s="1"/>
      <c r="BC910" s="1"/>
      <c r="BD910" s="1"/>
      <c r="BE910" s="1"/>
      <c r="BQ910" s="1"/>
    </row>
    <row r="911" spans="3:69">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W911" s="1"/>
      <c r="AX911" s="1"/>
      <c r="AY911" s="1"/>
      <c r="AZ911" s="6"/>
      <c r="BA911" s="1"/>
      <c r="BB911" s="1"/>
      <c r="BC911" s="1"/>
      <c r="BD911" s="1"/>
      <c r="BE911" s="1"/>
      <c r="BQ911" s="1"/>
    </row>
    <row r="912" spans="3:69">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W912" s="1"/>
      <c r="AX912" s="1"/>
      <c r="AY912" s="1"/>
      <c r="AZ912" s="6"/>
      <c r="BA912" s="1"/>
      <c r="BB912" s="1"/>
      <c r="BC912" s="1"/>
      <c r="BD912" s="1"/>
      <c r="BE912" s="1"/>
      <c r="BQ912" s="1"/>
    </row>
    <row r="913" spans="3:69">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W913" s="1"/>
      <c r="AX913" s="1"/>
      <c r="AY913" s="1"/>
      <c r="AZ913" s="6"/>
      <c r="BA913" s="1"/>
      <c r="BB913" s="1"/>
      <c r="BC913" s="1"/>
      <c r="BD913" s="1"/>
      <c r="BE913" s="1"/>
      <c r="BQ913" s="1"/>
    </row>
    <row r="914" spans="3:69">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W914" s="1"/>
      <c r="AX914" s="1"/>
      <c r="AY914" s="1"/>
      <c r="AZ914" s="6"/>
      <c r="BA914" s="1"/>
      <c r="BB914" s="1"/>
      <c r="BC914" s="1"/>
      <c r="BD914" s="1"/>
      <c r="BE914" s="1"/>
      <c r="BQ914" s="1"/>
    </row>
    <row r="915" spans="3:69">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W915" s="1"/>
      <c r="AX915" s="1"/>
      <c r="AY915" s="1"/>
      <c r="AZ915" s="6"/>
      <c r="BA915" s="1"/>
      <c r="BB915" s="1"/>
      <c r="BC915" s="1"/>
      <c r="BD915" s="1"/>
      <c r="BE915" s="1"/>
      <c r="BQ915" s="1"/>
    </row>
    <row r="916" spans="3:69">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W916" s="1"/>
      <c r="AX916" s="1"/>
      <c r="AY916" s="1"/>
      <c r="AZ916" s="6"/>
      <c r="BA916" s="1"/>
      <c r="BB916" s="1"/>
      <c r="BC916" s="1"/>
      <c r="BD916" s="1"/>
      <c r="BE916" s="1"/>
      <c r="BQ916" s="1"/>
    </row>
    <row r="917" spans="3:69">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W917" s="1"/>
      <c r="AX917" s="1"/>
      <c r="AY917" s="1"/>
      <c r="AZ917" s="6"/>
      <c r="BA917" s="1"/>
      <c r="BB917" s="1"/>
      <c r="BC917" s="1"/>
      <c r="BD917" s="1"/>
      <c r="BE917" s="1"/>
      <c r="BQ917" s="1"/>
    </row>
    <row r="918" spans="3:69">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W918" s="1"/>
      <c r="AX918" s="1"/>
      <c r="AY918" s="1"/>
      <c r="AZ918" s="6"/>
      <c r="BA918" s="1"/>
      <c r="BB918" s="1"/>
      <c r="BC918" s="1"/>
      <c r="BD918" s="1"/>
      <c r="BE918" s="1"/>
      <c r="BQ918" s="1"/>
    </row>
    <row r="919" spans="3:69">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W919" s="1"/>
      <c r="AX919" s="1"/>
      <c r="AY919" s="1"/>
      <c r="AZ919" s="6"/>
      <c r="BA919" s="1"/>
      <c r="BB919" s="1"/>
      <c r="BC919" s="1"/>
      <c r="BD919" s="1"/>
      <c r="BE919" s="1"/>
      <c r="BQ919" s="1"/>
    </row>
    <row r="920" spans="3:69">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W920" s="1"/>
      <c r="AX920" s="1"/>
      <c r="AY920" s="1"/>
      <c r="AZ920" s="6"/>
      <c r="BA920" s="1"/>
      <c r="BB920" s="1"/>
      <c r="BC920" s="1"/>
      <c r="BD920" s="1"/>
      <c r="BE920" s="1"/>
      <c r="BQ920" s="1"/>
    </row>
    <row r="921" spans="3:69">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W921" s="1"/>
      <c r="AX921" s="1"/>
      <c r="AY921" s="1"/>
      <c r="AZ921" s="6"/>
      <c r="BA921" s="1"/>
      <c r="BB921" s="1"/>
      <c r="BC921" s="1"/>
      <c r="BD921" s="1"/>
      <c r="BE921" s="1"/>
      <c r="BQ921" s="1"/>
    </row>
    <row r="922" spans="3:69">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W922" s="1"/>
      <c r="AX922" s="1"/>
      <c r="AY922" s="1"/>
      <c r="AZ922" s="6"/>
      <c r="BA922" s="1"/>
      <c r="BB922" s="1"/>
      <c r="BC922" s="1"/>
      <c r="BD922" s="1"/>
      <c r="BE922" s="1"/>
      <c r="BQ922" s="1"/>
    </row>
    <row r="923" spans="3:69">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W923" s="1"/>
      <c r="AX923" s="1"/>
      <c r="AY923" s="1"/>
      <c r="AZ923" s="6"/>
      <c r="BA923" s="1"/>
      <c r="BB923" s="1"/>
      <c r="BC923" s="1"/>
      <c r="BD923" s="1"/>
      <c r="BE923" s="1"/>
      <c r="BQ923" s="1"/>
    </row>
    <row r="924" spans="3:69">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W924" s="1"/>
      <c r="AX924" s="1"/>
      <c r="AY924" s="1"/>
      <c r="AZ924" s="6"/>
      <c r="BA924" s="1"/>
      <c r="BB924" s="1"/>
      <c r="BC924" s="1"/>
      <c r="BD924" s="1"/>
      <c r="BE924" s="1"/>
      <c r="BQ924" s="1"/>
    </row>
    <row r="925" spans="3:69">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W925" s="1"/>
      <c r="AX925" s="1"/>
      <c r="AY925" s="1"/>
      <c r="AZ925" s="6"/>
      <c r="BA925" s="1"/>
      <c r="BB925" s="1"/>
      <c r="BC925" s="1"/>
      <c r="BD925" s="1"/>
      <c r="BE925" s="1"/>
      <c r="BQ925" s="1"/>
    </row>
    <row r="926" spans="3:69">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W926" s="1"/>
      <c r="AX926" s="1"/>
      <c r="AY926" s="1"/>
      <c r="AZ926" s="6"/>
      <c r="BA926" s="1"/>
      <c r="BB926" s="1"/>
      <c r="BC926" s="1"/>
      <c r="BD926" s="1"/>
      <c r="BE926" s="1"/>
      <c r="BQ926" s="1"/>
    </row>
    <row r="927" spans="3:69">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W927" s="1"/>
      <c r="AX927" s="1"/>
      <c r="AY927" s="1"/>
      <c r="AZ927" s="6"/>
      <c r="BA927" s="1"/>
      <c r="BB927" s="1"/>
      <c r="BC927" s="1"/>
      <c r="BD927" s="1"/>
      <c r="BE927" s="1"/>
      <c r="BQ927" s="1"/>
    </row>
    <row r="928" spans="3:69">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W928" s="1"/>
      <c r="AX928" s="1"/>
      <c r="AY928" s="1"/>
      <c r="AZ928" s="6"/>
      <c r="BA928" s="1"/>
      <c r="BB928" s="1"/>
      <c r="BC928" s="1"/>
      <c r="BD928" s="1"/>
      <c r="BE928" s="1"/>
      <c r="BQ928" s="1"/>
    </row>
    <row r="929" spans="3:69">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W929" s="1"/>
      <c r="AX929" s="1"/>
      <c r="AY929" s="1"/>
      <c r="AZ929" s="6"/>
      <c r="BA929" s="1"/>
      <c r="BB929" s="1"/>
      <c r="BC929" s="1"/>
      <c r="BD929" s="1"/>
      <c r="BE929" s="1"/>
      <c r="BQ929" s="1"/>
    </row>
    <row r="930" spans="3:69">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W930" s="1"/>
      <c r="AX930" s="1"/>
      <c r="AY930" s="1"/>
      <c r="AZ930" s="6"/>
      <c r="BA930" s="1"/>
      <c r="BB930" s="1"/>
      <c r="BC930" s="1"/>
      <c r="BD930" s="1"/>
      <c r="BE930" s="1"/>
      <c r="BQ930" s="1"/>
    </row>
    <row r="931" spans="3:69">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W931" s="1"/>
      <c r="AX931" s="1"/>
      <c r="AY931" s="1"/>
      <c r="AZ931" s="6"/>
      <c r="BA931" s="1"/>
      <c r="BB931" s="1"/>
      <c r="BC931" s="1"/>
      <c r="BD931" s="1"/>
      <c r="BE931" s="1"/>
      <c r="BQ931" s="1"/>
    </row>
    <row r="932" spans="3:69">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W932" s="1"/>
      <c r="AX932" s="1"/>
      <c r="AY932" s="1"/>
      <c r="AZ932" s="6"/>
      <c r="BA932" s="1"/>
      <c r="BB932" s="1"/>
      <c r="BC932" s="1"/>
      <c r="BD932" s="1"/>
      <c r="BE932" s="1"/>
      <c r="BQ932" s="1"/>
    </row>
    <row r="933" spans="3:69">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W933" s="1"/>
      <c r="AX933" s="1"/>
      <c r="AY933" s="1"/>
      <c r="AZ933" s="6"/>
      <c r="BA933" s="1"/>
      <c r="BB933" s="1"/>
      <c r="BC933" s="1"/>
      <c r="BD933" s="1"/>
      <c r="BE933" s="1"/>
      <c r="BQ933" s="1"/>
    </row>
    <row r="934" spans="3:69">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W934" s="1"/>
      <c r="AX934" s="1"/>
      <c r="AY934" s="1"/>
      <c r="AZ934" s="6"/>
      <c r="BA934" s="1"/>
      <c r="BB934" s="1"/>
      <c r="BC934" s="1"/>
      <c r="BD934" s="1"/>
      <c r="BE934" s="1"/>
      <c r="BQ934" s="1"/>
    </row>
    <row r="935" spans="3:69">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W935" s="1"/>
      <c r="AX935" s="1"/>
      <c r="AY935" s="1"/>
      <c r="AZ935" s="6"/>
      <c r="BA935" s="1"/>
      <c r="BB935" s="1"/>
      <c r="BC935" s="1"/>
      <c r="BD935" s="1"/>
      <c r="BE935" s="1"/>
      <c r="BQ935" s="1"/>
    </row>
    <row r="936" spans="3:69">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W936" s="1"/>
      <c r="AX936" s="1"/>
      <c r="AY936" s="1"/>
      <c r="AZ936" s="6"/>
      <c r="BA936" s="1"/>
      <c r="BB936" s="1"/>
      <c r="BC936" s="1"/>
      <c r="BD936" s="1"/>
      <c r="BE936" s="1"/>
      <c r="BQ936" s="1"/>
    </row>
    <row r="937" spans="3:69">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W937" s="1"/>
      <c r="AX937" s="1"/>
      <c r="AY937" s="1"/>
      <c r="AZ937" s="6"/>
      <c r="BA937" s="1"/>
      <c r="BB937" s="1"/>
      <c r="BC937" s="1"/>
      <c r="BD937" s="1"/>
      <c r="BE937" s="1"/>
      <c r="BQ937" s="1"/>
    </row>
    <row r="938" spans="3:69">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W938" s="1"/>
      <c r="AX938" s="1"/>
      <c r="AY938" s="1"/>
      <c r="AZ938" s="6"/>
      <c r="BA938" s="1"/>
      <c r="BB938" s="1"/>
      <c r="BC938" s="1"/>
      <c r="BD938" s="1"/>
      <c r="BE938" s="1"/>
      <c r="BQ938" s="1"/>
    </row>
    <row r="939" spans="3:69">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W939" s="1"/>
      <c r="AX939" s="1"/>
      <c r="AY939" s="1"/>
      <c r="AZ939" s="6"/>
      <c r="BA939" s="1"/>
      <c r="BB939" s="1"/>
      <c r="BC939" s="1"/>
      <c r="BD939" s="1"/>
      <c r="BE939" s="1"/>
      <c r="BQ939" s="1"/>
    </row>
    <row r="940" spans="3:69">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W940" s="1"/>
      <c r="AX940" s="1"/>
      <c r="AY940" s="1"/>
      <c r="AZ940" s="6"/>
      <c r="BA940" s="1"/>
      <c r="BB940" s="1"/>
      <c r="BC940" s="1"/>
      <c r="BD940" s="1"/>
      <c r="BE940" s="1"/>
      <c r="BQ940" s="1"/>
    </row>
    <row r="941" spans="3:69">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W941" s="1"/>
      <c r="AX941" s="1"/>
      <c r="AY941" s="1"/>
      <c r="AZ941" s="6"/>
      <c r="BA941" s="1"/>
      <c r="BB941" s="1"/>
      <c r="BC941" s="1"/>
      <c r="BD941" s="1"/>
      <c r="BE941" s="1"/>
      <c r="BQ941" s="1"/>
    </row>
    <row r="942" spans="3:69">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W942" s="1"/>
      <c r="AX942" s="1"/>
      <c r="AY942" s="1"/>
      <c r="AZ942" s="6"/>
      <c r="BA942" s="1"/>
      <c r="BB942" s="1"/>
      <c r="BC942" s="1"/>
      <c r="BD942" s="1"/>
      <c r="BE942" s="1"/>
      <c r="BQ942" s="1"/>
    </row>
    <row r="943" spans="3:69">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W943" s="1"/>
      <c r="AX943" s="1"/>
      <c r="AY943" s="1"/>
      <c r="AZ943" s="6"/>
      <c r="BA943" s="1"/>
      <c r="BB943" s="1"/>
      <c r="BC943" s="1"/>
      <c r="BD943" s="1"/>
      <c r="BE943" s="1"/>
      <c r="BQ943" s="1"/>
    </row>
    <row r="944" spans="3:69">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W944" s="1"/>
      <c r="AX944" s="1"/>
      <c r="AY944" s="1"/>
      <c r="AZ944" s="6"/>
      <c r="BA944" s="1"/>
      <c r="BB944" s="1"/>
      <c r="BC944" s="1"/>
      <c r="BD944" s="1"/>
      <c r="BE944" s="1"/>
      <c r="BQ944" s="1"/>
    </row>
    <row r="945" spans="3:69">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W945" s="1"/>
      <c r="AX945" s="1"/>
      <c r="AY945" s="1"/>
      <c r="AZ945" s="6"/>
      <c r="BA945" s="1"/>
      <c r="BB945" s="1"/>
      <c r="BC945" s="1"/>
      <c r="BD945" s="1"/>
      <c r="BE945" s="1"/>
      <c r="BQ945" s="1"/>
    </row>
    <row r="946" spans="3:69">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W946" s="1"/>
      <c r="AX946" s="1"/>
      <c r="AY946" s="1"/>
      <c r="AZ946" s="6"/>
      <c r="BA946" s="1"/>
      <c r="BB946" s="1"/>
      <c r="BC946" s="1"/>
      <c r="BD946" s="1"/>
      <c r="BE946" s="1"/>
      <c r="BQ946" s="1"/>
    </row>
    <row r="947" spans="3:69">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W947" s="1"/>
      <c r="AX947" s="1"/>
      <c r="AY947" s="1"/>
      <c r="AZ947" s="6"/>
      <c r="BA947" s="1"/>
      <c r="BB947" s="1"/>
      <c r="BC947" s="1"/>
      <c r="BD947" s="1"/>
      <c r="BE947" s="1"/>
      <c r="BQ947" s="1"/>
    </row>
    <row r="948" spans="3:69">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W948" s="1"/>
      <c r="AX948" s="1"/>
      <c r="AY948" s="1"/>
      <c r="AZ948" s="6"/>
      <c r="BA948" s="1"/>
      <c r="BB948" s="1"/>
      <c r="BC948" s="1"/>
      <c r="BD948" s="1"/>
      <c r="BE948" s="1"/>
      <c r="BQ948" s="1"/>
    </row>
    <row r="949" spans="3:69">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W949" s="1"/>
      <c r="AX949" s="1"/>
      <c r="AY949" s="1"/>
      <c r="AZ949" s="6"/>
      <c r="BA949" s="1"/>
      <c r="BB949" s="1"/>
      <c r="BC949" s="1"/>
      <c r="BD949" s="1"/>
      <c r="BE949" s="1"/>
      <c r="BQ949" s="1"/>
    </row>
    <row r="950" spans="3:69">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W950" s="1"/>
      <c r="AX950" s="1"/>
      <c r="AY950" s="1"/>
      <c r="AZ950" s="6"/>
      <c r="BA950" s="1"/>
      <c r="BB950" s="1"/>
      <c r="BC950" s="1"/>
      <c r="BD950" s="1"/>
      <c r="BE950" s="1"/>
      <c r="BQ950" s="1"/>
    </row>
    <row r="951" spans="3:69">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W951" s="1"/>
      <c r="AX951" s="1"/>
      <c r="AY951" s="1"/>
      <c r="AZ951" s="6"/>
      <c r="BA951" s="1"/>
      <c r="BB951" s="1"/>
      <c r="BC951" s="1"/>
      <c r="BD951" s="1"/>
      <c r="BE951" s="1"/>
      <c r="BQ951" s="1"/>
    </row>
    <row r="952" spans="3:69">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W952" s="1"/>
      <c r="AX952" s="1"/>
      <c r="AY952" s="1"/>
      <c r="AZ952" s="6"/>
      <c r="BA952" s="1"/>
      <c r="BB952" s="1"/>
      <c r="BC952" s="1"/>
      <c r="BD952" s="1"/>
      <c r="BE952" s="1"/>
      <c r="BQ952" s="1"/>
    </row>
    <row r="953" spans="3:69">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W953" s="1"/>
      <c r="AX953" s="1"/>
      <c r="AY953" s="1"/>
      <c r="AZ953" s="6"/>
      <c r="BA953" s="1"/>
      <c r="BB953" s="1"/>
      <c r="BC953" s="1"/>
      <c r="BD953" s="1"/>
      <c r="BE953" s="1"/>
      <c r="BQ953" s="1"/>
    </row>
    <row r="954" spans="3:69">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W954" s="1"/>
      <c r="AX954" s="1"/>
      <c r="AY954" s="1"/>
      <c r="AZ954" s="6"/>
      <c r="BA954" s="1"/>
      <c r="BB954" s="1"/>
      <c r="BC954" s="1"/>
      <c r="BD954" s="1"/>
      <c r="BE954" s="1"/>
      <c r="BQ954" s="1"/>
    </row>
    <row r="955" spans="3:69">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W955" s="1"/>
      <c r="AX955" s="1"/>
      <c r="AY955" s="1"/>
      <c r="AZ955" s="6"/>
      <c r="BA955" s="1"/>
      <c r="BB955" s="1"/>
      <c r="BC955" s="1"/>
      <c r="BD955" s="1"/>
      <c r="BE955" s="1"/>
      <c r="BQ955" s="1"/>
    </row>
    <row r="956" spans="3:69">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W956" s="1"/>
      <c r="AX956" s="1"/>
      <c r="AY956" s="1"/>
      <c r="AZ956" s="6"/>
      <c r="BA956" s="1"/>
      <c r="BB956" s="1"/>
      <c r="BC956" s="1"/>
      <c r="BD956" s="1"/>
      <c r="BE956" s="1"/>
      <c r="BQ956" s="1"/>
    </row>
    <row r="957" spans="3:69">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W957" s="1"/>
      <c r="AX957" s="1"/>
      <c r="AY957" s="1"/>
      <c r="AZ957" s="6"/>
      <c r="BA957" s="1"/>
      <c r="BB957" s="1"/>
      <c r="BC957" s="1"/>
      <c r="BD957" s="1"/>
      <c r="BE957" s="1"/>
      <c r="BQ957" s="1"/>
    </row>
    <row r="958" spans="3:69">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W958" s="1"/>
      <c r="AX958" s="1"/>
      <c r="AY958" s="1"/>
      <c r="AZ958" s="6"/>
      <c r="BA958" s="1"/>
      <c r="BB958" s="1"/>
      <c r="BC958" s="1"/>
      <c r="BD958" s="1"/>
      <c r="BE958" s="1"/>
      <c r="BQ958" s="1"/>
    </row>
    <row r="959" spans="3:69">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W959" s="1"/>
      <c r="AX959" s="1"/>
      <c r="AY959" s="1"/>
      <c r="AZ959" s="6"/>
      <c r="BA959" s="1"/>
      <c r="BB959" s="1"/>
      <c r="BC959" s="1"/>
      <c r="BD959" s="1"/>
      <c r="BE959" s="1"/>
      <c r="BQ959" s="1"/>
    </row>
    <row r="960" spans="3:69">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W960" s="1"/>
      <c r="AX960" s="1"/>
      <c r="AY960" s="1"/>
      <c r="AZ960" s="6"/>
      <c r="BA960" s="1"/>
      <c r="BB960" s="1"/>
      <c r="BC960" s="1"/>
      <c r="BD960" s="1"/>
      <c r="BE960" s="1"/>
      <c r="BQ960" s="1"/>
    </row>
    <row r="961" spans="3:69">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W961" s="1"/>
      <c r="AX961" s="1"/>
      <c r="AY961" s="1"/>
      <c r="AZ961" s="6"/>
      <c r="BA961" s="1"/>
      <c r="BB961" s="1"/>
      <c r="BC961" s="1"/>
      <c r="BD961" s="1"/>
      <c r="BE961" s="1"/>
      <c r="BQ961" s="1"/>
    </row>
    <row r="962" spans="3:69">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W962" s="1"/>
      <c r="AX962" s="1"/>
      <c r="AY962" s="1"/>
      <c r="AZ962" s="6"/>
      <c r="BA962" s="1"/>
      <c r="BB962" s="1"/>
      <c r="BC962" s="1"/>
      <c r="BD962" s="1"/>
      <c r="BE962" s="1"/>
      <c r="BQ962" s="1"/>
    </row>
    <row r="963" spans="3:69">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W963" s="1"/>
      <c r="AX963" s="1"/>
      <c r="AY963" s="1"/>
      <c r="AZ963" s="6"/>
      <c r="BA963" s="1"/>
      <c r="BB963" s="1"/>
      <c r="BC963" s="1"/>
      <c r="BD963" s="1"/>
      <c r="BE963" s="1"/>
      <c r="BQ963" s="1"/>
    </row>
    <row r="964" spans="3:69">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W964" s="1"/>
      <c r="AX964" s="1"/>
      <c r="AY964" s="1"/>
      <c r="AZ964" s="6"/>
      <c r="BA964" s="1"/>
      <c r="BB964" s="1"/>
      <c r="BC964" s="1"/>
      <c r="BD964" s="1"/>
      <c r="BE964" s="1"/>
      <c r="BQ964" s="1"/>
    </row>
    <row r="965" spans="3:69">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W965" s="1"/>
      <c r="AX965" s="1"/>
      <c r="AY965" s="1"/>
      <c r="AZ965" s="6"/>
      <c r="BA965" s="1"/>
      <c r="BB965" s="1"/>
      <c r="BC965" s="1"/>
      <c r="BD965" s="1"/>
      <c r="BE965" s="1"/>
      <c r="BQ965" s="1"/>
    </row>
    <row r="966" spans="3:69">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W966" s="1"/>
      <c r="AX966" s="1"/>
      <c r="AY966" s="1"/>
      <c r="AZ966" s="6"/>
      <c r="BA966" s="1"/>
      <c r="BB966" s="1"/>
      <c r="BC966" s="1"/>
      <c r="BD966" s="1"/>
      <c r="BE966" s="1"/>
      <c r="BQ966" s="1"/>
    </row>
    <row r="967" spans="3:69">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W967" s="1"/>
      <c r="AX967" s="1"/>
      <c r="AY967" s="1"/>
      <c r="AZ967" s="6"/>
      <c r="BA967" s="1"/>
      <c r="BB967" s="1"/>
      <c r="BC967" s="1"/>
      <c r="BD967" s="1"/>
      <c r="BE967" s="1"/>
      <c r="BQ967" s="1"/>
    </row>
    <row r="968" spans="3:69">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W968" s="1"/>
      <c r="AX968" s="1"/>
      <c r="AY968" s="1"/>
      <c r="AZ968" s="6"/>
      <c r="BA968" s="1"/>
      <c r="BB968" s="1"/>
      <c r="BC968" s="1"/>
      <c r="BD968" s="1"/>
      <c r="BE968" s="1"/>
      <c r="BQ968" s="1"/>
    </row>
    <row r="969" spans="3:69">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W969" s="1"/>
      <c r="AX969" s="1"/>
      <c r="AY969" s="1"/>
      <c r="AZ969" s="6"/>
      <c r="BA969" s="1"/>
      <c r="BB969" s="1"/>
      <c r="BC969" s="1"/>
      <c r="BD969" s="1"/>
      <c r="BE969" s="1"/>
      <c r="BQ969" s="1"/>
    </row>
    <row r="970" spans="3:69">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W970" s="1"/>
      <c r="AX970" s="1"/>
      <c r="AY970" s="1"/>
      <c r="AZ970" s="6"/>
      <c r="BA970" s="1"/>
      <c r="BB970" s="1"/>
      <c r="BC970" s="1"/>
      <c r="BD970" s="1"/>
      <c r="BE970" s="1"/>
      <c r="BQ970" s="1"/>
    </row>
    <row r="971" spans="3:69">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W971" s="1"/>
      <c r="AX971" s="1"/>
      <c r="AY971" s="1"/>
      <c r="AZ971" s="6"/>
      <c r="BA971" s="1"/>
      <c r="BB971" s="1"/>
      <c r="BC971" s="1"/>
      <c r="BD971" s="1"/>
      <c r="BE971" s="1"/>
      <c r="BQ971" s="1"/>
    </row>
    <row r="972" spans="3:69">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W972" s="1"/>
      <c r="AX972" s="1"/>
      <c r="AY972" s="1"/>
      <c r="AZ972" s="6"/>
      <c r="BA972" s="1"/>
      <c r="BB972" s="1"/>
      <c r="BC972" s="1"/>
      <c r="BD972" s="1"/>
      <c r="BE972" s="1"/>
      <c r="BQ972" s="1"/>
    </row>
    <row r="973" spans="3:69">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W973" s="1"/>
      <c r="AX973" s="1"/>
      <c r="AY973" s="1"/>
      <c r="AZ973" s="6"/>
      <c r="BA973" s="1"/>
      <c r="BB973" s="1"/>
      <c r="BC973" s="1"/>
      <c r="BD973" s="1"/>
      <c r="BE973" s="1"/>
      <c r="BQ973" s="1"/>
    </row>
    <row r="974" spans="3:69">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W974" s="1"/>
      <c r="AX974" s="1"/>
      <c r="AY974" s="1"/>
      <c r="AZ974" s="6"/>
      <c r="BA974" s="1"/>
      <c r="BB974" s="1"/>
      <c r="BC974" s="1"/>
      <c r="BD974" s="1"/>
      <c r="BE974" s="1"/>
      <c r="BQ974" s="1"/>
    </row>
    <row r="975" spans="3:69">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W975" s="1"/>
      <c r="AX975" s="1"/>
      <c r="AY975" s="1"/>
      <c r="AZ975" s="6"/>
      <c r="BA975" s="1"/>
      <c r="BB975" s="1"/>
      <c r="BC975" s="1"/>
      <c r="BD975" s="1"/>
      <c r="BE975" s="1"/>
      <c r="BQ975" s="1"/>
    </row>
    <row r="976" spans="3:69">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W976" s="1"/>
      <c r="AX976" s="1"/>
      <c r="AY976" s="1"/>
      <c r="AZ976" s="6"/>
      <c r="BA976" s="1"/>
      <c r="BB976" s="1"/>
      <c r="BC976" s="1"/>
      <c r="BD976" s="1"/>
      <c r="BE976" s="1"/>
      <c r="BQ976" s="1"/>
    </row>
    <row r="977" spans="3:69">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W977" s="1"/>
      <c r="AX977" s="1"/>
      <c r="AY977" s="1"/>
      <c r="AZ977" s="6"/>
      <c r="BA977" s="1"/>
      <c r="BB977" s="1"/>
      <c r="BC977" s="1"/>
      <c r="BD977" s="1"/>
      <c r="BE977" s="1"/>
      <c r="BQ977" s="1"/>
    </row>
    <row r="978" spans="3:69">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W978" s="1"/>
      <c r="AX978" s="1"/>
      <c r="AY978" s="1"/>
      <c r="AZ978" s="6"/>
      <c r="BA978" s="1"/>
      <c r="BB978" s="1"/>
      <c r="BC978" s="1"/>
      <c r="BD978" s="1"/>
      <c r="BE978" s="1"/>
      <c r="BQ978" s="1"/>
    </row>
    <row r="979" spans="3:69">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W979" s="1"/>
      <c r="AX979" s="1"/>
      <c r="AY979" s="1"/>
      <c r="AZ979" s="6"/>
      <c r="BA979" s="1"/>
      <c r="BB979" s="1"/>
      <c r="BC979" s="1"/>
      <c r="BD979" s="1"/>
      <c r="BE979" s="1"/>
      <c r="BQ979" s="1"/>
    </row>
    <row r="980" spans="3:69">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W980" s="1"/>
      <c r="AX980" s="1"/>
      <c r="AY980" s="1"/>
      <c r="AZ980" s="6"/>
      <c r="BA980" s="1"/>
      <c r="BB980" s="1"/>
      <c r="BC980" s="1"/>
      <c r="BD980" s="1"/>
      <c r="BE980" s="1"/>
      <c r="BQ980" s="1"/>
    </row>
    <row r="981" spans="3:69">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W981" s="1"/>
      <c r="AX981" s="1"/>
      <c r="AY981" s="1"/>
      <c r="AZ981" s="6"/>
      <c r="BA981" s="1"/>
      <c r="BB981" s="1"/>
      <c r="BC981" s="1"/>
      <c r="BD981" s="1"/>
      <c r="BE981" s="1"/>
      <c r="BQ981" s="1"/>
    </row>
    <row r="982" spans="3:69">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W982" s="1"/>
      <c r="AX982" s="1"/>
      <c r="AY982" s="1"/>
      <c r="AZ982" s="6"/>
      <c r="BA982" s="1"/>
      <c r="BB982" s="1"/>
      <c r="BC982" s="1"/>
      <c r="BD982" s="1"/>
      <c r="BE982" s="1"/>
      <c r="BQ982" s="1"/>
    </row>
    <row r="983" spans="3:69">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W983" s="1"/>
      <c r="AX983" s="1"/>
      <c r="AY983" s="1"/>
      <c r="AZ983" s="6"/>
      <c r="BA983" s="1"/>
      <c r="BB983" s="1"/>
      <c r="BC983" s="1"/>
      <c r="BD983" s="1"/>
      <c r="BE983" s="1"/>
      <c r="BQ983" s="1"/>
    </row>
    <row r="984" spans="3:69">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W984" s="1"/>
      <c r="AX984" s="1"/>
      <c r="AY984" s="1"/>
      <c r="AZ984" s="6"/>
      <c r="BA984" s="1"/>
      <c r="BB984" s="1"/>
      <c r="BC984" s="1"/>
      <c r="BD984" s="1"/>
      <c r="BE984" s="1"/>
      <c r="BQ984" s="1"/>
    </row>
    <row r="985" spans="3:69">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W985" s="1"/>
      <c r="AX985" s="1"/>
      <c r="AY985" s="1"/>
      <c r="AZ985" s="6"/>
      <c r="BA985" s="1"/>
      <c r="BB985" s="1"/>
      <c r="BC985" s="1"/>
      <c r="BD985" s="1"/>
      <c r="BE985" s="1"/>
      <c r="BQ985" s="1"/>
    </row>
    <row r="986" spans="3:69">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W986" s="1"/>
      <c r="AX986" s="1"/>
      <c r="AY986" s="1"/>
      <c r="AZ986" s="6"/>
      <c r="BA986" s="1"/>
      <c r="BB986" s="1"/>
      <c r="BC986" s="1"/>
      <c r="BD986" s="1"/>
      <c r="BE986" s="1"/>
      <c r="BQ986" s="1"/>
    </row>
    <row r="987" spans="3:69">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W987" s="1"/>
      <c r="AX987" s="1"/>
      <c r="AY987" s="1"/>
      <c r="AZ987" s="6"/>
      <c r="BA987" s="1"/>
      <c r="BB987" s="1"/>
      <c r="BC987" s="1"/>
      <c r="BD987" s="1"/>
      <c r="BE987" s="1"/>
      <c r="BQ987" s="1"/>
    </row>
    <row r="988" spans="3:69">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W988" s="1"/>
      <c r="AX988" s="1"/>
      <c r="AY988" s="1"/>
      <c r="AZ988" s="6"/>
      <c r="BA988" s="1"/>
      <c r="BB988" s="1"/>
      <c r="BC988" s="1"/>
      <c r="BD988" s="1"/>
      <c r="BE988" s="1"/>
      <c r="BQ988" s="1"/>
    </row>
    <row r="989" spans="3:69">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W989" s="1"/>
      <c r="AX989" s="1"/>
      <c r="AY989" s="1"/>
      <c r="AZ989" s="6"/>
      <c r="BA989" s="1"/>
      <c r="BB989" s="1"/>
      <c r="BC989" s="1"/>
      <c r="BD989" s="1"/>
      <c r="BE989" s="1"/>
      <c r="BQ989" s="1"/>
    </row>
    <row r="990" spans="3:69">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W990" s="1"/>
      <c r="AX990" s="1"/>
      <c r="AY990" s="1"/>
      <c r="AZ990" s="6"/>
      <c r="BA990" s="1"/>
      <c r="BB990" s="1"/>
      <c r="BC990" s="1"/>
      <c r="BD990" s="1"/>
      <c r="BE990" s="1"/>
      <c r="BQ990" s="1"/>
    </row>
    <row r="991" spans="3:69">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W991" s="1"/>
      <c r="AX991" s="1"/>
      <c r="AY991" s="1"/>
      <c r="AZ991" s="6"/>
      <c r="BA991" s="1"/>
      <c r="BB991" s="1"/>
      <c r="BC991" s="1"/>
      <c r="BD991" s="1"/>
      <c r="BE991" s="1"/>
      <c r="BQ991" s="1"/>
    </row>
    <row r="992" spans="3:69">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W992" s="1"/>
      <c r="AX992" s="1"/>
      <c r="AY992" s="1"/>
      <c r="AZ992" s="6"/>
      <c r="BA992" s="1"/>
      <c r="BB992" s="1"/>
      <c r="BC992" s="1"/>
      <c r="BD992" s="1"/>
      <c r="BE992" s="1"/>
      <c r="BQ992" s="1"/>
    </row>
    <row r="993" spans="3:69">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W993" s="1"/>
      <c r="AX993" s="1"/>
      <c r="AY993" s="1"/>
      <c r="AZ993" s="6"/>
      <c r="BA993" s="1"/>
      <c r="BB993" s="1"/>
      <c r="BC993" s="1"/>
      <c r="BD993" s="1"/>
      <c r="BE993" s="1"/>
      <c r="BQ993" s="1"/>
    </row>
    <row r="994" spans="3:69">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W994" s="1"/>
      <c r="AX994" s="1"/>
      <c r="AY994" s="1"/>
      <c r="AZ994" s="6"/>
      <c r="BA994" s="1"/>
      <c r="BB994" s="1"/>
      <c r="BC994" s="1"/>
      <c r="BD994" s="1"/>
      <c r="BE994" s="1"/>
      <c r="BQ994" s="1"/>
    </row>
    <row r="995" spans="3:69">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W995" s="1"/>
      <c r="AX995" s="1"/>
      <c r="AY995" s="1"/>
      <c r="AZ995" s="6"/>
      <c r="BA995" s="1"/>
      <c r="BB995" s="1"/>
      <c r="BC995" s="1"/>
      <c r="BD995" s="1"/>
      <c r="BE995" s="1"/>
      <c r="BQ995" s="1"/>
    </row>
    <row r="996" spans="3:69">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W996" s="1"/>
      <c r="AX996" s="1"/>
      <c r="AY996" s="1"/>
      <c r="AZ996" s="6"/>
      <c r="BA996" s="1"/>
      <c r="BB996" s="1"/>
      <c r="BC996" s="1"/>
      <c r="BD996" s="1"/>
      <c r="BE996" s="1"/>
      <c r="BQ996" s="1"/>
    </row>
    <row r="997" spans="3:69">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W997" s="1"/>
      <c r="AX997" s="1"/>
      <c r="AY997" s="1"/>
      <c r="AZ997" s="6"/>
      <c r="BA997" s="1"/>
      <c r="BB997" s="1"/>
      <c r="BC997" s="1"/>
      <c r="BD997" s="1"/>
      <c r="BE997" s="1"/>
      <c r="BQ997" s="1"/>
    </row>
    <row r="998" spans="3:69">
      <c r="AW998" s="1"/>
      <c r="AX998" s="1"/>
      <c r="AY998" s="1"/>
      <c r="AZ998" s="6"/>
      <c r="BA998" s="1"/>
      <c r="BB998" s="1"/>
      <c r="BC998" s="1"/>
      <c r="BD998" s="1"/>
      <c r="BE998" s="1"/>
      <c r="BQ998" s="1"/>
    </row>
    <row r="999" spans="3:69">
      <c r="AW999" s="1"/>
      <c r="AX999" s="1"/>
      <c r="AY999" s="1"/>
      <c r="AZ999" s="6"/>
      <c r="BA999" s="1"/>
      <c r="BB999" s="1"/>
      <c r="BC999" s="1"/>
      <c r="BD999" s="1"/>
      <c r="BE999" s="1"/>
      <c r="BQ999" s="1"/>
    </row>
    <row r="1000" spans="3:69">
      <c r="AW1000" s="1"/>
      <c r="AX1000" s="1"/>
      <c r="AY1000" s="1"/>
      <c r="AZ1000" s="6"/>
      <c r="BA1000" s="1"/>
      <c r="BB1000" s="1"/>
      <c r="BC1000" s="1"/>
      <c r="BD1000" s="1"/>
      <c r="BE1000" s="1"/>
      <c r="BQ1000" s="1"/>
    </row>
    <row r="1001" spans="3:69">
      <c r="AW1001" s="1"/>
      <c r="AX1001" s="1"/>
      <c r="AY1001" s="1"/>
      <c r="AZ1001" s="6"/>
      <c r="BA1001" s="1"/>
      <c r="BB1001" s="1"/>
      <c r="BC1001" s="1"/>
      <c r="BD1001" s="1"/>
      <c r="BE1001" s="1"/>
      <c r="BQ1001" s="1"/>
    </row>
    <row r="1002" spans="3:69">
      <c r="AW1002" s="1"/>
      <c r="AX1002" s="1"/>
      <c r="AY1002" s="1"/>
      <c r="AZ1002" s="6"/>
      <c r="BA1002" s="1"/>
      <c r="BB1002" s="1"/>
      <c r="BC1002" s="1"/>
      <c r="BD1002" s="1"/>
      <c r="BE1002" s="1"/>
      <c r="BQ1002" s="1"/>
    </row>
    <row r="1003" spans="3:69">
      <c r="AW1003" s="1"/>
      <c r="AX1003" s="1"/>
      <c r="AY1003" s="1"/>
      <c r="AZ1003" s="6"/>
      <c r="BA1003" s="1"/>
      <c r="BB1003" s="1"/>
      <c r="BC1003" s="1"/>
      <c r="BD1003" s="1"/>
      <c r="BE1003" s="1"/>
      <c r="BQ1003" s="1"/>
    </row>
    <row r="1004" spans="3:69">
      <c r="AW1004" s="1"/>
      <c r="AX1004" s="1"/>
      <c r="AY1004" s="1"/>
      <c r="AZ1004" s="6"/>
      <c r="BA1004" s="1"/>
      <c r="BB1004" s="1"/>
      <c r="BC1004" s="1"/>
      <c r="BD1004" s="1"/>
      <c r="BE1004" s="1"/>
      <c r="BQ1004" s="1"/>
    </row>
    <row r="1005" spans="3:69">
      <c r="AW1005" s="1"/>
      <c r="AX1005" s="1"/>
      <c r="AY1005" s="1"/>
      <c r="AZ1005" s="6"/>
      <c r="BA1005" s="1"/>
      <c r="BB1005" s="1"/>
      <c r="BC1005" s="1"/>
      <c r="BD1005" s="1"/>
      <c r="BE1005" s="1"/>
      <c r="BQ1005" s="1"/>
    </row>
    <row r="1006" spans="3:69">
      <c r="AW1006" s="1"/>
      <c r="AX1006" s="1"/>
      <c r="AY1006" s="1"/>
      <c r="AZ1006" s="6"/>
      <c r="BA1006" s="1"/>
      <c r="BB1006" s="1"/>
      <c r="BC1006" s="1"/>
      <c r="BD1006" s="1"/>
      <c r="BE1006" s="1"/>
      <c r="BQ1006" s="1"/>
    </row>
    <row r="1007" spans="3:69">
      <c r="AW1007" s="1"/>
      <c r="AX1007" s="1"/>
      <c r="AY1007" s="1"/>
      <c r="AZ1007" s="6"/>
      <c r="BA1007" s="1"/>
      <c r="BB1007" s="1"/>
      <c r="BC1007" s="1"/>
      <c r="BD1007" s="1"/>
      <c r="BE1007" s="1"/>
      <c r="BQ1007" s="1"/>
    </row>
    <row r="1008" spans="3:69">
      <c r="AW1008" s="1"/>
      <c r="AX1008" s="1"/>
      <c r="AY1008" s="1"/>
      <c r="AZ1008" s="6"/>
      <c r="BA1008" s="1"/>
      <c r="BB1008" s="1"/>
      <c r="BC1008" s="1"/>
      <c r="BD1008" s="1"/>
      <c r="BE1008" s="1"/>
      <c r="BQ1008" s="1"/>
    </row>
    <row r="1009" spans="49:69">
      <c r="AW1009" s="1"/>
      <c r="AX1009" s="1"/>
      <c r="AY1009" s="1"/>
      <c r="AZ1009" s="6"/>
      <c r="BA1009" s="1"/>
      <c r="BB1009" s="1"/>
      <c r="BC1009" s="1"/>
      <c r="BD1009" s="1"/>
      <c r="BE1009" s="1"/>
      <c r="BQ1009" s="1"/>
    </row>
    <row r="1010" spans="49:69">
      <c r="AW1010" s="1"/>
      <c r="AX1010" s="1"/>
      <c r="AY1010" s="1"/>
      <c r="AZ1010" s="6"/>
      <c r="BA1010" s="1"/>
      <c r="BB1010" s="1"/>
      <c r="BC1010" s="1"/>
      <c r="BD1010" s="1"/>
      <c r="BE1010" s="1"/>
      <c r="BQ1010" s="1"/>
    </row>
    <row r="1011" spans="49:69">
      <c r="AW1011" s="1"/>
      <c r="AX1011" s="1"/>
      <c r="AY1011" s="1"/>
      <c r="AZ1011" s="6"/>
      <c r="BA1011" s="1"/>
      <c r="BB1011" s="1"/>
      <c r="BC1011" s="1"/>
      <c r="BD1011" s="1"/>
      <c r="BE1011" s="1"/>
      <c r="BQ1011" s="1"/>
    </row>
    <row r="1012" spans="49:69">
      <c r="AW1012" s="1"/>
      <c r="AX1012" s="1"/>
      <c r="AY1012" s="1"/>
      <c r="AZ1012" s="6"/>
      <c r="BA1012" s="1"/>
      <c r="BB1012" s="1"/>
      <c r="BC1012" s="1"/>
      <c r="BD1012" s="1"/>
      <c r="BE1012" s="1"/>
      <c r="BQ1012" s="1"/>
    </row>
    <row r="1013" spans="49:69">
      <c r="AW1013" s="1"/>
      <c r="AX1013" s="1"/>
      <c r="AY1013" s="1"/>
      <c r="AZ1013" s="6"/>
      <c r="BA1013" s="1"/>
      <c r="BB1013" s="1"/>
      <c r="BC1013" s="1"/>
      <c r="BD1013" s="1"/>
      <c r="BE1013" s="1"/>
      <c r="BQ1013" s="1"/>
    </row>
    <row r="1014" spans="49:69">
      <c r="AW1014" s="1"/>
      <c r="AX1014" s="1"/>
      <c r="AY1014" s="1"/>
      <c r="AZ1014" s="6"/>
      <c r="BA1014" s="1"/>
      <c r="BB1014" s="1"/>
      <c r="BC1014" s="1"/>
      <c r="BD1014" s="1"/>
      <c r="BE1014" s="1"/>
      <c r="BQ1014" s="1"/>
    </row>
    <row r="1015" spans="49:69">
      <c r="AW1015" s="1"/>
      <c r="AX1015" s="1"/>
      <c r="AY1015" s="1"/>
      <c r="AZ1015" s="6"/>
      <c r="BA1015" s="1"/>
      <c r="BB1015" s="1"/>
      <c r="BC1015" s="1"/>
      <c r="BD1015" s="1"/>
      <c r="BE1015" s="1"/>
      <c r="BQ1015" s="1"/>
    </row>
    <row r="1016" spans="49:69">
      <c r="AW1016" s="1"/>
      <c r="AX1016" s="1"/>
      <c r="AY1016" s="1"/>
      <c r="AZ1016" s="6"/>
      <c r="BA1016" s="1"/>
      <c r="BB1016" s="1"/>
      <c r="BC1016" s="1"/>
      <c r="BD1016" s="1"/>
      <c r="BE1016" s="1"/>
      <c r="BQ1016" s="1"/>
    </row>
    <row r="1017" spans="49:69">
      <c r="AW1017" s="1"/>
      <c r="AX1017" s="1"/>
      <c r="AY1017" s="1"/>
      <c r="AZ1017" s="6"/>
      <c r="BA1017" s="1"/>
      <c r="BB1017" s="1"/>
      <c r="BC1017" s="1"/>
      <c r="BD1017" s="1"/>
      <c r="BE1017" s="1"/>
      <c r="BQ1017" s="1"/>
    </row>
    <row r="1018" spans="49:69">
      <c r="AW1018" s="1"/>
      <c r="AX1018" s="1"/>
      <c r="AY1018" s="1"/>
      <c r="AZ1018" s="6"/>
      <c r="BA1018" s="1"/>
      <c r="BB1018" s="1"/>
      <c r="BC1018" s="1"/>
      <c r="BD1018" s="1"/>
      <c r="BE1018" s="1"/>
      <c r="BQ1018" s="1"/>
    </row>
    <row r="1019" spans="49:69">
      <c r="AW1019" s="1"/>
      <c r="AX1019" s="1"/>
      <c r="AY1019" s="1"/>
      <c r="AZ1019" s="6"/>
      <c r="BA1019" s="1"/>
      <c r="BB1019" s="1"/>
      <c r="BC1019" s="1"/>
      <c r="BD1019" s="1"/>
      <c r="BE1019" s="1"/>
      <c r="BQ1019" s="1"/>
    </row>
    <row r="1020" spans="49:69">
      <c r="AW1020" s="1"/>
      <c r="AX1020" s="1"/>
      <c r="AY1020" s="1"/>
      <c r="AZ1020" s="6"/>
      <c r="BA1020" s="1"/>
      <c r="BB1020" s="1"/>
      <c r="BC1020" s="1"/>
      <c r="BD1020" s="1"/>
      <c r="BE1020" s="1"/>
      <c r="BQ1020" s="1"/>
    </row>
    <row r="1021" spans="49:69">
      <c r="AW1021" s="1"/>
      <c r="AX1021" s="1"/>
      <c r="AY1021" s="1"/>
      <c r="AZ1021" s="6"/>
      <c r="BA1021" s="1"/>
      <c r="BB1021" s="1"/>
      <c r="BC1021" s="1"/>
      <c r="BD1021" s="1"/>
      <c r="BE1021" s="1"/>
      <c r="BQ1021" s="1"/>
    </row>
    <row r="1022" spans="49:69">
      <c r="AW1022" s="1"/>
      <c r="AX1022" s="1"/>
      <c r="AY1022" s="1"/>
      <c r="AZ1022" s="6"/>
      <c r="BA1022" s="1"/>
      <c r="BB1022" s="1"/>
      <c r="BC1022" s="1"/>
      <c r="BD1022" s="1"/>
      <c r="BE1022" s="1"/>
      <c r="BQ1022" s="1"/>
    </row>
    <row r="1023" spans="49:69">
      <c r="AW1023" s="1"/>
      <c r="AX1023" s="1"/>
      <c r="AY1023" s="1"/>
      <c r="AZ1023" s="6"/>
      <c r="BA1023" s="1"/>
      <c r="BB1023" s="1"/>
      <c r="BC1023" s="1"/>
      <c r="BD1023" s="1"/>
      <c r="BE1023" s="1"/>
      <c r="BQ1023" s="1"/>
    </row>
    <row r="1024" spans="49:69">
      <c r="AW1024" s="1"/>
      <c r="AX1024" s="1"/>
      <c r="AY1024" s="1"/>
      <c r="AZ1024" s="6"/>
      <c r="BA1024" s="1"/>
      <c r="BB1024" s="1"/>
      <c r="BC1024" s="1"/>
      <c r="BD1024" s="1"/>
      <c r="BE1024" s="1"/>
      <c r="BQ1024" s="1"/>
    </row>
    <row r="1025" spans="49:69">
      <c r="AW1025" s="1"/>
      <c r="AX1025" s="1"/>
      <c r="AY1025" s="1"/>
      <c r="AZ1025" s="6"/>
      <c r="BA1025" s="1"/>
      <c r="BB1025" s="1"/>
      <c r="BC1025" s="1"/>
      <c r="BD1025" s="1"/>
      <c r="BE1025" s="1"/>
      <c r="BQ1025" s="1"/>
    </row>
    <row r="1026" spans="49:69">
      <c r="AW1026" s="1"/>
      <c r="AX1026" s="1"/>
      <c r="AY1026" s="1"/>
      <c r="AZ1026" s="6"/>
      <c r="BA1026" s="1"/>
      <c r="BB1026" s="1"/>
      <c r="BC1026" s="1"/>
      <c r="BD1026" s="1"/>
      <c r="BE1026" s="1"/>
      <c r="BQ1026" s="1"/>
    </row>
    <row r="1027" spans="49:69">
      <c r="AW1027" s="1"/>
      <c r="AX1027" s="1"/>
      <c r="AY1027" s="1"/>
      <c r="AZ1027" s="6"/>
      <c r="BA1027" s="1"/>
      <c r="BB1027" s="1"/>
      <c r="BC1027" s="1"/>
      <c r="BD1027" s="1"/>
      <c r="BE1027" s="1"/>
      <c r="BQ1027" s="1"/>
    </row>
    <row r="1028" spans="49:69">
      <c r="AW1028" s="1"/>
      <c r="AX1028" s="1"/>
      <c r="AY1028" s="1"/>
      <c r="AZ1028" s="6"/>
      <c r="BA1028" s="1"/>
      <c r="BB1028" s="1"/>
      <c r="BC1028" s="1"/>
      <c r="BD1028" s="1"/>
      <c r="BE1028" s="1"/>
      <c r="BQ1028" s="1"/>
    </row>
    <row r="1029" spans="49:69">
      <c r="AW1029" s="1"/>
      <c r="AX1029" s="1"/>
      <c r="AY1029" s="1"/>
      <c r="AZ1029" s="6"/>
      <c r="BA1029" s="1"/>
      <c r="BB1029" s="1"/>
      <c r="BC1029" s="1"/>
      <c r="BD1029" s="1"/>
      <c r="BE1029" s="1"/>
      <c r="BQ1029" s="1"/>
    </row>
    <row r="1030" spans="49:69">
      <c r="AW1030" s="1"/>
      <c r="AX1030" s="1"/>
      <c r="AY1030" s="1"/>
      <c r="AZ1030" s="6"/>
      <c r="BA1030" s="1"/>
      <c r="BB1030" s="1"/>
      <c r="BC1030" s="1"/>
      <c r="BD1030" s="1"/>
      <c r="BE1030" s="1"/>
      <c r="BQ1030" s="1"/>
    </row>
    <row r="1031" spans="49:69">
      <c r="AW1031" s="1"/>
      <c r="AX1031" s="1"/>
      <c r="AY1031" s="1"/>
      <c r="AZ1031" s="6"/>
      <c r="BA1031" s="1"/>
      <c r="BB1031" s="1"/>
      <c r="BC1031" s="1"/>
      <c r="BD1031" s="1"/>
      <c r="BE1031" s="1"/>
      <c r="BQ1031" s="1"/>
    </row>
    <row r="1032" spans="49:69">
      <c r="AW1032" s="1"/>
      <c r="AX1032" s="1"/>
      <c r="AY1032" s="1"/>
      <c r="AZ1032" s="6"/>
      <c r="BA1032" s="1"/>
      <c r="BB1032" s="1"/>
      <c r="BC1032" s="1"/>
      <c r="BD1032" s="1"/>
      <c r="BE1032" s="1"/>
      <c r="BQ1032" s="1"/>
    </row>
    <row r="1033" spans="49:69">
      <c r="AW1033" s="1"/>
      <c r="AX1033" s="1"/>
      <c r="AY1033" s="1"/>
      <c r="AZ1033" s="6"/>
      <c r="BA1033" s="1"/>
      <c r="BB1033" s="1"/>
      <c r="BC1033" s="1"/>
      <c r="BD1033" s="1"/>
      <c r="BE1033" s="1"/>
      <c r="BQ1033" s="1"/>
    </row>
    <row r="1034" spans="49:69">
      <c r="AW1034" s="1"/>
      <c r="AX1034" s="1"/>
      <c r="AY1034" s="1"/>
      <c r="AZ1034" s="6"/>
      <c r="BA1034" s="1"/>
      <c r="BB1034" s="1"/>
      <c r="BC1034" s="1"/>
      <c r="BD1034" s="1"/>
      <c r="BE1034" s="1"/>
      <c r="BQ1034" s="1"/>
    </row>
    <row r="1035" spans="49:69">
      <c r="AW1035" s="1"/>
      <c r="AX1035" s="1"/>
      <c r="AY1035" s="1"/>
      <c r="AZ1035" s="6"/>
      <c r="BA1035" s="1"/>
      <c r="BB1035" s="1"/>
      <c r="BC1035" s="1"/>
      <c r="BD1035" s="1"/>
      <c r="BE1035" s="1"/>
      <c r="BQ1035" s="1"/>
    </row>
    <row r="1036" spans="49:69">
      <c r="AW1036" s="1"/>
      <c r="AX1036" s="1"/>
      <c r="AY1036" s="1"/>
      <c r="AZ1036" s="6"/>
      <c r="BA1036" s="1"/>
      <c r="BB1036" s="1"/>
      <c r="BC1036" s="1"/>
      <c r="BD1036" s="1"/>
      <c r="BE1036" s="1"/>
      <c r="BQ1036" s="1"/>
    </row>
    <row r="1037" spans="49:69">
      <c r="AW1037" s="1"/>
      <c r="AX1037" s="1"/>
      <c r="AY1037" s="1"/>
      <c r="AZ1037" s="6"/>
      <c r="BA1037" s="1"/>
      <c r="BB1037" s="1"/>
      <c r="BC1037" s="1"/>
      <c r="BD1037" s="1"/>
      <c r="BE1037" s="1"/>
      <c r="BQ1037" s="1"/>
    </row>
    <row r="1038" spans="49:69">
      <c r="AW1038" s="1"/>
      <c r="AX1038" s="1"/>
      <c r="AY1038" s="1"/>
      <c r="AZ1038" s="6"/>
      <c r="BA1038" s="1"/>
      <c r="BB1038" s="1"/>
      <c r="BC1038" s="1"/>
      <c r="BD1038" s="1"/>
      <c r="BE1038" s="1"/>
      <c r="BQ1038" s="1"/>
    </row>
    <row r="1039" spans="49:69">
      <c r="AW1039" s="1"/>
      <c r="AX1039" s="1"/>
      <c r="AY1039" s="1"/>
      <c r="AZ1039" s="6"/>
      <c r="BA1039" s="1"/>
      <c r="BB1039" s="1"/>
      <c r="BC1039" s="1"/>
      <c r="BD1039" s="1"/>
      <c r="BE1039" s="1"/>
      <c r="BQ1039" s="1"/>
    </row>
    <row r="1040" spans="49:69">
      <c r="AW1040" s="1"/>
      <c r="AX1040" s="1"/>
      <c r="AY1040" s="1"/>
      <c r="AZ1040" s="6"/>
      <c r="BA1040" s="1"/>
      <c r="BB1040" s="1"/>
      <c r="BC1040" s="1"/>
      <c r="BD1040" s="1"/>
      <c r="BE1040" s="1"/>
      <c r="BQ1040" s="1"/>
    </row>
    <row r="1041" spans="49:69">
      <c r="AW1041" s="1"/>
      <c r="AX1041" s="1"/>
      <c r="AY1041" s="1"/>
      <c r="AZ1041" s="6"/>
      <c r="BA1041" s="1"/>
      <c r="BB1041" s="1"/>
      <c r="BC1041" s="1"/>
      <c r="BD1041" s="1"/>
      <c r="BE1041" s="1"/>
      <c r="BQ1041" s="1"/>
    </row>
    <row r="1042" spans="49:69">
      <c r="AW1042" s="1"/>
      <c r="AX1042" s="1"/>
      <c r="AY1042" s="1"/>
      <c r="AZ1042" s="6"/>
      <c r="BA1042" s="1"/>
      <c r="BB1042" s="1"/>
      <c r="BC1042" s="1"/>
      <c r="BD1042" s="1"/>
      <c r="BE1042" s="1"/>
      <c r="BQ1042" s="1"/>
    </row>
    <row r="1043" spans="49:69">
      <c r="AW1043" s="1"/>
      <c r="AX1043" s="1"/>
      <c r="AY1043" s="1"/>
      <c r="AZ1043" s="6"/>
      <c r="BA1043" s="1"/>
      <c r="BB1043" s="1"/>
      <c r="BC1043" s="1"/>
      <c r="BD1043" s="1"/>
      <c r="BE1043" s="1"/>
      <c r="BQ1043" s="1"/>
    </row>
    <row r="1044" spans="49:69">
      <c r="AW1044" s="1"/>
      <c r="AX1044" s="1"/>
      <c r="AY1044" s="1"/>
      <c r="AZ1044" s="6"/>
      <c r="BA1044" s="1"/>
      <c r="BB1044" s="1"/>
      <c r="BC1044" s="1"/>
      <c r="BD1044" s="1"/>
      <c r="BE1044" s="1"/>
      <c r="BQ1044" s="1"/>
    </row>
    <row r="1045" spans="49:69">
      <c r="AW1045" s="1"/>
      <c r="AX1045" s="1"/>
      <c r="AY1045" s="1"/>
      <c r="AZ1045" s="6"/>
      <c r="BA1045" s="1"/>
      <c r="BB1045" s="1"/>
      <c r="BC1045" s="1"/>
      <c r="BD1045" s="1"/>
      <c r="BE1045" s="1"/>
      <c r="BQ1045" s="1"/>
    </row>
    <row r="1046" spans="49:69">
      <c r="AW1046" s="1"/>
      <c r="AX1046" s="1"/>
      <c r="AY1046" s="1"/>
      <c r="AZ1046" s="6"/>
      <c r="BA1046" s="1"/>
      <c r="BB1046" s="1"/>
      <c r="BC1046" s="1"/>
      <c r="BD1046" s="1"/>
      <c r="BE1046" s="1"/>
      <c r="BQ1046" s="1"/>
    </row>
    <row r="1047" spans="49:69">
      <c r="AW1047" s="1"/>
      <c r="AX1047" s="1"/>
      <c r="AY1047" s="1"/>
      <c r="AZ1047" s="6"/>
      <c r="BA1047" s="1"/>
      <c r="BB1047" s="1"/>
      <c r="BC1047" s="1"/>
      <c r="BD1047" s="1"/>
      <c r="BE1047" s="1"/>
      <c r="BQ1047" s="1"/>
    </row>
    <row r="1048" spans="49:69">
      <c r="AW1048" s="1"/>
      <c r="AX1048" s="1"/>
      <c r="AY1048" s="1"/>
      <c r="AZ1048" s="6"/>
      <c r="BA1048" s="1"/>
      <c r="BB1048" s="1"/>
      <c r="BC1048" s="1"/>
      <c r="BD1048" s="1"/>
      <c r="BE1048" s="1"/>
      <c r="BQ1048" s="1"/>
    </row>
    <row r="1049" spans="49:69">
      <c r="AW1049" s="1"/>
      <c r="AX1049" s="1"/>
      <c r="AY1049" s="1"/>
      <c r="AZ1049" s="6"/>
      <c r="BA1049" s="1"/>
      <c r="BB1049" s="1"/>
      <c r="BC1049" s="1"/>
      <c r="BD1049" s="1"/>
      <c r="BE1049" s="1"/>
      <c r="BQ1049" s="1"/>
    </row>
    <row r="1050" spans="49:69">
      <c r="AW1050" s="1"/>
      <c r="AX1050" s="1"/>
      <c r="AY1050" s="1"/>
      <c r="AZ1050" s="6"/>
      <c r="BA1050" s="1"/>
      <c r="BB1050" s="1"/>
      <c r="BC1050" s="1"/>
      <c r="BD1050" s="1"/>
      <c r="BE1050" s="1"/>
      <c r="BQ1050" s="1"/>
    </row>
    <row r="1051" spans="49:69">
      <c r="AW1051" s="1"/>
      <c r="AX1051" s="1"/>
      <c r="AY1051" s="1"/>
      <c r="AZ1051" s="6"/>
      <c r="BA1051" s="1"/>
      <c r="BB1051" s="1"/>
      <c r="BC1051" s="1"/>
      <c r="BD1051" s="1"/>
      <c r="BE1051" s="1"/>
      <c r="BQ1051" s="1"/>
    </row>
    <row r="1052" spans="49:69">
      <c r="AW1052" s="1"/>
      <c r="AX1052" s="1"/>
      <c r="AY1052" s="1"/>
      <c r="AZ1052" s="6"/>
      <c r="BA1052" s="1"/>
      <c r="BB1052" s="1"/>
      <c r="BC1052" s="1"/>
      <c r="BD1052" s="1"/>
      <c r="BE1052" s="1"/>
      <c r="BQ1052" s="1"/>
    </row>
    <row r="1053" spans="49:69">
      <c r="AW1053" s="1"/>
      <c r="AX1053" s="1"/>
      <c r="AY1053" s="1"/>
      <c r="AZ1053" s="6"/>
      <c r="BA1053" s="1"/>
      <c r="BB1053" s="1"/>
      <c r="BC1053" s="1"/>
      <c r="BD1053" s="1"/>
      <c r="BE1053" s="1"/>
      <c r="BQ1053" s="1"/>
    </row>
    <row r="1054" spans="49:69">
      <c r="AW1054" s="1"/>
      <c r="AX1054" s="1"/>
      <c r="AY1054" s="1"/>
      <c r="AZ1054" s="6"/>
      <c r="BA1054" s="1"/>
      <c r="BB1054" s="1"/>
      <c r="BC1054" s="1"/>
      <c r="BD1054" s="1"/>
      <c r="BE1054" s="1"/>
      <c r="BQ1054" s="1"/>
    </row>
    <row r="1055" spans="49:69">
      <c r="AW1055" s="1"/>
      <c r="AX1055" s="1"/>
      <c r="AY1055" s="1"/>
      <c r="AZ1055" s="6"/>
      <c r="BA1055" s="1"/>
      <c r="BB1055" s="1"/>
      <c r="BC1055" s="1"/>
      <c r="BD1055" s="1"/>
      <c r="BE1055" s="1"/>
      <c r="BQ1055" s="1"/>
    </row>
    <row r="1056" spans="49:69">
      <c r="AW1056" s="1"/>
      <c r="AX1056" s="1"/>
      <c r="AY1056" s="1"/>
      <c r="AZ1056" s="6"/>
      <c r="BA1056" s="1"/>
      <c r="BB1056" s="1"/>
      <c r="BC1056" s="1"/>
      <c r="BD1056" s="1"/>
      <c r="BE1056" s="1"/>
      <c r="BQ1056" s="1"/>
    </row>
    <row r="1057" spans="49:69">
      <c r="AW1057" s="1"/>
      <c r="AX1057" s="1"/>
      <c r="AY1057" s="1"/>
      <c r="AZ1057" s="6"/>
      <c r="BA1057" s="1"/>
      <c r="BB1057" s="1"/>
      <c r="BC1057" s="1"/>
      <c r="BD1057" s="1"/>
      <c r="BE1057" s="1"/>
      <c r="BQ1057" s="1"/>
    </row>
    <row r="1058" spans="49:69">
      <c r="AW1058" s="1"/>
      <c r="AX1058" s="1"/>
      <c r="AY1058" s="1"/>
      <c r="AZ1058" s="6"/>
      <c r="BA1058" s="1"/>
      <c r="BB1058" s="1"/>
      <c r="BC1058" s="1"/>
      <c r="BD1058" s="1"/>
      <c r="BE1058" s="1"/>
      <c r="BQ1058" s="1"/>
    </row>
    <row r="1059" spans="49:69">
      <c r="AW1059" s="1"/>
      <c r="AX1059" s="1"/>
      <c r="AY1059" s="1"/>
      <c r="AZ1059" s="6"/>
      <c r="BA1059" s="1"/>
      <c r="BB1059" s="1"/>
      <c r="BC1059" s="1"/>
      <c r="BD1059" s="1"/>
      <c r="BE1059" s="1"/>
      <c r="BQ1059" s="1"/>
    </row>
    <row r="1060" spans="49:69">
      <c r="AW1060" s="1"/>
      <c r="AX1060" s="1"/>
      <c r="AY1060" s="1"/>
      <c r="AZ1060" s="6"/>
      <c r="BA1060" s="1"/>
      <c r="BB1060" s="1"/>
      <c r="BC1060" s="1"/>
      <c r="BD1060" s="1"/>
      <c r="BE1060" s="1"/>
      <c r="BQ1060" s="1"/>
    </row>
    <row r="1061" spans="49:69">
      <c r="AW1061" s="1"/>
      <c r="AX1061" s="1"/>
      <c r="AY1061" s="1"/>
      <c r="AZ1061" s="6"/>
      <c r="BA1061" s="1"/>
      <c r="BB1061" s="1"/>
      <c r="BC1061" s="1"/>
      <c r="BD1061" s="1"/>
      <c r="BE1061" s="1"/>
      <c r="BQ1061" s="1"/>
    </row>
    <row r="1062" spans="49:69">
      <c r="AW1062" s="1"/>
      <c r="AX1062" s="1"/>
      <c r="AY1062" s="1"/>
      <c r="AZ1062" s="6"/>
      <c r="BA1062" s="1"/>
      <c r="BB1062" s="1"/>
      <c r="BC1062" s="1"/>
      <c r="BD1062" s="1"/>
      <c r="BE1062" s="1"/>
      <c r="BQ1062" s="1"/>
    </row>
    <row r="1063" spans="49:69">
      <c r="AW1063" s="1"/>
      <c r="AX1063" s="1"/>
      <c r="AY1063" s="1"/>
      <c r="AZ1063" s="6"/>
      <c r="BA1063" s="1"/>
      <c r="BB1063" s="1"/>
      <c r="BC1063" s="1"/>
      <c r="BD1063" s="1"/>
      <c r="BE1063" s="1"/>
      <c r="BQ1063" s="1"/>
    </row>
    <row r="1064" spans="49:69">
      <c r="AW1064" s="1"/>
      <c r="AX1064" s="1"/>
      <c r="AY1064" s="1"/>
      <c r="AZ1064" s="6"/>
      <c r="BA1064" s="1"/>
      <c r="BB1064" s="1"/>
      <c r="BC1064" s="1"/>
      <c r="BD1064" s="1"/>
      <c r="BE1064" s="1"/>
      <c r="BQ1064" s="1"/>
    </row>
    <row r="1065" spans="49:69">
      <c r="AW1065" s="1"/>
      <c r="AX1065" s="1"/>
      <c r="AY1065" s="1"/>
      <c r="AZ1065" s="6"/>
      <c r="BA1065" s="1"/>
      <c r="BB1065" s="1"/>
      <c r="BC1065" s="1"/>
      <c r="BD1065" s="1"/>
      <c r="BE1065" s="1"/>
      <c r="BQ1065" s="1"/>
    </row>
    <row r="1066" spans="49:69">
      <c r="AW1066" s="1"/>
      <c r="AX1066" s="1"/>
      <c r="AY1066" s="1"/>
      <c r="AZ1066" s="6"/>
      <c r="BA1066" s="1"/>
      <c r="BB1066" s="1"/>
      <c r="BC1066" s="1"/>
      <c r="BD1066" s="1"/>
      <c r="BE1066" s="1"/>
      <c r="BQ1066" s="1"/>
    </row>
    <row r="1067" spans="49:69">
      <c r="AW1067" s="1"/>
      <c r="AX1067" s="1"/>
      <c r="AY1067" s="1"/>
      <c r="AZ1067" s="6"/>
      <c r="BA1067" s="1"/>
      <c r="BB1067" s="1"/>
      <c r="BC1067" s="1"/>
      <c r="BD1067" s="1"/>
      <c r="BE1067" s="1"/>
      <c r="BQ1067" s="1"/>
    </row>
    <row r="1068" spans="49:69">
      <c r="AW1068" s="1"/>
      <c r="AX1068" s="1"/>
      <c r="AY1068" s="1"/>
      <c r="AZ1068" s="6"/>
      <c r="BA1068" s="1"/>
      <c r="BB1068" s="1"/>
      <c r="BC1068" s="1"/>
      <c r="BD1068" s="1"/>
      <c r="BE1068" s="1"/>
      <c r="BQ1068" s="1"/>
    </row>
    <row r="1069" spans="49:69">
      <c r="AW1069" s="1"/>
      <c r="AX1069" s="1"/>
      <c r="AY1069" s="1"/>
      <c r="AZ1069" s="6"/>
      <c r="BA1069" s="1"/>
      <c r="BB1069" s="1"/>
      <c r="BC1069" s="1"/>
      <c r="BD1069" s="1"/>
      <c r="BE1069" s="1"/>
      <c r="BQ1069" s="1"/>
    </row>
    <row r="1070" spans="49:69">
      <c r="AW1070" s="1"/>
      <c r="AX1070" s="1"/>
      <c r="AY1070" s="1"/>
      <c r="AZ1070" s="6"/>
      <c r="BA1070" s="1"/>
      <c r="BB1070" s="1"/>
      <c r="BC1070" s="1"/>
      <c r="BD1070" s="1"/>
      <c r="BE1070" s="1"/>
      <c r="BQ1070" s="1"/>
    </row>
    <row r="1071" spans="49:69">
      <c r="AW1071" s="1"/>
      <c r="AX1071" s="1"/>
      <c r="AY1071" s="1"/>
      <c r="AZ1071" s="6"/>
      <c r="BA1071" s="1"/>
      <c r="BB1071" s="1"/>
      <c r="BC1071" s="1"/>
      <c r="BD1071" s="1"/>
      <c r="BE1071" s="1"/>
      <c r="BQ1071" s="1"/>
    </row>
    <row r="1072" spans="49:69">
      <c r="AW1072" s="1"/>
      <c r="AX1072" s="1"/>
      <c r="AY1072" s="1"/>
      <c r="AZ1072" s="6"/>
      <c r="BA1072" s="1"/>
      <c r="BB1072" s="1"/>
      <c r="BC1072" s="1"/>
      <c r="BD1072" s="1"/>
      <c r="BE1072" s="1"/>
      <c r="BQ1072" s="1"/>
    </row>
    <row r="1073" spans="49:69">
      <c r="AW1073" s="1"/>
      <c r="AX1073" s="1"/>
      <c r="AY1073" s="1"/>
      <c r="AZ1073" s="6"/>
      <c r="BA1073" s="1"/>
      <c r="BB1073" s="1"/>
      <c r="BC1073" s="1"/>
      <c r="BD1073" s="1"/>
      <c r="BE1073" s="1"/>
      <c r="BQ1073" s="1"/>
    </row>
    <row r="1074" spans="49:69">
      <c r="AW1074" s="1"/>
      <c r="AX1074" s="1"/>
      <c r="AY1074" s="1"/>
      <c r="AZ1074" s="6"/>
      <c r="BA1074" s="1"/>
      <c r="BB1074" s="1"/>
      <c r="BC1074" s="1"/>
      <c r="BD1074" s="1"/>
      <c r="BE1074" s="1"/>
      <c r="BQ1074" s="1"/>
    </row>
    <row r="1075" spans="49:69">
      <c r="AW1075" s="1"/>
      <c r="AX1075" s="1"/>
      <c r="AY1075" s="1"/>
      <c r="AZ1075" s="6"/>
      <c r="BA1075" s="1"/>
      <c r="BB1075" s="1"/>
      <c r="BC1075" s="1"/>
      <c r="BD1075" s="1"/>
      <c r="BE1075" s="1"/>
      <c r="BQ1075" s="1"/>
    </row>
    <row r="1076" spans="49:69">
      <c r="AW1076" s="1"/>
      <c r="AX1076" s="1"/>
      <c r="AY1076" s="1"/>
      <c r="AZ1076" s="6"/>
      <c r="BA1076" s="1"/>
      <c r="BB1076" s="1"/>
      <c r="BC1076" s="1"/>
      <c r="BD1076" s="1"/>
      <c r="BE1076" s="1"/>
      <c r="BQ1076" s="1"/>
    </row>
    <row r="1077" spans="49:69">
      <c r="AW1077" s="1"/>
      <c r="AX1077" s="1"/>
      <c r="AY1077" s="1"/>
      <c r="AZ1077" s="6"/>
      <c r="BA1077" s="1"/>
      <c r="BB1077" s="1"/>
      <c r="BC1077" s="1"/>
      <c r="BD1077" s="1"/>
      <c r="BE1077" s="1"/>
      <c r="BQ1077" s="1"/>
    </row>
    <row r="1078" spans="49:69">
      <c r="AW1078" s="1"/>
      <c r="AX1078" s="1"/>
      <c r="AY1078" s="1"/>
      <c r="AZ1078" s="6"/>
      <c r="BA1078" s="1"/>
      <c r="BB1078" s="1"/>
      <c r="BC1078" s="1"/>
      <c r="BD1078" s="1"/>
      <c r="BE1078" s="1"/>
      <c r="BQ1078" s="1"/>
    </row>
    <row r="1079" spans="49:69">
      <c r="AW1079" s="1"/>
      <c r="AX1079" s="1"/>
      <c r="AY1079" s="1"/>
      <c r="AZ1079" s="6"/>
      <c r="BA1079" s="1"/>
      <c r="BB1079" s="1"/>
      <c r="BC1079" s="1"/>
      <c r="BD1079" s="1"/>
      <c r="BE1079" s="1"/>
      <c r="BQ1079" s="1"/>
    </row>
    <row r="1080" spans="49:69">
      <c r="AW1080" s="1"/>
      <c r="AX1080" s="1"/>
      <c r="AY1080" s="1"/>
      <c r="AZ1080" s="6"/>
      <c r="BA1080" s="1"/>
      <c r="BB1080" s="1"/>
      <c r="BC1080" s="1"/>
      <c r="BD1080" s="1"/>
      <c r="BE1080" s="1"/>
      <c r="BQ1080" s="1"/>
    </row>
    <row r="1081" spans="49:69">
      <c r="AW1081" s="1"/>
      <c r="AX1081" s="1"/>
      <c r="AY1081" s="1"/>
      <c r="AZ1081" s="6"/>
      <c r="BA1081" s="1"/>
      <c r="BB1081" s="1"/>
      <c r="BC1081" s="1"/>
      <c r="BD1081" s="1"/>
      <c r="BE1081" s="1"/>
      <c r="BQ1081" s="1"/>
    </row>
    <row r="1082" spans="49:69">
      <c r="AW1082" s="1"/>
      <c r="AX1082" s="1"/>
      <c r="AY1082" s="1"/>
      <c r="AZ1082" s="6"/>
      <c r="BA1082" s="1"/>
      <c r="BB1082" s="1"/>
      <c r="BC1082" s="1"/>
      <c r="BD1082" s="1"/>
      <c r="BE1082" s="1"/>
      <c r="BQ1082" s="1"/>
    </row>
    <row r="1083" spans="49:69">
      <c r="AW1083" s="1"/>
      <c r="AX1083" s="1"/>
      <c r="AY1083" s="1"/>
      <c r="AZ1083" s="6"/>
      <c r="BA1083" s="1"/>
      <c r="BB1083" s="1"/>
      <c r="BC1083" s="1"/>
      <c r="BD1083" s="1"/>
      <c r="BE1083" s="1"/>
      <c r="BQ1083" s="1"/>
    </row>
    <row r="1084" spans="49:69">
      <c r="AW1084" s="1"/>
      <c r="AX1084" s="1"/>
      <c r="AY1084" s="1"/>
      <c r="AZ1084" s="6"/>
      <c r="BA1084" s="1"/>
      <c r="BB1084" s="1"/>
      <c r="BC1084" s="1"/>
      <c r="BD1084" s="1"/>
      <c r="BE1084" s="1"/>
      <c r="BQ1084" s="1"/>
    </row>
  </sheetData>
  <dataConsolidate/>
  <mergeCells count="2">
    <mergeCell ref="BI3:BN3"/>
    <mergeCell ref="AY3:BA3"/>
  </mergeCells>
  <phoneticPr fontId="66" type="noConversion"/>
  <conditionalFormatting sqref="A6:BD85 BF17:BS24 A404:A407">
    <cfRule type="cellIs" dxfId="317" priority="10" operator="equal">
      <formula>0</formula>
    </cfRule>
  </conditionalFormatting>
  <conditionalFormatting sqref="A89:BD155 BF121:BS123 A161:B161 AS408:AT444 A408:BD617 BF430:BS617">
    <cfRule type="cellIs" dxfId="316" priority="55" operator="equal">
      <formula>0</formula>
    </cfRule>
  </conditionalFormatting>
  <conditionalFormatting sqref="A5:BS5 BF6:BP6 BR6:BS6 BE6:BE665 BF7:BS12 AS9:AT402 BF13:BO16 BQ13:BS16 BF14:BS14 BF25:BP26 BR25:BS26 BQ26:BS26 BF27:BS31 BF32:BO33 BQ32:BS33 BF34:BS41 BF42:BP42 BR42:BS42 BF43:BS44 BF45:BP45 BR45:BS45 BF46:BS46 BF47:BO47 BQ47:BS47 BF48:BS71 BF72:BM72 BO72:BS72 BF73:BS80 BF81:BO81 BR81:BS81 BF82:BS82 BF83:BO84 BQ83:BS84 BF85:BS86 BA86:BD86 A86:AZ88 BQ87:BS87 BF87:BO88 BR88:BS88 BF89:BS93 BF94:BO94 BQ94:BS94 BF95:BS105 BF106:BO106 BQ106:BS106 BF107:BS114 BF115:BO115 BQ115:BS115 BF116:BS116 BF117:BO117 BQ117:BS117 BF118:BS118 BF119:BO120 BQ119:BS120 BF124:BO124 BQ124:BS124 BF125:BS130 BF131:BO131 BR131:BS132 BI132:BN132 BF133:BS137 BI138:BN138 BQ138:BS138 BF139:BS144 BF145:BO146 BQ145:BS146 BF147:BS147 BF148:BN148 BQ148:BS148 BF149:BS149 BI150:BN150 BQ150:BS151 BI151:BO151 BF152:BS153 BF154:BO154 BQ154:BS159 BI155:BN155 BF156:BN158 A156:A159 C156:BD159 BI159:BN159 A160:BD160 BF160:BS160 C161:BD161 BI161:BN163 BQ161:BS163 A162:BD162 A163 C163:BD163 BF164:BS179 A164:BD403 BI180:BN180 BQ180:BS180 BF181:BS229 BF230:BP230 BR230:BS230 BF231:BS245 BF246:BO246 BQ246:BS246 BF247:BS249 BF250:BP250 BR250:BS250 BF251:BS302 BF303:BI304 BK303:BS304 BF305:BS322 BF323:BO323 BQ323:BS323 BF324:BS403 BF408:BS412 BF413:BQ413 BS413 BF414:BS419 BF420:BO420 BQ420:BS420 BF421:BS427 BF428:BO428 BQ428:BS428 BF429:BP429 BR429:BS429 A618:A619 C618:BD619 BF618:BO619 BR618:BS619 A620:AV620 AW620:BD622 BF620:BS624 B621:AV622 A623:BD665 BF625:BO625 BQ625:BS625 BF626:BS665">
    <cfRule type="cellIs" dxfId="315" priority="129" operator="equal">
      <formula>0</formula>
    </cfRule>
  </conditionalFormatting>
  <conditionalFormatting sqref="B156:B159">
    <cfRule type="cellIs" dxfId="314" priority="75" operator="equal">
      <formula>0</formula>
    </cfRule>
  </conditionalFormatting>
  <conditionalFormatting sqref="B163">
    <cfRule type="cellIs" dxfId="313" priority="62" operator="equal">
      <formula>0</formula>
    </cfRule>
  </conditionalFormatting>
  <conditionalFormatting sqref="B618">
    <cfRule type="cellIs" dxfId="312" priority="117" operator="equal">
      <formula>0</formula>
    </cfRule>
  </conditionalFormatting>
  <conditionalFormatting sqref="B674:AX677">
    <cfRule type="cellIs" dxfId="311" priority="1" operator="equal">
      <formula>0</formula>
    </cfRule>
  </conditionalFormatting>
  <conditionalFormatting sqref="C667:AS667 C691:AS691 C698:AS997">
    <cfRule type="cellIs" dxfId="310" priority="130" operator="equal">
      <formula>0</formula>
    </cfRule>
  </conditionalFormatting>
  <conditionalFormatting sqref="C678:AX678">
    <cfRule type="cellIs" dxfId="309" priority="4" operator="equal">
      <formula>0</formula>
    </cfRule>
  </conditionalFormatting>
  <conditionalFormatting sqref="BF132">
    <cfRule type="containsBlanks" dxfId="308" priority="18">
      <formula>LEN(TRIM(BF132))=0</formula>
    </cfRule>
  </conditionalFormatting>
  <conditionalFormatting sqref="BF150:BF151">
    <cfRule type="containsBlanks" dxfId="307" priority="42">
      <formula>LEN(TRIM(BF150))=0</formula>
    </cfRule>
  </conditionalFormatting>
  <conditionalFormatting sqref="BF155">
    <cfRule type="containsBlanks" dxfId="306" priority="24">
      <formula>LEN(TRIM(BF155))=0</formula>
    </cfRule>
  </conditionalFormatting>
  <conditionalFormatting sqref="BF159">
    <cfRule type="containsBlanks" dxfId="305" priority="73">
      <formula>LEN(TRIM(BF159))=0</formula>
    </cfRule>
  </conditionalFormatting>
  <conditionalFormatting sqref="BF161:BF163">
    <cfRule type="containsBlanks" dxfId="304" priority="53">
      <formula>LEN(TRIM(BF161))=0</formula>
    </cfRule>
  </conditionalFormatting>
  <conditionalFormatting sqref="BF180">
    <cfRule type="containsBlanks" dxfId="303" priority="30">
      <formula>LEN(TRIM(BF180))=0</formula>
    </cfRule>
  </conditionalFormatting>
  <conditionalFormatting sqref="BF5:BH131 BO5:BO403 BF138 BF408:BH665 BO408:BO665">
    <cfRule type="containsBlanks" dxfId="302" priority="36">
      <formula>LEN(TRIM(BF5))=0</formula>
    </cfRule>
  </conditionalFormatting>
  <conditionalFormatting sqref="BF132:BH132">
    <cfRule type="cellIs" dxfId="301" priority="19" operator="equal">
      <formula>0</formula>
    </cfRule>
  </conditionalFormatting>
  <conditionalFormatting sqref="BF133:BH137 BF139:BH149 BF152:BH154 BF156:BH158 BF160:BH160 BF164:BH179 BF181:BH403">
    <cfRule type="containsBlanks" dxfId="300" priority="127">
      <formula>LEN(TRIM(BF133))=0</formula>
    </cfRule>
  </conditionalFormatting>
  <conditionalFormatting sqref="BF138:BH138">
    <cfRule type="cellIs" dxfId="299" priority="37" operator="equal">
      <formula>0</formula>
    </cfRule>
  </conditionalFormatting>
  <conditionalFormatting sqref="BF150:BH151">
    <cfRule type="cellIs" dxfId="298" priority="43" operator="equal">
      <formula>0</formula>
    </cfRule>
  </conditionalFormatting>
  <conditionalFormatting sqref="BF155:BH155">
    <cfRule type="cellIs" dxfId="297" priority="25" operator="equal">
      <formula>0</formula>
    </cfRule>
  </conditionalFormatting>
  <conditionalFormatting sqref="BF159:BH159">
    <cfRule type="cellIs" dxfId="296" priority="74" operator="equal">
      <formula>0</formula>
    </cfRule>
  </conditionalFormatting>
  <conditionalFormatting sqref="BF161:BH163">
    <cfRule type="cellIs" dxfId="295" priority="54" operator="equal">
      <formula>0</formula>
    </cfRule>
  </conditionalFormatting>
  <conditionalFormatting sqref="BF180:BH180">
    <cfRule type="cellIs" dxfId="294" priority="31" operator="equal">
      <formula>0</formula>
    </cfRule>
  </conditionalFormatting>
  <conditionalFormatting sqref="BG132">
    <cfRule type="containsBlanks" dxfId="293" priority="17">
      <formula>LEN(TRIM(BG132))=0</formula>
    </cfRule>
  </conditionalFormatting>
  <conditionalFormatting sqref="BG138">
    <cfRule type="containsBlanks" dxfId="292" priority="35">
      <formula>LEN(TRIM(BG138))=0</formula>
    </cfRule>
  </conditionalFormatting>
  <conditionalFormatting sqref="BG150:BG151">
    <cfRule type="containsBlanks" dxfId="291" priority="41">
      <formula>LEN(TRIM(BG150))=0</formula>
    </cfRule>
  </conditionalFormatting>
  <conditionalFormatting sqref="BG155">
    <cfRule type="containsBlanks" dxfId="290" priority="23">
      <formula>LEN(TRIM(BG155))=0</formula>
    </cfRule>
  </conditionalFormatting>
  <conditionalFormatting sqref="BG159">
    <cfRule type="containsBlanks" dxfId="289" priority="72">
      <formula>LEN(TRIM(BG159))=0</formula>
    </cfRule>
  </conditionalFormatting>
  <conditionalFormatting sqref="BG161:BG163">
    <cfRule type="containsBlanks" dxfId="288" priority="52">
      <formula>LEN(TRIM(BG161))=0</formula>
    </cfRule>
  </conditionalFormatting>
  <conditionalFormatting sqref="BG180">
    <cfRule type="containsBlanks" dxfId="287" priority="29">
      <formula>LEN(TRIM(BG180))=0</formula>
    </cfRule>
  </conditionalFormatting>
  <conditionalFormatting sqref="BH132">
    <cfRule type="containsBlanks" dxfId="286" priority="16">
      <formula>LEN(TRIM(BH132))=0</formula>
    </cfRule>
  </conditionalFormatting>
  <conditionalFormatting sqref="BH138">
    <cfRule type="containsBlanks" dxfId="285" priority="34">
      <formula>LEN(TRIM(BH138))=0</formula>
    </cfRule>
  </conditionalFormatting>
  <conditionalFormatting sqref="BH150:BH151">
    <cfRule type="containsBlanks" dxfId="284" priority="40">
      <formula>LEN(TRIM(BH150))=0</formula>
    </cfRule>
  </conditionalFormatting>
  <conditionalFormatting sqref="BH155">
    <cfRule type="containsBlanks" dxfId="283" priority="22">
      <formula>LEN(TRIM(BH155))=0</formula>
    </cfRule>
  </conditionalFormatting>
  <conditionalFormatting sqref="BH159">
    <cfRule type="containsBlanks" dxfId="282" priority="71">
      <formula>LEN(TRIM(BH159))=0</formula>
    </cfRule>
  </conditionalFormatting>
  <conditionalFormatting sqref="BH161:BH163">
    <cfRule type="containsBlanks" dxfId="281" priority="51">
      <formula>LEN(TRIM(BH161))=0</formula>
    </cfRule>
  </conditionalFormatting>
  <conditionalFormatting sqref="BH180">
    <cfRule type="containsBlanks" dxfId="280" priority="28">
      <formula>LEN(TRIM(BH180))=0</formula>
    </cfRule>
  </conditionalFormatting>
  <conditionalFormatting sqref="BO148">
    <cfRule type="cellIs" dxfId="279" priority="87" operator="equal">
      <formula>0</formula>
    </cfRule>
  </conditionalFormatting>
  <conditionalFormatting sqref="BO132:BP132">
    <cfRule type="cellIs" dxfId="278" priority="15" operator="equal">
      <formula>0</formula>
    </cfRule>
  </conditionalFormatting>
  <conditionalFormatting sqref="BO138:BP138">
    <cfRule type="cellIs" dxfId="277" priority="33" operator="equal">
      <formula>0</formula>
    </cfRule>
  </conditionalFormatting>
  <conditionalFormatting sqref="BO150:BP150">
    <cfRule type="cellIs" dxfId="276" priority="39" operator="equal">
      <formula>0</formula>
    </cfRule>
  </conditionalFormatting>
  <conditionalFormatting sqref="BO155:BP159">
    <cfRule type="cellIs" dxfId="275" priority="21" operator="equal">
      <formula>0</formula>
    </cfRule>
  </conditionalFormatting>
  <conditionalFormatting sqref="BO161:BP163">
    <cfRule type="cellIs" dxfId="274" priority="50" operator="equal">
      <formula>0</formula>
    </cfRule>
  </conditionalFormatting>
  <conditionalFormatting sqref="BO180:BP180">
    <cfRule type="cellIs" dxfId="273" priority="27" operator="equal">
      <formula>0</formula>
    </cfRule>
  </conditionalFormatting>
  <conditionalFormatting sqref="BP13:BP16">
    <cfRule type="cellIs" dxfId="272" priority="104" operator="equal">
      <formula>0</formula>
    </cfRule>
  </conditionalFormatting>
  <conditionalFormatting sqref="BP26">
    <cfRule type="cellIs" dxfId="271" priority="109" operator="equal">
      <formula>0</formula>
    </cfRule>
  </conditionalFormatting>
  <conditionalFormatting sqref="BP32:BP33">
    <cfRule type="cellIs" dxfId="270" priority="107" operator="equal">
      <formula>0</formula>
    </cfRule>
  </conditionalFormatting>
  <conditionalFormatting sqref="BP47">
    <cfRule type="cellIs" dxfId="269" priority="105" operator="equal">
      <formula>0</formula>
    </cfRule>
  </conditionalFormatting>
  <conditionalFormatting sqref="BP83:BP84">
    <cfRule type="cellIs" dxfId="268" priority="98" operator="equal">
      <formula>0</formula>
    </cfRule>
  </conditionalFormatting>
  <conditionalFormatting sqref="BP87:BP88">
    <cfRule type="cellIs" dxfId="267" priority="95" operator="equal">
      <formula>0</formula>
    </cfRule>
  </conditionalFormatting>
  <conditionalFormatting sqref="BP94">
    <cfRule type="cellIs" dxfId="266" priority="99" operator="equal">
      <formula>0</formula>
    </cfRule>
  </conditionalFormatting>
  <conditionalFormatting sqref="BP115">
    <cfRule type="cellIs" dxfId="265" priority="103" operator="equal">
      <formula>0</formula>
    </cfRule>
  </conditionalFormatting>
  <conditionalFormatting sqref="BP117">
    <cfRule type="cellIs" dxfId="264" priority="93" operator="equal">
      <formula>0</formula>
    </cfRule>
  </conditionalFormatting>
  <conditionalFormatting sqref="BP119:BP120">
    <cfRule type="cellIs" dxfId="263" priority="97" operator="equal">
      <formula>0</formula>
    </cfRule>
  </conditionalFormatting>
  <conditionalFormatting sqref="BP124">
    <cfRule type="cellIs" dxfId="262" priority="102" operator="equal">
      <formula>0</formula>
    </cfRule>
  </conditionalFormatting>
  <conditionalFormatting sqref="BP145:BP146">
    <cfRule type="cellIs" dxfId="261" priority="89" operator="equal">
      <formula>0</formula>
    </cfRule>
  </conditionalFormatting>
  <conditionalFormatting sqref="BP148">
    <cfRule type="cellIs" dxfId="260" priority="86" operator="equal">
      <formula>0</formula>
    </cfRule>
  </conditionalFormatting>
  <conditionalFormatting sqref="BP151">
    <cfRule type="cellIs" dxfId="259" priority="44" operator="equal">
      <formula>0</formula>
    </cfRule>
  </conditionalFormatting>
  <conditionalFormatting sqref="BP154">
    <cfRule type="cellIs" dxfId="258" priority="88" operator="equal">
      <formula>0</formula>
    </cfRule>
  </conditionalFormatting>
  <conditionalFormatting sqref="BP246">
    <cfRule type="cellIs" dxfId="257" priority="113" operator="equal">
      <formula>0</formula>
    </cfRule>
  </conditionalFormatting>
  <conditionalFormatting sqref="BP323">
    <cfRule type="cellIs" dxfId="256" priority="119" operator="equal">
      <formula>0</formula>
    </cfRule>
  </conditionalFormatting>
  <conditionalFormatting sqref="BP420">
    <cfRule type="cellIs" dxfId="255" priority="128" operator="equal">
      <formula>0</formula>
    </cfRule>
  </conditionalFormatting>
  <conditionalFormatting sqref="BP625">
    <cfRule type="cellIs" dxfId="254" priority="118" operator="equal">
      <formula>0</formula>
    </cfRule>
  </conditionalFormatting>
  <conditionalFormatting sqref="BP81:BQ81">
    <cfRule type="cellIs" dxfId="253" priority="92" operator="equal">
      <formula>0</formula>
    </cfRule>
  </conditionalFormatting>
  <conditionalFormatting sqref="BP131:BQ131 BQ132">
    <cfRule type="cellIs" dxfId="252" priority="90" operator="equal">
      <formula>0</formula>
    </cfRule>
  </conditionalFormatting>
  <conditionalFormatting sqref="BP618:BQ619">
    <cfRule type="cellIs" dxfId="251" priority="115" operator="equal">
      <formula>0</formula>
    </cfRule>
  </conditionalFormatting>
  <conditionalFormatting sqref="BQ6">
    <cfRule type="cellIs" dxfId="250" priority="111" operator="equal">
      <formula>0</formula>
    </cfRule>
  </conditionalFormatting>
  <conditionalFormatting sqref="BQ25:BQ26">
    <cfRule type="cellIs" dxfId="249" priority="9" operator="equal">
      <formula>0</formula>
    </cfRule>
  </conditionalFormatting>
  <conditionalFormatting sqref="BQ42">
    <cfRule type="cellIs" dxfId="248" priority="8" operator="equal">
      <formula>0</formula>
    </cfRule>
  </conditionalFormatting>
  <conditionalFormatting sqref="BQ45">
    <cfRule type="cellIs" dxfId="247" priority="106" operator="equal">
      <formula>0</formula>
    </cfRule>
  </conditionalFormatting>
  <conditionalFormatting sqref="BQ88">
    <cfRule type="cellIs" dxfId="246" priority="94" operator="equal">
      <formula>0</formula>
    </cfRule>
  </conditionalFormatting>
  <conditionalFormatting sqref="BQ230">
    <cfRule type="cellIs" dxfId="245" priority="114" operator="equal">
      <formula>0</formula>
    </cfRule>
  </conditionalFormatting>
  <conditionalFormatting sqref="BQ250">
    <cfRule type="cellIs" dxfId="244" priority="112" operator="equal">
      <formula>0</formula>
    </cfRule>
  </conditionalFormatting>
  <conditionalFormatting sqref="BQ429">
    <cfRule type="cellIs" dxfId="243" priority="91" operator="equal">
      <formula>0</formula>
    </cfRule>
  </conditionalFormatting>
  <dataValidations count="1">
    <dataValidation type="decimal" allowBlank="1" showInputMessage="1" showErrorMessage="1" sqref="C86:AZ88 C89:BA403 C408:BA665 C5:BA85 BA86" xr:uid="{665E371C-7885-4EE2-8701-9264E5A0EA83}">
      <formula1>0</formula1>
      <formula2>200000</formula2>
    </dataValidation>
  </dataValidations>
  <pageMargins left="0.7" right="0.7" top="0.75" bottom="0.75" header="0.3" footer="0.3"/>
  <pageSetup paperSize="9" orientation="portrait" horizontalDpi="300" verticalDpi="300" r:id="rId1"/>
  <headerFooter>
    <oddHeader>&amp;C&amp;"Calibri"&amp;12&amp;KC00000 OFFICIAL&amp;1#_x000D_</oddHeader>
    <oddFooter>&amp;C_x000D_&amp;1#&amp;"Calibri"&amp;12&amp;KC00000 OFFICIAL</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65590-2113-4E01-B579-8DA9DAC98C80}">
  <sheetPr>
    <tabColor rgb="FF1B9590"/>
  </sheetPr>
  <dimension ref="A1:CJ1748"/>
  <sheetViews>
    <sheetView zoomScale="80" zoomScaleNormal="80" workbookViewId="0"/>
  </sheetViews>
  <sheetFormatPr defaultColWidth="8.7109375" defaultRowHeight="12.75" customHeight="1"/>
  <cols>
    <col min="1" max="1" width="42.5703125" style="1" customWidth="1"/>
    <col min="2" max="2" width="79.5703125" style="1" customWidth="1"/>
    <col min="3" max="29" width="12.140625" style="1" customWidth="1"/>
    <col min="30" max="31" width="13.42578125" style="1" customWidth="1"/>
    <col min="32" max="32" width="12.140625" style="1" customWidth="1"/>
    <col min="33" max="33" width="12.140625" style="6" customWidth="1"/>
    <col min="34" max="34" width="12.140625" style="1" customWidth="1"/>
    <col min="35" max="35" width="20.42578125" style="1" customWidth="1"/>
    <col min="36" max="36" width="21.85546875" style="1" customWidth="1"/>
    <col min="37" max="37" width="21.7109375" style="1" customWidth="1"/>
    <col min="38" max="38" width="16.42578125" style="1" customWidth="1"/>
    <col min="39" max="39" width="15.5703125" style="1" customWidth="1"/>
    <col min="40" max="40" width="15.85546875" style="1" customWidth="1"/>
    <col min="41" max="41" width="14.7109375" style="1" customWidth="1"/>
    <col min="42" max="42" width="13.140625" style="1" customWidth="1"/>
    <col min="43" max="43" width="12.5703125" style="1" customWidth="1"/>
    <col min="44" max="44" width="22" style="1" customWidth="1"/>
    <col min="45" max="45" width="37.42578125" style="1" customWidth="1"/>
    <col min="46" max="46" width="37.42578125" style="7" customWidth="1"/>
    <col min="47" max="48" width="37.42578125" style="1" customWidth="1"/>
    <col min="49" max="49" width="8.7109375" style="1"/>
    <col min="50" max="50" width="23.28515625" style="2" bestFit="1" customWidth="1"/>
    <col min="51" max="51" width="23.28515625" style="1" bestFit="1" customWidth="1"/>
    <col min="52" max="16384" width="8.7109375" style="1"/>
  </cols>
  <sheetData>
    <row r="1" spans="1:88" s="15" customFormat="1" ht="42" customHeight="1">
      <c r="A1" s="711" t="s">
        <v>1630</v>
      </c>
      <c r="B1" s="712"/>
      <c r="C1" s="712"/>
      <c r="D1" s="712"/>
      <c r="E1" s="712"/>
      <c r="F1" s="712"/>
      <c r="G1" s="712"/>
      <c r="H1" s="712"/>
      <c r="I1" s="712"/>
      <c r="J1" s="712"/>
      <c r="K1" s="712"/>
      <c r="L1" s="712"/>
      <c r="M1" s="712"/>
      <c r="N1" s="712"/>
      <c r="O1" s="712"/>
      <c r="P1" s="712"/>
      <c r="Q1" s="712"/>
      <c r="R1" s="712"/>
      <c r="S1" s="712"/>
      <c r="T1" s="712"/>
      <c r="U1" s="712"/>
      <c r="V1" s="712"/>
      <c r="W1" s="712"/>
      <c r="X1" s="712"/>
      <c r="Y1" s="712"/>
      <c r="Z1" s="712"/>
      <c r="AA1" s="712"/>
      <c r="AB1" s="712"/>
      <c r="AC1" s="712"/>
      <c r="AD1" s="712"/>
      <c r="AE1" s="712"/>
      <c r="AF1" s="712"/>
      <c r="AG1" s="712"/>
      <c r="AH1" s="712"/>
      <c r="AI1" s="712"/>
      <c r="AJ1" s="712"/>
      <c r="AK1" s="712"/>
      <c r="AL1" s="712"/>
      <c r="AM1" s="712"/>
      <c r="AN1" s="458"/>
      <c r="AO1" s="712"/>
      <c r="AP1" s="712"/>
      <c r="AQ1" s="712"/>
      <c r="AR1" s="770"/>
      <c r="AS1" s="712"/>
      <c r="AT1" s="712"/>
      <c r="AU1" s="712"/>
      <c r="AV1" s="712"/>
    </row>
    <row r="2" spans="1:88" ht="12.75" customHeight="1">
      <c r="A2" s="459" t="s">
        <v>1631</v>
      </c>
      <c r="B2" s="460"/>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1"/>
      <c r="AO2" s="460"/>
      <c r="AP2" s="460"/>
      <c r="AQ2" s="460"/>
      <c r="AR2" s="771"/>
      <c r="AS2" s="460"/>
      <c r="AT2" s="460"/>
      <c r="AU2" s="460"/>
      <c r="AV2" s="460"/>
      <c r="AX2" s="1"/>
    </row>
    <row r="3" spans="1:88" ht="12.75" customHeight="1">
      <c r="A3" s="459" t="s">
        <v>1632</v>
      </c>
      <c r="B3" s="460"/>
      <c r="C3" s="460"/>
      <c r="D3" s="460"/>
      <c r="E3" s="460"/>
      <c r="F3" s="460"/>
      <c r="G3" s="460"/>
      <c r="H3" s="460"/>
      <c r="I3" s="460"/>
      <c r="J3" s="460"/>
      <c r="K3" s="460"/>
      <c r="L3" s="460"/>
      <c r="M3" s="460"/>
      <c r="N3" s="460"/>
      <c r="O3" s="460"/>
      <c r="P3" s="460"/>
      <c r="Q3" s="460"/>
      <c r="R3" s="460"/>
      <c r="S3" s="460"/>
      <c r="T3" s="460"/>
      <c r="U3" s="460"/>
      <c r="V3" s="460"/>
      <c r="W3" s="460"/>
      <c r="X3" s="460"/>
      <c r="Y3" s="460"/>
      <c r="Z3" s="460"/>
      <c r="AA3" s="460"/>
      <c r="AB3" s="460"/>
      <c r="AC3" s="460"/>
      <c r="AD3" s="460"/>
      <c r="AE3" s="460"/>
      <c r="AF3" s="460"/>
      <c r="AG3" s="460"/>
      <c r="AH3" s="460"/>
      <c r="AI3" s="460"/>
      <c r="AJ3" s="460"/>
      <c r="AK3" s="460"/>
      <c r="AL3" s="460"/>
      <c r="AM3" s="460"/>
      <c r="AN3" s="461"/>
      <c r="AO3" s="460"/>
      <c r="AP3" s="460"/>
      <c r="AQ3" s="460"/>
      <c r="AR3" s="771"/>
      <c r="AS3" s="460"/>
      <c r="AT3" s="460"/>
      <c r="AU3" s="460"/>
      <c r="AV3" s="460"/>
      <c r="AX3" s="1"/>
    </row>
    <row r="4" spans="1:88" ht="12.75" customHeight="1" thickBot="1">
      <c r="A4" s="462" t="s">
        <v>199</v>
      </c>
      <c r="AG4" s="1"/>
      <c r="AN4" s="7"/>
      <c r="AR4" s="2"/>
      <c r="AT4" s="1"/>
      <c r="AX4" s="1"/>
    </row>
    <row r="5" spans="1:88" ht="25.5" customHeight="1" thickTop="1">
      <c r="A5" s="368" t="s">
        <v>200</v>
      </c>
      <c r="B5" s="366"/>
      <c r="C5" s="366"/>
      <c r="D5" s="366"/>
      <c r="E5" s="366"/>
      <c r="F5" s="366"/>
      <c r="G5" s="366"/>
      <c r="H5" s="366"/>
      <c r="I5" s="366"/>
      <c r="J5" s="366"/>
      <c r="K5" s="366"/>
      <c r="L5" s="366"/>
      <c r="M5" s="366"/>
      <c r="N5" s="366"/>
      <c r="O5" s="366"/>
      <c r="P5" s="366"/>
      <c r="Q5" s="366"/>
      <c r="R5" s="366"/>
      <c r="S5" s="366"/>
      <c r="T5" s="366"/>
      <c r="U5" s="366"/>
      <c r="V5" s="366"/>
      <c r="W5" s="366"/>
      <c r="X5" s="366"/>
      <c r="Y5" s="447"/>
      <c r="Z5" s="447"/>
      <c r="AA5" s="447"/>
      <c r="AB5" s="366"/>
      <c r="AC5" s="366"/>
      <c r="AD5" s="759" t="s">
        <v>1633</v>
      </c>
      <c r="AE5" s="761" t="s">
        <v>1634</v>
      </c>
      <c r="AF5" s="1028" t="s">
        <v>203</v>
      </c>
      <c r="AG5" s="1029"/>
      <c r="AH5" s="1030"/>
      <c r="AI5" s="754"/>
      <c r="AJ5" s="441"/>
      <c r="AK5" s="441"/>
      <c r="AL5" s="1015" t="s">
        <v>1635</v>
      </c>
      <c r="AM5" s="1016"/>
      <c r="AN5" s="1016"/>
      <c r="AO5" s="1016"/>
      <c r="AP5" s="1016"/>
      <c r="AQ5" s="1017"/>
      <c r="AR5" s="441"/>
      <c r="AS5" s="366"/>
      <c r="AT5" s="367"/>
      <c r="AU5" s="366"/>
      <c r="AV5" s="366"/>
    </row>
    <row r="6" spans="1:88" s="13" customFormat="1" ht="73.5" customHeight="1">
      <c r="A6" s="10" t="s">
        <v>205</v>
      </c>
      <c r="B6" s="10" t="s">
        <v>206</v>
      </c>
      <c r="C6" s="10" t="s">
        <v>136</v>
      </c>
      <c r="D6" s="10" t="s">
        <v>132</v>
      </c>
      <c r="E6" s="10" t="s">
        <v>208</v>
      </c>
      <c r="F6" s="10" t="s">
        <v>126</v>
      </c>
      <c r="G6" s="10" t="s">
        <v>123</v>
      </c>
      <c r="H6" s="10" t="s">
        <v>120</v>
      </c>
      <c r="I6" s="10" t="s">
        <v>117</v>
      </c>
      <c r="J6" s="10" t="s">
        <v>114</v>
      </c>
      <c r="K6" s="10" t="s">
        <v>111</v>
      </c>
      <c r="L6" s="10" t="s">
        <v>108</v>
      </c>
      <c r="M6" s="10" t="s">
        <v>104</v>
      </c>
      <c r="N6" s="10" t="s">
        <v>101</v>
      </c>
      <c r="O6" s="10" t="s">
        <v>98</v>
      </c>
      <c r="P6" s="10" t="s">
        <v>95</v>
      </c>
      <c r="Q6" s="10" t="s">
        <v>91</v>
      </c>
      <c r="R6" s="10" t="s">
        <v>87</v>
      </c>
      <c r="S6" s="10" t="s">
        <v>83</v>
      </c>
      <c r="T6" s="10" t="s">
        <v>79</v>
      </c>
      <c r="U6" s="10" t="s">
        <v>75</v>
      </c>
      <c r="V6" s="10" t="s">
        <v>72</v>
      </c>
      <c r="W6" s="10" t="s">
        <v>69</v>
      </c>
      <c r="X6" s="10" t="s">
        <v>66</v>
      </c>
      <c r="Y6" s="10" t="s">
        <v>62</v>
      </c>
      <c r="Z6" s="10" t="s">
        <v>59</v>
      </c>
      <c r="AA6" s="10" t="s">
        <v>55</v>
      </c>
      <c r="AB6" s="10" t="s">
        <v>52</v>
      </c>
      <c r="AC6" s="10" t="s">
        <v>49</v>
      </c>
      <c r="AD6" s="760" t="s">
        <v>46</v>
      </c>
      <c r="AE6" s="760" t="s">
        <v>42</v>
      </c>
      <c r="AF6" s="757" t="s">
        <v>209</v>
      </c>
      <c r="AG6" s="11" t="s">
        <v>210</v>
      </c>
      <c r="AH6" s="758" t="s">
        <v>211</v>
      </c>
      <c r="AI6" s="12" t="s">
        <v>1636</v>
      </c>
      <c r="AJ6" s="11" t="s">
        <v>1637</v>
      </c>
      <c r="AK6" s="11" t="s">
        <v>1638</v>
      </c>
      <c r="AL6" s="442" t="s">
        <v>219</v>
      </c>
      <c r="AM6" s="443" t="s">
        <v>220</v>
      </c>
      <c r="AN6" s="443" t="s">
        <v>221</v>
      </c>
      <c r="AO6" s="443" t="s">
        <v>222</v>
      </c>
      <c r="AP6" s="443" t="s">
        <v>223</v>
      </c>
      <c r="AQ6" s="444" t="s">
        <v>224</v>
      </c>
      <c r="AR6" s="11" t="s">
        <v>225</v>
      </c>
      <c r="AS6" s="10" t="s">
        <v>226</v>
      </c>
      <c r="AT6" s="10" t="s">
        <v>227</v>
      </c>
      <c r="AU6" s="10" t="s">
        <v>228</v>
      </c>
      <c r="AV6" s="12" t="s">
        <v>229</v>
      </c>
      <c r="AW6" s="1"/>
      <c r="AX6" s="2"/>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row>
    <row r="7" spans="1:88" s="362" customFormat="1" ht="12.75" customHeight="1">
      <c r="A7" s="911" t="s">
        <v>231</v>
      </c>
      <c r="B7" s="912" t="s">
        <v>1639</v>
      </c>
      <c r="C7" s="5">
        <v>0</v>
      </c>
      <c r="D7" s="5">
        <v>0</v>
      </c>
      <c r="E7" s="5">
        <v>0</v>
      </c>
      <c r="F7" s="5">
        <v>0</v>
      </c>
      <c r="G7" s="5">
        <v>0</v>
      </c>
      <c r="H7" s="5">
        <v>0</v>
      </c>
      <c r="I7" s="5">
        <v>0</v>
      </c>
      <c r="J7" s="5">
        <v>0</v>
      </c>
      <c r="K7" s="5">
        <v>5.5E-2</v>
      </c>
      <c r="L7" s="5">
        <v>0</v>
      </c>
      <c r="M7" s="5">
        <v>0</v>
      </c>
      <c r="N7" s="5">
        <v>8.2000000000000003E-2</v>
      </c>
      <c r="O7" s="913">
        <v>0.02</v>
      </c>
      <c r="P7" s="913">
        <v>0.125</v>
      </c>
      <c r="Q7" s="913">
        <v>0.20799999999999999</v>
      </c>
      <c r="R7" s="913">
        <v>2.9089999999999998</v>
      </c>
      <c r="S7" s="913">
        <v>0.19900000000000001</v>
      </c>
      <c r="T7" s="913">
        <v>3.0000000000000001E-3</v>
      </c>
      <c r="U7" s="913">
        <v>0</v>
      </c>
      <c r="V7" s="816">
        <v>0</v>
      </c>
      <c r="W7" s="816">
        <v>0</v>
      </c>
      <c r="X7" s="913">
        <v>0</v>
      </c>
      <c r="Y7" s="913">
        <v>0.03</v>
      </c>
      <c r="Z7" s="913">
        <v>0.03</v>
      </c>
      <c r="AA7" s="5">
        <v>0.06</v>
      </c>
      <c r="AB7" s="5">
        <v>0</v>
      </c>
      <c r="AC7" s="826">
        <v>0</v>
      </c>
      <c r="AD7" s="914">
        <v>0</v>
      </c>
      <c r="AE7" s="914">
        <v>0</v>
      </c>
      <c r="AF7" s="915">
        <v>0</v>
      </c>
      <c r="AG7" s="913">
        <v>0</v>
      </c>
      <c r="AH7" s="916"/>
      <c r="AI7" s="6" t="s">
        <v>273</v>
      </c>
      <c r="AJ7" s="820" t="s">
        <v>234</v>
      </c>
      <c r="AK7" s="820" t="s">
        <v>1640</v>
      </c>
      <c r="AL7" s="33"/>
      <c r="AM7" s="33"/>
      <c r="AN7" s="33"/>
      <c r="AO7" s="33"/>
      <c r="AP7" s="33"/>
      <c r="AQ7" s="842"/>
      <c r="AR7" s="820" t="s">
        <v>236</v>
      </c>
      <c r="AS7" s="843" t="s">
        <v>1641</v>
      </c>
      <c r="AT7" s="843" t="s">
        <v>1642</v>
      </c>
      <c r="AU7" s="843" t="s">
        <v>238</v>
      </c>
      <c r="AV7" s="917" t="s">
        <v>238</v>
      </c>
      <c r="AW7" s="1"/>
      <c r="AX7" s="2"/>
      <c r="AY7" s="2"/>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row>
    <row r="8" spans="1:88" ht="12.75" customHeight="1">
      <c r="A8" s="911" t="s">
        <v>231</v>
      </c>
      <c r="B8" s="820" t="s">
        <v>299</v>
      </c>
      <c r="C8" s="5">
        <v>0</v>
      </c>
      <c r="D8" s="5">
        <v>0</v>
      </c>
      <c r="E8" s="5">
        <v>0</v>
      </c>
      <c r="F8" s="5">
        <v>0</v>
      </c>
      <c r="G8" s="5">
        <v>0</v>
      </c>
      <c r="H8" s="5">
        <v>0</v>
      </c>
      <c r="I8" s="5">
        <v>0</v>
      </c>
      <c r="J8" s="5">
        <v>0</v>
      </c>
      <c r="K8" s="5">
        <v>0</v>
      </c>
      <c r="L8" s="5">
        <v>0</v>
      </c>
      <c r="M8" s="5">
        <v>0</v>
      </c>
      <c r="N8" s="5">
        <v>0</v>
      </c>
      <c r="O8" s="5">
        <v>0</v>
      </c>
      <c r="P8" s="5">
        <v>0</v>
      </c>
      <c r="Q8" s="5">
        <v>0</v>
      </c>
      <c r="R8" s="5">
        <v>0</v>
      </c>
      <c r="S8" s="5">
        <v>0</v>
      </c>
      <c r="T8" s="5">
        <v>0</v>
      </c>
      <c r="U8" s="5">
        <v>0</v>
      </c>
      <c r="V8" s="5">
        <v>0</v>
      </c>
      <c r="W8" s="5">
        <v>0</v>
      </c>
      <c r="X8" s="5">
        <v>0</v>
      </c>
      <c r="Y8" s="913">
        <v>0</v>
      </c>
      <c r="Z8" s="913">
        <v>16</v>
      </c>
      <c r="AA8" s="5">
        <v>22</v>
      </c>
      <c r="AB8" s="5">
        <v>16</v>
      </c>
      <c r="AC8" s="826">
        <v>27</v>
      </c>
      <c r="AD8" s="914">
        <v>18</v>
      </c>
      <c r="AE8" s="914">
        <v>12</v>
      </c>
      <c r="AF8" s="915">
        <v>22</v>
      </c>
      <c r="AG8" s="913">
        <v>22</v>
      </c>
      <c r="AH8" s="916">
        <v>15</v>
      </c>
      <c r="AI8" s="6" t="s">
        <v>233</v>
      </c>
      <c r="AJ8" s="820" t="s">
        <v>403</v>
      </c>
      <c r="AK8" s="820" t="s">
        <v>1640</v>
      </c>
      <c r="AL8" s="33"/>
      <c r="AM8" s="33"/>
      <c r="AN8" s="33"/>
      <c r="AO8" s="33"/>
      <c r="AP8" s="33">
        <v>1</v>
      </c>
      <c r="AQ8" s="842"/>
      <c r="AR8" s="820" t="s">
        <v>251</v>
      </c>
      <c r="AS8" s="918" t="s">
        <v>300</v>
      </c>
      <c r="AT8" s="829" t="s">
        <v>238</v>
      </c>
      <c r="AU8" s="829" t="s">
        <v>238</v>
      </c>
      <c r="AV8" s="919" t="s">
        <v>238</v>
      </c>
    </row>
    <row r="9" spans="1:88" ht="12.75" customHeight="1">
      <c r="A9" s="911" t="s">
        <v>231</v>
      </c>
      <c r="B9" s="820" t="s">
        <v>1643</v>
      </c>
      <c r="C9" s="5">
        <v>0</v>
      </c>
      <c r="D9" s="5">
        <v>0</v>
      </c>
      <c r="E9" s="5">
        <v>0</v>
      </c>
      <c r="F9" s="5">
        <v>0</v>
      </c>
      <c r="G9" s="5">
        <v>0</v>
      </c>
      <c r="H9" s="5">
        <v>0</v>
      </c>
      <c r="I9" s="5">
        <v>0</v>
      </c>
      <c r="J9" s="5">
        <v>0</v>
      </c>
      <c r="K9" s="5">
        <v>0</v>
      </c>
      <c r="L9" s="5">
        <v>0</v>
      </c>
      <c r="M9" s="5">
        <v>0</v>
      </c>
      <c r="N9" s="5">
        <v>0</v>
      </c>
      <c r="O9" s="913">
        <v>0</v>
      </c>
      <c r="P9" s="913">
        <v>0</v>
      </c>
      <c r="Q9" s="913">
        <v>0</v>
      </c>
      <c r="R9" s="913">
        <v>0</v>
      </c>
      <c r="S9" s="913">
        <v>0</v>
      </c>
      <c r="T9" s="913">
        <v>0</v>
      </c>
      <c r="U9" s="913">
        <v>0</v>
      </c>
      <c r="V9" s="816">
        <v>0</v>
      </c>
      <c r="W9" s="816">
        <v>0</v>
      </c>
      <c r="X9" s="913">
        <v>0</v>
      </c>
      <c r="Y9" s="913">
        <v>0</v>
      </c>
      <c r="Z9" s="913">
        <v>4.8099999999999996</v>
      </c>
      <c r="AA9" s="5">
        <v>12.656000000000001</v>
      </c>
      <c r="AB9" s="5">
        <v>20.018999999999998</v>
      </c>
      <c r="AC9" s="826">
        <v>3.6859999999999999</v>
      </c>
      <c r="AD9" s="914">
        <v>1.3129999999999999</v>
      </c>
      <c r="AE9" s="914">
        <v>5</v>
      </c>
      <c r="AF9" s="915">
        <v>10</v>
      </c>
      <c r="AG9" s="913">
        <v>5</v>
      </c>
      <c r="AH9" s="916">
        <v>0</v>
      </c>
      <c r="AI9" s="6" t="s">
        <v>233</v>
      </c>
      <c r="AJ9" s="820" t="s">
        <v>403</v>
      </c>
      <c r="AK9" s="820" t="s">
        <v>1640</v>
      </c>
      <c r="AL9" s="33"/>
      <c r="AM9" s="33"/>
      <c r="AN9" s="33"/>
      <c r="AO9" s="33"/>
      <c r="AP9" s="33">
        <v>1</v>
      </c>
      <c r="AQ9" s="842">
        <v>1</v>
      </c>
      <c r="AR9" s="820" t="s">
        <v>251</v>
      </c>
      <c r="AS9" s="812" t="s">
        <v>1644</v>
      </c>
      <c r="AT9" s="843" t="s">
        <v>238</v>
      </c>
      <c r="AU9" s="843" t="s">
        <v>238</v>
      </c>
      <c r="AV9" s="920" t="s">
        <v>238</v>
      </c>
    </row>
    <row r="10" spans="1:88" ht="12.75" customHeight="1">
      <c r="A10" s="911" t="s">
        <v>231</v>
      </c>
      <c r="B10" s="820" t="s">
        <v>1645</v>
      </c>
      <c r="C10" s="5">
        <v>0</v>
      </c>
      <c r="D10" s="5">
        <v>0</v>
      </c>
      <c r="E10" s="5">
        <v>0</v>
      </c>
      <c r="F10" s="5">
        <v>0</v>
      </c>
      <c r="G10" s="5">
        <v>0</v>
      </c>
      <c r="H10" s="5">
        <v>0</v>
      </c>
      <c r="I10" s="5">
        <v>0</v>
      </c>
      <c r="J10" s="5">
        <v>0</v>
      </c>
      <c r="K10" s="5">
        <v>0</v>
      </c>
      <c r="L10" s="5">
        <v>0</v>
      </c>
      <c r="M10" s="5">
        <v>0</v>
      </c>
      <c r="N10" s="5">
        <v>0</v>
      </c>
      <c r="O10" s="5">
        <v>0</v>
      </c>
      <c r="P10" s="5">
        <v>0</v>
      </c>
      <c r="Q10" s="913">
        <v>0</v>
      </c>
      <c r="R10" s="913">
        <v>0</v>
      </c>
      <c r="S10" s="913">
        <v>0</v>
      </c>
      <c r="T10" s="913">
        <v>0</v>
      </c>
      <c r="U10" s="913">
        <v>1</v>
      </c>
      <c r="V10" s="913">
        <v>0</v>
      </c>
      <c r="W10" s="913">
        <v>0</v>
      </c>
      <c r="X10" s="913">
        <v>0.5</v>
      </c>
      <c r="Y10" s="913"/>
      <c r="Z10" s="913">
        <v>0</v>
      </c>
      <c r="AA10" s="5">
        <v>0</v>
      </c>
      <c r="AB10" s="5">
        <v>0</v>
      </c>
      <c r="AC10" s="816">
        <v>0</v>
      </c>
      <c r="AD10" s="914">
        <v>0</v>
      </c>
      <c r="AE10" s="914">
        <v>0</v>
      </c>
      <c r="AF10" s="915">
        <v>0</v>
      </c>
      <c r="AG10" s="913">
        <v>0</v>
      </c>
      <c r="AH10" s="916"/>
      <c r="AI10" s="6" t="s">
        <v>273</v>
      </c>
      <c r="AJ10" s="820" t="s">
        <v>406</v>
      </c>
      <c r="AK10" s="820" t="s">
        <v>1640</v>
      </c>
      <c r="AL10" s="33"/>
      <c r="AM10" s="33"/>
      <c r="AN10" s="33"/>
      <c r="AO10" s="33"/>
      <c r="AP10" s="33"/>
      <c r="AQ10" s="842"/>
      <c r="AR10" s="820" t="s">
        <v>236</v>
      </c>
      <c r="AS10" s="843" t="s">
        <v>1646</v>
      </c>
      <c r="AT10" s="843" t="s">
        <v>1647</v>
      </c>
      <c r="AU10" s="843" t="s">
        <v>238</v>
      </c>
      <c r="AV10" s="920" t="s">
        <v>238</v>
      </c>
    </row>
    <row r="11" spans="1:88" ht="12.75" customHeight="1">
      <c r="A11" s="911" t="s">
        <v>231</v>
      </c>
      <c r="B11" s="820" t="s">
        <v>1648</v>
      </c>
      <c r="C11" s="5">
        <v>0</v>
      </c>
      <c r="D11" s="5">
        <v>0</v>
      </c>
      <c r="E11" s="5">
        <v>0</v>
      </c>
      <c r="F11" s="5">
        <v>0</v>
      </c>
      <c r="G11" s="5">
        <v>0</v>
      </c>
      <c r="H11" s="5">
        <v>0</v>
      </c>
      <c r="I11" s="5">
        <v>0</v>
      </c>
      <c r="J11" s="5">
        <v>0</v>
      </c>
      <c r="K11" s="5">
        <v>0</v>
      </c>
      <c r="L11" s="5">
        <v>0</v>
      </c>
      <c r="M11" s="5">
        <v>0</v>
      </c>
      <c r="N11" s="5">
        <v>0</v>
      </c>
      <c r="O11" s="913">
        <v>0</v>
      </c>
      <c r="P11" s="913">
        <v>0</v>
      </c>
      <c r="Q11" s="913">
        <v>0</v>
      </c>
      <c r="R11" s="913">
        <v>0</v>
      </c>
      <c r="S11" s="913">
        <v>0</v>
      </c>
      <c r="T11" s="913">
        <v>0</v>
      </c>
      <c r="U11" s="913">
        <v>0</v>
      </c>
      <c r="V11" s="913">
        <v>0</v>
      </c>
      <c r="W11" s="913">
        <v>0</v>
      </c>
      <c r="X11" s="913">
        <v>0</v>
      </c>
      <c r="Y11" s="913">
        <v>0</v>
      </c>
      <c r="Z11" s="913">
        <v>2</v>
      </c>
      <c r="AA11" s="5">
        <v>2</v>
      </c>
      <c r="AB11" s="5">
        <v>2</v>
      </c>
      <c r="AC11" s="826">
        <v>2</v>
      </c>
      <c r="AD11" s="914">
        <v>2</v>
      </c>
      <c r="AE11" s="914">
        <v>2</v>
      </c>
      <c r="AF11" s="915">
        <v>2</v>
      </c>
      <c r="AG11" s="913">
        <v>2</v>
      </c>
      <c r="AH11" s="916">
        <v>2</v>
      </c>
      <c r="AI11" s="6" t="s">
        <v>233</v>
      </c>
      <c r="AJ11" s="820" t="s">
        <v>234</v>
      </c>
      <c r="AK11" s="820" t="s">
        <v>1640</v>
      </c>
      <c r="AL11" s="33">
        <v>1</v>
      </c>
      <c r="AM11" s="33"/>
      <c r="AN11" s="33">
        <v>1</v>
      </c>
      <c r="AO11" s="33"/>
      <c r="AP11" s="33">
        <v>1</v>
      </c>
      <c r="AQ11" s="842">
        <v>1</v>
      </c>
      <c r="AR11" s="820" t="s">
        <v>236</v>
      </c>
      <c r="AS11" s="843" t="s">
        <v>1649</v>
      </c>
      <c r="AT11" s="843" t="s">
        <v>1650</v>
      </c>
      <c r="AU11" s="843"/>
      <c r="AV11" s="920"/>
    </row>
    <row r="12" spans="1:88" ht="12.75" customHeight="1">
      <c r="A12" s="911" t="s">
        <v>231</v>
      </c>
      <c r="B12" s="820" t="s">
        <v>1651</v>
      </c>
      <c r="C12" s="5">
        <v>0</v>
      </c>
      <c r="D12" s="5">
        <v>0</v>
      </c>
      <c r="E12" s="5">
        <v>0</v>
      </c>
      <c r="F12" s="5">
        <v>0</v>
      </c>
      <c r="G12" s="5">
        <v>0</v>
      </c>
      <c r="H12" s="5">
        <v>0</v>
      </c>
      <c r="I12" s="5">
        <v>0</v>
      </c>
      <c r="J12" s="5">
        <v>0</v>
      </c>
      <c r="K12" s="5">
        <v>0</v>
      </c>
      <c r="L12" s="5">
        <v>0</v>
      </c>
      <c r="M12" s="5">
        <v>0</v>
      </c>
      <c r="N12" s="5">
        <v>0</v>
      </c>
      <c r="O12" s="5">
        <v>0</v>
      </c>
      <c r="P12" s="5">
        <v>0</v>
      </c>
      <c r="Q12" s="5">
        <v>0</v>
      </c>
      <c r="R12" s="5">
        <v>0</v>
      </c>
      <c r="S12" s="5">
        <v>0</v>
      </c>
      <c r="T12" s="5">
        <v>0</v>
      </c>
      <c r="U12" s="5">
        <v>0.9</v>
      </c>
      <c r="V12" s="5">
        <v>8.36</v>
      </c>
      <c r="W12" s="5">
        <v>9.35</v>
      </c>
      <c r="X12" s="913">
        <v>5.8730000000000002</v>
      </c>
      <c r="Y12" s="913">
        <v>1.9890000000000001</v>
      </c>
      <c r="Z12" s="913">
        <v>5.27</v>
      </c>
      <c r="AA12" s="5">
        <v>1.3620000000000001</v>
      </c>
      <c r="AB12" s="5">
        <v>1.427</v>
      </c>
      <c r="AC12" s="826">
        <v>0.39300000000000002</v>
      </c>
      <c r="AD12" s="914">
        <v>0.26900000000000002</v>
      </c>
      <c r="AE12" s="914">
        <v>0</v>
      </c>
      <c r="AF12" s="915">
        <v>0</v>
      </c>
      <c r="AG12" s="913">
        <v>0</v>
      </c>
      <c r="AH12" s="916">
        <v>0</v>
      </c>
      <c r="AI12" s="6" t="s">
        <v>240</v>
      </c>
      <c r="AJ12" s="820" t="s">
        <v>234</v>
      </c>
      <c r="AK12" s="820" t="s">
        <v>1640</v>
      </c>
      <c r="AL12" s="33"/>
      <c r="AM12" s="33"/>
      <c r="AN12" s="33"/>
      <c r="AO12" s="33"/>
      <c r="AP12" s="33"/>
      <c r="AQ12" s="842"/>
      <c r="AR12" s="820" t="s">
        <v>236</v>
      </c>
      <c r="AS12" s="918" t="s">
        <v>1652</v>
      </c>
      <c r="AT12" s="829"/>
      <c r="AU12" s="829"/>
      <c r="AV12" s="828" t="s">
        <v>277</v>
      </c>
    </row>
    <row r="13" spans="1:88" ht="12.75" customHeight="1">
      <c r="A13" s="911" t="s">
        <v>231</v>
      </c>
      <c r="B13" s="820" t="s">
        <v>331</v>
      </c>
      <c r="C13" s="5">
        <v>0</v>
      </c>
      <c r="D13" s="5">
        <v>0</v>
      </c>
      <c r="E13" s="5">
        <v>0</v>
      </c>
      <c r="F13" s="5">
        <v>0</v>
      </c>
      <c r="G13" s="5">
        <v>0</v>
      </c>
      <c r="H13" s="5">
        <v>0</v>
      </c>
      <c r="I13" s="5">
        <v>0</v>
      </c>
      <c r="J13" s="5">
        <v>0</v>
      </c>
      <c r="K13" s="5">
        <v>0</v>
      </c>
      <c r="L13" s="5">
        <v>0</v>
      </c>
      <c r="M13" s="5">
        <v>0</v>
      </c>
      <c r="N13" s="5">
        <v>0</v>
      </c>
      <c r="O13" s="5">
        <v>0</v>
      </c>
      <c r="P13" s="5">
        <v>0</v>
      </c>
      <c r="Q13" s="5">
        <v>0</v>
      </c>
      <c r="R13" s="5">
        <v>2.1999999999999997</v>
      </c>
      <c r="S13" s="5">
        <v>1.2849999999999999</v>
      </c>
      <c r="T13" s="5">
        <v>1.2849999999999999</v>
      </c>
      <c r="U13" s="5">
        <v>1.2849999999999999</v>
      </c>
      <c r="V13" s="5">
        <v>1.2849999999999999</v>
      </c>
      <c r="W13" s="5">
        <v>1.2849999999999999</v>
      </c>
      <c r="X13" s="913">
        <v>1.3859999999999999</v>
      </c>
      <c r="Y13" s="913">
        <v>2.1909999999999998</v>
      </c>
      <c r="Z13" s="913">
        <v>1.4019999999999999</v>
      </c>
      <c r="AA13" s="826">
        <v>1.4159999999999999</v>
      </c>
      <c r="AB13" s="826">
        <v>1.444</v>
      </c>
      <c r="AC13" s="826">
        <v>1.236</v>
      </c>
      <c r="AD13" s="914">
        <v>2.371</v>
      </c>
      <c r="AE13" s="914">
        <v>1.5960000000000001</v>
      </c>
      <c r="AF13" s="915">
        <v>1.6379999999999999</v>
      </c>
      <c r="AG13" s="913">
        <v>1.6739999999999999</v>
      </c>
      <c r="AH13" s="916">
        <v>1.7130000000000001</v>
      </c>
      <c r="AI13" s="6" t="s">
        <v>240</v>
      </c>
      <c r="AJ13" s="820" t="s">
        <v>234</v>
      </c>
      <c r="AK13" s="820" t="s">
        <v>1640</v>
      </c>
      <c r="AL13" s="33"/>
      <c r="AM13" s="33"/>
      <c r="AN13" s="33"/>
      <c r="AO13" s="33">
        <v>1</v>
      </c>
      <c r="AP13" s="33">
        <v>1</v>
      </c>
      <c r="AQ13" s="842"/>
      <c r="AR13" s="820" t="s">
        <v>236</v>
      </c>
      <c r="AS13" s="829" t="s">
        <v>1653</v>
      </c>
      <c r="AT13" s="829"/>
      <c r="AU13" s="829" t="s">
        <v>238</v>
      </c>
      <c r="AV13" s="919"/>
    </row>
    <row r="14" spans="1:88" ht="12.75" customHeight="1">
      <c r="A14" s="911" t="s">
        <v>231</v>
      </c>
      <c r="B14" s="820" t="s">
        <v>1654</v>
      </c>
      <c r="C14" s="5">
        <v>0</v>
      </c>
      <c r="D14" s="5">
        <v>0</v>
      </c>
      <c r="E14" s="5">
        <v>0.52500000000000002</v>
      </c>
      <c r="F14" s="5">
        <v>0.77400000000000002</v>
      </c>
      <c r="G14" s="5">
        <v>0.82499999999999996</v>
      </c>
      <c r="H14" s="5">
        <v>0.82499999999999996</v>
      </c>
      <c r="I14" s="5">
        <v>0.82499999999999996</v>
      </c>
      <c r="J14" s="5">
        <v>0.82499999999999996</v>
      </c>
      <c r="K14" s="5">
        <v>0</v>
      </c>
      <c r="L14" s="5">
        <v>0</v>
      </c>
      <c r="M14" s="5">
        <v>0</v>
      </c>
      <c r="N14" s="5">
        <v>0</v>
      </c>
      <c r="O14" s="913">
        <v>0</v>
      </c>
      <c r="P14" s="913">
        <v>0</v>
      </c>
      <c r="Q14" s="913">
        <v>0</v>
      </c>
      <c r="R14" s="913">
        <v>0</v>
      </c>
      <c r="S14" s="913">
        <v>0</v>
      </c>
      <c r="T14" s="913">
        <v>0</v>
      </c>
      <c r="U14" s="913">
        <v>0</v>
      </c>
      <c r="V14" s="913">
        <v>0</v>
      </c>
      <c r="W14" s="913">
        <v>0</v>
      </c>
      <c r="X14" s="913">
        <v>0.52500000000000002</v>
      </c>
      <c r="Y14" s="913">
        <v>0.77400000000000002</v>
      </c>
      <c r="Z14" s="913">
        <v>0.82499999999999996</v>
      </c>
      <c r="AA14" s="5">
        <v>0.82499999999999996</v>
      </c>
      <c r="AB14" s="5">
        <v>0.76300000000000001</v>
      </c>
      <c r="AC14" s="826">
        <v>0.54</v>
      </c>
      <c r="AD14" s="914">
        <v>1.171</v>
      </c>
      <c r="AE14" s="914">
        <v>0.82499999999999996</v>
      </c>
      <c r="AF14" s="915">
        <v>0.82499999999999996</v>
      </c>
      <c r="AG14" s="913">
        <v>0.82499999999999996</v>
      </c>
      <c r="AH14" s="916">
        <v>0.82499999999999996</v>
      </c>
      <c r="AI14" s="6" t="s">
        <v>273</v>
      </c>
      <c r="AJ14" s="820" t="s">
        <v>406</v>
      </c>
      <c r="AK14" s="820" t="s">
        <v>1640</v>
      </c>
      <c r="AL14" s="33"/>
      <c r="AM14" s="33"/>
      <c r="AN14" s="33"/>
      <c r="AO14" s="33">
        <v>1</v>
      </c>
      <c r="AP14" s="33">
        <v>1</v>
      </c>
      <c r="AQ14" s="842"/>
      <c r="AR14" s="820" t="s">
        <v>236</v>
      </c>
      <c r="AS14" s="829" t="s">
        <v>1655</v>
      </c>
      <c r="AT14" s="843"/>
      <c r="AU14" s="843"/>
      <c r="AV14" s="920"/>
    </row>
    <row r="15" spans="1:88" ht="12.75" customHeight="1">
      <c r="A15" s="911" t="s">
        <v>231</v>
      </c>
      <c r="B15" s="820" t="s">
        <v>1656</v>
      </c>
      <c r="C15" s="5">
        <v>0</v>
      </c>
      <c r="D15" s="5">
        <v>0</v>
      </c>
      <c r="E15" s="5">
        <v>0</v>
      </c>
      <c r="F15" s="5">
        <v>0</v>
      </c>
      <c r="G15" s="5">
        <v>0</v>
      </c>
      <c r="H15" s="5">
        <v>0</v>
      </c>
      <c r="I15" s="5">
        <v>0</v>
      </c>
      <c r="J15" s="5">
        <v>0</v>
      </c>
      <c r="K15" s="5">
        <v>0</v>
      </c>
      <c r="L15" s="5">
        <v>0</v>
      </c>
      <c r="M15" s="5">
        <v>0</v>
      </c>
      <c r="N15" s="5">
        <v>0</v>
      </c>
      <c r="O15" s="5">
        <v>0</v>
      </c>
      <c r="P15" s="5">
        <v>0</v>
      </c>
      <c r="Q15" s="5">
        <v>0</v>
      </c>
      <c r="R15" s="5">
        <v>0</v>
      </c>
      <c r="S15" s="5">
        <v>0</v>
      </c>
      <c r="T15" s="5">
        <v>0</v>
      </c>
      <c r="U15" s="5">
        <v>0</v>
      </c>
      <c r="V15" s="5">
        <v>0</v>
      </c>
      <c r="W15" s="5">
        <v>0</v>
      </c>
      <c r="X15" s="913">
        <v>1.909</v>
      </c>
      <c r="Y15" s="913">
        <v>3.9769999999999999</v>
      </c>
      <c r="Z15" s="913">
        <v>4.0439999999999996</v>
      </c>
      <c r="AA15" s="5">
        <v>2.8340000000000001</v>
      </c>
      <c r="AB15" s="5">
        <v>2.274</v>
      </c>
      <c r="AC15" s="826">
        <v>2.5510000000000002</v>
      </c>
      <c r="AD15" s="914">
        <v>2.774</v>
      </c>
      <c r="AE15" s="914">
        <v>2.8340000000000001</v>
      </c>
      <c r="AF15" s="915">
        <v>2.8340000000000001</v>
      </c>
      <c r="AG15" s="913">
        <v>3.234</v>
      </c>
      <c r="AH15" s="916">
        <v>3.234</v>
      </c>
      <c r="AI15" s="6" t="s">
        <v>240</v>
      </c>
      <c r="AJ15" s="820" t="s">
        <v>403</v>
      </c>
      <c r="AK15" s="820" t="s">
        <v>1640</v>
      </c>
      <c r="AL15" s="33"/>
      <c r="AM15" s="33"/>
      <c r="AN15" s="33"/>
      <c r="AO15" s="33">
        <v>1</v>
      </c>
      <c r="AP15" s="33">
        <v>1</v>
      </c>
      <c r="AQ15" s="842"/>
      <c r="AR15" s="820" t="s">
        <v>236</v>
      </c>
      <c r="AS15" s="829" t="s">
        <v>1657</v>
      </c>
      <c r="AT15" s="829" t="s">
        <v>238</v>
      </c>
      <c r="AU15" s="829" t="s">
        <v>238</v>
      </c>
      <c r="AV15" s="919" t="s">
        <v>238</v>
      </c>
    </row>
    <row r="16" spans="1:88" ht="12.75" customHeight="1">
      <c r="A16" s="911" t="s">
        <v>231</v>
      </c>
      <c r="B16" s="820" t="s">
        <v>1658</v>
      </c>
      <c r="C16" s="5">
        <v>0</v>
      </c>
      <c r="D16" s="5">
        <v>0</v>
      </c>
      <c r="E16" s="5">
        <v>0</v>
      </c>
      <c r="F16" s="5">
        <v>0</v>
      </c>
      <c r="G16" s="5">
        <v>0</v>
      </c>
      <c r="H16" s="5">
        <v>0</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0</v>
      </c>
      <c r="AC16" s="5">
        <v>9.2999999999999999E-2</v>
      </c>
      <c r="AD16" s="914">
        <v>5.1999999999999998E-2</v>
      </c>
      <c r="AE16" s="914">
        <v>0</v>
      </c>
      <c r="AF16" s="915">
        <v>0</v>
      </c>
      <c r="AG16" s="913">
        <v>0</v>
      </c>
      <c r="AH16" s="916">
        <v>0</v>
      </c>
      <c r="AI16" s="6" t="s">
        <v>240</v>
      </c>
      <c r="AJ16" s="820" t="s">
        <v>234</v>
      </c>
      <c r="AK16" s="921" t="s">
        <v>1640</v>
      </c>
      <c r="AL16" s="33"/>
      <c r="AM16" s="33"/>
      <c r="AN16" s="33"/>
      <c r="AO16" s="33"/>
      <c r="AP16" s="33"/>
      <c r="AQ16" s="842"/>
      <c r="AR16" s="820" t="s">
        <v>236</v>
      </c>
      <c r="AS16" s="829" t="s">
        <v>1659</v>
      </c>
      <c r="AT16" s="362"/>
      <c r="AU16" s="829"/>
      <c r="AV16" s="828" t="s">
        <v>277</v>
      </c>
    </row>
    <row r="17" spans="1:48" ht="12.75" customHeight="1">
      <c r="A17" s="911" t="s">
        <v>231</v>
      </c>
      <c r="B17" s="820" t="s">
        <v>1660</v>
      </c>
      <c r="C17" s="5">
        <v>0</v>
      </c>
      <c r="D17" s="5">
        <v>0</v>
      </c>
      <c r="E17" s="5">
        <v>0</v>
      </c>
      <c r="F17" s="5">
        <v>0</v>
      </c>
      <c r="G17" s="5">
        <v>0</v>
      </c>
      <c r="H17" s="5">
        <v>0</v>
      </c>
      <c r="I17" s="5">
        <v>0</v>
      </c>
      <c r="J17" s="5">
        <v>0</v>
      </c>
      <c r="K17" s="5">
        <v>0</v>
      </c>
      <c r="L17" s="5">
        <v>0</v>
      </c>
      <c r="M17" s="5">
        <v>0</v>
      </c>
      <c r="N17" s="5">
        <v>0</v>
      </c>
      <c r="O17" s="913">
        <v>2.9649999999999999</v>
      </c>
      <c r="P17" s="913">
        <v>5.1230000000000002</v>
      </c>
      <c r="Q17" s="913">
        <v>0.41799999999999998</v>
      </c>
      <c r="R17" s="913">
        <v>0</v>
      </c>
      <c r="S17" s="913">
        <v>0</v>
      </c>
      <c r="T17" s="913">
        <v>0</v>
      </c>
      <c r="U17" s="913">
        <v>0</v>
      </c>
      <c r="V17" s="913">
        <v>0</v>
      </c>
      <c r="W17" s="913">
        <v>0</v>
      </c>
      <c r="X17" s="913">
        <v>0</v>
      </c>
      <c r="Y17" s="913">
        <v>0</v>
      </c>
      <c r="Z17" s="913">
        <v>0</v>
      </c>
      <c r="AA17" s="826">
        <v>0</v>
      </c>
      <c r="AB17" s="826">
        <v>0</v>
      </c>
      <c r="AC17" s="826">
        <v>0</v>
      </c>
      <c r="AD17" s="914">
        <v>0</v>
      </c>
      <c r="AE17" s="914">
        <v>0</v>
      </c>
      <c r="AF17" s="915">
        <v>0</v>
      </c>
      <c r="AG17" s="913">
        <v>0</v>
      </c>
      <c r="AH17" s="916"/>
      <c r="AI17" s="6" t="s">
        <v>249</v>
      </c>
      <c r="AJ17" s="820" t="s">
        <v>234</v>
      </c>
      <c r="AK17" s="820" t="s">
        <v>1640</v>
      </c>
      <c r="AL17" s="33"/>
      <c r="AM17" s="33"/>
      <c r="AN17" s="33"/>
      <c r="AO17" s="33"/>
      <c r="AP17" s="33"/>
      <c r="AQ17" s="842"/>
      <c r="AR17" s="820" t="s">
        <v>236</v>
      </c>
      <c r="AS17" s="843" t="s">
        <v>1646</v>
      </c>
      <c r="AT17" s="843" t="s">
        <v>238</v>
      </c>
      <c r="AU17" s="843" t="s">
        <v>238</v>
      </c>
      <c r="AV17" s="920" t="s">
        <v>238</v>
      </c>
    </row>
    <row r="18" spans="1:48" ht="12.75" customHeight="1">
      <c r="A18" s="911" t="s">
        <v>231</v>
      </c>
      <c r="B18" s="820" t="s">
        <v>1661</v>
      </c>
      <c r="C18" s="5">
        <v>0</v>
      </c>
      <c r="D18" s="5">
        <v>0</v>
      </c>
      <c r="E18" s="5">
        <v>0</v>
      </c>
      <c r="F18" s="5">
        <v>0</v>
      </c>
      <c r="G18" s="5">
        <v>0</v>
      </c>
      <c r="H18" s="5">
        <v>0</v>
      </c>
      <c r="I18" s="5">
        <v>0</v>
      </c>
      <c r="J18" s="5">
        <v>0</v>
      </c>
      <c r="K18" s="5">
        <v>0</v>
      </c>
      <c r="L18" s="5">
        <v>0</v>
      </c>
      <c r="M18" s="5">
        <v>0</v>
      </c>
      <c r="N18" s="5">
        <v>0</v>
      </c>
      <c r="O18" s="913">
        <v>3.5000000000000003E-2</v>
      </c>
      <c r="P18" s="913">
        <v>3.2542000000000001E-2</v>
      </c>
      <c r="Q18" s="913">
        <v>3.2739999999999998E-2</v>
      </c>
      <c r="R18" s="913">
        <v>3.2433999999999998E-2</v>
      </c>
      <c r="S18" s="913">
        <v>1.5272000000000001E-2</v>
      </c>
      <c r="T18" s="913">
        <v>0.22522545999999999</v>
      </c>
      <c r="U18" s="913">
        <v>0.23899999999999999</v>
      </c>
      <c r="V18" s="913">
        <v>0.24199999999999999</v>
      </c>
      <c r="W18" s="913">
        <v>0.26</v>
      </c>
      <c r="X18" s="913">
        <v>0.26</v>
      </c>
      <c r="Y18" s="913">
        <v>0.24</v>
      </c>
      <c r="Z18" s="913">
        <v>0.24</v>
      </c>
      <c r="AA18" s="826">
        <v>0.24</v>
      </c>
      <c r="AB18" s="826">
        <v>0.24</v>
      </c>
      <c r="AC18" s="826">
        <v>0.24</v>
      </c>
      <c r="AD18" s="914">
        <v>0</v>
      </c>
      <c r="AE18" s="914">
        <v>0</v>
      </c>
      <c r="AF18" s="915">
        <v>0</v>
      </c>
      <c r="AG18" s="913">
        <v>0</v>
      </c>
      <c r="AH18" s="916"/>
      <c r="AI18" s="6" t="s">
        <v>233</v>
      </c>
      <c r="AJ18" s="820" t="s">
        <v>234</v>
      </c>
      <c r="AK18" s="820" t="s">
        <v>1640</v>
      </c>
      <c r="AL18" s="33"/>
      <c r="AM18" s="33"/>
      <c r="AN18" s="33"/>
      <c r="AO18" s="33"/>
      <c r="AP18" s="33"/>
      <c r="AQ18" s="842"/>
      <c r="AR18" s="820" t="s">
        <v>236</v>
      </c>
      <c r="AS18" s="843" t="s">
        <v>1646</v>
      </c>
      <c r="AT18" s="843"/>
      <c r="AU18" s="843" t="s">
        <v>238</v>
      </c>
      <c r="AV18" s="920" t="s">
        <v>238</v>
      </c>
    </row>
    <row r="19" spans="1:48" ht="12.75" customHeight="1">
      <c r="A19" s="911" t="s">
        <v>231</v>
      </c>
      <c r="B19" s="820" t="s">
        <v>1662</v>
      </c>
      <c r="C19" s="5">
        <v>0</v>
      </c>
      <c r="D19" s="5">
        <v>0</v>
      </c>
      <c r="E19" s="5">
        <v>0</v>
      </c>
      <c r="F19" s="5">
        <v>0</v>
      </c>
      <c r="G19" s="5">
        <v>0</v>
      </c>
      <c r="H19" s="5">
        <v>0</v>
      </c>
      <c r="I19" s="5">
        <v>0</v>
      </c>
      <c r="J19" s="5">
        <v>0</v>
      </c>
      <c r="K19" s="5">
        <v>0</v>
      </c>
      <c r="L19" s="5">
        <v>0</v>
      </c>
      <c r="M19" s="5">
        <v>0</v>
      </c>
      <c r="N19" s="5">
        <v>0</v>
      </c>
      <c r="O19" s="5">
        <v>0</v>
      </c>
      <c r="P19" s="5">
        <v>0</v>
      </c>
      <c r="Q19" s="5">
        <v>0</v>
      </c>
      <c r="R19" s="5">
        <v>0</v>
      </c>
      <c r="S19" s="5">
        <v>0</v>
      </c>
      <c r="T19" s="5">
        <v>0</v>
      </c>
      <c r="U19" s="5">
        <v>0</v>
      </c>
      <c r="V19" s="5">
        <v>0.04</v>
      </c>
      <c r="W19" s="5">
        <v>0</v>
      </c>
      <c r="X19" s="913">
        <v>0</v>
      </c>
      <c r="Y19" s="913">
        <v>0</v>
      </c>
      <c r="Z19" s="913">
        <v>0</v>
      </c>
      <c r="AA19" s="826">
        <v>0</v>
      </c>
      <c r="AB19" s="826">
        <v>0</v>
      </c>
      <c r="AC19" s="826">
        <v>0</v>
      </c>
      <c r="AD19" s="914">
        <v>0</v>
      </c>
      <c r="AE19" s="914">
        <v>0</v>
      </c>
      <c r="AF19" s="915">
        <v>0</v>
      </c>
      <c r="AG19" s="913">
        <v>0</v>
      </c>
      <c r="AH19" s="916"/>
      <c r="AI19" s="6" t="s">
        <v>273</v>
      </c>
      <c r="AJ19" s="820" t="s">
        <v>406</v>
      </c>
      <c r="AK19" s="820" t="s">
        <v>1663</v>
      </c>
      <c r="AL19" s="33"/>
      <c r="AM19" s="33"/>
      <c r="AN19" s="33"/>
      <c r="AO19" s="33"/>
      <c r="AP19" s="33"/>
      <c r="AQ19" s="842"/>
      <c r="AR19" s="820" t="s">
        <v>236</v>
      </c>
      <c r="AS19" s="829" t="s">
        <v>1646</v>
      </c>
      <c r="AT19" s="829"/>
      <c r="AU19" s="829" t="s">
        <v>238</v>
      </c>
      <c r="AV19" s="919" t="s">
        <v>238</v>
      </c>
    </row>
    <row r="20" spans="1:48" ht="12.75" customHeight="1">
      <c r="A20" s="911" t="s">
        <v>231</v>
      </c>
      <c r="B20" s="820" t="s">
        <v>1664</v>
      </c>
      <c r="C20" s="5">
        <v>0</v>
      </c>
      <c r="D20" s="5">
        <v>0</v>
      </c>
      <c r="E20" s="5">
        <v>0</v>
      </c>
      <c r="F20" s="5">
        <v>0</v>
      </c>
      <c r="G20" s="5">
        <v>0</v>
      </c>
      <c r="H20" s="5">
        <v>0</v>
      </c>
      <c r="I20" s="5">
        <v>0</v>
      </c>
      <c r="J20" s="5">
        <v>0</v>
      </c>
      <c r="K20" s="5">
        <v>0</v>
      </c>
      <c r="L20" s="5">
        <v>0</v>
      </c>
      <c r="M20" s="5">
        <v>0</v>
      </c>
      <c r="N20" s="5">
        <v>0</v>
      </c>
      <c r="O20" s="913">
        <v>0</v>
      </c>
      <c r="P20" s="913">
        <v>0</v>
      </c>
      <c r="Q20" s="913">
        <v>0</v>
      </c>
      <c r="R20" s="913">
        <v>0</v>
      </c>
      <c r="S20" s="913">
        <v>0</v>
      </c>
      <c r="T20" s="913">
        <v>0</v>
      </c>
      <c r="U20" s="913">
        <v>0</v>
      </c>
      <c r="V20" s="913">
        <v>0</v>
      </c>
      <c r="W20" s="913">
        <v>0</v>
      </c>
      <c r="X20" s="913">
        <v>0.1</v>
      </c>
      <c r="Y20" s="913">
        <v>0.2</v>
      </c>
      <c r="Z20" s="913">
        <v>0</v>
      </c>
      <c r="AA20" s="826">
        <v>0</v>
      </c>
      <c r="AB20" s="826">
        <v>0</v>
      </c>
      <c r="AC20" s="826">
        <v>0</v>
      </c>
      <c r="AD20" s="914">
        <v>0</v>
      </c>
      <c r="AE20" s="914">
        <v>0</v>
      </c>
      <c r="AF20" s="915">
        <v>0</v>
      </c>
      <c r="AG20" s="913">
        <v>0</v>
      </c>
      <c r="AH20" s="916"/>
      <c r="AI20" s="6" t="s">
        <v>273</v>
      </c>
      <c r="AJ20" s="820" t="s">
        <v>234</v>
      </c>
      <c r="AK20" s="820" t="s">
        <v>1640</v>
      </c>
      <c r="AL20" s="33"/>
      <c r="AM20" s="33"/>
      <c r="AN20" s="33"/>
      <c r="AO20" s="33"/>
      <c r="AP20" s="33"/>
      <c r="AQ20" s="842"/>
      <c r="AR20" s="820" t="s">
        <v>236</v>
      </c>
      <c r="AS20" s="843" t="s">
        <v>1646</v>
      </c>
      <c r="AT20" s="843"/>
      <c r="AU20" s="843" t="s">
        <v>238</v>
      </c>
      <c r="AV20" s="920"/>
    </row>
    <row r="21" spans="1:48" ht="12.75" customHeight="1">
      <c r="A21" s="911" t="s">
        <v>231</v>
      </c>
      <c r="B21" s="820" t="s">
        <v>1665</v>
      </c>
      <c r="C21" s="5">
        <v>0</v>
      </c>
      <c r="D21" s="5">
        <v>0</v>
      </c>
      <c r="E21" s="5">
        <v>0</v>
      </c>
      <c r="F21" s="5">
        <v>0</v>
      </c>
      <c r="G21" s="5">
        <v>0</v>
      </c>
      <c r="H21" s="5">
        <v>0</v>
      </c>
      <c r="I21" s="5">
        <v>0</v>
      </c>
      <c r="J21" s="5">
        <v>0</v>
      </c>
      <c r="K21" s="5">
        <v>0</v>
      </c>
      <c r="L21" s="5">
        <v>0</v>
      </c>
      <c r="M21" s="5">
        <v>0</v>
      </c>
      <c r="N21" s="5">
        <v>0</v>
      </c>
      <c r="O21" s="5">
        <v>0</v>
      </c>
      <c r="P21" s="5">
        <v>0</v>
      </c>
      <c r="Q21" s="5">
        <v>0</v>
      </c>
      <c r="R21" s="5">
        <v>0</v>
      </c>
      <c r="S21" s="5">
        <v>0</v>
      </c>
      <c r="T21" s="5">
        <v>0</v>
      </c>
      <c r="U21" s="5">
        <v>0</v>
      </c>
      <c r="V21" s="5">
        <v>0.58699999999999997</v>
      </c>
      <c r="W21" s="5">
        <v>0.9</v>
      </c>
      <c r="X21" s="913">
        <v>0</v>
      </c>
      <c r="Y21" s="913">
        <v>0</v>
      </c>
      <c r="Z21" s="913">
        <v>0</v>
      </c>
      <c r="AA21" s="5">
        <v>0</v>
      </c>
      <c r="AB21" s="5">
        <v>0</v>
      </c>
      <c r="AC21" s="826">
        <v>0</v>
      </c>
      <c r="AD21" s="914">
        <v>0</v>
      </c>
      <c r="AE21" s="914">
        <v>0</v>
      </c>
      <c r="AF21" s="915">
        <v>0</v>
      </c>
      <c r="AG21" s="913">
        <v>0</v>
      </c>
      <c r="AH21" s="916"/>
      <c r="AI21" s="6" t="s">
        <v>273</v>
      </c>
      <c r="AJ21" s="820" t="s">
        <v>234</v>
      </c>
      <c r="AK21" s="820" t="s">
        <v>1640</v>
      </c>
      <c r="AL21" s="33"/>
      <c r="AM21" s="33"/>
      <c r="AN21" s="33"/>
      <c r="AO21" s="33"/>
      <c r="AP21" s="33"/>
      <c r="AQ21" s="842"/>
      <c r="AR21" s="820" t="s">
        <v>236</v>
      </c>
      <c r="AS21" s="829" t="s">
        <v>1646</v>
      </c>
      <c r="AT21" s="843"/>
      <c r="AU21" s="829" t="s">
        <v>238</v>
      </c>
      <c r="AV21" s="919" t="s">
        <v>238</v>
      </c>
    </row>
    <row r="22" spans="1:48" ht="12.75" customHeight="1">
      <c r="A22" s="911" t="s">
        <v>231</v>
      </c>
      <c r="B22" s="922" t="s">
        <v>1666</v>
      </c>
      <c r="C22" s="923">
        <v>0</v>
      </c>
      <c r="D22" s="923">
        <v>0</v>
      </c>
      <c r="E22" s="923">
        <v>0</v>
      </c>
      <c r="F22" s="923">
        <v>0</v>
      </c>
      <c r="G22" s="923">
        <v>0</v>
      </c>
      <c r="H22" s="923">
        <v>0</v>
      </c>
      <c r="I22" s="923">
        <v>0</v>
      </c>
      <c r="J22" s="923">
        <v>0</v>
      </c>
      <c r="K22" s="923">
        <v>0</v>
      </c>
      <c r="L22" s="923">
        <v>0</v>
      </c>
      <c r="M22" s="923">
        <v>0</v>
      </c>
      <c r="N22" s="923">
        <v>0</v>
      </c>
      <c r="O22" s="923">
        <v>0</v>
      </c>
      <c r="P22" s="923">
        <v>0</v>
      </c>
      <c r="Q22" s="923">
        <v>0</v>
      </c>
      <c r="R22" s="923">
        <v>0</v>
      </c>
      <c r="S22" s="923">
        <v>0</v>
      </c>
      <c r="T22" s="923">
        <v>0</v>
      </c>
      <c r="U22" s="924">
        <v>0</v>
      </c>
      <c r="V22" s="924">
        <v>6.0999999999999999E-2</v>
      </c>
      <c r="W22" s="924">
        <v>0</v>
      </c>
      <c r="X22" s="913">
        <v>0</v>
      </c>
      <c r="Y22" s="913">
        <v>0</v>
      </c>
      <c r="Z22" s="913">
        <v>0</v>
      </c>
      <c r="AA22" s="5">
        <v>0</v>
      </c>
      <c r="AB22" s="5">
        <v>0</v>
      </c>
      <c r="AC22" s="826">
        <v>0</v>
      </c>
      <c r="AD22" s="914">
        <v>0</v>
      </c>
      <c r="AE22" s="914">
        <v>0</v>
      </c>
      <c r="AF22" s="915">
        <v>0</v>
      </c>
      <c r="AG22" s="913">
        <v>0</v>
      </c>
      <c r="AH22" s="916"/>
      <c r="AI22" s="6" t="s">
        <v>273</v>
      </c>
      <c r="AJ22" s="820" t="s">
        <v>406</v>
      </c>
      <c r="AK22" s="820" t="s">
        <v>1663</v>
      </c>
      <c r="AL22" s="33"/>
      <c r="AM22" s="33"/>
      <c r="AN22" s="33"/>
      <c r="AO22" s="33"/>
      <c r="AP22" s="33"/>
      <c r="AQ22" s="842"/>
      <c r="AR22" s="820" t="s">
        <v>236</v>
      </c>
      <c r="AS22" s="843" t="s">
        <v>1667</v>
      </c>
      <c r="AT22" s="362"/>
      <c r="AU22" s="843" t="s">
        <v>238</v>
      </c>
      <c r="AV22" s="920" t="s">
        <v>238</v>
      </c>
    </row>
    <row r="23" spans="1:48" ht="12.75" customHeight="1">
      <c r="A23" s="911" t="s">
        <v>231</v>
      </c>
      <c r="B23" s="820" t="s">
        <v>352</v>
      </c>
      <c r="C23" s="5">
        <v>0</v>
      </c>
      <c r="D23" s="5">
        <v>0</v>
      </c>
      <c r="E23" s="5">
        <v>0</v>
      </c>
      <c r="F23" s="5">
        <v>0</v>
      </c>
      <c r="G23" s="5">
        <v>0</v>
      </c>
      <c r="H23" s="5">
        <v>0</v>
      </c>
      <c r="I23" s="5">
        <v>0</v>
      </c>
      <c r="J23" s="5">
        <v>0</v>
      </c>
      <c r="K23" s="5">
        <v>0</v>
      </c>
      <c r="L23" s="5">
        <v>0</v>
      </c>
      <c r="M23" s="5">
        <v>0</v>
      </c>
      <c r="N23" s="5">
        <v>0</v>
      </c>
      <c r="O23" s="5">
        <v>0</v>
      </c>
      <c r="P23" s="5">
        <v>0</v>
      </c>
      <c r="Q23" s="5">
        <v>0</v>
      </c>
      <c r="R23" s="5">
        <v>0</v>
      </c>
      <c r="S23" s="5">
        <v>0</v>
      </c>
      <c r="T23" s="5">
        <v>0</v>
      </c>
      <c r="U23" s="5">
        <v>0</v>
      </c>
      <c r="V23" s="5">
        <v>0</v>
      </c>
      <c r="W23" s="5">
        <v>16.013999999999999</v>
      </c>
      <c r="X23" s="5">
        <v>15.923999999999999</v>
      </c>
      <c r="Y23" s="913">
        <v>16.062000000000001</v>
      </c>
      <c r="Z23" s="913">
        <v>0</v>
      </c>
      <c r="AA23" s="5">
        <v>0</v>
      </c>
      <c r="AB23" s="5">
        <v>0</v>
      </c>
      <c r="AC23" s="826">
        <v>0</v>
      </c>
      <c r="AD23" s="914">
        <v>0</v>
      </c>
      <c r="AE23" s="914">
        <v>0</v>
      </c>
      <c r="AF23" s="915">
        <v>0</v>
      </c>
      <c r="AG23" s="913">
        <v>0</v>
      </c>
      <c r="AH23" s="916"/>
      <c r="AI23" s="6" t="s">
        <v>246</v>
      </c>
      <c r="AJ23" s="820" t="s">
        <v>234</v>
      </c>
      <c r="AK23" s="820" t="s">
        <v>1640</v>
      </c>
      <c r="AL23" s="33"/>
      <c r="AM23" s="33"/>
      <c r="AN23" s="33"/>
      <c r="AO23" s="33"/>
      <c r="AP23" s="33"/>
      <c r="AQ23" s="842"/>
      <c r="AR23" s="820" t="s">
        <v>236</v>
      </c>
      <c r="AS23" s="829" t="s">
        <v>1646</v>
      </c>
      <c r="AT23" s="829" t="s">
        <v>238</v>
      </c>
      <c r="AU23" s="829" t="s">
        <v>238</v>
      </c>
      <c r="AV23" s="919" t="s">
        <v>238</v>
      </c>
    </row>
    <row r="24" spans="1:48" ht="12.75" customHeight="1">
      <c r="A24" s="911" t="s">
        <v>387</v>
      </c>
      <c r="B24" s="820" t="s">
        <v>1668</v>
      </c>
      <c r="C24" s="5">
        <v>0</v>
      </c>
      <c r="D24" s="5">
        <v>0</v>
      </c>
      <c r="E24" s="5">
        <v>0</v>
      </c>
      <c r="F24" s="5">
        <v>0</v>
      </c>
      <c r="G24" s="5">
        <v>0</v>
      </c>
      <c r="H24" s="5">
        <v>0</v>
      </c>
      <c r="I24" s="5">
        <v>0</v>
      </c>
      <c r="J24" s="5">
        <v>0</v>
      </c>
      <c r="K24" s="5">
        <v>0</v>
      </c>
      <c r="L24" s="5">
        <v>0</v>
      </c>
      <c r="M24" s="5">
        <v>0</v>
      </c>
      <c r="N24" s="5">
        <v>0</v>
      </c>
      <c r="O24" s="5">
        <v>0</v>
      </c>
      <c r="P24" s="5">
        <v>0</v>
      </c>
      <c r="Q24" s="5">
        <v>0</v>
      </c>
      <c r="R24" s="5">
        <v>0</v>
      </c>
      <c r="S24" s="5">
        <v>0</v>
      </c>
      <c r="T24" s="5">
        <v>0</v>
      </c>
      <c r="U24" s="5">
        <v>0</v>
      </c>
      <c r="V24" s="5">
        <v>0</v>
      </c>
      <c r="W24" s="5">
        <v>0</v>
      </c>
      <c r="X24" s="5">
        <v>0</v>
      </c>
      <c r="Y24" s="5">
        <v>0</v>
      </c>
      <c r="Z24" s="5">
        <v>0</v>
      </c>
      <c r="AA24" s="5">
        <v>0</v>
      </c>
      <c r="AB24" s="5">
        <v>0</v>
      </c>
      <c r="AC24" s="826">
        <v>0</v>
      </c>
      <c r="AD24" s="914">
        <v>0.11</v>
      </c>
      <c r="AE24" s="914">
        <v>0.11</v>
      </c>
      <c r="AF24" s="915">
        <v>0.11</v>
      </c>
      <c r="AG24" s="913"/>
      <c r="AH24" s="916"/>
      <c r="AI24" s="6" t="s">
        <v>273</v>
      </c>
      <c r="AJ24" s="820" t="s">
        <v>406</v>
      </c>
      <c r="AK24" s="921" t="s">
        <v>1663</v>
      </c>
      <c r="AL24" s="33"/>
      <c r="AM24" s="33"/>
      <c r="AN24" s="33"/>
      <c r="AO24" s="33">
        <v>1</v>
      </c>
      <c r="AP24" s="33"/>
      <c r="AQ24" s="842"/>
      <c r="AR24" s="820" t="s">
        <v>251</v>
      </c>
      <c r="AS24" s="840" t="s">
        <v>1669</v>
      </c>
      <c r="AT24" s="362"/>
      <c r="AU24" s="829"/>
      <c r="AV24" s="919"/>
    </row>
    <row r="25" spans="1:48" ht="12.75" customHeight="1">
      <c r="A25" s="911" t="s">
        <v>387</v>
      </c>
      <c r="B25" s="820" t="s">
        <v>1670</v>
      </c>
      <c r="C25" s="5">
        <v>0</v>
      </c>
      <c r="D25" s="5">
        <v>0</v>
      </c>
      <c r="E25" s="5">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0.30199999999999999</v>
      </c>
      <c r="Y25" s="913">
        <v>0.80400000000000005</v>
      </c>
      <c r="Z25" s="913">
        <v>1.0589999999999999</v>
      </c>
      <c r="AA25" s="5">
        <v>3.87</v>
      </c>
      <c r="AB25" s="5">
        <v>4.0229999999999997</v>
      </c>
      <c r="AC25" s="826">
        <v>4.0650000000000004</v>
      </c>
      <c r="AD25" s="914">
        <v>3.8559999999999999</v>
      </c>
      <c r="AE25" s="914">
        <v>3.8559999999999999</v>
      </c>
      <c r="AF25" s="915">
        <v>0</v>
      </c>
      <c r="AG25" s="913"/>
      <c r="AH25" s="916"/>
      <c r="AI25" s="6" t="s">
        <v>273</v>
      </c>
      <c r="AJ25" s="820" t="s">
        <v>406</v>
      </c>
      <c r="AK25" s="820" t="s">
        <v>1663</v>
      </c>
      <c r="AL25" s="33"/>
      <c r="AM25" s="33"/>
      <c r="AN25" s="33"/>
      <c r="AO25" s="33">
        <v>1</v>
      </c>
      <c r="AP25" s="33"/>
      <c r="AQ25" s="842"/>
      <c r="AR25" s="820" t="s">
        <v>236</v>
      </c>
      <c r="AS25" s="829" t="s">
        <v>1671</v>
      </c>
      <c r="AT25" s="829"/>
      <c r="AU25" s="829"/>
      <c r="AV25" s="919"/>
    </row>
    <row r="26" spans="1:48" ht="12.75" customHeight="1">
      <c r="A26" s="911" t="s">
        <v>387</v>
      </c>
      <c r="B26" s="820" t="s">
        <v>1672</v>
      </c>
      <c r="C26" s="5">
        <v>0</v>
      </c>
      <c r="D26" s="5">
        <v>0</v>
      </c>
      <c r="E26" s="5">
        <v>0</v>
      </c>
      <c r="F26" s="5">
        <v>0</v>
      </c>
      <c r="G26" s="5">
        <v>0</v>
      </c>
      <c r="H26" s="5">
        <v>0</v>
      </c>
      <c r="I26" s="5">
        <v>0</v>
      </c>
      <c r="J26" s="5">
        <v>0</v>
      </c>
      <c r="K26" s="5">
        <v>0</v>
      </c>
      <c r="L26" s="5">
        <v>0</v>
      </c>
      <c r="M26" s="5">
        <v>0</v>
      </c>
      <c r="N26" s="5">
        <v>0</v>
      </c>
      <c r="O26" s="913">
        <v>0</v>
      </c>
      <c r="P26" s="913">
        <v>0</v>
      </c>
      <c r="Q26" s="913">
        <v>0</v>
      </c>
      <c r="R26" s="913">
        <v>0</v>
      </c>
      <c r="S26" s="913">
        <v>0</v>
      </c>
      <c r="T26" s="913">
        <v>0</v>
      </c>
      <c r="U26" s="913">
        <v>0</v>
      </c>
      <c r="V26" s="913">
        <v>0.161</v>
      </c>
      <c r="W26" s="913">
        <v>3.4000000000000002E-2</v>
      </c>
      <c r="X26" s="913">
        <v>0</v>
      </c>
      <c r="Y26" s="913">
        <v>0</v>
      </c>
      <c r="Z26" s="913">
        <v>60</v>
      </c>
      <c r="AA26" s="5">
        <v>0</v>
      </c>
      <c r="AB26" s="5">
        <v>0</v>
      </c>
      <c r="AC26" s="826">
        <v>0</v>
      </c>
      <c r="AD26" s="914">
        <v>0</v>
      </c>
      <c r="AE26" s="914">
        <v>0</v>
      </c>
      <c r="AF26" s="915">
        <v>0</v>
      </c>
      <c r="AG26" s="913"/>
      <c r="AH26" s="916"/>
      <c r="AI26" s="6" t="s">
        <v>273</v>
      </c>
      <c r="AJ26" s="820" t="s">
        <v>406</v>
      </c>
      <c r="AK26" s="820" t="s">
        <v>1663</v>
      </c>
      <c r="AL26" s="33"/>
      <c r="AM26" s="33"/>
      <c r="AN26" s="33"/>
      <c r="AO26" s="33"/>
      <c r="AP26" s="33"/>
      <c r="AQ26" s="842"/>
      <c r="AR26" s="820" t="s">
        <v>236</v>
      </c>
      <c r="AS26" s="843" t="s">
        <v>1673</v>
      </c>
      <c r="AT26" s="843" t="s">
        <v>238</v>
      </c>
      <c r="AU26" s="843" t="s">
        <v>238</v>
      </c>
      <c r="AV26" s="920" t="s">
        <v>238</v>
      </c>
    </row>
    <row r="27" spans="1:48" ht="12.75" customHeight="1">
      <c r="A27" s="911" t="s">
        <v>387</v>
      </c>
      <c r="B27" s="820" t="s">
        <v>1674</v>
      </c>
      <c r="C27" s="5">
        <v>0</v>
      </c>
      <c r="D27" s="5">
        <v>0</v>
      </c>
      <c r="E27" s="5">
        <v>0</v>
      </c>
      <c r="F27" s="5">
        <v>0</v>
      </c>
      <c r="G27" s="5">
        <v>0</v>
      </c>
      <c r="H27" s="5">
        <v>0</v>
      </c>
      <c r="I27" s="5">
        <v>0</v>
      </c>
      <c r="J27" s="5">
        <v>0</v>
      </c>
      <c r="K27" s="5">
        <v>0</v>
      </c>
      <c r="L27" s="5">
        <v>0</v>
      </c>
      <c r="M27" s="5">
        <v>0</v>
      </c>
      <c r="N27" s="5">
        <v>0</v>
      </c>
      <c r="O27" s="5">
        <v>0</v>
      </c>
      <c r="P27" s="5">
        <v>0</v>
      </c>
      <c r="Q27" s="5">
        <v>0</v>
      </c>
      <c r="R27" s="5">
        <v>0</v>
      </c>
      <c r="S27" s="5">
        <v>0</v>
      </c>
      <c r="T27" s="5">
        <v>0</v>
      </c>
      <c r="U27" s="5">
        <v>0</v>
      </c>
      <c r="V27" s="5">
        <v>0</v>
      </c>
      <c r="W27" s="5">
        <v>0</v>
      </c>
      <c r="X27" s="913">
        <v>0</v>
      </c>
      <c r="Y27" s="913">
        <v>0</v>
      </c>
      <c r="Z27" s="913">
        <v>0</v>
      </c>
      <c r="AA27" s="5">
        <v>1.65</v>
      </c>
      <c r="AB27" s="5">
        <v>0</v>
      </c>
      <c r="AC27" s="826">
        <v>5</v>
      </c>
      <c r="AD27" s="914">
        <v>2.1</v>
      </c>
      <c r="AE27" s="914">
        <v>0.4</v>
      </c>
      <c r="AF27" s="915">
        <v>0.17499999999999999</v>
      </c>
      <c r="AG27" s="913">
        <v>7.4999999999999997E-2</v>
      </c>
      <c r="AH27" s="916"/>
      <c r="AI27" s="6" t="s">
        <v>273</v>
      </c>
      <c r="AJ27" s="820" t="s">
        <v>409</v>
      </c>
      <c r="AK27" s="820" t="s">
        <v>1663</v>
      </c>
      <c r="AL27" s="33">
        <v>1</v>
      </c>
      <c r="AM27" s="33"/>
      <c r="AN27" s="33"/>
      <c r="AO27" s="33"/>
      <c r="AP27" s="33"/>
      <c r="AQ27" s="842"/>
      <c r="AR27" s="820" t="s">
        <v>236</v>
      </c>
      <c r="AS27" s="1" t="s">
        <v>1675</v>
      </c>
      <c r="AT27" s="829" t="s">
        <v>1676</v>
      </c>
      <c r="AU27" s="829"/>
      <c r="AV27" s="925" t="s">
        <v>425</v>
      </c>
    </row>
    <row r="28" spans="1:48" ht="12.75" customHeight="1">
      <c r="A28" s="911" t="s">
        <v>387</v>
      </c>
      <c r="B28" s="820" t="s">
        <v>1677</v>
      </c>
      <c r="C28" s="5">
        <v>0</v>
      </c>
      <c r="D28" s="5">
        <v>0</v>
      </c>
      <c r="E28" s="5">
        <v>0</v>
      </c>
      <c r="F28" s="5">
        <v>0</v>
      </c>
      <c r="G28" s="5">
        <v>0</v>
      </c>
      <c r="H28" s="5">
        <v>0</v>
      </c>
      <c r="I28" s="5">
        <v>0</v>
      </c>
      <c r="J28" s="5">
        <v>0</v>
      </c>
      <c r="K28" s="5">
        <v>0</v>
      </c>
      <c r="L28" s="5">
        <v>0</v>
      </c>
      <c r="M28" s="5">
        <v>0</v>
      </c>
      <c r="N28" s="5">
        <v>0</v>
      </c>
      <c r="O28" s="5">
        <v>0</v>
      </c>
      <c r="P28" s="5">
        <v>0</v>
      </c>
      <c r="Q28" s="5">
        <v>0</v>
      </c>
      <c r="R28" s="5">
        <v>0</v>
      </c>
      <c r="S28" s="5">
        <v>0</v>
      </c>
      <c r="T28" s="5">
        <v>0</v>
      </c>
      <c r="U28" s="5">
        <v>0</v>
      </c>
      <c r="V28" s="913">
        <v>0</v>
      </c>
      <c r="W28" s="913">
        <v>0</v>
      </c>
      <c r="X28" s="913">
        <v>0</v>
      </c>
      <c r="Y28" s="913">
        <v>0</v>
      </c>
      <c r="Z28" s="913">
        <v>0.34300000000000003</v>
      </c>
      <c r="AA28" s="5">
        <v>2.3370000000000002</v>
      </c>
      <c r="AB28" s="5">
        <v>2.3940000000000001</v>
      </c>
      <c r="AC28" s="826">
        <v>2.4049999999999998</v>
      </c>
      <c r="AD28" s="914">
        <v>0</v>
      </c>
      <c r="AE28" s="914">
        <v>0</v>
      </c>
      <c r="AF28" s="915">
        <v>0</v>
      </c>
      <c r="AG28" s="913"/>
      <c r="AH28" s="916"/>
      <c r="AI28" s="6" t="s">
        <v>273</v>
      </c>
      <c r="AJ28" s="820" t="s">
        <v>406</v>
      </c>
      <c r="AK28" s="820" t="s">
        <v>1663</v>
      </c>
      <c r="AL28" s="33"/>
      <c r="AM28" s="33"/>
      <c r="AN28" s="33"/>
      <c r="AO28" s="33"/>
      <c r="AP28" s="33"/>
      <c r="AQ28" s="842"/>
      <c r="AR28" s="820" t="s">
        <v>236</v>
      </c>
      <c r="AS28" s="829" t="s">
        <v>1678</v>
      </c>
      <c r="AT28" s="829"/>
      <c r="AU28" s="829"/>
      <c r="AV28" s="919"/>
    </row>
    <row r="29" spans="1:48" ht="12.75" customHeight="1">
      <c r="A29" s="911" t="s">
        <v>387</v>
      </c>
      <c r="B29" s="820" t="s">
        <v>1679</v>
      </c>
      <c r="C29" s="5">
        <v>0</v>
      </c>
      <c r="D29" s="5">
        <v>0</v>
      </c>
      <c r="E29" s="5">
        <v>0</v>
      </c>
      <c r="F29" s="5">
        <v>0</v>
      </c>
      <c r="G29" s="5">
        <v>0</v>
      </c>
      <c r="H29" s="5">
        <v>0</v>
      </c>
      <c r="I29" s="5">
        <v>0</v>
      </c>
      <c r="J29" s="5">
        <v>0</v>
      </c>
      <c r="K29" s="5">
        <v>0</v>
      </c>
      <c r="L29" s="5">
        <v>0</v>
      </c>
      <c r="M29" s="5">
        <v>0</v>
      </c>
      <c r="N29" s="5">
        <v>0</v>
      </c>
      <c r="O29" s="913">
        <v>0</v>
      </c>
      <c r="P29" s="913">
        <v>0</v>
      </c>
      <c r="Q29" s="913">
        <v>0</v>
      </c>
      <c r="R29" s="913">
        <v>0</v>
      </c>
      <c r="S29" s="913">
        <v>0</v>
      </c>
      <c r="T29" s="913">
        <v>0</v>
      </c>
      <c r="U29" s="5">
        <v>0</v>
      </c>
      <c r="V29" s="5">
        <v>7.6999999999999999E-2</v>
      </c>
      <c r="W29" s="5">
        <v>5.6000000000000001E-2</v>
      </c>
      <c r="X29" s="5">
        <v>0.16800000000000001</v>
      </c>
      <c r="Y29" s="913">
        <v>0.13</v>
      </c>
      <c r="Z29" s="913">
        <v>0</v>
      </c>
      <c r="AA29" s="5">
        <v>0</v>
      </c>
      <c r="AB29" s="5"/>
      <c r="AC29" s="826">
        <v>0</v>
      </c>
      <c r="AD29" s="914">
        <v>0</v>
      </c>
      <c r="AE29" s="914">
        <v>0</v>
      </c>
      <c r="AF29" s="915">
        <v>0</v>
      </c>
      <c r="AG29" s="913"/>
      <c r="AH29" s="916"/>
      <c r="AI29" s="6" t="s">
        <v>273</v>
      </c>
      <c r="AJ29" s="820" t="s">
        <v>406</v>
      </c>
      <c r="AK29" s="820" t="s">
        <v>1663</v>
      </c>
      <c r="AL29" s="33"/>
      <c r="AM29" s="33"/>
      <c r="AN29" s="33"/>
      <c r="AO29" s="33"/>
      <c r="AP29" s="33"/>
      <c r="AQ29" s="842"/>
      <c r="AR29" s="820" t="s">
        <v>236</v>
      </c>
      <c r="AS29" s="843" t="s">
        <v>1680</v>
      </c>
      <c r="AT29" s="843" t="s">
        <v>238</v>
      </c>
      <c r="AU29" s="843" t="s">
        <v>238</v>
      </c>
      <c r="AV29" s="920" t="s">
        <v>238</v>
      </c>
    </row>
    <row r="30" spans="1:48" ht="12.75" customHeight="1">
      <c r="A30" s="911" t="s">
        <v>387</v>
      </c>
      <c r="B30" s="820" t="s">
        <v>1681</v>
      </c>
      <c r="C30" s="5">
        <v>0</v>
      </c>
      <c r="D30" s="5">
        <v>0</v>
      </c>
      <c r="E30" s="5">
        <v>0</v>
      </c>
      <c r="F30" s="5">
        <v>0</v>
      </c>
      <c r="G30" s="5">
        <v>0</v>
      </c>
      <c r="H30" s="5">
        <v>0</v>
      </c>
      <c r="I30" s="5">
        <v>0</v>
      </c>
      <c r="J30" s="5">
        <v>0</v>
      </c>
      <c r="K30" s="5">
        <v>0</v>
      </c>
      <c r="L30" s="5">
        <v>0</v>
      </c>
      <c r="M30" s="5">
        <v>0</v>
      </c>
      <c r="N30" s="5">
        <v>0</v>
      </c>
      <c r="O30" s="913">
        <v>0</v>
      </c>
      <c r="P30" s="913">
        <v>0</v>
      </c>
      <c r="Q30" s="913">
        <v>0</v>
      </c>
      <c r="R30" s="913">
        <v>0</v>
      </c>
      <c r="S30" s="913">
        <v>0</v>
      </c>
      <c r="T30" s="913">
        <v>0</v>
      </c>
      <c r="U30" s="913">
        <v>0</v>
      </c>
      <c r="V30" s="913">
        <v>7.0000000000000007E-2</v>
      </c>
      <c r="W30" s="913">
        <v>0</v>
      </c>
      <c r="X30" s="913">
        <v>0</v>
      </c>
      <c r="Y30" s="913">
        <v>0</v>
      </c>
      <c r="Z30" s="913">
        <v>0</v>
      </c>
      <c r="AA30" s="5">
        <v>0</v>
      </c>
      <c r="AB30" s="5"/>
      <c r="AC30" s="826">
        <v>0</v>
      </c>
      <c r="AD30" s="914">
        <v>0</v>
      </c>
      <c r="AE30" s="914">
        <v>0</v>
      </c>
      <c r="AF30" s="915">
        <v>0</v>
      </c>
      <c r="AG30" s="913"/>
      <c r="AH30" s="916"/>
      <c r="AI30" s="6" t="s">
        <v>273</v>
      </c>
      <c r="AJ30" s="807" t="s">
        <v>406</v>
      </c>
      <c r="AK30" s="807" t="s">
        <v>1663</v>
      </c>
      <c r="AL30" s="809"/>
      <c r="AM30" s="809"/>
      <c r="AN30" s="809"/>
      <c r="AO30" s="809"/>
      <c r="AP30" s="809"/>
      <c r="AQ30" s="842"/>
      <c r="AR30" s="807" t="s">
        <v>236</v>
      </c>
      <c r="AS30" s="843" t="s">
        <v>1682</v>
      </c>
      <c r="AT30" s="843" t="s">
        <v>1683</v>
      </c>
      <c r="AU30" s="829" t="s">
        <v>238</v>
      </c>
      <c r="AV30" s="919" t="s">
        <v>238</v>
      </c>
    </row>
    <row r="31" spans="1:48" ht="12.75" customHeight="1">
      <c r="A31" s="911" t="s">
        <v>387</v>
      </c>
      <c r="B31" s="820" t="s">
        <v>1684</v>
      </c>
      <c r="C31" s="5">
        <v>0</v>
      </c>
      <c r="D31" s="5">
        <v>0</v>
      </c>
      <c r="E31" s="5">
        <v>0</v>
      </c>
      <c r="F31" s="5">
        <v>0</v>
      </c>
      <c r="G31" s="5">
        <v>0</v>
      </c>
      <c r="H31" s="5">
        <v>0</v>
      </c>
      <c r="I31" s="5">
        <v>0</v>
      </c>
      <c r="J31" s="5">
        <v>0</v>
      </c>
      <c r="K31" s="5">
        <v>0</v>
      </c>
      <c r="L31" s="5">
        <v>0</v>
      </c>
      <c r="M31" s="5">
        <v>0</v>
      </c>
      <c r="N31" s="5">
        <v>0</v>
      </c>
      <c r="O31" s="913">
        <v>0</v>
      </c>
      <c r="P31" s="913">
        <v>0</v>
      </c>
      <c r="Q31" s="913">
        <v>8.0730000000000004</v>
      </c>
      <c r="R31" s="913">
        <v>7.0229999999999997</v>
      </c>
      <c r="S31" s="913">
        <v>11.529</v>
      </c>
      <c r="T31" s="913">
        <v>9.7159999999999993</v>
      </c>
      <c r="U31" s="913">
        <v>4.0419999999999998</v>
      </c>
      <c r="V31" s="913">
        <v>2.9060000000000001</v>
      </c>
      <c r="W31" s="913">
        <v>0</v>
      </c>
      <c r="X31" s="913">
        <v>0</v>
      </c>
      <c r="Y31" s="913">
        <v>0</v>
      </c>
      <c r="Z31" s="913">
        <v>0</v>
      </c>
      <c r="AA31" s="5">
        <v>0</v>
      </c>
      <c r="AB31" s="5"/>
      <c r="AC31" s="826">
        <v>0</v>
      </c>
      <c r="AD31" s="914">
        <v>0</v>
      </c>
      <c r="AE31" s="914">
        <v>0</v>
      </c>
      <c r="AF31" s="915">
        <v>0</v>
      </c>
      <c r="AG31" s="913"/>
      <c r="AH31" s="916"/>
      <c r="AI31" s="6" t="s">
        <v>233</v>
      </c>
      <c r="AJ31" s="820" t="s">
        <v>234</v>
      </c>
      <c r="AK31" s="820" t="s">
        <v>1640</v>
      </c>
      <c r="AL31" s="33"/>
      <c r="AM31" s="33"/>
      <c r="AN31" s="33"/>
      <c r="AO31" s="33"/>
      <c r="AP31" s="33"/>
      <c r="AQ31" s="842"/>
      <c r="AR31" s="820" t="s">
        <v>236</v>
      </c>
      <c r="AS31" s="843" t="s">
        <v>1685</v>
      </c>
      <c r="AT31" s="843" t="s">
        <v>238</v>
      </c>
      <c r="AU31" s="843" t="s">
        <v>238</v>
      </c>
      <c r="AV31" s="920" t="s">
        <v>238</v>
      </c>
    </row>
    <row r="32" spans="1:48" ht="12.75" customHeight="1">
      <c r="A32" s="911" t="s">
        <v>387</v>
      </c>
      <c r="B32" s="820" t="s">
        <v>1686</v>
      </c>
      <c r="C32" s="5">
        <v>0</v>
      </c>
      <c r="D32" s="5">
        <v>0</v>
      </c>
      <c r="E32" s="5">
        <v>0</v>
      </c>
      <c r="F32" s="5">
        <v>0</v>
      </c>
      <c r="G32" s="5">
        <v>0</v>
      </c>
      <c r="H32" s="5">
        <v>0</v>
      </c>
      <c r="I32" s="5">
        <v>0</v>
      </c>
      <c r="J32" s="5">
        <v>0</v>
      </c>
      <c r="K32" s="5">
        <v>0</v>
      </c>
      <c r="L32" s="5">
        <v>0</v>
      </c>
      <c r="M32" s="5">
        <v>0</v>
      </c>
      <c r="N32" s="5">
        <v>0</v>
      </c>
      <c r="O32" s="913">
        <v>0</v>
      </c>
      <c r="P32" s="913">
        <v>0</v>
      </c>
      <c r="Q32" s="913">
        <v>0.97199999999999998</v>
      </c>
      <c r="R32" s="913">
        <v>5.117</v>
      </c>
      <c r="S32" s="913">
        <v>6.08</v>
      </c>
      <c r="T32" s="913">
        <v>6.0869999999999997</v>
      </c>
      <c r="U32" s="913">
        <v>3.492</v>
      </c>
      <c r="V32" s="913">
        <v>2.5089999999999999</v>
      </c>
      <c r="W32" s="913">
        <v>0</v>
      </c>
      <c r="X32" s="913">
        <v>0</v>
      </c>
      <c r="Y32" s="913">
        <v>0</v>
      </c>
      <c r="Z32" s="913">
        <v>0</v>
      </c>
      <c r="AA32" s="5">
        <v>0</v>
      </c>
      <c r="AB32" s="5"/>
      <c r="AC32" s="826">
        <v>0</v>
      </c>
      <c r="AD32" s="914">
        <v>0</v>
      </c>
      <c r="AE32" s="914">
        <v>0</v>
      </c>
      <c r="AF32" s="915">
        <v>0</v>
      </c>
      <c r="AG32" s="913"/>
      <c r="AH32" s="916"/>
      <c r="AI32" s="6" t="s">
        <v>233</v>
      </c>
      <c r="AJ32" s="820" t="s">
        <v>234</v>
      </c>
      <c r="AK32" s="820" t="s">
        <v>1640</v>
      </c>
      <c r="AL32" s="33"/>
      <c r="AM32" s="33"/>
      <c r="AN32" s="33"/>
      <c r="AO32" s="33"/>
      <c r="AP32" s="33"/>
      <c r="AQ32" s="842"/>
      <c r="AR32" s="820" t="s">
        <v>236</v>
      </c>
      <c r="AS32" s="843"/>
      <c r="AT32" s="843" t="s">
        <v>238</v>
      </c>
      <c r="AU32" s="843" t="s">
        <v>238</v>
      </c>
      <c r="AV32" s="920" t="s">
        <v>238</v>
      </c>
    </row>
    <row r="33" spans="1:48" ht="12.75" customHeight="1">
      <c r="A33" s="911" t="s">
        <v>387</v>
      </c>
      <c r="B33" s="820" t="s">
        <v>1687</v>
      </c>
      <c r="C33" s="5">
        <v>0</v>
      </c>
      <c r="D33" s="5">
        <v>0</v>
      </c>
      <c r="E33" s="5">
        <v>0</v>
      </c>
      <c r="F33" s="5">
        <v>0</v>
      </c>
      <c r="G33" s="5">
        <v>0</v>
      </c>
      <c r="H33" s="5">
        <v>0</v>
      </c>
      <c r="I33" s="5">
        <v>0</v>
      </c>
      <c r="J33" s="5">
        <v>0</v>
      </c>
      <c r="K33" s="5">
        <v>0</v>
      </c>
      <c r="L33" s="5">
        <v>0</v>
      </c>
      <c r="M33" s="5">
        <v>0</v>
      </c>
      <c r="N33" s="5">
        <v>0</v>
      </c>
      <c r="O33" s="5">
        <v>0</v>
      </c>
      <c r="P33" s="5">
        <v>0</v>
      </c>
      <c r="Q33" s="5">
        <v>17.628</v>
      </c>
      <c r="R33" s="5">
        <v>8.1069999999999993</v>
      </c>
      <c r="S33" s="5">
        <v>39.576999999999998</v>
      </c>
      <c r="T33" s="5">
        <v>25.97099991</v>
      </c>
      <c r="U33" s="5">
        <v>7.0970000000000004</v>
      </c>
      <c r="V33" s="5">
        <v>6.548</v>
      </c>
      <c r="W33" s="5">
        <v>0</v>
      </c>
      <c r="X33" s="913">
        <v>0</v>
      </c>
      <c r="Y33" s="913">
        <v>0</v>
      </c>
      <c r="Z33" s="913">
        <v>0</v>
      </c>
      <c r="AA33" s="5">
        <v>0</v>
      </c>
      <c r="AB33" s="5"/>
      <c r="AC33" s="826">
        <v>0</v>
      </c>
      <c r="AD33" s="914">
        <v>0</v>
      </c>
      <c r="AE33" s="914">
        <v>0</v>
      </c>
      <c r="AF33" s="915">
        <v>0</v>
      </c>
      <c r="AG33" s="913"/>
      <c r="AH33" s="916"/>
      <c r="AI33" s="6" t="s">
        <v>233</v>
      </c>
      <c r="AJ33" s="820" t="s">
        <v>234</v>
      </c>
      <c r="AK33" s="820" t="s">
        <v>1640</v>
      </c>
      <c r="AL33" s="33"/>
      <c r="AM33" s="33"/>
      <c r="AN33" s="33"/>
      <c r="AO33" s="33"/>
      <c r="AP33" s="33"/>
      <c r="AQ33" s="842"/>
      <c r="AR33" s="820" t="s">
        <v>236</v>
      </c>
      <c r="AS33" s="829" t="s">
        <v>1688</v>
      </c>
      <c r="AT33" s="362" t="s">
        <v>238</v>
      </c>
      <c r="AU33" s="829" t="s">
        <v>238</v>
      </c>
      <c r="AV33" s="919" t="s">
        <v>238</v>
      </c>
    </row>
    <row r="34" spans="1:48" ht="12.75" customHeight="1">
      <c r="A34" s="911" t="s">
        <v>387</v>
      </c>
      <c r="B34" s="820" t="s">
        <v>1689</v>
      </c>
      <c r="C34" s="5">
        <v>0</v>
      </c>
      <c r="D34" s="5">
        <v>0</v>
      </c>
      <c r="E34" s="5">
        <v>0</v>
      </c>
      <c r="F34" s="5">
        <v>0</v>
      </c>
      <c r="G34" s="5">
        <v>0</v>
      </c>
      <c r="H34" s="5">
        <v>0</v>
      </c>
      <c r="I34" s="5">
        <v>0</v>
      </c>
      <c r="J34" s="5">
        <v>0</v>
      </c>
      <c r="K34" s="5">
        <v>0</v>
      </c>
      <c r="L34" s="5">
        <v>0</v>
      </c>
      <c r="M34" s="5">
        <v>0</v>
      </c>
      <c r="N34" s="5">
        <v>0</v>
      </c>
      <c r="O34" s="5">
        <v>0</v>
      </c>
      <c r="P34" s="5">
        <v>0.28399999999999997</v>
      </c>
      <c r="Q34" s="5">
        <v>1.984</v>
      </c>
      <c r="R34" s="5">
        <v>1.8140000000000001</v>
      </c>
      <c r="S34" s="5">
        <v>0.2</v>
      </c>
      <c r="T34" s="5">
        <v>0</v>
      </c>
      <c r="U34" s="5">
        <v>0.9</v>
      </c>
      <c r="V34" s="5">
        <v>0</v>
      </c>
      <c r="W34" s="5">
        <v>0</v>
      </c>
      <c r="X34" s="913">
        <v>0</v>
      </c>
      <c r="Y34" s="913">
        <v>0</v>
      </c>
      <c r="Z34" s="913">
        <v>0</v>
      </c>
      <c r="AA34" s="5">
        <v>0</v>
      </c>
      <c r="AB34" s="5"/>
      <c r="AC34" s="826">
        <v>0</v>
      </c>
      <c r="AD34" s="914">
        <v>0</v>
      </c>
      <c r="AE34" s="914">
        <v>0</v>
      </c>
      <c r="AF34" s="915">
        <v>0</v>
      </c>
      <c r="AG34" s="913"/>
      <c r="AH34" s="916"/>
      <c r="AI34" s="6" t="s">
        <v>249</v>
      </c>
      <c r="AJ34" s="820" t="s">
        <v>234</v>
      </c>
      <c r="AK34" s="820" t="s">
        <v>1640</v>
      </c>
      <c r="AL34" s="33"/>
      <c r="AM34" s="33"/>
      <c r="AN34" s="33"/>
      <c r="AO34" s="33"/>
      <c r="AP34" s="33"/>
      <c r="AQ34" s="842"/>
      <c r="AR34" s="820" t="s">
        <v>236</v>
      </c>
      <c r="AS34" s="829" t="s">
        <v>238</v>
      </c>
      <c r="AT34" s="362" t="s">
        <v>238</v>
      </c>
      <c r="AU34" s="829" t="s">
        <v>238</v>
      </c>
      <c r="AV34" s="919" t="s">
        <v>238</v>
      </c>
    </row>
    <row r="35" spans="1:48" ht="12.75" customHeight="1">
      <c r="A35" s="911" t="s">
        <v>387</v>
      </c>
      <c r="B35" s="820" t="s">
        <v>1690</v>
      </c>
      <c r="C35" s="5">
        <v>0</v>
      </c>
      <c r="D35" s="5">
        <v>0</v>
      </c>
      <c r="E35" s="5">
        <v>0</v>
      </c>
      <c r="F35" s="5">
        <v>0</v>
      </c>
      <c r="G35" s="5">
        <v>0</v>
      </c>
      <c r="H35" s="5">
        <v>0</v>
      </c>
      <c r="I35" s="5">
        <v>0</v>
      </c>
      <c r="J35" s="5">
        <v>0</v>
      </c>
      <c r="K35" s="5">
        <v>0</v>
      </c>
      <c r="L35" s="5">
        <v>0</v>
      </c>
      <c r="M35" s="5">
        <v>0</v>
      </c>
      <c r="N35" s="5">
        <v>0</v>
      </c>
      <c r="O35" s="5">
        <v>0</v>
      </c>
      <c r="P35" s="5">
        <v>0</v>
      </c>
      <c r="Q35" s="5">
        <v>0</v>
      </c>
      <c r="R35" s="5">
        <v>0</v>
      </c>
      <c r="S35" s="5">
        <v>0</v>
      </c>
      <c r="T35" s="5">
        <v>0</v>
      </c>
      <c r="U35" s="5">
        <v>0</v>
      </c>
      <c r="V35" s="5">
        <v>0</v>
      </c>
      <c r="W35" s="5">
        <v>0</v>
      </c>
      <c r="X35" s="913">
        <v>0</v>
      </c>
      <c r="Y35" s="913">
        <v>0</v>
      </c>
      <c r="Z35" s="913">
        <v>0</v>
      </c>
      <c r="AA35" s="5">
        <v>0</v>
      </c>
      <c r="AB35" s="5">
        <v>0</v>
      </c>
      <c r="AC35" s="826">
        <v>3.5</v>
      </c>
      <c r="AD35" s="914">
        <v>7</v>
      </c>
      <c r="AE35" s="914">
        <v>7</v>
      </c>
      <c r="AF35" s="915">
        <v>0</v>
      </c>
      <c r="AG35" s="913"/>
      <c r="AH35" s="916"/>
      <c r="AI35" s="6" t="s">
        <v>233</v>
      </c>
      <c r="AJ35" s="820" t="s">
        <v>234</v>
      </c>
      <c r="AK35" s="820" t="s">
        <v>1691</v>
      </c>
      <c r="AL35" s="33">
        <v>1</v>
      </c>
      <c r="AM35" s="33"/>
      <c r="AN35" s="33"/>
      <c r="AO35" s="33"/>
      <c r="AP35" s="33"/>
      <c r="AQ35" s="842"/>
      <c r="AR35" s="820" t="s">
        <v>236</v>
      </c>
      <c r="AS35" s="829" t="s">
        <v>1692</v>
      </c>
      <c r="AT35" s="829" t="s">
        <v>238</v>
      </c>
      <c r="AU35" s="829" t="s">
        <v>238</v>
      </c>
      <c r="AV35" s="919" t="s">
        <v>238</v>
      </c>
    </row>
    <row r="36" spans="1:48" ht="12.75" customHeight="1">
      <c r="A36" s="911" t="s">
        <v>387</v>
      </c>
      <c r="B36" s="820" t="s">
        <v>1693</v>
      </c>
      <c r="C36" s="5">
        <v>0</v>
      </c>
      <c r="D36" s="5">
        <v>0</v>
      </c>
      <c r="E36" s="5">
        <v>0</v>
      </c>
      <c r="F36" s="5">
        <v>0</v>
      </c>
      <c r="G36" s="5">
        <v>0</v>
      </c>
      <c r="H36" s="5">
        <v>0</v>
      </c>
      <c r="I36" s="5">
        <v>0</v>
      </c>
      <c r="J36" s="5">
        <v>0</v>
      </c>
      <c r="K36" s="5">
        <v>0</v>
      </c>
      <c r="L36" s="5">
        <v>0</v>
      </c>
      <c r="M36" s="5">
        <v>0</v>
      </c>
      <c r="N36" s="5">
        <v>0</v>
      </c>
      <c r="O36" s="5">
        <v>0</v>
      </c>
      <c r="P36" s="5">
        <v>0</v>
      </c>
      <c r="Q36" s="5">
        <v>0</v>
      </c>
      <c r="R36" s="5">
        <v>0</v>
      </c>
      <c r="S36" s="5"/>
      <c r="T36" s="5">
        <v>0</v>
      </c>
      <c r="U36" s="5"/>
      <c r="V36" s="5">
        <v>30</v>
      </c>
      <c r="W36" s="5">
        <v>26.2</v>
      </c>
      <c r="X36" s="913">
        <v>13</v>
      </c>
      <c r="Y36" s="913">
        <v>16.600000000000001</v>
      </c>
      <c r="Z36" s="913">
        <v>31.9</v>
      </c>
      <c r="AA36" s="5">
        <v>45.4</v>
      </c>
      <c r="AB36" s="5">
        <v>36.9</v>
      </c>
      <c r="AC36" s="826">
        <v>0</v>
      </c>
      <c r="AD36" s="914">
        <v>0</v>
      </c>
      <c r="AE36" s="914">
        <v>0</v>
      </c>
      <c r="AF36" s="915">
        <v>0</v>
      </c>
      <c r="AG36" s="913">
        <v>0</v>
      </c>
      <c r="AH36" s="916"/>
      <c r="AI36" s="6" t="s">
        <v>233</v>
      </c>
      <c r="AJ36" s="820" t="s">
        <v>403</v>
      </c>
      <c r="AK36" s="820" t="s">
        <v>1640</v>
      </c>
      <c r="AL36" s="33"/>
      <c r="AM36" s="33"/>
      <c r="AN36" s="33"/>
      <c r="AO36" s="33"/>
      <c r="AP36" s="33"/>
      <c r="AQ36" s="842"/>
      <c r="AR36" s="820" t="s">
        <v>251</v>
      </c>
      <c r="AS36" s="829" t="s">
        <v>1694</v>
      </c>
      <c r="AT36" s="829" t="s">
        <v>238</v>
      </c>
      <c r="AU36" s="829" t="s">
        <v>238</v>
      </c>
      <c r="AV36" s="828" t="s">
        <v>277</v>
      </c>
    </row>
    <row r="37" spans="1:48" ht="12.75" customHeight="1">
      <c r="A37" s="911" t="s">
        <v>387</v>
      </c>
      <c r="B37" s="820" t="s">
        <v>1695</v>
      </c>
      <c r="C37" s="5">
        <v>0</v>
      </c>
      <c r="D37" s="5">
        <v>0</v>
      </c>
      <c r="E37" s="5">
        <v>0</v>
      </c>
      <c r="F37" s="5">
        <v>0</v>
      </c>
      <c r="G37" s="5">
        <v>0</v>
      </c>
      <c r="H37" s="5">
        <v>0</v>
      </c>
      <c r="I37" s="5">
        <v>0</v>
      </c>
      <c r="J37" s="5">
        <v>0</v>
      </c>
      <c r="K37" s="5">
        <v>0</v>
      </c>
      <c r="L37" s="5">
        <v>0</v>
      </c>
      <c r="M37" s="5">
        <v>0</v>
      </c>
      <c r="N37" s="5">
        <v>0</v>
      </c>
      <c r="O37" s="5">
        <v>0</v>
      </c>
      <c r="P37" s="5">
        <v>0</v>
      </c>
      <c r="Q37" s="5">
        <v>0</v>
      </c>
      <c r="R37" s="5">
        <v>0</v>
      </c>
      <c r="S37" s="5">
        <v>0</v>
      </c>
      <c r="T37" s="5">
        <v>0</v>
      </c>
      <c r="U37" s="5">
        <v>0</v>
      </c>
      <c r="V37" s="5">
        <v>1.17</v>
      </c>
      <c r="W37" s="5">
        <v>1.3</v>
      </c>
      <c r="X37" s="913">
        <v>0</v>
      </c>
      <c r="Y37" s="913">
        <v>0</v>
      </c>
      <c r="Z37" s="913">
        <v>0</v>
      </c>
      <c r="AA37" s="5">
        <v>0</v>
      </c>
      <c r="AB37" s="5">
        <v>0</v>
      </c>
      <c r="AC37" s="826">
        <v>0</v>
      </c>
      <c r="AD37" s="914">
        <v>0</v>
      </c>
      <c r="AE37" s="914">
        <v>0</v>
      </c>
      <c r="AF37" s="915">
        <v>0</v>
      </c>
      <c r="AG37" s="913"/>
      <c r="AH37" s="916"/>
      <c r="AI37" s="6" t="s">
        <v>273</v>
      </c>
      <c r="AJ37" s="820" t="s">
        <v>393</v>
      </c>
      <c r="AK37" s="820" t="s">
        <v>1663</v>
      </c>
      <c r="AL37" s="33"/>
      <c r="AM37" s="33"/>
      <c r="AN37" s="33"/>
      <c r="AO37" s="33"/>
      <c r="AP37" s="33"/>
      <c r="AQ37" s="842"/>
      <c r="AR37" s="820" t="s">
        <v>236</v>
      </c>
      <c r="AS37" s="829" t="s">
        <v>1696</v>
      </c>
      <c r="AT37" s="829" t="s">
        <v>1697</v>
      </c>
      <c r="AU37" s="829" t="s">
        <v>238</v>
      </c>
      <c r="AV37" s="919" t="s">
        <v>238</v>
      </c>
    </row>
    <row r="38" spans="1:48" ht="12.75" customHeight="1">
      <c r="A38" s="911" t="s">
        <v>387</v>
      </c>
      <c r="B38" s="820" t="s">
        <v>1698</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826">
        <v>0</v>
      </c>
      <c r="AD38" s="914">
        <v>0</v>
      </c>
      <c r="AE38" s="914">
        <v>10</v>
      </c>
      <c r="AF38" s="915">
        <v>10</v>
      </c>
      <c r="AG38" s="913">
        <v>9</v>
      </c>
      <c r="AH38" s="916">
        <v>1</v>
      </c>
      <c r="AI38" s="6" t="s">
        <v>233</v>
      </c>
      <c r="AJ38" s="820" t="s">
        <v>409</v>
      </c>
      <c r="AK38" s="820" t="s">
        <v>1640</v>
      </c>
      <c r="AL38" s="33">
        <v>1</v>
      </c>
      <c r="AM38" s="33"/>
      <c r="AN38" s="33"/>
      <c r="AO38" s="33"/>
      <c r="AP38" s="33"/>
      <c r="AQ38" s="842"/>
      <c r="AR38" s="820" t="s">
        <v>236</v>
      </c>
      <c r="AS38" s="840" t="s">
        <v>1699</v>
      </c>
      <c r="AT38" s="362"/>
      <c r="AU38" s="829"/>
      <c r="AV38" s="919"/>
    </row>
    <row r="39" spans="1:48" ht="12.75" customHeight="1">
      <c r="A39" s="911" t="s">
        <v>387</v>
      </c>
      <c r="B39" s="820" t="s">
        <v>1700</v>
      </c>
      <c r="C39" s="5">
        <v>0</v>
      </c>
      <c r="D39" s="5">
        <v>0</v>
      </c>
      <c r="E39" s="5">
        <v>0</v>
      </c>
      <c r="F39" s="5">
        <v>0</v>
      </c>
      <c r="G39" s="5">
        <v>0</v>
      </c>
      <c r="H39" s="5">
        <v>0</v>
      </c>
      <c r="I39" s="5">
        <v>0</v>
      </c>
      <c r="J39" s="5">
        <v>0</v>
      </c>
      <c r="K39" s="5">
        <v>0</v>
      </c>
      <c r="L39" s="5">
        <v>0</v>
      </c>
      <c r="M39" s="5">
        <v>0</v>
      </c>
      <c r="N39" s="5">
        <v>0</v>
      </c>
      <c r="O39" s="5">
        <v>0</v>
      </c>
      <c r="P39" s="5">
        <v>0</v>
      </c>
      <c r="Q39" s="5">
        <v>0</v>
      </c>
      <c r="R39" s="5">
        <v>0</v>
      </c>
      <c r="S39" s="5">
        <v>0</v>
      </c>
      <c r="T39" s="5">
        <v>0</v>
      </c>
      <c r="U39" s="5">
        <v>0</v>
      </c>
      <c r="V39" s="5">
        <v>0</v>
      </c>
      <c r="W39" s="5">
        <v>0</v>
      </c>
      <c r="X39" s="913">
        <v>0</v>
      </c>
      <c r="Y39" s="913">
        <v>0</v>
      </c>
      <c r="Z39" s="913">
        <v>0</v>
      </c>
      <c r="AA39" s="5">
        <v>0</v>
      </c>
      <c r="AB39" s="5">
        <v>0</v>
      </c>
      <c r="AC39" s="826">
        <v>0</v>
      </c>
      <c r="AD39" s="914">
        <v>0</v>
      </c>
      <c r="AE39" s="914">
        <v>0</v>
      </c>
      <c r="AF39" s="915">
        <v>0</v>
      </c>
      <c r="AG39" s="913"/>
      <c r="AH39" s="916"/>
      <c r="AI39" s="6" t="s">
        <v>273</v>
      </c>
      <c r="AJ39" s="820" t="s">
        <v>409</v>
      </c>
      <c r="AK39" s="820" t="s">
        <v>1663</v>
      </c>
      <c r="AL39" s="33"/>
      <c r="AM39" s="33"/>
      <c r="AN39" s="33"/>
      <c r="AO39" s="33"/>
      <c r="AP39" s="33"/>
      <c r="AQ39" s="842"/>
      <c r="AR39" s="820" t="s">
        <v>236</v>
      </c>
      <c r="AS39" s="829" t="s">
        <v>1701</v>
      </c>
      <c r="AT39" s="829" t="s">
        <v>1702</v>
      </c>
      <c r="AU39" s="829"/>
      <c r="AV39" s="919"/>
    </row>
    <row r="40" spans="1:48" ht="12.75" customHeight="1">
      <c r="A40" s="911" t="s">
        <v>387</v>
      </c>
      <c r="B40" s="820" t="s">
        <v>1703</v>
      </c>
      <c r="C40" s="5">
        <v>0</v>
      </c>
      <c r="D40" s="5">
        <v>0</v>
      </c>
      <c r="E40" s="5">
        <v>0</v>
      </c>
      <c r="F40" s="5">
        <v>0</v>
      </c>
      <c r="G40" s="5">
        <v>0</v>
      </c>
      <c r="H40" s="5">
        <v>0</v>
      </c>
      <c r="I40" s="5">
        <v>0</v>
      </c>
      <c r="J40" s="5">
        <v>0</v>
      </c>
      <c r="K40" s="5">
        <v>0</v>
      </c>
      <c r="L40" s="5">
        <v>0</v>
      </c>
      <c r="M40" s="5">
        <v>0</v>
      </c>
      <c r="N40" s="5">
        <v>0</v>
      </c>
      <c r="O40" s="5">
        <v>0</v>
      </c>
      <c r="P40" s="5">
        <v>0</v>
      </c>
      <c r="Q40" s="5">
        <v>0</v>
      </c>
      <c r="R40" s="5">
        <v>0</v>
      </c>
      <c r="S40" s="5">
        <v>0</v>
      </c>
      <c r="T40" s="5">
        <v>0</v>
      </c>
      <c r="U40" s="5">
        <v>0</v>
      </c>
      <c r="V40" s="5">
        <v>0</v>
      </c>
      <c r="W40" s="5">
        <v>0</v>
      </c>
      <c r="X40" s="5">
        <v>0</v>
      </c>
      <c r="Y40" s="5">
        <v>0</v>
      </c>
      <c r="Z40" s="5">
        <v>0</v>
      </c>
      <c r="AA40" s="5">
        <v>0</v>
      </c>
      <c r="AB40" s="5">
        <v>0</v>
      </c>
      <c r="AC40" s="826">
        <v>0</v>
      </c>
      <c r="AD40" s="914">
        <v>3.55</v>
      </c>
      <c r="AE40" s="914">
        <v>10.5</v>
      </c>
      <c r="AF40" s="915">
        <v>5.25</v>
      </c>
      <c r="AG40" s="913">
        <v>0</v>
      </c>
      <c r="AH40" s="916">
        <v>0</v>
      </c>
      <c r="AI40" s="6" t="s">
        <v>273</v>
      </c>
      <c r="AJ40" s="820" t="s">
        <v>406</v>
      </c>
      <c r="AK40" s="921" t="s">
        <v>1663</v>
      </c>
      <c r="AL40" s="33"/>
      <c r="AM40" s="33"/>
      <c r="AN40" s="33"/>
      <c r="AO40" s="33">
        <v>1</v>
      </c>
      <c r="AP40" s="33"/>
      <c r="AQ40" s="842"/>
      <c r="AR40" s="820" t="s">
        <v>236</v>
      </c>
      <c r="AS40" s="362" t="s">
        <v>1704</v>
      </c>
      <c r="AT40" s="362"/>
      <c r="AU40" s="829"/>
      <c r="AV40" s="919"/>
    </row>
    <row r="41" spans="1:48" ht="12.75" customHeight="1">
      <c r="A41" s="911" t="s">
        <v>387</v>
      </c>
      <c r="B41" s="820" t="s">
        <v>1705</v>
      </c>
      <c r="C41" s="5">
        <v>0</v>
      </c>
      <c r="D41" s="5">
        <v>0</v>
      </c>
      <c r="E41" s="5">
        <v>0</v>
      </c>
      <c r="F41" s="5">
        <v>0</v>
      </c>
      <c r="G41" s="5">
        <v>0</v>
      </c>
      <c r="H41" s="5">
        <v>0</v>
      </c>
      <c r="I41" s="5">
        <v>0</v>
      </c>
      <c r="J41" s="5">
        <v>0</v>
      </c>
      <c r="K41" s="5">
        <v>0</v>
      </c>
      <c r="L41" s="5">
        <v>0</v>
      </c>
      <c r="M41" s="5">
        <v>0</v>
      </c>
      <c r="N41" s="5">
        <v>0</v>
      </c>
      <c r="O41" s="5">
        <v>0</v>
      </c>
      <c r="P41" s="5">
        <v>0</v>
      </c>
      <c r="Q41" s="5">
        <v>0</v>
      </c>
      <c r="R41" s="5">
        <v>0</v>
      </c>
      <c r="S41" s="5">
        <v>0</v>
      </c>
      <c r="T41" s="5">
        <v>0</v>
      </c>
      <c r="U41" s="5">
        <v>0</v>
      </c>
      <c r="V41" s="5">
        <v>0</v>
      </c>
      <c r="W41" s="5">
        <v>0</v>
      </c>
      <c r="X41" s="913">
        <v>0</v>
      </c>
      <c r="Y41" s="913">
        <v>0</v>
      </c>
      <c r="Z41" s="913">
        <v>0</v>
      </c>
      <c r="AA41" s="5">
        <v>9.9700000000000006</v>
      </c>
      <c r="AB41" s="5">
        <v>10.247</v>
      </c>
      <c r="AC41" s="826">
        <v>8.5289999999999999</v>
      </c>
      <c r="AD41" s="914">
        <v>11.337999999999999</v>
      </c>
      <c r="AE41" s="914">
        <v>5.6340000000000003</v>
      </c>
      <c r="AF41" s="915">
        <v>4.38</v>
      </c>
      <c r="AG41" s="913">
        <v>4.26</v>
      </c>
      <c r="AH41" s="916">
        <v>4.26</v>
      </c>
      <c r="AI41" s="6" t="s">
        <v>273</v>
      </c>
      <c r="AJ41" s="820" t="s">
        <v>406</v>
      </c>
      <c r="AK41" s="820" t="s">
        <v>1663</v>
      </c>
      <c r="AL41" s="33"/>
      <c r="AM41" s="33">
        <v>1</v>
      </c>
      <c r="AN41" s="33"/>
      <c r="AO41" s="33">
        <v>1</v>
      </c>
      <c r="AP41" s="33">
        <v>1</v>
      </c>
      <c r="AQ41" s="842"/>
      <c r="AR41" s="820" t="s">
        <v>236</v>
      </c>
      <c r="AS41" s="829" t="s">
        <v>1706</v>
      </c>
      <c r="AT41" s="829"/>
      <c r="AU41" s="829"/>
      <c r="AV41" s="919"/>
    </row>
    <row r="42" spans="1:48" ht="12.75" customHeight="1">
      <c r="A42" s="911" t="s">
        <v>387</v>
      </c>
      <c r="B42" s="820" t="s">
        <v>1707</v>
      </c>
      <c r="C42" s="5">
        <v>0</v>
      </c>
      <c r="D42" s="5">
        <v>0</v>
      </c>
      <c r="E42" s="5">
        <v>0</v>
      </c>
      <c r="F42" s="5">
        <v>0</v>
      </c>
      <c r="G42" s="5">
        <v>0</v>
      </c>
      <c r="H42" s="5">
        <v>0</v>
      </c>
      <c r="I42" s="5">
        <v>0</v>
      </c>
      <c r="J42" s="5">
        <v>0</v>
      </c>
      <c r="K42" s="5">
        <v>0</v>
      </c>
      <c r="L42" s="5">
        <v>0</v>
      </c>
      <c r="M42" s="5">
        <v>0</v>
      </c>
      <c r="N42" s="5">
        <v>0</v>
      </c>
      <c r="O42" s="5">
        <v>0</v>
      </c>
      <c r="P42" s="5">
        <v>0</v>
      </c>
      <c r="Q42" s="5">
        <v>0</v>
      </c>
      <c r="R42" s="5">
        <v>0</v>
      </c>
      <c r="S42" s="5">
        <v>0</v>
      </c>
      <c r="T42" s="5">
        <v>0</v>
      </c>
      <c r="U42" s="5">
        <v>0</v>
      </c>
      <c r="V42" s="5">
        <v>0</v>
      </c>
      <c r="W42" s="5">
        <v>0</v>
      </c>
      <c r="X42" s="5">
        <v>0</v>
      </c>
      <c r="Y42" s="913">
        <v>2</v>
      </c>
      <c r="Z42" s="913">
        <v>5</v>
      </c>
      <c r="AA42" s="826">
        <v>5</v>
      </c>
      <c r="AB42" s="826">
        <v>5</v>
      </c>
      <c r="AC42" s="913">
        <v>1</v>
      </c>
      <c r="AD42" s="914">
        <v>2</v>
      </c>
      <c r="AE42" s="926">
        <v>0</v>
      </c>
      <c r="AF42" s="915">
        <v>0</v>
      </c>
      <c r="AG42" s="913">
        <v>0</v>
      </c>
      <c r="AH42" s="916"/>
      <c r="AI42" s="6" t="s">
        <v>273</v>
      </c>
      <c r="AJ42" s="820" t="s">
        <v>406</v>
      </c>
      <c r="AK42" s="820" t="s">
        <v>1663</v>
      </c>
      <c r="AL42" s="33"/>
      <c r="AM42" s="33"/>
      <c r="AN42" s="33"/>
      <c r="AO42" s="33"/>
      <c r="AP42" s="33"/>
      <c r="AQ42" s="842"/>
      <c r="AR42" s="820" t="s">
        <v>251</v>
      </c>
      <c r="AS42" s="14" t="s">
        <v>1708</v>
      </c>
      <c r="AT42" s="829" t="s">
        <v>1709</v>
      </c>
      <c r="AU42" s="829"/>
      <c r="AV42" s="919"/>
    </row>
    <row r="43" spans="1:48" ht="12.75" customHeight="1">
      <c r="A43" s="911" t="s">
        <v>387</v>
      </c>
      <c r="B43" s="922" t="s">
        <v>1710</v>
      </c>
      <c r="C43" s="923">
        <v>0</v>
      </c>
      <c r="D43" s="923">
        <v>0</v>
      </c>
      <c r="E43" s="923">
        <v>0</v>
      </c>
      <c r="F43" s="923">
        <v>0</v>
      </c>
      <c r="G43" s="923">
        <v>0</v>
      </c>
      <c r="H43" s="923">
        <v>0</v>
      </c>
      <c r="I43" s="923">
        <v>0</v>
      </c>
      <c r="J43" s="923">
        <v>0</v>
      </c>
      <c r="K43" s="923">
        <v>0</v>
      </c>
      <c r="L43" s="923">
        <v>0</v>
      </c>
      <c r="M43" s="923">
        <v>0</v>
      </c>
      <c r="N43" s="923">
        <v>0</v>
      </c>
      <c r="O43" s="923">
        <v>0</v>
      </c>
      <c r="P43" s="923">
        <v>3.3</v>
      </c>
      <c r="Q43" s="923">
        <v>3.9</v>
      </c>
      <c r="R43" s="923">
        <v>4.4000000000000004</v>
      </c>
      <c r="S43" s="923">
        <v>4.0999999999999996</v>
      </c>
      <c r="T43" s="923">
        <v>3.4</v>
      </c>
      <c r="U43" s="923">
        <v>2.8</v>
      </c>
      <c r="V43" s="923">
        <v>2.8</v>
      </c>
      <c r="W43" s="923">
        <v>2.4</v>
      </c>
      <c r="X43" s="913">
        <v>0</v>
      </c>
      <c r="Y43" s="913">
        <v>0</v>
      </c>
      <c r="Z43" s="913">
        <v>0</v>
      </c>
      <c r="AA43" s="5">
        <v>0</v>
      </c>
      <c r="AB43" s="5">
        <v>0</v>
      </c>
      <c r="AC43" s="826">
        <v>0</v>
      </c>
      <c r="AD43" s="914">
        <v>0</v>
      </c>
      <c r="AE43" s="914">
        <v>0</v>
      </c>
      <c r="AF43" s="915">
        <v>0</v>
      </c>
      <c r="AG43" s="913"/>
      <c r="AH43" s="916"/>
      <c r="AI43" s="927" t="s">
        <v>273</v>
      </c>
      <c r="AJ43" s="922" t="s">
        <v>406</v>
      </c>
      <c r="AK43" s="922" t="s">
        <v>1663</v>
      </c>
      <c r="AL43" s="809"/>
      <c r="AM43" s="809"/>
      <c r="AN43" s="809"/>
      <c r="AO43" s="809"/>
      <c r="AP43" s="809"/>
      <c r="AQ43" s="842"/>
      <c r="AR43" s="922" t="s">
        <v>236</v>
      </c>
      <c r="AS43" s="928" t="s">
        <v>1711</v>
      </c>
      <c r="AT43" s="928" t="s">
        <v>1712</v>
      </c>
      <c r="AU43" s="928" t="s">
        <v>238</v>
      </c>
      <c r="AV43" s="920" t="s">
        <v>238</v>
      </c>
    </row>
    <row r="44" spans="1:48" ht="12.75" customHeight="1">
      <c r="A44" s="911" t="s">
        <v>387</v>
      </c>
      <c r="B44" s="820" t="s">
        <v>1713</v>
      </c>
      <c r="C44" s="5">
        <v>0</v>
      </c>
      <c r="D44" s="5">
        <v>0</v>
      </c>
      <c r="E44" s="5">
        <v>0</v>
      </c>
      <c r="F44" s="5">
        <v>0</v>
      </c>
      <c r="G44" s="5">
        <v>0</v>
      </c>
      <c r="H44" s="5">
        <v>0</v>
      </c>
      <c r="I44" s="5">
        <v>0</v>
      </c>
      <c r="J44" s="5">
        <v>0</v>
      </c>
      <c r="K44" s="5">
        <v>0</v>
      </c>
      <c r="L44" s="5">
        <v>0</v>
      </c>
      <c r="M44" s="5">
        <v>0</v>
      </c>
      <c r="N44" s="5">
        <v>0</v>
      </c>
      <c r="O44" s="913">
        <v>0</v>
      </c>
      <c r="P44" s="913">
        <v>0</v>
      </c>
      <c r="Q44" s="913">
        <v>0</v>
      </c>
      <c r="R44" s="913">
        <v>0</v>
      </c>
      <c r="S44" s="913">
        <v>0</v>
      </c>
      <c r="T44" s="913">
        <v>0</v>
      </c>
      <c r="U44" s="913">
        <v>0</v>
      </c>
      <c r="V44" s="913">
        <v>0</v>
      </c>
      <c r="W44" s="913">
        <v>0</v>
      </c>
      <c r="X44" s="913">
        <v>0</v>
      </c>
      <c r="Y44" s="913">
        <v>0</v>
      </c>
      <c r="Z44" s="913">
        <v>0</v>
      </c>
      <c r="AA44" s="5">
        <v>1.0449999999999999</v>
      </c>
      <c r="AB44" s="5">
        <v>7.48</v>
      </c>
      <c r="AC44" s="826">
        <v>17.923999999999999</v>
      </c>
      <c r="AD44" s="914">
        <v>11.772</v>
      </c>
      <c r="AE44" s="914">
        <v>1.6739999999999999</v>
      </c>
      <c r="AF44" s="915">
        <v>0</v>
      </c>
      <c r="AG44" s="913">
        <v>0</v>
      </c>
      <c r="AH44" s="916"/>
      <c r="AI44" s="6" t="s">
        <v>240</v>
      </c>
      <c r="AJ44" s="820" t="s">
        <v>234</v>
      </c>
      <c r="AK44" s="820" t="s">
        <v>1691</v>
      </c>
      <c r="AL44" s="33">
        <v>1</v>
      </c>
      <c r="AM44" s="33"/>
      <c r="AN44" s="33"/>
      <c r="AO44" s="33">
        <v>1</v>
      </c>
      <c r="AP44" s="33"/>
      <c r="AQ44" s="842"/>
      <c r="AR44" s="820" t="s">
        <v>236</v>
      </c>
      <c r="AS44" s="843" t="s">
        <v>1714</v>
      </c>
      <c r="AT44" s="929" t="s">
        <v>1715</v>
      </c>
      <c r="AU44" s="843"/>
      <c r="AV44" s="920"/>
    </row>
    <row r="45" spans="1:48" ht="12.75" customHeight="1">
      <c r="A45" s="911" t="s">
        <v>387</v>
      </c>
      <c r="B45" s="820" t="s">
        <v>1716</v>
      </c>
      <c r="C45" s="5">
        <v>0</v>
      </c>
      <c r="D45" s="5">
        <v>0</v>
      </c>
      <c r="E45" s="5">
        <v>0</v>
      </c>
      <c r="F45" s="5">
        <v>0</v>
      </c>
      <c r="G45" s="5">
        <v>0</v>
      </c>
      <c r="H45" s="5">
        <v>0</v>
      </c>
      <c r="I45" s="5">
        <v>0</v>
      </c>
      <c r="J45" s="5">
        <v>0</v>
      </c>
      <c r="K45" s="5">
        <v>0</v>
      </c>
      <c r="L45" s="5">
        <v>0</v>
      </c>
      <c r="M45" s="5">
        <v>0</v>
      </c>
      <c r="N45" s="5">
        <v>0</v>
      </c>
      <c r="O45" s="5">
        <v>0</v>
      </c>
      <c r="P45" s="5">
        <v>0</v>
      </c>
      <c r="Q45" s="5">
        <v>0</v>
      </c>
      <c r="R45" s="5">
        <v>0</v>
      </c>
      <c r="S45" s="5">
        <v>0</v>
      </c>
      <c r="T45" s="5">
        <v>0</v>
      </c>
      <c r="U45" s="5">
        <v>0</v>
      </c>
      <c r="V45" s="5">
        <v>0</v>
      </c>
      <c r="W45" s="5">
        <v>0</v>
      </c>
      <c r="X45" s="913">
        <v>0</v>
      </c>
      <c r="Y45" s="913">
        <v>0</v>
      </c>
      <c r="Z45" s="913">
        <v>0</v>
      </c>
      <c r="AA45" s="5">
        <v>2.25</v>
      </c>
      <c r="AB45" s="5">
        <v>1</v>
      </c>
      <c r="AC45" s="826">
        <v>2.5</v>
      </c>
      <c r="AD45" s="914">
        <v>2.5</v>
      </c>
      <c r="AE45" s="914">
        <v>2.5</v>
      </c>
      <c r="AF45" s="915">
        <v>2.5</v>
      </c>
      <c r="AG45" s="913">
        <v>0</v>
      </c>
      <c r="AH45" s="916"/>
      <c r="AI45" s="6" t="s">
        <v>273</v>
      </c>
      <c r="AJ45" s="820" t="s">
        <v>406</v>
      </c>
      <c r="AK45" s="820" t="s">
        <v>1663</v>
      </c>
      <c r="AL45" s="33"/>
      <c r="AM45" s="33"/>
      <c r="AN45" s="33"/>
      <c r="AO45" s="33">
        <v>1</v>
      </c>
      <c r="AP45" s="33"/>
      <c r="AQ45" s="842"/>
      <c r="AR45" s="820" t="s">
        <v>236</v>
      </c>
      <c r="AS45" s="829" t="s">
        <v>1717</v>
      </c>
      <c r="AT45" s="829" t="s">
        <v>238</v>
      </c>
      <c r="AU45" s="829" t="s">
        <v>238</v>
      </c>
      <c r="AV45" s="919" t="s">
        <v>238</v>
      </c>
    </row>
    <row r="46" spans="1:48" ht="12.75" customHeight="1">
      <c r="A46" s="911" t="s">
        <v>387</v>
      </c>
      <c r="B46" s="820" t="s">
        <v>515</v>
      </c>
      <c r="C46" s="5">
        <v>0</v>
      </c>
      <c r="D46" s="5">
        <v>0</v>
      </c>
      <c r="E46" s="5">
        <v>0</v>
      </c>
      <c r="F46" s="5">
        <v>0</v>
      </c>
      <c r="G46" s="5">
        <v>0</v>
      </c>
      <c r="H46" s="5">
        <v>0</v>
      </c>
      <c r="I46" s="5">
        <v>0</v>
      </c>
      <c r="J46" s="5">
        <v>0</v>
      </c>
      <c r="K46" s="5">
        <v>0</v>
      </c>
      <c r="L46" s="5">
        <v>0</v>
      </c>
      <c r="M46" s="5">
        <v>0</v>
      </c>
      <c r="N46" s="5">
        <v>0</v>
      </c>
      <c r="O46" s="5">
        <v>0</v>
      </c>
      <c r="P46" s="5">
        <v>0</v>
      </c>
      <c r="Q46" s="5">
        <v>0</v>
      </c>
      <c r="R46" s="5">
        <v>0</v>
      </c>
      <c r="S46" s="5">
        <v>0</v>
      </c>
      <c r="T46" s="5">
        <v>0</v>
      </c>
      <c r="U46" s="5">
        <v>0</v>
      </c>
      <c r="V46" s="5">
        <v>0</v>
      </c>
      <c r="W46" s="5">
        <v>0</v>
      </c>
      <c r="X46" s="5">
        <v>0</v>
      </c>
      <c r="Y46" s="5">
        <v>0</v>
      </c>
      <c r="Z46" s="5">
        <v>0</v>
      </c>
      <c r="AA46" s="5">
        <v>0</v>
      </c>
      <c r="AB46" s="5">
        <v>3.5</v>
      </c>
      <c r="AC46" s="826">
        <v>4.5839999999999996</v>
      </c>
      <c r="AD46" s="914">
        <v>3.032</v>
      </c>
      <c r="AE46" s="914">
        <v>1.2050000000000001</v>
      </c>
      <c r="AF46" s="915"/>
      <c r="AG46" s="913"/>
      <c r="AH46" s="916"/>
      <c r="AI46" s="6" t="s">
        <v>240</v>
      </c>
      <c r="AJ46" s="820" t="s">
        <v>406</v>
      </c>
      <c r="AK46" s="922" t="s">
        <v>1663</v>
      </c>
      <c r="AL46" s="33"/>
      <c r="AM46" s="33"/>
      <c r="AN46" s="33"/>
      <c r="AO46" s="33">
        <v>1</v>
      </c>
      <c r="AP46" s="33"/>
      <c r="AQ46" s="842"/>
      <c r="AR46" s="820" t="s">
        <v>236</v>
      </c>
      <c r="AS46" s="812" t="s">
        <v>516</v>
      </c>
      <c r="AT46" s="362"/>
      <c r="AU46" s="362"/>
      <c r="AV46" s="920"/>
    </row>
    <row r="47" spans="1:48" ht="12.75" customHeight="1">
      <c r="A47" s="911" t="s">
        <v>387</v>
      </c>
      <c r="B47" s="820" t="s">
        <v>1718</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826">
        <v>112.9</v>
      </c>
      <c r="AD47" s="914">
        <v>64</v>
      </c>
      <c r="AE47" s="914">
        <v>64</v>
      </c>
      <c r="AF47" s="915">
        <v>64</v>
      </c>
      <c r="AG47" s="913">
        <v>58</v>
      </c>
      <c r="AH47" s="916"/>
      <c r="AI47" s="6" t="s">
        <v>273</v>
      </c>
      <c r="AJ47" s="820" t="s">
        <v>403</v>
      </c>
      <c r="AK47" s="820" t="s">
        <v>1691</v>
      </c>
      <c r="AL47" s="33">
        <v>1</v>
      </c>
      <c r="AM47" s="33"/>
      <c r="AN47" s="33"/>
      <c r="AO47" s="33"/>
      <c r="AP47" s="33"/>
      <c r="AQ47" s="842"/>
      <c r="AR47" s="820" t="s">
        <v>251</v>
      </c>
      <c r="AS47" s="14" t="s">
        <v>1719</v>
      </c>
      <c r="AT47" s="362"/>
      <c r="AU47" s="829"/>
      <c r="AV47" s="919"/>
    </row>
    <row r="48" spans="1:48" ht="12.75" customHeight="1">
      <c r="A48" s="911" t="s">
        <v>387</v>
      </c>
      <c r="B48" s="820" t="s">
        <v>1720</v>
      </c>
      <c r="C48" s="5">
        <v>0</v>
      </c>
      <c r="D48" s="5">
        <v>0</v>
      </c>
      <c r="E48" s="5">
        <v>0</v>
      </c>
      <c r="F48" s="5">
        <v>0</v>
      </c>
      <c r="G48" s="5">
        <v>0</v>
      </c>
      <c r="H48" s="5">
        <v>0</v>
      </c>
      <c r="I48" s="5">
        <v>0</v>
      </c>
      <c r="J48" s="5">
        <v>0</v>
      </c>
      <c r="K48" s="5">
        <v>0</v>
      </c>
      <c r="L48" s="5">
        <v>0</v>
      </c>
      <c r="M48" s="5">
        <v>0</v>
      </c>
      <c r="N48" s="5">
        <v>0</v>
      </c>
      <c r="O48" s="5">
        <v>0</v>
      </c>
      <c r="P48" s="5">
        <v>0</v>
      </c>
      <c r="Q48" s="5">
        <v>0</v>
      </c>
      <c r="R48" s="5">
        <v>0</v>
      </c>
      <c r="S48" s="5">
        <v>0</v>
      </c>
      <c r="T48" s="5">
        <v>0</v>
      </c>
      <c r="U48" s="5">
        <v>0</v>
      </c>
      <c r="V48" s="5">
        <v>0</v>
      </c>
      <c r="W48" s="5">
        <v>0</v>
      </c>
      <c r="X48" s="5">
        <v>0</v>
      </c>
      <c r="Y48" s="5">
        <v>0</v>
      </c>
      <c r="Z48" s="5">
        <v>4.5</v>
      </c>
      <c r="AA48" s="5">
        <v>17.72</v>
      </c>
      <c r="AB48" s="5">
        <v>31.158000000000001</v>
      </c>
      <c r="AC48" s="826">
        <v>17.347000000000001</v>
      </c>
      <c r="AD48" s="914">
        <v>91.781000000000006</v>
      </c>
      <c r="AE48" s="914">
        <v>55.41</v>
      </c>
      <c r="AF48" s="915">
        <v>11.244</v>
      </c>
      <c r="AG48" s="913"/>
      <c r="AH48" s="916"/>
      <c r="AI48" s="6" t="s">
        <v>233</v>
      </c>
      <c r="AJ48" s="922" t="s">
        <v>406</v>
      </c>
      <c r="AK48" s="820" t="s">
        <v>1640</v>
      </c>
      <c r="AL48" s="33"/>
      <c r="AM48" s="33"/>
      <c r="AN48" s="33"/>
      <c r="AO48" s="33">
        <v>1</v>
      </c>
      <c r="AP48" s="33"/>
      <c r="AQ48" s="842"/>
      <c r="AR48" s="820" t="s">
        <v>251</v>
      </c>
      <c r="AS48" s="829" t="s">
        <v>1721</v>
      </c>
      <c r="AT48" s="362"/>
      <c r="AU48" s="362"/>
      <c r="AV48" s="920"/>
    </row>
    <row r="49" spans="1:48" ht="12.75" customHeight="1">
      <c r="A49" s="911" t="s">
        <v>387</v>
      </c>
      <c r="B49" s="820" t="s">
        <v>1722</v>
      </c>
      <c r="C49" s="5">
        <v>0</v>
      </c>
      <c r="D49" s="5">
        <v>0</v>
      </c>
      <c r="E49" s="5">
        <v>0</v>
      </c>
      <c r="F49" s="5">
        <v>0</v>
      </c>
      <c r="G49" s="5">
        <v>0</v>
      </c>
      <c r="H49" s="5">
        <v>0</v>
      </c>
      <c r="I49" s="5">
        <v>0</v>
      </c>
      <c r="J49" s="5">
        <v>0</v>
      </c>
      <c r="K49" s="5">
        <v>0</v>
      </c>
      <c r="L49" s="5">
        <v>0</v>
      </c>
      <c r="M49" s="5">
        <v>0</v>
      </c>
      <c r="N49" s="5">
        <v>0</v>
      </c>
      <c r="O49" s="5">
        <v>0</v>
      </c>
      <c r="P49" s="5">
        <v>0</v>
      </c>
      <c r="Q49" s="5">
        <v>0</v>
      </c>
      <c r="R49" s="5">
        <v>0</v>
      </c>
      <c r="S49" s="5">
        <v>0</v>
      </c>
      <c r="T49" s="5">
        <v>0</v>
      </c>
      <c r="U49" s="5">
        <v>0</v>
      </c>
      <c r="V49" s="913">
        <v>0</v>
      </c>
      <c r="W49" s="913">
        <v>0</v>
      </c>
      <c r="X49" s="913">
        <v>0</v>
      </c>
      <c r="Y49" s="913">
        <v>0</v>
      </c>
      <c r="Z49" s="913">
        <v>0</v>
      </c>
      <c r="AA49" s="5">
        <v>6.5179999999999998</v>
      </c>
      <c r="AB49" s="5">
        <v>0.96499999999999997</v>
      </c>
      <c r="AC49" s="826">
        <v>0</v>
      </c>
      <c r="AD49" s="914">
        <v>0</v>
      </c>
      <c r="AE49" s="914">
        <v>0</v>
      </c>
      <c r="AF49" s="915">
        <v>0</v>
      </c>
      <c r="AG49" s="913">
        <v>0</v>
      </c>
      <c r="AH49" s="916">
        <v>0</v>
      </c>
      <c r="AI49" s="6" t="s">
        <v>273</v>
      </c>
      <c r="AJ49" s="820" t="s">
        <v>406</v>
      </c>
      <c r="AK49" s="820" t="s">
        <v>1663</v>
      </c>
      <c r="AL49" s="33"/>
      <c r="AM49" s="33"/>
      <c r="AN49" s="33"/>
      <c r="AO49" s="33"/>
      <c r="AP49" s="33"/>
      <c r="AQ49" s="842"/>
      <c r="AR49" s="820" t="s">
        <v>236</v>
      </c>
      <c r="AS49" s="829" t="s">
        <v>1723</v>
      </c>
      <c r="AT49" s="829" t="s">
        <v>238</v>
      </c>
      <c r="AU49" s="829" t="s">
        <v>238</v>
      </c>
      <c r="AV49" s="919" t="s">
        <v>238</v>
      </c>
    </row>
    <row r="50" spans="1:48" ht="12.75" customHeight="1">
      <c r="A50" s="911" t="s">
        <v>387</v>
      </c>
      <c r="B50" s="820" t="s">
        <v>1724</v>
      </c>
      <c r="C50" s="5">
        <v>0</v>
      </c>
      <c r="D50" s="5">
        <v>0</v>
      </c>
      <c r="E50" s="5">
        <v>0</v>
      </c>
      <c r="F50" s="5">
        <v>0</v>
      </c>
      <c r="G50" s="5">
        <v>0</v>
      </c>
      <c r="H50" s="5">
        <v>0</v>
      </c>
      <c r="I50" s="5">
        <v>0</v>
      </c>
      <c r="J50" s="5">
        <v>0</v>
      </c>
      <c r="K50" s="5">
        <v>0</v>
      </c>
      <c r="L50" s="5">
        <v>0</v>
      </c>
      <c r="M50" s="5">
        <v>0</v>
      </c>
      <c r="N50" s="5">
        <v>0</v>
      </c>
      <c r="O50" s="5">
        <v>0</v>
      </c>
      <c r="P50" s="5">
        <v>0</v>
      </c>
      <c r="Q50" s="5">
        <v>0</v>
      </c>
      <c r="R50" s="5">
        <v>0</v>
      </c>
      <c r="S50" s="5">
        <v>0</v>
      </c>
      <c r="T50" s="5">
        <v>0</v>
      </c>
      <c r="U50" s="5">
        <v>0</v>
      </c>
      <c r="V50" s="913">
        <v>0</v>
      </c>
      <c r="W50" s="913">
        <v>0</v>
      </c>
      <c r="X50" s="913">
        <v>0</v>
      </c>
      <c r="Y50" s="913">
        <v>0</v>
      </c>
      <c r="Z50" s="913">
        <v>0</v>
      </c>
      <c r="AA50" s="5">
        <v>4.9370000000000003</v>
      </c>
      <c r="AB50" s="5">
        <v>7.5289999999999999</v>
      </c>
      <c r="AC50" s="826">
        <v>6.5869999999999997</v>
      </c>
      <c r="AD50" s="914">
        <v>5.008</v>
      </c>
      <c r="AE50" s="914">
        <v>4.6849999999999996</v>
      </c>
      <c r="AF50" s="915">
        <v>1.83</v>
      </c>
      <c r="AG50" s="913">
        <v>3.1360000000000001</v>
      </c>
      <c r="AH50" s="916">
        <v>3.1360000000000001</v>
      </c>
      <c r="AI50" s="6" t="s">
        <v>249</v>
      </c>
      <c r="AJ50" s="820" t="s">
        <v>406</v>
      </c>
      <c r="AK50" s="820" t="s">
        <v>1663</v>
      </c>
      <c r="AL50" s="33"/>
      <c r="AM50" s="33"/>
      <c r="AN50" s="33"/>
      <c r="AO50" s="33">
        <v>1</v>
      </c>
      <c r="AP50" s="33"/>
      <c r="AQ50" s="842"/>
      <c r="AR50" s="820" t="s">
        <v>977</v>
      </c>
      <c r="AS50" s="829" t="s">
        <v>1725</v>
      </c>
      <c r="AT50" s="829"/>
      <c r="AU50" s="829"/>
      <c r="AV50" s="919"/>
    </row>
    <row r="51" spans="1:48" ht="12.75" customHeight="1">
      <c r="A51" s="911" t="s">
        <v>387</v>
      </c>
      <c r="B51" s="820" t="s">
        <v>1726</v>
      </c>
      <c r="C51" s="5">
        <v>0</v>
      </c>
      <c r="D51" s="5">
        <v>0</v>
      </c>
      <c r="E51" s="5">
        <v>0</v>
      </c>
      <c r="F51" s="5">
        <v>0</v>
      </c>
      <c r="G51" s="5">
        <v>0</v>
      </c>
      <c r="H51" s="5">
        <v>0</v>
      </c>
      <c r="I51" s="5">
        <v>0</v>
      </c>
      <c r="J51" s="5">
        <v>0</v>
      </c>
      <c r="K51" s="5">
        <v>0</v>
      </c>
      <c r="L51" s="5">
        <v>0</v>
      </c>
      <c r="M51" s="5">
        <v>0</v>
      </c>
      <c r="N51" s="5">
        <v>0</v>
      </c>
      <c r="O51" s="5">
        <v>0</v>
      </c>
      <c r="P51" s="5">
        <v>0</v>
      </c>
      <c r="Q51" s="5">
        <v>0</v>
      </c>
      <c r="R51" s="5">
        <v>0</v>
      </c>
      <c r="S51" s="5">
        <v>0</v>
      </c>
      <c r="T51" s="5">
        <v>0</v>
      </c>
      <c r="U51" s="5">
        <v>0</v>
      </c>
      <c r="V51" s="5">
        <v>0</v>
      </c>
      <c r="W51" s="5">
        <v>0</v>
      </c>
      <c r="X51" s="913">
        <v>1.5</v>
      </c>
      <c r="Y51" s="913">
        <v>0</v>
      </c>
      <c r="Z51" s="913">
        <v>0</v>
      </c>
      <c r="AA51" s="5">
        <v>0</v>
      </c>
      <c r="AB51" s="5">
        <v>0.3</v>
      </c>
      <c r="AC51" s="826">
        <v>1.514</v>
      </c>
      <c r="AD51" s="914">
        <v>49.738999999999997</v>
      </c>
      <c r="AE51" s="914">
        <v>31.088999999999999</v>
      </c>
      <c r="AF51" s="915">
        <v>16.225000000000001</v>
      </c>
      <c r="AG51" s="913">
        <v>16.225000000000001</v>
      </c>
      <c r="AH51" s="916">
        <v>16.225000000000001</v>
      </c>
      <c r="AI51" s="6" t="s">
        <v>273</v>
      </c>
      <c r="AJ51" s="820" t="s">
        <v>406</v>
      </c>
      <c r="AK51" s="820" t="s">
        <v>1663</v>
      </c>
      <c r="AL51" s="33"/>
      <c r="AM51" s="33"/>
      <c r="AN51" s="33"/>
      <c r="AO51" s="33">
        <v>1</v>
      </c>
      <c r="AP51" s="33"/>
      <c r="AQ51" s="842"/>
      <c r="AR51" s="820" t="s">
        <v>236</v>
      </c>
      <c r="AS51" s="829" t="s">
        <v>1727</v>
      </c>
      <c r="AT51" s="362" t="s">
        <v>1728</v>
      </c>
      <c r="AU51" s="829" t="s">
        <v>238</v>
      </c>
      <c r="AV51" s="919" t="s">
        <v>238</v>
      </c>
    </row>
    <row r="52" spans="1:48" ht="12.75" customHeight="1">
      <c r="A52" s="911" t="s">
        <v>387</v>
      </c>
      <c r="B52" s="820" t="s">
        <v>1729</v>
      </c>
      <c r="C52" s="5">
        <v>0</v>
      </c>
      <c r="D52" s="5">
        <v>0</v>
      </c>
      <c r="E52" s="5">
        <v>0</v>
      </c>
      <c r="F52" s="5">
        <v>0</v>
      </c>
      <c r="G52" s="5">
        <v>0</v>
      </c>
      <c r="H52" s="5">
        <v>0</v>
      </c>
      <c r="I52" s="5">
        <v>0</v>
      </c>
      <c r="J52" s="5">
        <v>0</v>
      </c>
      <c r="K52" s="5">
        <v>0</v>
      </c>
      <c r="L52" s="5">
        <v>0</v>
      </c>
      <c r="M52" s="5">
        <v>0</v>
      </c>
      <c r="N52" s="5">
        <v>0</v>
      </c>
      <c r="O52" s="5">
        <v>0</v>
      </c>
      <c r="P52" s="5">
        <v>0</v>
      </c>
      <c r="Q52" s="5">
        <v>3.1E-2</v>
      </c>
      <c r="R52" s="5">
        <v>3.1E-2</v>
      </c>
      <c r="S52" s="5">
        <v>3.1E-2</v>
      </c>
      <c r="T52" s="5">
        <v>3.1E-2</v>
      </c>
      <c r="U52" s="5">
        <v>3.1E-2</v>
      </c>
      <c r="V52" s="5">
        <v>0.38300000000000001</v>
      </c>
      <c r="W52" s="5">
        <v>8.5000000000000006E-2</v>
      </c>
      <c r="X52" s="913">
        <v>0.127</v>
      </c>
      <c r="Y52" s="913">
        <v>0.10100000000000001</v>
      </c>
      <c r="Z52" s="913">
        <v>0</v>
      </c>
      <c r="AA52" s="5">
        <v>4.1000000000000002E-2</v>
      </c>
      <c r="AB52" s="5">
        <v>0</v>
      </c>
      <c r="AC52" s="826"/>
      <c r="AD52" s="914">
        <v>0</v>
      </c>
      <c r="AE52" s="914">
        <v>0</v>
      </c>
      <c r="AF52" s="915">
        <v>0</v>
      </c>
      <c r="AG52" s="913"/>
      <c r="AH52" s="916"/>
      <c r="AI52" s="6" t="s">
        <v>240</v>
      </c>
      <c r="AJ52" s="820" t="s">
        <v>406</v>
      </c>
      <c r="AK52" s="820" t="s">
        <v>1640</v>
      </c>
      <c r="AL52" s="33"/>
      <c r="AM52" s="33"/>
      <c r="AN52" s="33"/>
      <c r="AO52" s="33"/>
      <c r="AP52" s="33"/>
      <c r="AQ52" s="842"/>
      <c r="AR52" s="820" t="s">
        <v>251</v>
      </c>
      <c r="AS52" s="829" t="s">
        <v>1730</v>
      </c>
      <c r="AT52" s="362" t="s">
        <v>1731</v>
      </c>
      <c r="AU52" s="829" t="s">
        <v>1732</v>
      </c>
      <c r="AV52" s="829" t="s">
        <v>238</v>
      </c>
    </row>
    <row r="53" spans="1:48" ht="12.75" customHeight="1">
      <c r="A53" s="911" t="s">
        <v>387</v>
      </c>
      <c r="B53" s="820" t="s">
        <v>1733</v>
      </c>
      <c r="C53" s="5">
        <v>0</v>
      </c>
      <c r="D53" s="5">
        <v>0</v>
      </c>
      <c r="E53" s="5">
        <v>0</v>
      </c>
      <c r="F53" s="5">
        <v>0</v>
      </c>
      <c r="G53" s="5">
        <v>0</v>
      </c>
      <c r="H53" s="5">
        <v>0</v>
      </c>
      <c r="I53" s="5">
        <v>0</v>
      </c>
      <c r="J53" s="5">
        <v>0</v>
      </c>
      <c r="K53" s="5">
        <v>0</v>
      </c>
      <c r="L53" s="5">
        <v>0</v>
      </c>
      <c r="M53" s="5">
        <v>0</v>
      </c>
      <c r="N53" s="5">
        <v>0</v>
      </c>
      <c r="O53" s="5">
        <v>0</v>
      </c>
      <c r="P53" s="5">
        <v>0</v>
      </c>
      <c r="Q53" s="5">
        <v>0</v>
      </c>
      <c r="R53" s="5">
        <v>0</v>
      </c>
      <c r="S53" s="5">
        <v>0</v>
      </c>
      <c r="T53" s="5">
        <v>0</v>
      </c>
      <c r="U53" s="5">
        <v>0</v>
      </c>
      <c r="V53" s="5">
        <v>0</v>
      </c>
      <c r="W53" s="5">
        <v>0</v>
      </c>
      <c r="X53" s="913">
        <v>0</v>
      </c>
      <c r="Y53" s="913">
        <v>0</v>
      </c>
      <c r="Z53" s="913">
        <v>0</v>
      </c>
      <c r="AA53" s="5">
        <v>0</v>
      </c>
      <c r="AB53" s="5">
        <v>3.298</v>
      </c>
      <c r="AC53" s="826">
        <v>4.702</v>
      </c>
      <c r="AD53" s="914">
        <v>0</v>
      </c>
      <c r="AE53" s="914">
        <v>0</v>
      </c>
      <c r="AF53" s="915">
        <v>0</v>
      </c>
      <c r="AG53" s="913"/>
      <c r="AH53" s="916"/>
      <c r="AI53" s="6" t="s">
        <v>273</v>
      </c>
      <c r="AJ53" s="820" t="s">
        <v>406</v>
      </c>
      <c r="AK53" s="820" t="s">
        <v>1663</v>
      </c>
      <c r="AL53" s="33"/>
      <c r="AM53" s="33"/>
      <c r="AN53" s="33"/>
      <c r="AO53" s="33"/>
      <c r="AP53" s="33"/>
      <c r="AQ53" s="842"/>
      <c r="AR53" s="820" t="s">
        <v>236</v>
      </c>
      <c r="AS53" s="843" t="s">
        <v>1734</v>
      </c>
      <c r="AT53" s="843"/>
      <c r="AU53" s="843"/>
      <c r="AV53" s="920"/>
    </row>
    <row r="54" spans="1:48" ht="12.75" customHeight="1">
      <c r="A54" s="911" t="s">
        <v>387</v>
      </c>
      <c r="B54" s="820" t="s">
        <v>1735</v>
      </c>
      <c r="C54" s="5">
        <v>0</v>
      </c>
      <c r="D54" s="5">
        <v>0</v>
      </c>
      <c r="E54" s="5">
        <v>0</v>
      </c>
      <c r="F54" s="5">
        <v>0</v>
      </c>
      <c r="G54" s="5">
        <v>0</v>
      </c>
      <c r="H54" s="5">
        <v>0</v>
      </c>
      <c r="I54" s="5">
        <v>0</v>
      </c>
      <c r="J54" s="5">
        <v>0</v>
      </c>
      <c r="K54" s="5">
        <v>0</v>
      </c>
      <c r="L54" s="5">
        <v>0</v>
      </c>
      <c r="M54" s="5">
        <v>0</v>
      </c>
      <c r="N54" s="5">
        <v>0</v>
      </c>
      <c r="O54" s="5">
        <v>0</v>
      </c>
      <c r="P54" s="5">
        <v>0</v>
      </c>
      <c r="Q54" s="5">
        <v>0</v>
      </c>
      <c r="R54" s="5">
        <v>0</v>
      </c>
      <c r="S54" s="5">
        <v>0</v>
      </c>
      <c r="T54" s="5">
        <v>0</v>
      </c>
      <c r="U54" s="5">
        <v>0</v>
      </c>
      <c r="V54" s="5">
        <v>0</v>
      </c>
      <c r="W54" s="5">
        <v>0</v>
      </c>
      <c r="X54" s="913">
        <v>0</v>
      </c>
      <c r="Y54" s="913">
        <v>0</v>
      </c>
      <c r="Z54" s="913">
        <v>0</v>
      </c>
      <c r="AA54" s="5">
        <v>0</v>
      </c>
      <c r="AB54" s="5">
        <v>0.161</v>
      </c>
      <c r="AC54" s="826">
        <v>6.1639999999999997</v>
      </c>
      <c r="AD54" s="914">
        <v>3.52</v>
      </c>
      <c r="AE54" s="914">
        <v>0</v>
      </c>
      <c r="AF54" s="915">
        <v>0</v>
      </c>
      <c r="AG54" s="913"/>
      <c r="AH54" s="916"/>
      <c r="AI54" s="6" t="s">
        <v>273</v>
      </c>
      <c r="AJ54" s="820" t="s">
        <v>406</v>
      </c>
      <c r="AK54" s="820" t="s">
        <v>1663</v>
      </c>
      <c r="AL54" s="33"/>
      <c r="AM54" s="33"/>
      <c r="AN54" s="33"/>
      <c r="AO54" s="33"/>
      <c r="AP54" s="33"/>
      <c r="AQ54" s="842"/>
      <c r="AR54" s="820" t="s">
        <v>236</v>
      </c>
      <c r="AS54" s="829" t="s">
        <v>1736</v>
      </c>
      <c r="AT54" s="829"/>
      <c r="AU54" s="829"/>
      <c r="AV54" s="919"/>
    </row>
    <row r="55" spans="1:48" ht="12.75" customHeight="1">
      <c r="A55" s="911" t="s">
        <v>387</v>
      </c>
      <c r="B55" s="820" t="s">
        <v>1737</v>
      </c>
      <c r="C55" s="5">
        <v>0</v>
      </c>
      <c r="D55" s="5">
        <v>0</v>
      </c>
      <c r="E55" s="5">
        <v>0</v>
      </c>
      <c r="F55" s="5">
        <v>0</v>
      </c>
      <c r="G55" s="5">
        <v>0</v>
      </c>
      <c r="H55" s="5">
        <v>0</v>
      </c>
      <c r="I55" s="5">
        <v>0</v>
      </c>
      <c r="J55" s="5">
        <v>0</v>
      </c>
      <c r="K55" s="5">
        <v>0</v>
      </c>
      <c r="L55" s="5">
        <v>0</v>
      </c>
      <c r="M55" s="5">
        <v>0</v>
      </c>
      <c r="N55" s="5">
        <v>0</v>
      </c>
      <c r="O55" s="5">
        <v>0</v>
      </c>
      <c r="P55" s="5">
        <v>0</v>
      </c>
      <c r="Q55" s="5">
        <v>0</v>
      </c>
      <c r="R55" s="5">
        <v>0</v>
      </c>
      <c r="S55" s="5">
        <v>0</v>
      </c>
      <c r="T55" s="5">
        <v>0</v>
      </c>
      <c r="U55" s="5">
        <v>0</v>
      </c>
      <c r="V55" s="5">
        <v>0</v>
      </c>
      <c r="W55" s="5">
        <v>0</v>
      </c>
      <c r="X55" s="913">
        <v>0</v>
      </c>
      <c r="Y55" s="913">
        <v>0</v>
      </c>
      <c r="Z55" s="913">
        <v>0</v>
      </c>
      <c r="AA55" s="5">
        <v>0.113</v>
      </c>
      <c r="AB55" s="5">
        <v>0.374</v>
      </c>
      <c r="AC55" s="826">
        <v>0</v>
      </c>
      <c r="AD55" s="914">
        <v>0</v>
      </c>
      <c r="AE55" s="914">
        <v>0</v>
      </c>
      <c r="AF55" s="915">
        <v>0</v>
      </c>
      <c r="AG55" s="913"/>
      <c r="AH55" s="916"/>
      <c r="AI55" s="6" t="s">
        <v>249</v>
      </c>
      <c r="AJ55" s="820" t="s">
        <v>406</v>
      </c>
      <c r="AK55" s="820" t="s">
        <v>1663</v>
      </c>
      <c r="AL55" s="33"/>
      <c r="AM55" s="33"/>
      <c r="AN55" s="33"/>
      <c r="AO55" s="33"/>
      <c r="AP55" s="33"/>
      <c r="AQ55" s="842"/>
      <c r="AR55" s="820" t="s">
        <v>251</v>
      </c>
      <c r="AS55" s="829" t="s">
        <v>1738</v>
      </c>
      <c r="AT55" s="829"/>
      <c r="AU55" s="829"/>
      <c r="AV55" s="919"/>
    </row>
    <row r="56" spans="1:48" ht="12.75" customHeight="1">
      <c r="A56" s="911" t="s">
        <v>542</v>
      </c>
      <c r="B56" s="820" t="s">
        <v>1739</v>
      </c>
      <c r="C56" s="5">
        <v>0</v>
      </c>
      <c r="D56" s="5">
        <v>0</v>
      </c>
      <c r="E56" s="5">
        <v>0</v>
      </c>
      <c r="F56" s="5">
        <v>0</v>
      </c>
      <c r="G56" s="5">
        <v>0</v>
      </c>
      <c r="H56" s="5">
        <v>0</v>
      </c>
      <c r="I56" s="5">
        <v>0</v>
      </c>
      <c r="J56" s="5">
        <v>0</v>
      </c>
      <c r="K56" s="5">
        <v>0</v>
      </c>
      <c r="L56" s="5">
        <v>0</v>
      </c>
      <c r="M56" s="5">
        <v>0</v>
      </c>
      <c r="N56" s="5">
        <v>0</v>
      </c>
      <c r="O56" s="5">
        <v>0</v>
      </c>
      <c r="P56" s="5">
        <v>0</v>
      </c>
      <c r="Q56" s="5">
        <v>0</v>
      </c>
      <c r="R56" s="5">
        <v>0</v>
      </c>
      <c r="S56" s="5">
        <v>0</v>
      </c>
      <c r="T56" s="5">
        <v>0</v>
      </c>
      <c r="U56" s="5">
        <v>0</v>
      </c>
      <c r="V56" s="913">
        <v>0</v>
      </c>
      <c r="W56" s="913">
        <v>0</v>
      </c>
      <c r="X56" s="913">
        <v>0</v>
      </c>
      <c r="Y56" s="913">
        <v>9.2159999999999993</v>
      </c>
      <c r="Z56" s="913">
        <v>5.2409999999999997</v>
      </c>
      <c r="AA56" s="5">
        <v>1.9</v>
      </c>
      <c r="AB56" s="5">
        <v>1.3</v>
      </c>
      <c r="AC56" s="826">
        <v>0.95</v>
      </c>
      <c r="AD56" s="914">
        <v>0.95</v>
      </c>
      <c r="AE56" s="914">
        <v>0.95</v>
      </c>
      <c r="AF56" s="915">
        <v>0</v>
      </c>
      <c r="AG56" s="913"/>
      <c r="AH56" s="916"/>
      <c r="AI56" s="6" t="s">
        <v>273</v>
      </c>
      <c r="AJ56" s="820" t="s">
        <v>544</v>
      </c>
      <c r="AK56" s="820" t="s">
        <v>1663</v>
      </c>
      <c r="AL56" s="33"/>
      <c r="AM56" s="33"/>
      <c r="AN56" s="33"/>
      <c r="AO56" s="33"/>
      <c r="AP56" s="33"/>
      <c r="AQ56" s="842">
        <v>1</v>
      </c>
      <c r="AR56" s="820" t="s">
        <v>236</v>
      </c>
      <c r="AS56" s="829" t="s">
        <v>1740</v>
      </c>
      <c r="AT56" s="829"/>
      <c r="AU56" s="829"/>
      <c r="AV56" s="919"/>
    </row>
    <row r="57" spans="1:48" ht="12.75" customHeight="1">
      <c r="A57" s="911" t="s">
        <v>542</v>
      </c>
      <c r="B57" s="820" t="s">
        <v>1741</v>
      </c>
      <c r="C57" s="5">
        <v>0</v>
      </c>
      <c r="D57" s="5">
        <v>0</v>
      </c>
      <c r="E57" s="5">
        <v>0</v>
      </c>
      <c r="F57" s="5">
        <v>0</v>
      </c>
      <c r="G57" s="5">
        <v>0</v>
      </c>
      <c r="H57" s="5">
        <v>0</v>
      </c>
      <c r="I57" s="5">
        <v>0</v>
      </c>
      <c r="J57" s="5">
        <v>0</v>
      </c>
      <c r="K57" s="5">
        <v>0</v>
      </c>
      <c r="L57" s="5">
        <v>0</v>
      </c>
      <c r="M57" s="5">
        <v>0</v>
      </c>
      <c r="N57" s="5">
        <v>0</v>
      </c>
      <c r="O57" s="5">
        <v>0</v>
      </c>
      <c r="P57" s="5">
        <v>0</v>
      </c>
      <c r="Q57" s="5">
        <v>0</v>
      </c>
      <c r="R57" s="5">
        <v>0</v>
      </c>
      <c r="S57" s="5">
        <v>0</v>
      </c>
      <c r="T57" s="5">
        <v>0</v>
      </c>
      <c r="U57" s="5">
        <v>0</v>
      </c>
      <c r="V57" s="5">
        <v>5.8310000000000004</v>
      </c>
      <c r="W57" s="5">
        <v>20.558</v>
      </c>
      <c r="X57" s="913">
        <v>22.11</v>
      </c>
      <c r="Y57" s="913">
        <v>16.256</v>
      </c>
      <c r="Z57" s="913">
        <v>30.225999999999999</v>
      </c>
      <c r="AA57" s="5">
        <v>55.561999999999998</v>
      </c>
      <c r="AB57" s="5">
        <v>23.6</v>
      </c>
      <c r="AC57" s="826">
        <v>23.6</v>
      </c>
      <c r="AD57" s="914">
        <v>23.6</v>
      </c>
      <c r="AE57" s="914">
        <v>23.6</v>
      </c>
      <c r="AF57" s="915">
        <v>0</v>
      </c>
      <c r="AG57" s="913"/>
      <c r="AH57" s="916"/>
      <c r="AI57" s="6" t="s">
        <v>249</v>
      </c>
      <c r="AJ57" s="820" t="s">
        <v>389</v>
      </c>
      <c r="AK57" s="820" t="s">
        <v>1640</v>
      </c>
      <c r="AL57" s="33"/>
      <c r="AM57" s="33"/>
      <c r="AN57" s="33"/>
      <c r="AO57" s="33"/>
      <c r="AP57" s="33">
        <v>1</v>
      </c>
      <c r="AQ57" s="842"/>
      <c r="AR57" s="820" t="s">
        <v>236</v>
      </c>
      <c r="AS57" s="829" t="s">
        <v>1742</v>
      </c>
      <c r="AT57" s="829" t="s">
        <v>238</v>
      </c>
      <c r="AU57" s="829" t="s">
        <v>238</v>
      </c>
      <c r="AV57" s="919" t="s">
        <v>238</v>
      </c>
    </row>
    <row r="58" spans="1:48" ht="12.75" customHeight="1">
      <c r="A58" s="930" t="s">
        <v>542</v>
      </c>
      <c r="B58" s="820" t="s">
        <v>1743</v>
      </c>
      <c r="C58" s="5">
        <v>0</v>
      </c>
      <c r="D58" s="5">
        <v>0</v>
      </c>
      <c r="E58" s="5">
        <v>0</v>
      </c>
      <c r="F58" s="5">
        <v>0</v>
      </c>
      <c r="G58" s="5">
        <v>0</v>
      </c>
      <c r="H58" s="5">
        <v>0</v>
      </c>
      <c r="I58" s="5">
        <v>0</v>
      </c>
      <c r="J58" s="5">
        <v>0</v>
      </c>
      <c r="K58" s="5">
        <v>0</v>
      </c>
      <c r="L58" s="5">
        <v>0</v>
      </c>
      <c r="M58" s="5">
        <v>0</v>
      </c>
      <c r="N58" s="5">
        <v>0</v>
      </c>
      <c r="O58" s="5">
        <v>0</v>
      </c>
      <c r="P58" s="5">
        <v>0</v>
      </c>
      <c r="Q58" s="5">
        <v>0</v>
      </c>
      <c r="R58" s="5">
        <v>0</v>
      </c>
      <c r="S58" s="5">
        <v>0</v>
      </c>
      <c r="T58" s="5">
        <v>0</v>
      </c>
      <c r="U58" s="5">
        <v>0</v>
      </c>
      <c r="V58" s="5">
        <v>0</v>
      </c>
      <c r="W58" s="5">
        <v>0</v>
      </c>
      <c r="X58" s="5">
        <v>0.22800000000000001</v>
      </c>
      <c r="Y58" s="5">
        <v>1.077</v>
      </c>
      <c r="Z58" s="5">
        <v>1</v>
      </c>
      <c r="AA58" s="5">
        <v>1</v>
      </c>
      <c r="AB58" s="5">
        <v>0.85099999999999998</v>
      </c>
      <c r="AC58" s="5">
        <v>0.8</v>
      </c>
      <c r="AD58" s="914">
        <v>0.6</v>
      </c>
      <c r="AE58" s="914">
        <v>0.6</v>
      </c>
      <c r="AF58" s="915">
        <v>0.6</v>
      </c>
      <c r="AG58" s="913">
        <v>0.6</v>
      </c>
      <c r="AH58" s="916">
        <v>0.6</v>
      </c>
      <c r="AI58" s="6" t="s">
        <v>273</v>
      </c>
      <c r="AJ58" s="820" t="s">
        <v>409</v>
      </c>
      <c r="AK58" s="820" t="s">
        <v>1640</v>
      </c>
      <c r="AL58" s="33">
        <v>1</v>
      </c>
      <c r="AM58" s="33"/>
      <c r="AN58" s="33"/>
      <c r="AO58" s="33"/>
      <c r="AP58" s="33"/>
      <c r="AQ58" s="842"/>
      <c r="AR58" s="820" t="s">
        <v>236</v>
      </c>
      <c r="AS58" s="829" t="s">
        <v>1744</v>
      </c>
      <c r="AT58" s="362" t="s">
        <v>238</v>
      </c>
      <c r="AU58" s="829" t="s">
        <v>238</v>
      </c>
      <c r="AV58" s="919" t="s">
        <v>238</v>
      </c>
    </row>
    <row r="59" spans="1:48" ht="12.75" customHeight="1">
      <c r="A59" s="930" t="s">
        <v>542</v>
      </c>
      <c r="B59" s="820" t="s">
        <v>1745</v>
      </c>
      <c r="C59" s="5">
        <v>0</v>
      </c>
      <c r="D59" s="5">
        <v>0</v>
      </c>
      <c r="E59" s="5">
        <v>0</v>
      </c>
      <c r="F59" s="5">
        <v>0</v>
      </c>
      <c r="G59" s="5">
        <v>0</v>
      </c>
      <c r="H59" s="5">
        <v>0</v>
      </c>
      <c r="I59" s="5">
        <v>0</v>
      </c>
      <c r="J59" s="5">
        <v>0</v>
      </c>
      <c r="K59" s="5">
        <v>0</v>
      </c>
      <c r="L59" s="5">
        <v>0</v>
      </c>
      <c r="M59" s="5">
        <v>0</v>
      </c>
      <c r="N59" s="5">
        <v>0</v>
      </c>
      <c r="O59" s="5">
        <v>0</v>
      </c>
      <c r="P59" s="5">
        <v>0</v>
      </c>
      <c r="Q59" s="5">
        <v>0</v>
      </c>
      <c r="R59" s="5">
        <v>0</v>
      </c>
      <c r="S59" s="5">
        <v>0</v>
      </c>
      <c r="T59" s="5">
        <v>0</v>
      </c>
      <c r="U59" s="5">
        <v>0</v>
      </c>
      <c r="V59" s="913">
        <v>0</v>
      </c>
      <c r="W59" s="913">
        <v>0</v>
      </c>
      <c r="X59" s="913">
        <v>0</v>
      </c>
      <c r="Y59" s="913">
        <v>0</v>
      </c>
      <c r="Z59" s="913">
        <v>1.3</v>
      </c>
      <c r="AA59" s="5">
        <v>7.81</v>
      </c>
      <c r="AB59" s="5">
        <v>44.72</v>
      </c>
      <c r="AC59" s="826">
        <v>48.77</v>
      </c>
      <c r="AD59" s="914">
        <v>52.29</v>
      </c>
      <c r="AE59" s="914">
        <v>55.54</v>
      </c>
      <c r="AF59" s="915">
        <v>0</v>
      </c>
      <c r="AG59" s="913"/>
      <c r="AH59" s="916"/>
      <c r="AI59" s="6" t="s">
        <v>273</v>
      </c>
      <c r="AJ59" s="820" t="s">
        <v>544</v>
      </c>
      <c r="AK59" s="820" t="s">
        <v>1663</v>
      </c>
      <c r="AL59" s="33"/>
      <c r="AM59" s="33"/>
      <c r="AN59" s="33"/>
      <c r="AO59" s="33"/>
      <c r="AP59" s="33"/>
      <c r="AQ59" s="842">
        <v>1</v>
      </c>
      <c r="AR59" s="820" t="s">
        <v>236</v>
      </c>
      <c r="AS59" s="829" t="s">
        <v>1746</v>
      </c>
      <c r="AT59" s="829"/>
      <c r="AU59" s="829"/>
      <c r="AV59" s="919"/>
    </row>
    <row r="60" spans="1:48" ht="12.75" customHeight="1">
      <c r="A60" s="930" t="s">
        <v>658</v>
      </c>
      <c r="B60" s="820" t="s">
        <v>1747</v>
      </c>
      <c r="C60" s="5">
        <v>0</v>
      </c>
      <c r="D60" s="5">
        <v>0</v>
      </c>
      <c r="E60" s="5">
        <v>0</v>
      </c>
      <c r="F60" s="5">
        <v>0</v>
      </c>
      <c r="G60" s="5">
        <v>0</v>
      </c>
      <c r="H60" s="5">
        <v>0</v>
      </c>
      <c r="I60" s="5">
        <v>0</v>
      </c>
      <c r="J60" s="5">
        <v>0</v>
      </c>
      <c r="K60" s="5">
        <v>0</v>
      </c>
      <c r="L60" s="5">
        <v>0</v>
      </c>
      <c r="M60" s="5">
        <v>0</v>
      </c>
      <c r="N60" s="5">
        <v>0</v>
      </c>
      <c r="O60" s="5">
        <v>0</v>
      </c>
      <c r="P60" s="5">
        <v>0</v>
      </c>
      <c r="Q60" s="5">
        <v>0</v>
      </c>
      <c r="R60" s="5">
        <v>0</v>
      </c>
      <c r="S60" s="5">
        <v>0</v>
      </c>
      <c r="T60" s="5">
        <v>0</v>
      </c>
      <c r="U60" s="5">
        <v>0</v>
      </c>
      <c r="V60" s="5">
        <v>0.48699999999999999</v>
      </c>
      <c r="W60" s="5">
        <v>0.495</v>
      </c>
      <c r="X60" s="5">
        <v>0.503</v>
      </c>
      <c r="Y60" s="5">
        <v>0.51200000000000001</v>
      </c>
      <c r="Z60" s="5">
        <v>0.52100000000000002</v>
      </c>
      <c r="AA60" s="5">
        <v>0</v>
      </c>
      <c r="AB60" s="5">
        <v>0</v>
      </c>
      <c r="AC60" s="5">
        <v>0</v>
      </c>
      <c r="AD60" s="914">
        <v>0</v>
      </c>
      <c r="AE60" s="914">
        <v>0</v>
      </c>
      <c r="AF60" s="915">
        <v>0</v>
      </c>
      <c r="AG60" s="913"/>
      <c r="AH60" s="916"/>
      <c r="AI60" s="6" t="s">
        <v>273</v>
      </c>
      <c r="AJ60" s="820" t="s">
        <v>701</v>
      </c>
      <c r="AK60" s="820" t="s">
        <v>1748</v>
      </c>
      <c r="AL60" s="33"/>
      <c r="AM60" s="33"/>
      <c r="AN60" s="33"/>
      <c r="AO60" s="33"/>
      <c r="AP60" s="33"/>
      <c r="AQ60" s="842"/>
      <c r="AR60" s="820" t="s">
        <v>251</v>
      </c>
      <c r="AS60" s="829" t="s">
        <v>1749</v>
      </c>
      <c r="AT60" s="362" t="s">
        <v>1750</v>
      </c>
      <c r="AU60" s="829" t="s">
        <v>238</v>
      </c>
      <c r="AV60" s="919"/>
    </row>
    <row r="61" spans="1:48" ht="12.75" customHeight="1">
      <c r="A61" s="911" t="s">
        <v>658</v>
      </c>
      <c r="B61" s="820" t="s">
        <v>1751</v>
      </c>
      <c r="C61" s="5">
        <v>0</v>
      </c>
      <c r="D61" s="5">
        <v>0</v>
      </c>
      <c r="E61" s="5">
        <v>0</v>
      </c>
      <c r="F61" s="5">
        <v>0</v>
      </c>
      <c r="G61" s="5">
        <v>0</v>
      </c>
      <c r="H61" s="5">
        <v>0</v>
      </c>
      <c r="I61" s="5">
        <v>0</v>
      </c>
      <c r="J61" s="5">
        <v>0</v>
      </c>
      <c r="K61" s="5">
        <v>0</v>
      </c>
      <c r="L61" s="5">
        <v>0</v>
      </c>
      <c r="M61" s="5">
        <v>0</v>
      </c>
      <c r="N61" s="5">
        <v>0</v>
      </c>
      <c r="O61" s="5">
        <v>0</v>
      </c>
      <c r="P61" s="5">
        <v>0</v>
      </c>
      <c r="Q61" s="5">
        <v>0</v>
      </c>
      <c r="R61" s="5">
        <v>0</v>
      </c>
      <c r="S61" s="5">
        <v>0</v>
      </c>
      <c r="T61" s="5">
        <v>0</v>
      </c>
      <c r="U61" s="5">
        <v>0</v>
      </c>
      <c r="V61" s="913">
        <v>0</v>
      </c>
      <c r="W61" s="913">
        <v>4.984</v>
      </c>
      <c r="X61" s="913">
        <v>4.82</v>
      </c>
      <c r="Y61" s="913">
        <v>4.5060000000000002</v>
      </c>
      <c r="Z61" s="913">
        <v>0</v>
      </c>
      <c r="AA61" s="826">
        <v>0</v>
      </c>
      <c r="AB61" s="826">
        <v>0</v>
      </c>
      <c r="AC61" s="826">
        <v>0</v>
      </c>
      <c r="AD61" s="914">
        <v>0</v>
      </c>
      <c r="AE61" s="914">
        <v>0</v>
      </c>
      <c r="AF61" s="915">
        <v>0</v>
      </c>
      <c r="AG61" s="913"/>
      <c r="AH61" s="916"/>
      <c r="AI61" s="6" t="s">
        <v>240</v>
      </c>
      <c r="AJ61" s="820" t="s">
        <v>403</v>
      </c>
      <c r="AK61" s="820" t="s">
        <v>1663</v>
      </c>
      <c r="AL61" s="33"/>
      <c r="AM61" s="33"/>
      <c r="AN61" s="33"/>
      <c r="AO61" s="33"/>
      <c r="AP61" s="33"/>
      <c r="AQ61" s="842"/>
      <c r="AR61" s="820" t="s">
        <v>236</v>
      </c>
      <c r="AS61" s="829" t="s">
        <v>1752</v>
      </c>
      <c r="AT61" s="829" t="s">
        <v>1753</v>
      </c>
      <c r="AU61" s="829" t="s">
        <v>1754</v>
      </c>
      <c r="AV61" s="919" t="s">
        <v>238</v>
      </c>
    </row>
    <row r="62" spans="1:48" ht="12.75" customHeight="1">
      <c r="A62" s="930" t="s">
        <v>658</v>
      </c>
      <c r="B62" s="820" t="s">
        <v>1755</v>
      </c>
      <c r="C62" s="5">
        <v>0</v>
      </c>
      <c r="D62" s="5">
        <v>0</v>
      </c>
      <c r="E62" s="5">
        <v>0</v>
      </c>
      <c r="F62" s="5">
        <v>0</v>
      </c>
      <c r="G62" s="5">
        <v>0</v>
      </c>
      <c r="H62" s="5">
        <v>0</v>
      </c>
      <c r="I62" s="5">
        <v>0</v>
      </c>
      <c r="J62" s="5">
        <v>0</v>
      </c>
      <c r="K62" s="5">
        <v>0</v>
      </c>
      <c r="L62" s="5">
        <v>0</v>
      </c>
      <c r="M62" s="5">
        <v>0</v>
      </c>
      <c r="N62" s="5">
        <v>0</v>
      </c>
      <c r="O62" s="5">
        <v>0</v>
      </c>
      <c r="P62" s="5">
        <v>0</v>
      </c>
      <c r="Q62" s="5">
        <v>0</v>
      </c>
      <c r="R62" s="5">
        <v>0</v>
      </c>
      <c r="S62" s="5">
        <v>0</v>
      </c>
      <c r="T62" s="5">
        <v>0</v>
      </c>
      <c r="U62" s="5">
        <v>0</v>
      </c>
      <c r="V62" s="913">
        <v>10.567</v>
      </c>
      <c r="W62" s="913">
        <v>12.166</v>
      </c>
      <c r="X62" s="913">
        <v>11.692</v>
      </c>
      <c r="Y62" s="913">
        <v>14.35</v>
      </c>
      <c r="Z62" s="913">
        <v>0</v>
      </c>
      <c r="AA62" s="5">
        <v>0</v>
      </c>
      <c r="AB62" s="5">
        <v>0</v>
      </c>
      <c r="AC62" s="826">
        <v>0</v>
      </c>
      <c r="AD62" s="914">
        <v>0</v>
      </c>
      <c r="AE62" s="914">
        <v>0</v>
      </c>
      <c r="AF62" s="915">
        <v>0</v>
      </c>
      <c r="AG62" s="913"/>
      <c r="AH62" s="916"/>
      <c r="AI62" s="6" t="s">
        <v>240</v>
      </c>
      <c r="AJ62" s="820" t="s">
        <v>403</v>
      </c>
      <c r="AK62" s="820" t="s">
        <v>1640</v>
      </c>
      <c r="AL62" s="33"/>
      <c r="AM62" s="33"/>
      <c r="AN62" s="33"/>
      <c r="AO62" s="33"/>
      <c r="AP62" s="33"/>
      <c r="AQ62" s="842"/>
      <c r="AR62" s="820" t="s">
        <v>236</v>
      </c>
      <c r="AS62" s="829" t="s">
        <v>1756</v>
      </c>
      <c r="AT62" s="362" t="s">
        <v>1757</v>
      </c>
      <c r="AU62" s="829" t="s">
        <v>1758</v>
      </c>
      <c r="AV62" s="919" t="s">
        <v>238</v>
      </c>
    </row>
    <row r="63" spans="1:48" ht="12.75" customHeight="1">
      <c r="A63" s="930" t="s">
        <v>658</v>
      </c>
      <c r="B63" s="820" t="s">
        <v>1759</v>
      </c>
      <c r="C63" s="5">
        <v>0</v>
      </c>
      <c r="D63" s="5">
        <v>0</v>
      </c>
      <c r="E63" s="5">
        <v>0</v>
      </c>
      <c r="F63" s="5">
        <v>0</v>
      </c>
      <c r="G63" s="5">
        <v>0</v>
      </c>
      <c r="H63" s="5">
        <v>0</v>
      </c>
      <c r="I63" s="5">
        <v>0</v>
      </c>
      <c r="J63" s="5">
        <v>0</v>
      </c>
      <c r="K63" s="5">
        <v>0</v>
      </c>
      <c r="L63" s="5">
        <v>0</v>
      </c>
      <c r="M63" s="5">
        <v>0</v>
      </c>
      <c r="N63" s="5">
        <v>0</v>
      </c>
      <c r="O63" s="5">
        <v>6.9329999999999998</v>
      </c>
      <c r="P63" s="5">
        <v>9.6940000000000008</v>
      </c>
      <c r="Q63" s="5">
        <v>4.2530000000000001</v>
      </c>
      <c r="R63" s="5">
        <v>7.1040000000000001</v>
      </c>
      <c r="S63" s="5">
        <v>4.3970000000000002</v>
      </c>
      <c r="T63" s="5">
        <v>6.1749999999999998</v>
      </c>
      <c r="U63" s="5">
        <v>8.048</v>
      </c>
      <c r="V63" s="913">
        <v>1.54</v>
      </c>
      <c r="W63" s="913">
        <v>2.0179999999999998</v>
      </c>
      <c r="X63" s="913">
        <v>4.4249999999999998</v>
      </c>
      <c r="Y63" s="913">
        <v>1.1040000000000001</v>
      </c>
      <c r="Z63" s="913">
        <v>1.0029999999999999</v>
      </c>
      <c r="AA63" s="5">
        <v>0.78500000000000003</v>
      </c>
      <c r="AB63" s="5">
        <v>6.0979999999999999</v>
      </c>
      <c r="AC63" s="826">
        <v>7.4459999999999997</v>
      </c>
      <c r="AD63" s="914">
        <v>4.0279999999999996</v>
      </c>
      <c r="AE63" s="914">
        <v>3.8010000000000002</v>
      </c>
      <c r="AF63" s="915">
        <v>3.8959999999999999</v>
      </c>
      <c r="AG63" s="913">
        <v>3.9889999999999999</v>
      </c>
      <c r="AH63" s="916">
        <v>4.0890000000000004</v>
      </c>
      <c r="AI63" s="6" t="s">
        <v>249</v>
      </c>
      <c r="AJ63" s="820" t="s">
        <v>403</v>
      </c>
      <c r="AK63" s="820" t="s">
        <v>1748</v>
      </c>
      <c r="AL63" s="33">
        <v>1</v>
      </c>
      <c r="AM63" s="33">
        <v>1</v>
      </c>
      <c r="AN63" s="33">
        <v>1</v>
      </c>
      <c r="AO63" s="33">
        <v>1</v>
      </c>
      <c r="AP63" s="33">
        <v>1</v>
      </c>
      <c r="AQ63" s="842">
        <v>1</v>
      </c>
      <c r="AR63" s="820" t="s">
        <v>236</v>
      </c>
      <c r="AS63" s="829" t="s">
        <v>1760</v>
      </c>
      <c r="AT63" s="362" t="s">
        <v>1761</v>
      </c>
      <c r="AU63" s="829" t="s">
        <v>1762</v>
      </c>
      <c r="AV63" s="919" t="s">
        <v>238</v>
      </c>
    </row>
    <row r="64" spans="1:48" ht="12.75" customHeight="1">
      <c r="A64" s="930" t="s">
        <v>658</v>
      </c>
      <c r="B64" s="820" t="s">
        <v>1763</v>
      </c>
      <c r="C64" s="5">
        <v>0</v>
      </c>
      <c r="D64" s="5">
        <v>0</v>
      </c>
      <c r="E64" s="5">
        <v>0</v>
      </c>
      <c r="F64" s="5">
        <v>0</v>
      </c>
      <c r="G64" s="5">
        <v>0</v>
      </c>
      <c r="H64" s="5">
        <v>0</v>
      </c>
      <c r="I64" s="5">
        <v>0</v>
      </c>
      <c r="J64" s="5">
        <v>0</v>
      </c>
      <c r="K64" s="5">
        <v>0</v>
      </c>
      <c r="L64" s="5">
        <v>0</v>
      </c>
      <c r="M64" s="5">
        <v>0</v>
      </c>
      <c r="N64" s="5">
        <v>0</v>
      </c>
      <c r="O64" s="5">
        <v>0</v>
      </c>
      <c r="P64" s="5">
        <v>0</v>
      </c>
      <c r="Q64" s="5">
        <v>0</v>
      </c>
      <c r="R64" s="5">
        <v>0</v>
      </c>
      <c r="S64" s="5">
        <v>0</v>
      </c>
      <c r="T64" s="5">
        <v>0</v>
      </c>
      <c r="U64" s="5">
        <v>0</v>
      </c>
      <c r="V64" s="5">
        <v>0</v>
      </c>
      <c r="W64" s="5">
        <v>0</v>
      </c>
      <c r="X64" s="5">
        <v>0</v>
      </c>
      <c r="Y64" s="5">
        <v>0</v>
      </c>
      <c r="Z64" s="5">
        <v>0.89500000000000002</v>
      </c>
      <c r="AA64" s="5">
        <v>2.54</v>
      </c>
      <c r="AB64" s="5">
        <v>3.54</v>
      </c>
      <c r="AC64" s="5">
        <v>2.645</v>
      </c>
      <c r="AD64" s="849">
        <v>3.395</v>
      </c>
      <c r="AE64" s="849">
        <v>2.645</v>
      </c>
      <c r="AF64" s="850">
        <v>0</v>
      </c>
      <c r="AG64" s="5">
        <v>0</v>
      </c>
      <c r="AH64" s="821">
        <v>0</v>
      </c>
      <c r="AI64" s="6" t="s">
        <v>273</v>
      </c>
      <c r="AJ64" s="820" t="s">
        <v>701</v>
      </c>
      <c r="AK64" s="820" t="s">
        <v>1640</v>
      </c>
      <c r="AL64" s="33"/>
      <c r="AM64" s="33"/>
      <c r="AN64" s="33">
        <v>1</v>
      </c>
      <c r="AO64" s="33"/>
      <c r="AP64" s="33"/>
      <c r="AQ64" s="842"/>
      <c r="AR64" s="820" t="s">
        <v>236</v>
      </c>
      <c r="AS64" s="829" t="s">
        <v>1764</v>
      </c>
      <c r="AT64" s="840" t="s">
        <v>1765</v>
      </c>
      <c r="AU64" s="829"/>
      <c r="AV64" s="919"/>
    </row>
    <row r="65" spans="1:48" ht="12.75" customHeight="1">
      <c r="A65" s="911" t="s">
        <v>658</v>
      </c>
      <c r="B65" s="820" t="s">
        <v>1766</v>
      </c>
      <c r="C65" s="5">
        <v>0</v>
      </c>
      <c r="D65" s="5">
        <v>0</v>
      </c>
      <c r="E65" s="5">
        <v>0</v>
      </c>
      <c r="F65" s="5">
        <v>0</v>
      </c>
      <c r="G65" s="5">
        <v>0</v>
      </c>
      <c r="H65" s="5">
        <v>0</v>
      </c>
      <c r="I65" s="5">
        <v>0</v>
      </c>
      <c r="J65" s="5">
        <v>0</v>
      </c>
      <c r="K65" s="5">
        <v>0</v>
      </c>
      <c r="L65" s="5">
        <v>0</v>
      </c>
      <c r="M65" s="5">
        <v>0</v>
      </c>
      <c r="N65" s="5">
        <v>0</v>
      </c>
      <c r="O65" s="5">
        <v>0</v>
      </c>
      <c r="P65" s="5">
        <v>0</v>
      </c>
      <c r="Q65" s="5">
        <v>0</v>
      </c>
      <c r="R65" s="5">
        <v>0</v>
      </c>
      <c r="S65" s="5">
        <v>0</v>
      </c>
      <c r="T65" s="5">
        <v>0</v>
      </c>
      <c r="U65" s="5">
        <v>0</v>
      </c>
      <c r="V65" s="913">
        <v>4.34</v>
      </c>
      <c r="W65" s="913">
        <v>4.33</v>
      </c>
      <c r="X65" s="913">
        <v>4.33</v>
      </c>
      <c r="Y65" s="913">
        <v>1</v>
      </c>
      <c r="Z65" s="913">
        <v>0</v>
      </c>
      <c r="AA65" s="5">
        <v>0</v>
      </c>
      <c r="AB65" s="5">
        <v>0</v>
      </c>
      <c r="AC65" s="826">
        <v>0</v>
      </c>
      <c r="AD65" s="914">
        <v>0</v>
      </c>
      <c r="AE65" s="914">
        <v>0</v>
      </c>
      <c r="AF65" s="915">
        <v>0</v>
      </c>
      <c r="AG65" s="913"/>
      <c r="AH65" s="916"/>
      <c r="AI65" s="6" t="s">
        <v>240</v>
      </c>
      <c r="AJ65" s="820" t="s">
        <v>403</v>
      </c>
      <c r="AK65" s="820" t="s">
        <v>1640</v>
      </c>
      <c r="AL65" s="33"/>
      <c r="AM65" s="33"/>
      <c r="AN65" s="33"/>
      <c r="AO65" s="33"/>
      <c r="AP65" s="33"/>
      <c r="AQ65" s="842"/>
      <c r="AR65" s="820" t="s">
        <v>236</v>
      </c>
      <c r="AS65" s="829" t="s">
        <v>1756</v>
      </c>
      <c r="AT65" s="829" t="s">
        <v>1767</v>
      </c>
      <c r="AU65" s="829" t="s">
        <v>1758</v>
      </c>
      <c r="AV65" s="919" t="s">
        <v>238</v>
      </c>
    </row>
    <row r="66" spans="1:48" ht="12.75" customHeight="1">
      <c r="A66" s="930" t="s">
        <v>658</v>
      </c>
      <c r="B66" s="820" t="s">
        <v>1768</v>
      </c>
      <c r="C66" s="5">
        <v>0</v>
      </c>
      <c r="D66" s="5">
        <v>0</v>
      </c>
      <c r="E66" s="5">
        <v>0</v>
      </c>
      <c r="F66" s="5">
        <v>0</v>
      </c>
      <c r="G66" s="5">
        <v>0</v>
      </c>
      <c r="H66" s="5">
        <v>0</v>
      </c>
      <c r="I66" s="5">
        <v>0</v>
      </c>
      <c r="J66" s="5">
        <v>0</v>
      </c>
      <c r="K66" s="5">
        <v>0</v>
      </c>
      <c r="L66" s="5">
        <v>0</v>
      </c>
      <c r="M66" s="5">
        <v>0</v>
      </c>
      <c r="N66" s="5">
        <v>0</v>
      </c>
      <c r="O66" s="5">
        <v>0</v>
      </c>
      <c r="P66" s="5">
        <v>0</v>
      </c>
      <c r="Q66" s="5">
        <v>0</v>
      </c>
      <c r="R66" s="5">
        <v>3.1</v>
      </c>
      <c r="S66" s="5">
        <v>4.6500000000000004</v>
      </c>
      <c r="T66" s="5">
        <v>5.7</v>
      </c>
      <c r="U66" s="5">
        <v>5.25</v>
      </c>
      <c r="V66" s="5">
        <v>2</v>
      </c>
      <c r="W66" s="5">
        <v>1</v>
      </c>
      <c r="X66" s="5">
        <v>0</v>
      </c>
      <c r="Y66" s="5">
        <v>0</v>
      </c>
      <c r="Z66" s="5">
        <v>0</v>
      </c>
      <c r="AA66" s="5">
        <v>0</v>
      </c>
      <c r="AB66" s="5">
        <v>0</v>
      </c>
      <c r="AC66" s="826">
        <v>0</v>
      </c>
      <c r="AD66" s="914">
        <v>0</v>
      </c>
      <c r="AE66" s="914">
        <v>0</v>
      </c>
      <c r="AF66" s="915">
        <v>0</v>
      </c>
      <c r="AG66" s="913"/>
      <c r="AH66" s="916"/>
      <c r="AI66" s="6" t="s">
        <v>240</v>
      </c>
      <c r="AJ66" s="820" t="s">
        <v>403</v>
      </c>
      <c r="AK66" s="820" t="s">
        <v>1640</v>
      </c>
      <c r="AL66" s="33"/>
      <c r="AM66" s="33"/>
      <c r="AN66" s="33"/>
      <c r="AO66" s="33"/>
      <c r="AP66" s="33"/>
      <c r="AQ66" s="842"/>
      <c r="AR66" s="820" t="s">
        <v>236</v>
      </c>
      <c r="AS66" s="829" t="s">
        <v>1756</v>
      </c>
      <c r="AT66" s="362" t="s">
        <v>1769</v>
      </c>
      <c r="AU66" s="829" t="s">
        <v>1770</v>
      </c>
      <c r="AV66" s="919" t="s">
        <v>238</v>
      </c>
    </row>
    <row r="67" spans="1:48" ht="12.75" customHeight="1">
      <c r="A67" s="911" t="s">
        <v>658</v>
      </c>
      <c r="B67" s="820" t="s">
        <v>1771</v>
      </c>
      <c r="C67" s="5">
        <v>0</v>
      </c>
      <c r="D67" s="5">
        <v>0</v>
      </c>
      <c r="E67" s="5">
        <v>0</v>
      </c>
      <c r="F67" s="5">
        <v>0</v>
      </c>
      <c r="G67" s="5">
        <v>0</v>
      </c>
      <c r="H67" s="5">
        <v>0</v>
      </c>
      <c r="I67" s="5">
        <v>0</v>
      </c>
      <c r="J67" s="5">
        <v>0</v>
      </c>
      <c r="K67" s="5">
        <v>0</v>
      </c>
      <c r="L67" s="5">
        <v>0</v>
      </c>
      <c r="M67" s="5">
        <v>0</v>
      </c>
      <c r="N67" s="5">
        <v>0</v>
      </c>
      <c r="O67" s="5">
        <v>0</v>
      </c>
      <c r="P67" s="5">
        <v>0</v>
      </c>
      <c r="Q67" s="5">
        <v>0</v>
      </c>
      <c r="R67" s="5">
        <v>0</v>
      </c>
      <c r="S67" s="5">
        <v>0</v>
      </c>
      <c r="T67" s="5">
        <v>0</v>
      </c>
      <c r="U67" s="5">
        <v>0</v>
      </c>
      <c r="V67" s="913">
        <v>0</v>
      </c>
      <c r="W67" s="913">
        <v>0</v>
      </c>
      <c r="X67" s="913">
        <v>0</v>
      </c>
      <c r="Y67" s="913">
        <v>1.046</v>
      </c>
      <c r="Z67" s="913">
        <v>1.732</v>
      </c>
      <c r="AA67" s="5">
        <v>2.8250000000000002</v>
      </c>
      <c r="AB67" s="5">
        <v>2.8239999999999998</v>
      </c>
      <c r="AC67" s="826">
        <v>0.499</v>
      </c>
      <c r="AD67" s="914">
        <v>0</v>
      </c>
      <c r="AE67" s="914">
        <v>0</v>
      </c>
      <c r="AF67" s="915">
        <v>0</v>
      </c>
      <c r="AG67" s="913"/>
      <c r="AH67" s="916"/>
      <c r="AI67" s="6" t="s">
        <v>273</v>
      </c>
      <c r="AJ67" s="820" t="s">
        <v>701</v>
      </c>
      <c r="AK67" s="820" t="s">
        <v>1640</v>
      </c>
      <c r="AL67" s="33"/>
      <c r="AM67" s="33"/>
      <c r="AN67" s="33"/>
      <c r="AO67" s="33"/>
      <c r="AP67" s="33"/>
      <c r="AQ67" s="842"/>
      <c r="AR67" s="820" t="s">
        <v>236</v>
      </c>
      <c r="AS67" s="829" t="s">
        <v>1772</v>
      </c>
      <c r="AT67" s="829" t="s">
        <v>1773</v>
      </c>
      <c r="AU67" s="829" t="s">
        <v>238</v>
      </c>
      <c r="AV67" s="919" t="s">
        <v>238</v>
      </c>
    </row>
    <row r="68" spans="1:48" ht="12.75" customHeight="1">
      <c r="A68" s="911" t="s">
        <v>658</v>
      </c>
      <c r="B68" s="820" t="s">
        <v>1774</v>
      </c>
      <c r="C68" s="5">
        <v>0</v>
      </c>
      <c r="D68" s="5">
        <v>0</v>
      </c>
      <c r="E68" s="5">
        <v>0</v>
      </c>
      <c r="F68" s="5">
        <v>0</v>
      </c>
      <c r="G68" s="5">
        <v>0</v>
      </c>
      <c r="H68" s="5">
        <v>0</v>
      </c>
      <c r="I68" s="5">
        <v>0</v>
      </c>
      <c r="J68" s="5">
        <v>0</v>
      </c>
      <c r="K68" s="5">
        <v>0</v>
      </c>
      <c r="L68" s="5">
        <v>0</v>
      </c>
      <c r="M68" s="5">
        <v>0</v>
      </c>
      <c r="N68" s="5">
        <v>0</v>
      </c>
      <c r="O68" s="5">
        <v>0</v>
      </c>
      <c r="P68" s="5">
        <v>0</v>
      </c>
      <c r="Q68" s="5">
        <v>0</v>
      </c>
      <c r="R68" s="5">
        <v>0</v>
      </c>
      <c r="S68" s="5">
        <v>0</v>
      </c>
      <c r="T68" s="5">
        <v>0</v>
      </c>
      <c r="U68" s="5">
        <v>0.25</v>
      </c>
      <c r="V68" s="913">
        <v>0.86599999999999999</v>
      </c>
      <c r="W68" s="913">
        <v>1.675</v>
      </c>
      <c r="X68" s="913">
        <v>1.617</v>
      </c>
      <c r="Y68" s="913">
        <v>0.625</v>
      </c>
      <c r="Z68" s="913">
        <v>6.7000000000000004E-2</v>
      </c>
      <c r="AA68" s="5">
        <v>0</v>
      </c>
      <c r="AB68" s="5">
        <v>0</v>
      </c>
      <c r="AC68" s="826">
        <v>0</v>
      </c>
      <c r="AD68" s="914">
        <v>0</v>
      </c>
      <c r="AE68" s="914">
        <v>0</v>
      </c>
      <c r="AF68" s="915">
        <v>0</v>
      </c>
      <c r="AG68" s="913"/>
      <c r="AH68" s="916"/>
      <c r="AI68" s="6" t="s">
        <v>273</v>
      </c>
      <c r="AJ68" s="820" t="s">
        <v>701</v>
      </c>
      <c r="AK68" s="820" t="s">
        <v>1640</v>
      </c>
      <c r="AL68" s="33"/>
      <c r="AM68" s="33"/>
      <c r="AN68" s="33"/>
      <c r="AO68" s="33"/>
      <c r="AP68" s="33"/>
      <c r="AQ68" s="842"/>
      <c r="AR68" s="820" t="s">
        <v>236</v>
      </c>
      <c r="AS68" s="829" t="s">
        <v>1775</v>
      </c>
      <c r="AT68" s="829" t="s">
        <v>1776</v>
      </c>
      <c r="AU68" s="829" t="s">
        <v>1777</v>
      </c>
      <c r="AV68" s="919" t="s">
        <v>238</v>
      </c>
    </row>
    <row r="69" spans="1:48" ht="12.75" customHeight="1">
      <c r="A69" s="911" t="s">
        <v>658</v>
      </c>
      <c r="B69" s="820" t="s">
        <v>1778</v>
      </c>
      <c r="C69" s="5">
        <v>0</v>
      </c>
      <c r="D69" s="5">
        <v>0</v>
      </c>
      <c r="E69" s="5">
        <v>0</v>
      </c>
      <c r="F69" s="5">
        <v>0</v>
      </c>
      <c r="G69" s="5">
        <v>0</v>
      </c>
      <c r="H69" s="5">
        <v>0</v>
      </c>
      <c r="I69" s="5">
        <v>0</v>
      </c>
      <c r="J69" s="5">
        <v>0</v>
      </c>
      <c r="K69" s="5">
        <v>0</v>
      </c>
      <c r="L69" s="5">
        <v>0</v>
      </c>
      <c r="M69" s="5">
        <v>0</v>
      </c>
      <c r="N69" s="5">
        <v>0</v>
      </c>
      <c r="O69" s="5">
        <v>0</v>
      </c>
      <c r="P69" s="5">
        <v>0</v>
      </c>
      <c r="Q69" s="5">
        <v>0</v>
      </c>
      <c r="R69" s="5">
        <v>0</v>
      </c>
      <c r="S69" s="5">
        <v>0</v>
      </c>
      <c r="T69" s="5">
        <v>1</v>
      </c>
      <c r="U69" s="5">
        <v>3.6</v>
      </c>
      <c r="V69" s="913">
        <v>3.7</v>
      </c>
      <c r="W69" s="913">
        <v>3.2</v>
      </c>
      <c r="X69" s="913">
        <v>0</v>
      </c>
      <c r="Y69" s="913">
        <v>0</v>
      </c>
      <c r="Z69" s="913">
        <v>0.55000000000000004</v>
      </c>
      <c r="AA69" s="826">
        <v>0.55000000000000004</v>
      </c>
      <c r="AB69" s="826">
        <v>0.55000000000000004</v>
      </c>
      <c r="AC69" s="826">
        <v>1.25</v>
      </c>
      <c r="AD69" s="914">
        <v>0</v>
      </c>
      <c r="AE69" s="914">
        <v>0</v>
      </c>
      <c r="AF69" s="915">
        <v>0</v>
      </c>
      <c r="AG69" s="913"/>
      <c r="AH69" s="916"/>
      <c r="AI69" s="6" t="s">
        <v>240</v>
      </c>
      <c r="AJ69" s="820" t="s">
        <v>403</v>
      </c>
      <c r="AK69" s="820" t="s">
        <v>1640</v>
      </c>
      <c r="AL69" s="33"/>
      <c r="AM69" s="33"/>
      <c r="AN69" s="33"/>
      <c r="AO69" s="33"/>
      <c r="AP69" s="33"/>
      <c r="AQ69" s="842"/>
      <c r="AR69" s="820" t="s">
        <v>236</v>
      </c>
      <c r="AS69" s="829" t="s">
        <v>1779</v>
      </c>
      <c r="AT69" s="829" t="s">
        <v>1780</v>
      </c>
      <c r="AU69" s="829" t="s">
        <v>1781</v>
      </c>
      <c r="AV69" s="919" t="s">
        <v>238</v>
      </c>
    </row>
    <row r="70" spans="1:48" ht="12.75" customHeight="1">
      <c r="A70" s="930" t="s">
        <v>658</v>
      </c>
      <c r="B70" s="820" t="s">
        <v>1782</v>
      </c>
      <c r="C70" s="5">
        <v>0</v>
      </c>
      <c r="D70" s="5">
        <v>0</v>
      </c>
      <c r="E70" s="5">
        <v>0</v>
      </c>
      <c r="F70" s="5">
        <v>0</v>
      </c>
      <c r="G70" s="5">
        <v>0</v>
      </c>
      <c r="H70" s="5">
        <v>0</v>
      </c>
      <c r="I70" s="5">
        <v>0</v>
      </c>
      <c r="J70" s="5">
        <v>0</v>
      </c>
      <c r="K70" s="5">
        <v>0</v>
      </c>
      <c r="L70" s="5">
        <v>0</v>
      </c>
      <c r="M70" s="5">
        <v>0</v>
      </c>
      <c r="N70" s="5">
        <v>0</v>
      </c>
      <c r="O70" s="5">
        <v>0</v>
      </c>
      <c r="P70" s="5">
        <v>0</v>
      </c>
      <c r="Q70" s="5">
        <v>0</v>
      </c>
      <c r="R70" s="5">
        <v>0</v>
      </c>
      <c r="S70" s="5">
        <v>0</v>
      </c>
      <c r="T70" s="5">
        <v>0</v>
      </c>
      <c r="U70" s="5">
        <v>0</v>
      </c>
      <c r="V70" s="913">
        <v>0</v>
      </c>
      <c r="W70" s="913">
        <v>0</v>
      </c>
      <c r="X70" s="913">
        <v>0</v>
      </c>
      <c r="Y70" s="913">
        <v>0</v>
      </c>
      <c r="Z70" s="913">
        <v>0</v>
      </c>
      <c r="AA70" s="5">
        <v>0</v>
      </c>
      <c r="AB70" s="5">
        <v>1.625</v>
      </c>
      <c r="AC70" s="826">
        <v>3.6960000000000002</v>
      </c>
      <c r="AD70" s="914">
        <v>3.3029999999999999</v>
      </c>
      <c r="AE70" s="914">
        <v>2.8860000000000001</v>
      </c>
      <c r="AF70" s="915">
        <v>2.5179999999999998</v>
      </c>
      <c r="AG70" s="913">
        <v>2.0830000000000002</v>
      </c>
      <c r="AH70" s="916">
        <v>1.417</v>
      </c>
      <c r="AI70" s="6" t="s">
        <v>240</v>
      </c>
      <c r="AJ70" s="820" t="s">
        <v>403</v>
      </c>
      <c r="AK70" s="820" t="s">
        <v>1748</v>
      </c>
      <c r="AL70" s="33"/>
      <c r="AM70" s="33"/>
      <c r="AN70" s="33"/>
      <c r="AO70" s="33"/>
      <c r="AP70" s="33"/>
      <c r="AQ70" s="842">
        <v>1</v>
      </c>
      <c r="AR70" s="820" t="s">
        <v>236</v>
      </c>
      <c r="AS70" s="829" t="s">
        <v>1783</v>
      </c>
      <c r="AT70" s="362" t="s">
        <v>1784</v>
      </c>
      <c r="AU70" s="829" t="s">
        <v>238</v>
      </c>
      <c r="AV70" s="919" t="s">
        <v>238</v>
      </c>
    </row>
    <row r="71" spans="1:48" ht="12.75" customHeight="1">
      <c r="A71" s="911" t="s">
        <v>658</v>
      </c>
      <c r="B71" s="820" t="s">
        <v>1785</v>
      </c>
      <c r="C71" s="5">
        <v>0</v>
      </c>
      <c r="D71" s="5">
        <v>0</v>
      </c>
      <c r="E71" s="5">
        <v>0</v>
      </c>
      <c r="F71" s="5">
        <v>0</v>
      </c>
      <c r="G71" s="5">
        <v>0</v>
      </c>
      <c r="H71" s="5">
        <v>0</v>
      </c>
      <c r="I71" s="5">
        <v>0</v>
      </c>
      <c r="J71" s="5">
        <v>0</v>
      </c>
      <c r="K71" s="5">
        <v>0</v>
      </c>
      <c r="L71" s="5">
        <v>0</v>
      </c>
      <c r="M71" s="5">
        <v>0</v>
      </c>
      <c r="N71" s="5">
        <v>0</v>
      </c>
      <c r="O71" s="5">
        <v>0</v>
      </c>
      <c r="P71" s="5">
        <v>0</v>
      </c>
      <c r="Q71" s="5">
        <v>0</v>
      </c>
      <c r="R71" s="5">
        <v>0</v>
      </c>
      <c r="S71" s="5">
        <v>0</v>
      </c>
      <c r="T71" s="5">
        <v>0</v>
      </c>
      <c r="U71" s="5">
        <v>0</v>
      </c>
      <c r="V71" s="913">
        <v>0</v>
      </c>
      <c r="W71" s="913">
        <v>0</v>
      </c>
      <c r="X71" s="913">
        <v>0</v>
      </c>
      <c r="Y71" s="913"/>
      <c r="Z71" s="913">
        <v>3.3</v>
      </c>
      <c r="AA71" s="5">
        <v>6.12</v>
      </c>
      <c r="AB71" s="5">
        <v>5.9249999999999998</v>
      </c>
      <c r="AC71" s="826">
        <v>6.5250000000000004</v>
      </c>
      <c r="AD71" s="914">
        <v>5.45</v>
      </c>
      <c r="AE71" s="914">
        <v>0</v>
      </c>
      <c r="AF71" s="915">
        <v>0</v>
      </c>
      <c r="AG71" s="913"/>
      <c r="AH71" s="916"/>
      <c r="AI71" s="6" t="s">
        <v>273</v>
      </c>
      <c r="AJ71" s="820" t="s">
        <v>701</v>
      </c>
      <c r="AK71" s="820" t="s">
        <v>1640</v>
      </c>
      <c r="AL71" s="33"/>
      <c r="AM71" s="33"/>
      <c r="AN71" s="33"/>
      <c r="AO71" s="33"/>
      <c r="AP71" s="33"/>
      <c r="AQ71" s="842"/>
      <c r="AR71" s="820" t="s">
        <v>236</v>
      </c>
      <c r="AS71" s="829" t="s">
        <v>1786</v>
      </c>
      <c r="AT71" s="829" t="s">
        <v>1787</v>
      </c>
      <c r="AU71" s="829" t="s">
        <v>238</v>
      </c>
      <c r="AV71" s="919" t="s">
        <v>238</v>
      </c>
    </row>
    <row r="72" spans="1:48" ht="12.75" customHeight="1">
      <c r="A72" s="930" t="s">
        <v>658</v>
      </c>
      <c r="B72" s="820" t="s">
        <v>1788</v>
      </c>
      <c r="C72" s="5">
        <v>0</v>
      </c>
      <c r="D72" s="5">
        <v>0</v>
      </c>
      <c r="E72" s="5">
        <v>0</v>
      </c>
      <c r="F72" s="5">
        <v>0</v>
      </c>
      <c r="G72" s="5">
        <v>0</v>
      </c>
      <c r="H72" s="5">
        <v>0</v>
      </c>
      <c r="I72" s="5">
        <v>0</v>
      </c>
      <c r="J72" s="5">
        <v>0</v>
      </c>
      <c r="K72" s="5">
        <v>0</v>
      </c>
      <c r="L72" s="5">
        <v>0</v>
      </c>
      <c r="M72" s="5">
        <v>0</v>
      </c>
      <c r="N72" s="5">
        <v>0</v>
      </c>
      <c r="O72" s="5">
        <v>0</v>
      </c>
      <c r="P72" s="5">
        <v>0</v>
      </c>
      <c r="Q72" s="5">
        <v>0</v>
      </c>
      <c r="R72" s="5">
        <v>0</v>
      </c>
      <c r="S72" s="5">
        <v>0</v>
      </c>
      <c r="T72" s="5">
        <v>0</v>
      </c>
      <c r="U72" s="5">
        <v>0</v>
      </c>
      <c r="V72" s="913">
        <v>0</v>
      </c>
      <c r="W72" s="913">
        <v>0</v>
      </c>
      <c r="X72" s="913">
        <v>0.22</v>
      </c>
      <c r="Y72" s="913">
        <v>0.31</v>
      </c>
      <c r="Z72" s="913">
        <v>0.35</v>
      </c>
      <c r="AA72" s="5">
        <v>0.3</v>
      </c>
      <c r="AB72" s="5">
        <v>0</v>
      </c>
      <c r="AC72" s="826">
        <v>0</v>
      </c>
      <c r="AD72" s="914">
        <v>0</v>
      </c>
      <c r="AE72" s="914">
        <v>0</v>
      </c>
      <c r="AF72" s="915">
        <v>0</v>
      </c>
      <c r="AG72" s="913"/>
      <c r="AH72" s="916"/>
      <c r="AI72" s="6" t="s">
        <v>240</v>
      </c>
      <c r="AJ72" s="820" t="s">
        <v>403</v>
      </c>
      <c r="AK72" s="820" t="s">
        <v>1640</v>
      </c>
      <c r="AL72" s="33"/>
      <c r="AM72" s="33"/>
      <c r="AN72" s="33"/>
      <c r="AO72" s="33"/>
      <c r="AP72" s="33"/>
      <c r="AQ72" s="842"/>
      <c r="AR72" s="820" t="s">
        <v>236</v>
      </c>
      <c r="AS72" s="829" t="s">
        <v>1789</v>
      </c>
      <c r="AT72" s="362" t="s">
        <v>1790</v>
      </c>
      <c r="AU72" s="829" t="s">
        <v>1791</v>
      </c>
      <c r="AV72" s="919" t="s">
        <v>238</v>
      </c>
    </row>
    <row r="73" spans="1:48" ht="12.75" customHeight="1">
      <c r="A73" s="930" t="s">
        <v>658</v>
      </c>
      <c r="B73" s="820" t="s">
        <v>1792</v>
      </c>
      <c r="C73" s="5">
        <v>0</v>
      </c>
      <c r="D73" s="5">
        <v>0</v>
      </c>
      <c r="E73" s="5">
        <v>0</v>
      </c>
      <c r="F73" s="5">
        <v>0</v>
      </c>
      <c r="G73" s="5">
        <v>0</v>
      </c>
      <c r="H73" s="5">
        <v>0</v>
      </c>
      <c r="I73" s="5">
        <v>0</v>
      </c>
      <c r="J73" s="5">
        <v>0</v>
      </c>
      <c r="K73" s="5">
        <v>0</v>
      </c>
      <c r="L73" s="5">
        <v>0</v>
      </c>
      <c r="M73" s="5">
        <v>0</v>
      </c>
      <c r="N73" s="5">
        <v>0</v>
      </c>
      <c r="O73" s="5">
        <v>0</v>
      </c>
      <c r="P73" s="5">
        <v>0</v>
      </c>
      <c r="Q73" s="5">
        <v>0</v>
      </c>
      <c r="R73" s="5">
        <v>0</v>
      </c>
      <c r="S73" s="5">
        <v>0</v>
      </c>
      <c r="T73" s="5">
        <v>0</v>
      </c>
      <c r="U73" s="5">
        <v>0</v>
      </c>
      <c r="V73" s="5">
        <v>0</v>
      </c>
      <c r="W73" s="5">
        <v>0</v>
      </c>
      <c r="X73" s="5">
        <v>0</v>
      </c>
      <c r="Y73" s="5">
        <v>0</v>
      </c>
      <c r="Z73" s="5">
        <v>0</v>
      </c>
      <c r="AA73" s="5">
        <v>0</v>
      </c>
      <c r="AB73" s="5">
        <v>0</v>
      </c>
      <c r="AC73" s="826">
        <v>0</v>
      </c>
      <c r="AD73" s="914">
        <v>5.23</v>
      </c>
      <c r="AE73" s="914">
        <v>6.157</v>
      </c>
      <c r="AF73" s="915">
        <v>10.048999999999999</v>
      </c>
      <c r="AG73" s="913">
        <v>10.346</v>
      </c>
      <c r="AH73" s="916"/>
      <c r="AI73" s="6" t="s">
        <v>273</v>
      </c>
      <c r="AJ73" s="820" t="s">
        <v>701</v>
      </c>
      <c r="AK73" s="820" t="s">
        <v>1640</v>
      </c>
      <c r="AL73" s="33">
        <v>1</v>
      </c>
      <c r="AM73" s="33"/>
      <c r="AN73" s="33"/>
      <c r="AO73" s="33"/>
      <c r="AP73" s="33"/>
      <c r="AQ73" s="842"/>
      <c r="AR73" s="820" t="s">
        <v>236</v>
      </c>
      <c r="AS73" s="829" t="s">
        <v>1793</v>
      </c>
      <c r="AT73" s="362" t="s">
        <v>1794</v>
      </c>
      <c r="AU73" s="829"/>
      <c r="AV73" s="919"/>
    </row>
    <row r="74" spans="1:48" ht="12.75" customHeight="1">
      <c r="A74" s="930" t="s">
        <v>658</v>
      </c>
      <c r="B74" s="820" t="s">
        <v>1795</v>
      </c>
      <c r="C74" s="5">
        <v>0</v>
      </c>
      <c r="D74" s="5">
        <v>0</v>
      </c>
      <c r="E74" s="5">
        <v>0</v>
      </c>
      <c r="F74" s="5">
        <v>0</v>
      </c>
      <c r="G74" s="5">
        <v>0</v>
      </c>
      <c r="H74" s="5">
        <v>0</v>
      </c>
      <c r="I74" s="5">
        <v>0</v>
      </c>
      <c r="J74" s="5">
        <v>0</v>
      </c>
      <c r="K74" s="5">
        <v>0</v>
      </c>
      <c r="L74" s="5">
        <v>0</v>
      </c>
      <c r="M74" s="5">
        <v>0</v>
      </c>
      <c r="N74" s="5">
        <v>0</v>
      </c>
      <c r="O74" s="5">
        <v>0</v>
      </c>
      <c r="P74" s="5">
        <v>0</v>
      </c>
      <c r="Q74" s="5">
        <v>0</v>
      </c>
      <c r="R74" s="5">
        <v>0</v>
      </c>
      <c r="S74" s="5">
        <v>0</v>
      </c>
      <c r="T74" s="5">
        <v>0</v>
      </c>
      <c r="U74" s="5">
        <v>0</v>
      </c>
      <c r="V74" s="913">
        <v>0</v>
      </c>
      <c r="W74" s="913">
        <v>0</v>
      </c>
      <c r="X74" s="913">
        <v>0</v>
      </c>
      <c r="Y74" s="913">
        <v>0</v>
      </c>
      <c r="Z74" s="913">
        <v>0</v>
      </c>
      <c r="AA74" s="5">
        <v>0.53</v>
      </c>
      <c r="AB74" s="5">
        <v>3.1440000000000001</v>
      </c>
      <c r="AC74" s="826">
        <v>2.5019999999999998</v>
      </c>
      <c r="AD74" s="914">
        <v>7</v>
      </c>
      <c r="AE74" s="914">
        <v>5.7610000000000001</v>
      </c>
      <c r="AF74" s="915">
        <v>4.9960000000000004</v>
      </c>
      <c r="AG74" s="913">
        <v>0</v>
      </c>
      <c r="AH74" s="916">
        <v>0</v>
      </c>
      <c r="AI74" s="6" t="s">
        <v>240</v>
      </c>
      <c r="AJ74" s="820" t="s">
        <v>403</v>
      </c>
      <c r="AK74" s="820" t="s">
        <v>1748</v>
      </c>
      <c r="AL74" s="33"/>
      <c r="AM74" s="33"/>
      <c r="AN74" s="33"/>
      <c r="AO74" s="33"/>
      <c r="AP74" s="33"/>
      <c r="AQ74" s="842">
        <v>1</v>
      </c>
      <c r="AR74" s="820" t="s">
        <v>251</v>
      </c>
      <c r="AS74" s="829" t="s">
        <v>1796</v>
      </c>
      <c r="AT74" s="362" t="s">
        <v>1797</v>
      </c>
      <c r="AU74" s="829" t="s">
        <v>238</v>
      </c>
      <c r="AV74" s="919" t="s">
        <v>238</v>
      </c>
    </row>
    <row r="75" spans="1:48" ht="12.75" customHeight="1">
      <c r="A75" s="930" t="s">
        <v>1798</v>
      </c>
      <c r="B75" s="820" t="s">
        <v>1799</v>
      </c>
      <c r="C75" s="5">
        <v>0</v>
      </c>
      <c r="D75" s="5">
        <v>0</v>
      </c>
      <c r="E75" s="5">
        <v>0</v>
      </c>
      <c r="F75" s="5">
        <v>0</v>
      </c>
      <c r="G75" s="5">
        <v>0</v>
      </c>
      <c r="H75" s="5">
        <v>0</v>
      </c>
      <c r="I75" s="5">
        <v>0</v>
      </c>
      <c r="J75" s="5">
        <v>0</v>
      </c>
      <c r="K75" s="5">
        <v>0</v>
      </c>
      <c r="L75" s="5">
        <v>0</v>
      </c>
      <c r="M75" s="5">
        <v>0</v>
      </c>
      <c r="N75" s="5">
        <v>0</v>
      </c>
      <c r="O75" s="5">
        <v>0</v>
      </c>
      <c r="P75" s="5">
        <v>0</v>
      </c>
      <c r="Q75" s="5">
        <v>0</v>
      </c>
      <c r="R75" s="5">
        <v>0</v>
      </c>
      <c r="S75" s="5">
        <v>0</v>
      </c>
      <c r="T75" s="5">
        <v>0</v>
      </c>
      <c r="U75" s="5">
        <v>0</v>
      </c>
      <c r="V75" s="913">
        <v>0</v>
      </c>
      <c r="W75" s="913">
        <v>0</v>
      </c>
      <c r="X75" s="913">
        <v>0</v>
      </c>
      <c r="Y75" s="913">
        <v>0</v>
      </c>
      <c r="Z75" s="913">
        <v>0</v>
      </c>
      <c r="AA75" s="5">
        <v>0</v>
      </c>
      <c r="AB75" s="5">
        <v>0</v>
      </c>
      <c r="AC75" s="826">
        <v>0.5</v>
      </c>
      <c r="AD75" s="914">
        <v>1.504</v>
      </c>
      <c r="AE75" s="914">
        <v>0.503</v>
      </c>
      <c r="AF75" s="915">
        <v>0</v>
      </c>
      <c r="AG75" s="913"/>
      <c r="AH75" s="916"/>
      <c r="AI75" s="6" t="s">
        <v>233</v>
      </c>
      <c r="AJ75" s="820" t="s">
        <v>389</v>
      </c>
      <c r="AK75" s="820" t="s">
        <v>1691</v>
      </c>
      <c r="AL75" s="33"/>
      <c r="AM75" s="33"/>
      <c r="AN75" s="33"/>
      <c r="AO75" s="33"/>
      <c r="AP75" s="33">
        <v>1</v>
      </c>
      <c r="AQ75" s="842"/>
      <c r="AR75" s="820" t="s">
        <v>236</v>
      </c>
      <c r="AS75" s="829" t="s">
        <v>1800</v>
      </c>
      <c r="AT75" s="362" t="s">
        <v>238</v>
      </c>
      <c r="AU75" s="829" t="s">
        <v>244</v>
      </c>
      <c r="AV75" s="919" t="s">
        <v>238</v>
      </c>
    </row>
    <row r="76" spans="1:48" ht="12.75" customHeight="1">
      <c r="A76" s="930" t="s">
        <v>1798</v>
      </c>
      <c r="B76" s="820" t="s">
        <v>1801</v>
      </c>
      <c r="C76" s="5">
        <v>0</v>
      </c>
      <c r="D76" s="5">
        <v>0</v>
      </c>
      <c r="E76" s="5">
        <v>0</v>
      </c>
      <c r="F76" s="5">
        <v>0</v>
      </c>
      <c r="G76" s="5">
        <v>0</v>
      </c>
      <c r="H76" s="5">
        <v>0</v>
      </c>
      <c r="I76" s="5">
        <v>0</v>
      </c>
      <c r="J76" s="5">
        <v>0</v>
      </c>
      <c r="K76" s="5">
        <v>0</v>
      </c>
      <c r="L76" s="5">
        <v>0</v>
      </c>
      <c r="M76" s="5">
        <v>0</v>
      </c>
      <c r="N76" s="5">
        <v>0</v>
      </c>
      <c r="O76" s="5">
        <v>0</v>
      </c>
      <c r="P76" s="5">
        <v>0</v>
      </c>
      <c r="Q76" s="5">
        <v>0</v>
      </c>
      <c r="R76" s="5">
        <v>0</v>
      </c>
      <c r="S76" s="5">
        <v>0</v>
      </c>
      <c r="T76" s="5">
        <v>1.8779999999999999</v>
      </c>
      <c r="U76" s="5">
        <v>16.251000000000001</v>
      </c>
      <c r="V76" s="5">
        <v>15.574</v>
      </c>
      <c r="W76" s="5">
        <v>15.316000000000001</v>
      </c>
      <c r="X76" s="5">
        <v>1.994</v>
      </c>
      <c r="Y76" s="5">
        <v>0</v>
      </c>
      <c r="Z76" s="5">
        <v>0</v>
      </c>
      <c r="AA76" s="5">
        <v>0</v>
      </c>
      <c r="AB76" s="5">
        <v>0</v>
      </c>
      <c r="AC76" s="5">
        <v>0</v>
      </c>
      <c r="AD76" s="914">
        <v>0</v>
      </c>
      <c r="AE76" s="914">
        <v>0</v>
      </c>
      <c r="AF76" s="915">
        <v>0</v>
      </c>
      <c r="AG76" s="913"/>
      <c r="AH76" s="916"/>
      <c r="AI76" s="6" t="s">
        <v>233</v>
      </c>
      <c r="AJ76" s="820" t="s">
        <v>403</v>
      </c>
      <c r="AK76" s="820" t="s">
        <v>1691</v>
      </c>
      <c r="AL76" s="33"/>
      <c r="AM76" s="33"/>
      <c r="AN76" s="33"/>
      <c r="AO76" s="33"/>
      <c r="AP76" s="33"/>
      <c r="AQ76" s="842"/>
      <c r="AR76" s="820" t="s">
        <v>236</v>
      </c>
      <c r="AS76" s="829" t="s">
        <v>1802</v>
      </c>
      <c r="AT76" s="362" t="s">
        <v>1803</v>
      </c>
      <c r="AU76" s="829" t="s">
        <v>1777</v>
      </c>
      <c r="AV76" s="919" t="s">
        <v>238</v>
      </c>
    </row>
    <row r="77" spans="1:48" ht="12.75" customHeight="1">
      <c r="A77" s="930" t="s">
        <v>1804</v>
      </c>
      <c r="B77" s="820" t="s">
        <v>1751</v>
      </c>
      <c r="C77" s="5">
        <v>0</v>
      </c>
      <c r="D77" s="5">
        <v>0</v>
      </c>
      <c r="E77" s="5">
        <v>0</v>
      </c>
      <c r="F77" s="5">
        <v>0</v>
      </c>
      <c r="G77" s="5">
        <v>0</v>
      </c>
      <c r="H77" s="5">
        <v>0</v>
      </c>
      <c r="I77" s="5">
        <v>0</v>
      </c>
      <c r="J77" s="5">
        <v>0</v>
      </c>
      <c r="K77" s="5">
        <v>0</v>
      </c>
      <c r="L77" s="5">
        <v>0</v>
      </c>
      <c r="M77" s="5">
        <v>0</v>
      </c>
      <c r="N77" s="5">
        <v>0</v>
      </c>
      <c r="O77" s="5">
        <v>0</v>
      </c>
      <c r="P77" s="5">
        <v>0</v>
      </c>
      <c r="Q77" s="5">
        <v>0</v>
      </c>
      <c r="R77" s="5">
        <v>0</v>
      </c>
      <c r="S77" s="5">
        <v>0</v>
      </c>
      <c r="T77" s="5">
        <v>0</v>
      </c>
      <c r="U77" s="5">
        <v>0</v>
      </c>
      <c r="V77" s="5">
        <v>0</v>
      </c>
      <c r="W77" s="5">
        <v>1.3</v>
      </c>
      <c r="X77" s="913">
        <v>4.4000000000000004</v>
      </c>
      <c r="Y77" s="913">
        <v>1.1000000000000001</v>
      </c>
      <c r="Z77" s="913">
        <v>0</v>
      </c>
      <c r="AA77" s="5">
        <v>0</v>
      </c>
      <c r="AB77" s="5">
        <v>0</v>
      </c>
      <c r="AC77" s="5">
        <v>0</v>
      </c>
      <c r="AD77" s="914">
        <v>0</v>
      </c>
      <c r="AE77" s="914">
        <v>0</v>
      </c>
      <c r="AF77" s="915">
        <v>0</v>
      </c>
      <c r="AG77" s="913"/>
      <c r="AH77" s="916"/>
      <c r="AI77" s="6" t="s">
        <v>240</v>
      </c>
      <c r="AJ77" s="820" t="s">
        <v>362</v>
      </c>
      <c r="AK77" s="820" t="s">
        <v>1663</v>
      </c>
      <c r="AL77" s="33"/>
      <c r="AM77" s="33"/>
      <c r="AN77" s="33"/>
      <c r="AO77" s="33"/>
      <c r="AP77" s="33"/>
      <c r="AQ77" s="842"/>
      <c r="AR77" s="820" t="s">
        <v>236</v>
      </c>
      <c r="AS77" s="829" t="s">
        <v>1752</v>
      </c>
      <c r="AT77" s="362" t="s">
        <v>1753</v>
      </c>
      <c r="AU77" s="829" t="s">
        <v>1754</v>
      </c>
      <c r="AV77" s="919" t="s">
        <v>238</v>
      </c>
    </row>
    <row r="78" spans="1:48" ht="12.75" customHeight="1">
      <c r="A78" s="930" t="s">
        <v>819</v>
      </c>
      <c r="B78" s="820" t="s">
        <v>1805</v>
      </c>
      <c r="C78" s="5">
        <v>0</v>
      </c>
      <c r="D78" s="5">
        <v>0</v>
      </c>
      <c r="E78" s="5">
        <v>0</v>
      </c>
      <c r="F78" s="5">
        <v>0</v>
      </c>
      <c r="G78" s="5">
        <v>0</v>
      </c>
      <c r="H78" s="5">
        <v>0</v>
      </c>
      <c r="I78" s="5">
        <v>0</v>
      </c>
      <c r="J78" s="5">
        <v>0</v>
      </c>
      <c r="K78" s="5">
        <v>0</v>
      </c>
      <c r="L78" s="5">
        <v>0</v>
      </c>
      <c r="M78" s="5">
        <v>0</v>
      </c>
      <c r="N78" s="5">
        <v>0</v>
      </c>
      <c r="O78" s="5">
        <v>0</v>
      </c>
      <c r="P78" s="5">
        <v>0</v>
      </c>
      <c r="Q78" s="5">
        <v>0</v>
      </c>
      <c r="R78" s="5">
        <v>0</v>
      </c>
      <c r="S78" s="5">
        <v>0</v>
      </c>
      <c r="T78" s="5">
        <v>0</v>
      </c>
      <c r="U78" s="5">
        <v>0</v>
      </c>
      <c r="V78" s="5">
        <v>1.18</v>
      </c>
      <c r="W78" s="5">
        <v>1.1859999999999999</v>
      </c>
      <c r="X78" s="913">
        <v>0</v>
      </c>
      <c r="Y78" s="913">
        <v>0</v>
      </c>
      <c r="Z78" s="913">
        <v>0</v>
      </c>
      <c r="AA78" s="5">
        <v>0</v>
      </c>
      <c r="AB78" s="5">
        <v>0</v>
      </c>
      <c r="AC78" s="5">
        <v>0</v>
      </c>
      <c r="AD78" s="914">
        <v>0</v>
      </c>
      <c r="AE78" s="914">
        <v>0</v>
      </c>
      <c r="AF78" s="915">
        <v>0</v>
      </c>
      <c r="AG78" s="913"/>
      <c r="AH78" s="916"/>
      <c r="AI78" s="6" t="s">
        <v>240</v>
      </c>
      <c r="AJ78" s="820" t="s">
        <v>403</v>
      </c>
      <c r="AK78" s="820" t="s">
        <v>1691</v>
      </c>
      <c r="AL78" s="33"/>
      <c r="AM78" s="33"/>
      <c r="AN78" s="33"/>
      <c r="AO78" s="33"/>
      <c r="AP78" s="33"/>
      <c r="AQ78" s="842"/>
      <c r="AR78" s="820" t="s">
        <v>236</v>
      </c>
      <c r="AS78" s="829" t="s">
        <v>1806</v>
      </c>
      <c r="AT78" s="362" t="s">
        <v>238</v>
      </c>
      <c r="AU78" s="829" t="s">
        <v>244</v>
      </c>
      <c r="AV78" s="919" t="s">
        <v>238</v>
      </c>
    </row>
    <row r="79" spans="1:48" ht="12.75" customHeight="1">
      <c r="A79" s="930" t="s">
        <v>819</v>
      </c>
      <c r="B79" s="820" t="s">
        <v>1807</v>
      </c>
      <c r="C79" s="5">
        <v>0</v>
      </c>
      <c r="D79" s="5">
        <v>0</v>
      </c>
      <c r="E79" s="5">
        <v>0</v>
      </c>
      <c r="F79" s="5">
        <v>0</v>
      </c>
      <c r="G79" s="5">
        <v>0</v>
      </c>
      <c r="H79" s="5">
        <v>0</v>
      </c>
      <c r="I79" s="5">
        <v>0</v>
      </c>
      <c r="J79" s="5">
        <v>0</v>
      </c>
      <c r="K79" s="5">
        <v>0</v>
      </c>
      <c r="L79" s="5">
        <v>0</v>
      </c>
      <c r="M79" s="5">
        <v>0</v>
      </c>
      <c r="N79" s="5">
        <v>0</v>
      </c>
      <c r="O79" s="5">
        <v>0</v>
      </c>
      <c r="P79" s="5">
        <v>0</v>
      </c>
      <c r="Q79" s="5">
        <v>0</v>
      </c>
      <c r="R79" s="5">
        <v>0</v>
      </c>
      <c r="S79" s="5">
        <v>0</v>
      </c>
      <c r="T79" s="5">
        <v>0</v>
      </c>
      <c r="U79" s="5">
        <v>0</v>
      </c>
      <c r="V79" s="913">
        <v>0</v>
      </c>
      <c r="W79" s="913">
        <v>0</v>
      </c>
      <c r="X79" s="913">
        <v>0</v>
      </c>
      <c r="Y79" s="913">
        <v>0</v>
      </c>
      <c r="Z79" s="913">
        <v>0.39900000000000002</v>
      </c>
      <c r="AA79" s="826">
        <v>0</v>
      </c>
      <c r="AB79" s="826">
        <v>0</v>
      </c>
      <c r="AC79" s="5">
        <v>0</v>
      </c>
      <c r="AD79" s="914">
        <v>0</v>
      </c>
      <c r="AE79" s="914">
        <v>0</v>
      </c>
      <c r="AF79" s="915">
        <v>0</v>
      </c>
      <c r="AG79" s="913"/>
      <c r="AH79" s="916"/>
      <c r="AI79" s="6" t="s">
        <v>273</v>
      </c>
      <c r="AJ79" s="820" t="s">
        <v>389</v>
      </c>
      <c r="AK79" s="820" t="s">
        <v>1748</v>
      </c>
      <c r="AL79" s="33"/>
      <c r="AM79" s="33"/>
      <c r="AN79" s="33"/>
      <c r="AO79" s="33"/>
      <c r="AP79" s="33"/>
      <c r="AQ79" s="842"/>
      <c r="AR79" s="820" t="s">
        <v>236</v>
      </c>
      <c r="AS79" s="829" t="s">
        <v>1808</v>
      </c>
      <c r="AT79" s="829" t="s">
        <v>238</v>
      </c>
      <c r="AU79" s="829"/>
      <c r="AV79" s="919"/>
    </row>
    <row r="80" spans="1:48" ht="12.75" customHeight="1">
      <c r="A80" s="930" t="s">
        <v>819</v>
      </c>
      <c r="B80" s="820" t="s">
        <v>1809</v>
      </c>
      <c r="C80" s="5">
        <v>0</v>
      </c>
      <c r="D80" s="5">
        <v>0</v>
      </c>
      <c r="E80" s="5">
        <v>0</v>
      </c>
      <c r="F80" s="5">
        <v>0</v>
      </c>
      <c r="G80" s="5">
        <v>0</v>
      </c>
      <c r="H80" s="5">
        <v>0</v>
      </c>
      <c r="I80" s="5">
        <v>0</v>
      </c>
      <c r="J80" s="5">
        <v>0</v>
      </c>
      <c r="K80" s="5">
        <v>0</v>
      </c>
      <c r="L80" s="5">
        <v>0</v>
      </c>
      <c r="M80" s="5">
        <v>0</v>
      </c>
      <c r="N80" s="5">
        <v>0</v>
      </c>
      <c r="O80" s="5">
        <v>0</v>
      </c>
      <c r="P80" s="5">
        <v>0</v>
      </c>
      <c r="Q80" s="5">
        <v>0</v>
      </c>
      <c r="R80" s="5">
        <v>0</v>
      </c>
      <c r="S80" s="5">
        <v>0</v>
      </c>
      <c r="T80" s="5">
        <v>0</v>
      </c>
      <c r="U80" s="5">
        <v>0</v>
      </c>
      <c r="V80" s="5">
        <v>0</v>
      </c>
      <c r="W80" s="5">
        <v>0</v>
      </c>
      <c r="X80" s="913">
        <v>0</v>
      </c>
      <c r="Y80" s="913">
        <v>0</v>
      </c>
      <c r="Z80" s="913">
        <v>131.654</v>
      </c>
      <c r="AA80" s="5">
        <v>0</v>
      </c>
      <c r="AB80" s="5">
        <v>0</v>
      </c>
      <c r="AC80" s="5">
        <v>0</v>
      </c>
      <c r="AD80" s="914">
        <v>0</v>
      </c>
      <c r="AE80" s="914">
        <v>0</v>
      </c>
      <c r="AF80" s="915">
        <v>0</v>
      </c>
      <c r="AG80" s="913"/>
      <c r="AH80" s="916"/>
      <c r="AI80" s="6" t="s">
        <v>240</v>
      </c>
      <c r="AJ80" s="820" t="s">
        <v>403</v>
      </c>
      <c r="AK80" s="820" t="s">
        <v>1691</v>
      </c>
      <c r="AL80" s="33"/>
      <c r="AM80" s="33"/>
      <c r="AN80" s="33"/>
      <c r="AO80" s="33"/>
      <c r="AP80" s="33"/>
      <c r="AQ80" s="842"/>
      <c r="AR80" s="820" t="s">
        <v>236</v>
      </c>
      <c r="AS80" s="829" t="s">
        <v>1810</v>
      </c>
      <c r="AT80" s="362"/>
      <c r="AU80" s="829"/>
      <c r="AV80" s="919"/>
    </row>
    <row r="81" spans="1:48" ht="12.75" customHeight="1">
      <c r="A81" s="930" t="s">
        <v>819</v>
      </c>
      <c r="B81" s="820" t="s">
        <v>1811</v>
      </c>
      <c r="C81" s="5">
        <v>0</v>
      </c>
      <c r="D81" s="5">
        <v>0</v>
      </c>
      <c r="E81" s="5">
        <v>0</v>
      </c>
      <c r="F81" s="5">
        <v>0</v>
      </c>
      <c r="G81" s="5">
        <v>0</v>
      </c>
      <c r="H81" s="5">
        <v>0</v>
      </c>
      <c r="I81" s="5">
        <v>0</v>
      </c>
      <c r="J81" s="5">
        <v>0</v>
      </c>
      <c r="K81" s="5">
        <v>0</v>
      </c>
      <c r="L81" s="5">
        <v>0</v>
      </c>
      <c r="M81" s="5">
        <v>0</v>
      </c>
      <c r="N81" s="5">
        <v>0</v>
      </c>
      <c r="O81" s="5">
        <v>0</v>
      </c>
      <c r="P81" s="5">
        <v>0</v>
      </c>
      <c r="Q81" s="5">
        <v>0</v>
      </c>
      <c r="R81" s="5">
        <v>0</v>
      </c>
      <c r="S81" s="5">
        <v>0</v>
      </c>
      <c r="T81" s="5">
        <v>0</v>
      </c>
      <c r="U81" s="5">
        <v>0</v>
      </c>
      <c r="V81" s="913">
        <v>0</v>
      </c>
      <c r="W81" s="913">
        <v>0</v>
      </c>
      <c r="X81" s="913">
        <v>0</v>
      </c>
      <c r="Y81" s="913">
        <v>0</v>
      </c>
      <c r="Z81" s="913">
        <v>0.166079</v>
      </c>
      <c r="AA81" s="5">
        <v>0.182619</v>
      </c>
      <c r="AB81" s="5">
        <v>0.35</v>
      </c>
      <c r="AC81" s="5">
        <v>0</v>
      </c>
      <c r="AD81" s="914">
        <v>0</v>
      </c>
      <c r="AE81" s="914">
        <v>0</v>
      </c>
      <c r="AF81" s="915">
        <v>0</v>
      </c>
      <c r="AG81" s="913"/>
      <c r="AH81" s="916"/>
      <c r="AI81" s="6" t="s">
        <v>240</v>
      </c>
      <c r="AJ81" s="820" t="s">
        <v>403</v>
      </c>
      <c r="AK81" s="820" t="s">
        <v>1691</v>
      </c>
      <c r="AL81" s="33"/>
      <c r="AM81" s="33"/>
      <c r="AN81" s="33"/>
      <c r="AO81" s="33"/>
      <c r="AP81" s="33"/>
      <c r="AQ81" s="842"/>
      <c r="AR81" s="820" t="s">
        <v>236</v>
      </c>
      <c r="AS81" s="829" t="s">
        <v>1812</v>
      </c>
      <c r="AT81" s="362" t="s">
        <v>238</v>
      </c>
      <c r="AU81" s="829"/>
      <c r="AV81" s="919"/>
    </row>
    <row r="82" spans="1:48" ht="12.75" customHeight="1">
      <c r="A82" s="930" t="s">
        <v>819</v>
      </c>
      <c r="B82" s="820" t="s">
        <v>1813</v>
      </c>
      <c r="C82" s="5">
        <v>0</v>
      </c>
      <c r="D82" s="5">
        <v>0</v>
      </c>
      <c r="E82" s="5">
        <v>0</v>
      </c>
      <c r="F82" s="5">
        <v>0</v>
      </c>
      <c r="G82" s="5">
        <v>0</v>
      </c>
      <c r="H82" s="5">
        <v>0</v>
      </c>
      <c r="I82" s="5">
        <v>0</v>
      </c>
      <c r="J82" s="5">
        <v>0</v>
      </c>
      <c r="K82" s="5">
        <v>0</v>
      </c>
      <c r="L82" s="5">
        <v>0</v>
      </c>
      <c r="M82" s="5">
        <v>0</v>
      </c>
      <c r="N82" s="5">
        <v>0</v>
      </c>
      <c r="O82" s="5">
        <v>0</v>
      </c>
      <c r="P82" s="5">
        <v>0</v>
      </c>
      <c r="Q82" s="5">
        <v>0</v>
      </c>
      <c r="R82" s="5">
        <v>0</v>
      </c>
      <c r="S82" s="5">
        <v>0</v>
      </c>
      <c r="T82" s="5">
        <v>0</v>
      </c>
      <c r="U82" s="5">
        <v>0</v>
      </c>
      <c r="V82" s="913">
        <v>0</v>
      </c>
      <c r="W82" s="913">
        <v>0</v>
      </c>
      <c r="X82" s="913">
        <v>0</v>
      </c>
      <c r="Y82" s="913">
        <v>0</v>
      </c>
      <c r="Z82" s="913">
        <v>292.101</v>
      </c>
      <c r="AA82" s="5">
        <v>0</v>
      </c>
      <c r="AB82" s="5">
        <v>0</v>
      </c>
      <c r="AC82" s="5">
        <v>0</v>
      </c>
      <c r="AD82" s="914">
        <v>0</v>
      </c>
      <c r="AE82" s="914">
        <v>0</v>
      </c>
      <c r="AF82" s="915">
        <v>0</v>
      </c>
      <c r="AG82" s="913"/>
      <c r="AH82" s="916"/>
      <c r="AI82" s="6" t="s">
        <v>240</v>
      </c>
      <c r="AJ82" s="820" t="s">
        <v>403</v>
      </c>
      <c r="AK82" s="820" t="s">
        <v>1691</v>
      </c>
      <c r="AL82" s="33"/>
      <c r="AM82" s="33"/>
      <c r="AN82" s="33"/>
      <c r="AO82" s="33"/>
      <c r="AP82" s="33"/>
      <c r="AQ82" s="842"/>
      <c r="AR82" s="820" t="s">
        <v>236</v>
      </c>
      <c r="AS82" s="829" t="s">
        <v>1814</v>
      </c>
      <c r="AT82" s="362"/>
      <c r="AU82" s="829"/>
      <c r="AV82" s="919"/>
    </row>
    <row r="83" spans="1:48" ht="12.75" customHeight="1">
      <c r="A83" s="930" t="s">
        <v>819</v>
      </c>
      <c r="B83" s="820" t="s">
        <v>1815</v>
      </c>
      <c r="C83" s="5">
        <v>0</v>
      </c>
      <c r="D83" s="5">
        <v>0</v>
      </c>
      <c r="E83" s="5">
        <v>0</v>
      </c>
      <c r="F83" s="5">
        <v>0</v>
      </c>
      <c r="G83" s="5">
        <v>0</v>
      </c>
      <c r="H83" s="5">
        <v>0</v>
      </c>
      <c r="I83" s="5">
        <v>0</v>
      </c>
      <c r="J83" s="5">
        <v>0</v>
      </c>
      <c r="K83" s="5">
        <v>0</v>
      </c>
      <c r="L83" s="5">
        <v>0</v>
      </c>
      <c r="M83" s="5">
        <v>0</v>
      </c>
      <c r="N83" s="5">
        <v>0</v>
      </c>
      <c r="O83" s="5">
        <v>0</v>
      </c>
      <c r="P83" s="5">
        <v>0</v>
      </c>
      <c r="Q83" s="5">
        <v>0</v>
      </c>
      <c r="R83" s="5">
        <v>0</v>
      </c>
      <c r="S83" s="5">
        <v>0</v>
      </c>
      <c r="T83" s="5">
        <v>0</v>
      </c>
      <c r="U83" s="5">
        <v>1.377</v>
      </c>
      <c r="V83" s="5">
        <v>1.5840000000000001</v>
      </c>
      <c r="W83" s="5">
        <v>2.101</v>
      </c>
      <c r="X83" s="913">
        <v>0</v>
      </c>
      <c r="Y83" s="913">
        <v>0</v>
      </c>
      <c r="Z83" s="913">
        <v>0.443</v>
      </c>
      <c r="AA83" s="5">
        <v>10.3</v>
      </c>
      <c r="AB83" s="5">
        <v>10.3</v>
      </c>
      <c r="AC83" s="826">
        <v>10.3</v>
      </c>
      <c r="AD83" s="914">
        <v>0</v>
      </c>
      <c r="AE83" s="914">
        <v>0</v>
      </c>
      <c r="AF83" s="915">
        <v>0</v>
      </c>
      <c r="AG83" s="913"/>
      <c r="AH83" s="916"/>
      <c r="AI83" s="6" t="s">
        <v>233</v>
      </c>
      <c r="AJ83" s="820" t="s">
        <v>703</v>
      </c>
      <c r="AK83" s="820" t="s">
        <v>1640</v>
      </c>
      <c r="AL83" s="33"/>
      <c r="AM83" s="33"/>
      <c r="AN83" s="33"/>
      <c r="AO83" s="33"/>
      <c r="AP83" s="33"/>
      <c r="AQ83" s="842"/>
      <c r="AR83" s="820" t="s">
        <v>236</v>
      </c>
      <c r="AS83" s="829" t="s">
        <v>1816</v>
      </c>
      <c r="AT83" s="829" t="s">
        <v>238</v>
      </c>
      <c r="AU83" s="829" t="s">
        <v>1817</v>
      </c>
      <c r="AV83" s="919" t="s">
        <v>238</v>
      </c>
    </row>
    <row r="84" spans="1:48" ht="12.75" customHeight="1">
      <c r="A84" s="930" t="s">
        <v>819</v>
      </c>
      <c r="B84" s="820" t="s">
        <v>1818</v>
      </c>
      <c r="C84" s="5">
        <v>0</v>
      </c>
      <c r="D84" s="5">
        <v>0</v>
      </c>
      <c r="E84" s="5">
        <v>0</v>
      </c>
      <c r="F84" s="5">
        <v>0</v>
      </c>
      <c r="G84" s="5">
        <v>0</v>
      </c>
      <c r="H84" s="5">
        <v>0</v>
      </c>
      <c r="I84" s="5">
        <v>0</v>
      </c>
      <c r="J84" s="5">
        <v>0</v>
      </c>
      <c r="K84" s="5">
        <v>0</v>
      </c>
      <c r="L84" s="5">
        <v>0</v>
      </c>
      <c r="M84" s="5">
        <v>0</v>
      </c>
      <c r="N84" s="5">
        <v>0</v>
      </c>
      <c r="O84" s="5">
        <v>0</v>
      </c>
      <c r="P84" s="5">
        <v>0</v>
      </c>
      <c r="Q84" s="5">
        <v>0</v>
      </c>
      <c r="R84" s="5">
        <v>0</v>
      </c>
      <c r="S84" s="5">
        <v>0</v>
      </c>
      <c r="T84" s="5">
        <v>0</v>
      </c>
      <c r="U84" s="5">
        <v>0</v>
      </c>
      <c r="V84" s="5">
        <v>0</v>
      </c>
      <c r="W84" s="5">
        <v>0</v>
      </c>
      <c r="X84" s="913">
        <v>0</v>
      </c>
      <c r="Y84" s="913">
        <v>0</v>
      </c>
      <c r="Z84" s="913">
        <v>0</v>
      </c>
      <c r="AA84" s="5">
        <v>0</v>
      </c>
      <c r="AB84" s="5">
        <v>1.9850000000000001</v>
      </c>
      <c r="AC84" s="826">
        <v>1.46</v>
      </c>
      <c r="AD84" s="914">
        <v>1.286</v>
      </c>
      <c r="AE84" s="914">
        <v>1.3</v>
      </c>
      <c r="AF84" s="915">
        <v>0</v>
      </c>
      <c r="AG84" s="913">
        <v>0</v>
      </c>
      <c r="AH84" s="916">
        <v>0</v>
      </c>
      <c r="AI84" s="6" t="s">
        <v>273</v>
      </c>
      <c r="AJ84" s="820" t="s">
        <v>403</v>
      </c>
      <c r="AK84" s="820" t="s">
        <v>1691</v>
      </c>
      <c r="AL84" s="33"/>
      <c r="AM84" s="33"/>
      <c r="AN84" s="33"/>
      <c r="AO84" s="33"/>
      <c r="AP84" s="33">
        <v>1</v>
      </c>
      <c r="AQ84" s="842"/>
      <c r="AR84" s="820" t="s">
        <v>236</v>
      </c>
      <c r="AS84" s="829" t="s">
        <v>1819</v>
      </c>
      <c r="AT84" s="362" t="s">
        <v>238</v>
      </c>
      <c r="AU84" s="829" t="s">
        <v>238</v>
      </c>
      <c r="AV84" s="919" t="s">
        <v>238</v>
      </c>
    </row>
    <row r="85" spans="1:48" ht="12.75" customHeight="1">
      <c r="A85" s="930" t="s">
        <v>819</v>
      </c>
      <c r="B85" s="820" t="s">
        <v>1820</v>
      </c>
      <c r="C85" s="5">
        <v>0</v>
      </c>
      <c r="D85" s="5">
        <v>0</v>
      </c>
      <c r="E85" s="5">
        <v>0</v>
      </c>
      <c r="F85" s="5">
        <v>0</v>
      </c>
      <c r="G85" s="5">
        <v>0</v>
      </c>
      <c r="H85" s="5">
        <v>0</v>
      </c>
      <c r="I85" s="5">
        <v>0</v>
      </c>
      <c r="J85" s="5">
        <v>0</v>
      </c>
      <c r="K85" s="5">
        <v>0</v>
      </c>
      <c r="L85" s="5">
        <v>0</v>
      </c>
      <c r="M85" s="5">
        <v>0</v>
      </c>
      <c r="N85" s="5">
        <v>0</v>
      </c>
      <c r="O85" s="5">
        <v>0</v>
      </c>
      <c r="P85" s="5">
        <v>0</v>
      </c>
      <c r="Q85" s="5">
        <v>0</v>
      </c>
      <c r="R85" s="5">
        <v>0</v>
      </c>
      <c r="S85" s="5">
        <v>0</v>
      </c>
      <c r="T85" s="5">
        <v>0</v>
      </c>
      <c r="U85" s="5">
        <v>0</v>
      </c>
      <c r="V85" s="913">
        <v>0</v>
      </c>
      <c r="W85" s="913">
        <v>0</v>
      </c>
      <c r="X85" s="913">
        <v>0</v>
      </c>
      <c r="Y85" s="913">
        <v>0</v>
      </c>
      <c r="Z85" s="913">
        <v>0</v>
      </c>
      <c r="AA85" s="5">
        <v>0</v>
      </c>
      <c r="AB85" s="5">
        <v>0.25</v>
      </c>
      <c r="AC85" s="826">
        <v>0.86299999999999999</v>
      </c>
      <c r="AD85" s="914">
        <v>1.1759999999999999</v>
      </c>
      <c r="AE85" s="914">
        <v>1.4330000000000001</v>
      </c>
      <c r="AF85" s="915">
        <v>1.25</v>
      </c>
      <c r="AG85" s="913">
        <v>1.25</v>
      </c>
      <c r="AH85" s="916">
        <v>1.25</v>
      </c>
      <c r="AI85" s="6" t="s">
        <v>273</v>
      </c>
      <c r="AJ85" s="820" t="s">
        <v>403</v>
      </c>
      <c r="AK85" s="820" t="s">
        <v>1691</v>
      </c>
      <c r="AL85" s="33"/>
      <c r="AM85" s="33"/>
      <c r="AN85" s="33"/>
      <c r="AO85" s="33"/>
      <c r="AP85" s="33">
        <v>1</v>
      </c>
      <c r="AQ85" s="842"/>
      <c r="AR85" s="820" t="s">
        <v>236</v>
      </c>
      <c r="AS85" s="829" t="s">
        <v>1819</v>
      </c>
      <c r="AT85" s="362" t="s">
        <v>238</v>
      </c>
      <c r="AU85" s="829" t="s">
        <v>238</v>
      </c>
      <c r="AV85" s="919" t="s">
        <v>238</v>
      </c>
    </row>
    <row r="86" spans="1:48" ht="12.75" customHeight="1">
      <c r="A86" s="930" t="s">
        <v>819</v>
      </c>
      <c r="B86" s="820" t="s">
        <v>1821</v>
      </c>
      <c r="C86" s="5">
        <v>0</v>
      </c>
      <c r="D86" s="5">
        <v>0</v>
      </c>
      <c r="E86" s="5">
        <v>0</v>
      </c>
      <c r="F86" s="5">
        <v>0</v>
      </c>
      <c r="G86" s="5">
        <v>0</v>
      </c>
      <c r="H86" s="5">
        <v>0</v>
      </c>
      <c r="I86" s="5">
        <v>0</v>
      </c>
      <c r="J86" s="5">
        <v>0</v>
      </c>
      <c r="K86" s="5">
        <v>0</v>
      </c>
      <c r="L86" s="5">
        <v>0</v>
      </c>
      <c r="M86" s="5">
        <v>0</v>
      </c>
      <c r="N86" s="5">
        <v>0</v>
      </c>
      <c r="O86" s="5">
        <v>0</v>
      </c>
      <c r="P86" s="5">
        <v>0</v>
      </c>
      <c r="Q86" s="5">
        <v>0</v>
      </c>
      <c r="R86" s="5">
        <v>0</v>
      </c>
      <c r="S86" s="5">
        <v>0</v>
      </c>
      <c r="T86" s="5">
        <v>0</v>
      </c>
      <c r="U86" s="5">
        <v>0</v>
      </c>
      <c r="V86" s="5">
        <v>0</v>
      </c>
      <c r="W86" s="5">
        <v>0</v>
      </c>
      <c r="X86" s="913">
        <v>0</v>
      </c>
      <c r="Y86" s="913">
        <v>0</v>
      </c>
      <c r="Z86" s="913">
        <v>0</v>
      </c>
      <c r="AA86" s="5">
        <v>0</v>
      </c>
      <c r="AB86" s="5">
        <v>5.1999999999999998E-2</v>
      </c>
      <c r="AC86" s="826">
        <v>2.2309999999999999</v>
      </c>
      <c r="AD86" s="914">
        <v>4.4260000000000002</v>
      </c>
      <c r="AE86" s="914">
        <v>4.4619999999999997</v>
      </c>
      <c r="AF86" s="915">
        <v>0</v>
      </c>
      <c r="AG86" s="913">
        <v>0</v>
      </c>
      <c r="AH86" s="916">
        <v>0</v>
      </c>
      <c r="AI86" s="6" t="s">
        <v>273</v>
      </c>
      <c r="AJ86" s="820" t="s">
        <v>403</v>
      </c>
      <c r="AK86" s="820" t="s">
        <v>1691</v>
      </c>
      <c r="AL86" s="33"/>
      <c r="AM86" s="33"/>
      <c r="AN86" s="33"/>
      <c r="AO86" s="33"/>
      <c r="AP86" s="33">
        <v>1</v>
      </c>
      <c r="AQ86" s="842"/>
      <c r="AR86" s="820" t="s">
        <v>236</v>
      </c>
      <c r="AS86" s="829" t="s">
        <v>1819</v>
      </c>
      <c r="AT86" s="362" t="s">
        <v>238</v>
      </c>
      <c r="AU86" s="829" t="s">
        <v>238</v>
      </c>
      <c r="AV86" s="919" t="s">
        <v>238</v>
      </c>
    </row>
    <row r="87" spans="1:48" ht="12.75" customHeight="1">
      <c r="A87" s="930" t="s">
        <v>819</v>
      </c>
      <c r="B87" s="820" t="s">
        <v>1822</v>
      </c>
      <c r="C87" s="5">
        <v>0</v>
      </c>
      <c r="D87" s="5">
        <v>0</v>
      </c>
      <c r="E87" s="5">
        <v>0</v>
      </c>
      <c r="F87" s="5">
        <v>0</v>
      </c>
      <c r="G87" s="5">
        <v>0</v>
      </c>
      <c r="H87" s="5">
        <v>0</v>
      </c>
      <c r="I87" s="5">
        <v>0</v>
      </c>
      <c r="J87" s="5">
        <v>0</v>
      </c>
      <c r="K87" s="5">
        <v>0</v>
      </c>
      <c r="L87" s="5">
        <v>0</v>
      </c>
      <c r="M87" s="5">
        <v>0</v>
      </c>
      <c r="N87" s="5">
        <v>0</v>
      </c>
      <c r="O87" s="5">
        <v>0</v>
      </c>
      <c r="P87" s="5">
        <v>0</v>
      </c>
      <c r="Q87" s="5">
        <v>0</v>
      </c>
      <c r="R87" s="5">
        <v>0</v>
      </c>
      <c r="S87" s="5">
        <v>0</v>
      </c>
      <c r="T87" s="5">
        <v>0</v>
      </c>
      <c r="U87" s="5">
        <v>0</v>
      </c>
      <c r="V87" s="5">
        <v>2.0579999999999998</v>
      </c>
      <c r="W87" s="5">
        <v>2.3679999999999999</v>
      </c>
      <c r="X87" s="913">
        <v>2.6829999999999998</v>
      </c>
      <c r="Y87" s="913">
        <v>2.3980000000000001</v>
      </c>
      <c r="Z87" s="913">
        <v>1.6830000000000001</v>
      </c>
      <c r="AA87" s="5">
        <v>1.258</v>
      </c>
      <c r="AB87" s="5">
        <v>1.1663192729111844</v>
      </c>
      <c r="AC87" s="826">
        <v>1.1870000000000001</v>
      </c>
      <c r="AD87" s="914">
        <v>3.2909999999999999</v>
      </c>
      <c r="AE87" s="914">
        <v>3.2890000000000001</v>
      </c>
      <c r="AF87" s="915">
        <v>3.2890000000000001</v>
      </c>
      <c r="AG87" s="913">
        <v>3.2890000000000001</v>
      </c>
      <c r="AH87" s="916">
        <v>3.2890000000000001</v>
      </c>
      <c r="AI87" s="6" t="s">
        <v>240</v>
      </c>
      <c r="AJ87" s="820" t="s">
        <v>403</v>
      </c>
      <c r="AK87" s="820" t="s">
        <v>1691</v>
      </c>
      <c r="AL87" s="33"/>
      <c r="AM87" s="33"/>
      <c r="AN87" s="33"/>
      <c r="AO87" s="33"/>
      <c r="AP87" s="33">
        <v>1</v>
      </c>
      <c r="AQ87" s="842"/>
      <c r="AR87" s="820" t="s">
        <v>236</v>
      </c>
      <c r="AS87" s="829" t="s">
        <v>1823</v>
      </c>
      <c r="AT87" s="362" t="s">
        <v>238</v>
      </c>
      <c r="AU87" s="829" t="s">
        <v>244</v>
      </c>
      <c r="AV87" s="919" t="s">
        <v>238</v>
      </c>
    </row>
    <row r="88" spans="1:48" ht="12.75" customHeight="1">
      <c r="A88" s="930" t="s">
        <v>819</v>
      </c>
      <c r="B88" s="820" t="s">
        <v>1824</v>
      </c>
      <c r="C88" s="5">
        <v>0</v>
      </c>
      <c r="D88" s="5">
        <v>0</v>
      </c>
      <c r="E88" s="5">
        <v>0</v>
      </c>
      <c r="F88" s="5">
        <v>0</v>
      </c>
      <c r="G88" s="5">
        <v>0</v>
      </c>
      <c r="H88" s="5">
        <v>0</v>
      </c>
      <c r="I88" s="5">
        <v>0</v>
      </c>
      <c r="J88" s="5">
        <v>0</v>
      </c>
      <c r="K88" s="5">
        <v>0</v>
      </c>
      <c r="L88" s="5">
        <v>0</v>
      </c>
      <c r="M88" s="5">
        <v>0</v>
      </c>
      <c r="N88" s="5">
        <v>0</v>
      </c>
      <c r="O88" s="5">
        <v>0</v>
      </c>
      <c r="P88" s="5">
        <v>0</v>
      </c>
      <c r="Q88" s="5">
        <v>0</v>
      </c>
      <c r="R88" s="5">
        <v>0</v>
      </c>
      <c r="S88" s="5">
        <v>0</v>
      </c>
      <c r="T88" s="5">
        <v>0</v>
      </c>
      <c r="U88" s="5">
        <v>0</v>
      </c>
      <c r="V88" s="5">
        <v>0</v>
      </c>
      <c r="W88" s="5">
        <v>0</v>
      </c>
      <c r="X88" s="913">
        <v>7.37</v>
      </c>
      <c r="Y88" s="913">
        <v>0.67</v>
      </c>
      <c r="Z88" s="913">
        <v>0</v>
      </c>
      <c r="AA88" s="5">
        <v>0</v>
      </c>
      <c r="AB88" s="5">
        <v>0</v>
      </c>
      <c r="AC88" s="826">
        <v>0</v>
      </c>
      <c r="AD88" s="914">
        <v>0</v>
      </c>
      <c r="AE88" s="914">
        <v>0</v>
      </c>
      <c r="AF88" s="915">
        <v>0</v>
      </c>
      <c r="AG88" s="913"/>
      <c r="AH88" s="916"/>
      <c r="AI88" s="6" t="s">
        <v>273</v>
      </c>
      <c r="AJ88" s="820" t="s">
        <v>403</v>
      </c>
      <c r="AK88" s="820" t="s">
        <v>1691</v>
      </c>
      <c r="AL88" s="33"/>
      <c r="AM88" s="33"/>
      <c r="AN88" s="33"/>
      <c r="AO88" s="33"/>
      <c r="AP88" s="33"/>
      <c r="AQ88" s="842"/>
      <c r="AR88" s="820" t="s">
        <v>236</v>
      </c>
      <c r="AS88" s="829" t="s">
        <v>1825</v>
      </c>
      <c r="AT88" s="362"/>
      <c r="AU88" s="829"/>
      <c r="AV88" s="919"/>
    </row>
    <row r="89" spans="1:48" ht="12.75" customHeight="1">
      <c r="A89" s="930" t="s">
        <v>819</v>
      </c>
      <c r="B89" s="820" t="s">
        <v>1826</v>
      </c>
      <c r="C89" s="5">
        <v>0</v>
      </c>
      <c r="D89" s="5">
        <v>0</v>
      </c>
      <c r="E89" s="5">
        <v>0</v>
      </c>
      <c r="F89" s="5">
        <v>0</v>
      </c>
      <c r="G89" s="5">
        <v>0</v>
      </c>
      <c r="H89" s="5">
        <v>0</v>
      </c>
      <c r="I89" s="5">
        <v>0</v>
      </c>
      <c r="J89" s="5">
        <v>0</v>
      </c>
      <c r="K89" s="5">
        <v>0</v>
      </c>
      <c r="L89" s="5">
        <v>0</v>
      </c>
      <c r="M89" s="5">
        <v>0</v>
      </c>
      <c r="N89" s="5">
        <v>0</v>
      </c>
      <c r="O89" s="5">
        <v>0</v>
      </c>
      <c r="P89" s="5">
        <v>0</v>
      </c>
      <c r="Q89" s="5">
        <v>0</v>
      </c>
      <c r="R89" s="5">
        <v>0</v>
      </c>
      <c r="S89" s="5">
        <v>0</v>
      </c>
      <c r="T89" s="5">
        <v>0</v>
      </c>
      <c r="U89" s="5">
        <v>0</v>
      </c>
      <c r="V89" s="5">
        <v>0</v>
      </c>
      <c r="W89" s="5">
        <v>0</v>
      </c>
      <c r="X89" s="913">
        <v>0</v>
      </c>
      <c r="Y89" s="913">
        <v>0</v>
      </c>
      <c r="Z89" s="913">
        <v>0</v>
      </c>
      <c r="AA89" s="5">
        <v>0</v>
      </c>
      <c r="AB89" s="5">
        <v>0</v>
      </c>
      <c r="AC89" s="826">
        <v>7.48</v>
      </c>
      <c r="AD89" s="914">
        <v>7.48</v>
      </c>
      <c r="AE89" s="914">
        <v>7.48</v>
      </c>
      <c r="AF89" s="915">
        <v>7.48</v>
      </c>
      <c r="AG89" s="913">
        <v>7.48</v>
      </c>
      <c r="AH89" s="916">
        <v>7.48</v>
      </c>
      <c r="AI89" s="6" t="s">
        <v>240</v>
      </c>
      <c r="AJ89" s="820" t="s">
        <v>403</v>
      </c>
      <c r="AK89" s="921" t="s">
        <v>1640</v>
      </c>
      <c r="AL89" s="33"/>
      <c r="AM89" s="33"/>
      <c r="AN89" s="33"/>
      <c r="AO89" s="33"/>
      <c r="AP89" s="33">
        <v>1</v>
      </c>
      <c r="AQ89" s="842"/>
      <c r="AR89" s="820" t="s">
        <v>236</v>
      </c>
      <c r="AS89" s="829" t="s">
        <v>1827</v>
      </c>
      <c r="AT89" s="362" t="s">
        <v>238</v>
      </c>
      <c r="AU89" s="829"/>
      <c r="AV89" s="919"/>
    </row>
    <row r="90" spans="1:48" ht="12.75" customHeight="1">
      <c r="A90" s="930" t="s">
        <v>832</v>
      </c>
      <c r="B90" s="820" t="s">
        <v>1828</v>
      </c>
      <c r="C90" s="5">
        <v>0</v>
      </c>
      <c r="D90" s="5">
        <v>0</v>
      </c>
      <c r="E90" s="5">
        <v>0</v>
      </c>
      <c r="F90" s="5">
        <v>0</v>
      </c>
      <c r="G90" s="5">
        <v>0</v>
      </c>
      <c r="H90" s="5">
        <v>0</v>
      </c>
      <c r="I90" s="5">
        <v>0</v>
      </c>
      <c r="J90" s="5">
        <v>0</v>
      </c>
      <c r="K90" s="5">
        <v>0</v>
      </c>
      <c r="L90" s="5">
        <v>0</v>
      </c>
      <c r="M90" s="5">
        <v>0</v>
      </c>
      <c r="N90" s="5">
        <v>0</v>
      </c>
      <c r="O90" s="5">
        <v>0</v>
      </c>
      <c r="P90" s="5">
        <v>0</v>
      </c>
      <c r="Q90" s="5">
        <v>0</v>
      </c>
      <c r="R90" s="5">
        <v>0</v>
      </c>
      <c r="S90" s="5">
        <v>0</v>
      </c>
      <c r="T90" s="5">
        <v>0</v>
      </c>
      <c r="U90" s="5">
        <v>0</v>
      </c>
      <c r="V90" s="5">
        <v>0</v>
      </c>
      <c r="W90" s="5">
        <v>0</v>
      </c>
      <c r="X90" s="913">
        <v>0</v>
      </c>
      <c r="Y90" s="913">
        <v>0</v>
      </c>
      <c r="Z90" s="913">
        <v>0.443</v>
      </c>
      <c r="AA90" s="5">
        <v>10.3</v>
      </c>
      <c r="AB90" s="5">
        <v>10.3</v>
      </c>
      <c r="AC90" s="826">
        <v>10.3</v>
      </c>
      <c r="AD90" s="914">
        <v>7.5</v>
      </c>
      <c r="AE90" s="914">
        <v>5.5</v>
      </c>
      <c r="AF90" s="915">
        <v>0</v>
      </c>
      <c r="AG90" s="913"/>
      <c r="AH90" s="916"/>
      <c r="AI90" s="6" t="s">
        <v>240</v>
      </c>
      <c r="AJ90" s="820" t="s">
        <v>703</v>
      </c>
      <c r="AK90" s="820" t="s">
        <v>1640</v>
      </c>
      <c r="AL90" s="33"/>
      <c r="AM90" s="33">
        <v>1</v>
      </c>
      <c r="AN90" s="33"/>
      <c r="AO90" s="33"/>
      <c r="AP90" s="33"/>
      <c r="AQ90" s="842"/>
      <c r="AR90" s="820" t="s">
        <v>236</v>
      </c>
      <c r="AS90" s="829" t="s">
        <v>1829</v>
      </c>
      <c r="AT90" s="362" t="s">
        <v>1830</v>
      </c>
      <c r="AU90" s="829" t="s">
        <v>238</v>
      </c>
      <c r="AV90" s="919" t="s">
        <v>238</v>
      </c>
    </row>
    <row r="91" spans="1:48" ht="12.75" customHeight="1">
      <c r="A91" s="930" t="s">
        <v>832</v>
      </c>
      <c r="B91" s="820" t="s">
        <v>1831</v>
      </c>
      <c r="C91" s="5">
        <v>0</v>
      </c>
      <c r="D91" s="5">
        <v>0</v>
      </c>
      <c r="E91" s="5">
        <v>0</v>
      </c>
      <c r="F91" s="5">
        <v>0</v>
      </c>
      <c r="G91" s="5">
        <v>0</v>
      </c>
      <c r="H91" s="5">
        <v>0</v>
      </c>
      <c r="I91" s="5">
        <v>0</v>
      </c>
      <c r="J91" s="5">
        <v>0</v>
      </c>
      <c r="K91" s="5">
        <v>0</v>
      </c>
      <c r="L91" s="5">
        <v>0.34</v>
      </c>
      <c r="M91" s="5">
        <v>0.34</v>
      </c>
      <c r="N91" s="5">
        <v>0.34</v>
      </c>
      <c r="O91" s="5">
        <v>0.34</v>
      </c>
      <c r="P91" s="5">
        <v>0.34</v>
      </c>
      <c r="Q91" s="5">
        <v>0.34</v>
      </c>
      <c r="R91" s="5">
        <v>0.34</v>
      </c>
      <c r="S91" s="5">
        <v>0.34</v>
      </c>
      <c r="T91" s="5">
        <v>0.34399999999999997</v>
      </c>
      <c r="U91" s="5">
        <v>0.34399999999999997</v>
      </c>
      <c r="V91" s="5">
        <v>0.34399999999999997</v>
      </c>
      <c r="W91" s="5">
        <v>0.34399999999999997</v>
      </c>
      <c r="X91" s="913">
        <v>0.34399999999999997</v>
      </c>
      <c r="Y91" s="913">
        <v>0.35</v>
      </c>
      <c r="Z91" s="913">
        <v>0.35</v>
      </c>
      <c r="AA91" s="5">
        <v>0.35</v>
      </c>
      <c r="AB91" s="5">
        <v>0.70799999999999996</v>
      </c>
      <c r="AC91" s="826">
        <v>0.35</v>
      </c>
      <c r="AD91" s="914">
        <v>0.35</v>
      </c>
      <c r="AE91" s="914">
        <v>0.35</v>
      </c>
      <c r="AF91" s="915">
        <v>0</v>
      </c>
      <c r="AG91" s="913"/>
      <c r="AH91" s="916"/>
      <c r="AI91" s="6" t="s">
        <v>273</v>
      </c>
      <c r="AJ91" s="820" t="s">
        <v>703</v>
      </c>
      <c r="AK91" s="820" t="s">
        <v>1748</v>
      </c>
      <c r="AL91" s="33"/>
      <c r="AM91" s="33">
        <v>1</v>
      </c>
      <c r="AN91" s="33"/>
      <c r="AO91" s="33"/>
      <c r="AP91" s="33"/>
      <c r="AQ91" s="842"/>
      <c r="AR91" s="820" t="s">
        <v>236</v>
      </c>
      <c r="AS91" s="829" t="s">
        <v>1832</v>
      </c>
      <c r="AT91" s="362" t="s">
        <v>1833</v>
      </c>
      <c r="AU91" s="829" t="s">
        <v>238</v>
      </c>
      <c r="AV91" s="919" t="s">
        <v>238</v>
      </c>
    </row>
    <row r="92" spans="1:48" ht="12.75" customHeight="1">
      <c r="A92" s="930" t="s">
        <v>832</v>
      </c>
      <c r="B92" s="820" t="s">
        <v>1834</v>
      </c>
      <c r="C92" s="5">
        <v>0</v>
      </c>
      <c r="D92" s="5">
        <v>0</v>
      </c>
      <c r="E92" s="5">
        <v>0</v>
      </c>
      <c r="F92" s="5">
        <v>0</v>
      </c>
      <c r="G92" s="5">
        <v>0</v>
      </c>
      <c r="H92" s="5">
        <v>0</v>
      </c>
      <c r="I92" s="5">
        <v>0</v>
      </c>
      <c r="J92" s="5">
        <v>0</v>
      </c>
      <c r="K92" s="5">
        <v>0</v>
      </c>
      <c r="L92" s="5">
        <v>0</v>
      </c>
      <c r="M92" s="5">
        <v>0</v>
      </c>
      <c r="N92" s="5">
        <v>0</v>
      </c>
      <c r="O92" s="5">
        <v>0</v>
      </c>
      <c r="P92" s="5">
        <v>0</v>
      </c>
      <c r="Q92" s="5">
        <v>0</v>
      </c>
      <c r="R92" s="5">
        <v>0</v>
      </c>
      <c r="S92" s="5">
        <v>0</v>
      </c>
      <c r="T92" s="5">
        <v>0</v>
      </c>
      <c r="U92" s="5">
        <v>0</v>
      </c>
      <c r="V92" s="5">
        <v>0</v>
      </c>
      <c r="W92" s="5">
        <v>0</v>
      </c>
      <c r="X92" s="913">
        <v>0</v>
      </c>
      <c r="Y92" s="913">
        <v>0</v>
      </c>
      <c r="Z92" s="913">
        <v>1.9870000000000001</v>
      </c>
      <c r="AA92" s="5">
        <v>0</v>
      </c>
      <c r="AB92" s="5">
        <v>0</v>
      </c>
      <c r="AC92" s="826">
        <v>0</v>
      </c>
      <c r="AD92" s="914">
        <v>0</v>
      </c>
      <c r="AE92" s="914">
        <v>0</v>
      </c>
      <c r="AF92" s="915">
        <v>0</v>
      </c>
      <c r="AG92" s="913">
        <v>0</v>
      </c>
      <c r="AH92" s="916"/>
      <c r="AI92" s="6" t="s">
        <v>273</v>
      </c>
      <c r="AJ92" s="820" t="s">
        <v>703</v>
      </c>
      <c r="AK92" s="820" t="s">
        <v>1663</v>
      </c>
      <c r="AL92" s="33"/>
      <c r="AM92" s="33"/>
      <c r="AN92" s="33"/>
      <c r="AO92" s="33"/>
      <c r="AP92" s="33"/>
      <c r="AQ92" s="842"/>
      <c r="AR92" s="820" t="s">
        <v>236</v>
      </c>
      <c r="AS92" s="829" t="s">
        <v>1835</v>
      </c>
      <c r="AT92" s="362" t="s">
        <v>238</v>
      </c>
      <c r="AU92" s="829"/>
      <c r="AV92" s="919"/>
    </row>
    <row r="93" spans="1:48" ht="12.75" customHeight="1">
      <c r="A93" s="930" t="s">
        <v>832</v>
      </c>
      <c r="B93" s="820" t="s">
        <v>1836</v>
      </c>
      <c r="C93" s="5">
        <v>0</v>
      </c>
      <c r="D93" s="5">
        <v>0</v>
      </c>
      <c r="E93" s="5">
        <v>0</v>
      </c>
      <c r="F93" s="5">
        <v>0</v>
      </c>
      <c r="G93" s="5">
        <v>0</v>
      </c>
      <c r="H93" s="5">
        <v>0</v>
      </c>
      <c r="I93" s="5">
        <v>0</v>
      </c>
      <c r="J93" s="5">
        <v>0</v>
      </c>
      <c r="K93" s="5">
        <v>0</v>
      </c>
      <c r="L93" s="5">
        <v>0</v>
      </c>
      <c r="M93" s="5">
        <v>0</v>
      </c>
      <c r="N93" s="5">
        <v>0</v>
      </c>
      <c r="O93" s="5">
        <v>0</v>
      </c>
      <c r="P93" s="5">
        <v>0</v>
      </c>
      <c r="Q93" s="5">
        <v>0</v>
      </c>
      <c r="R93" s="5">
        <v>0</v>
      </c>
      <c r="S93" s="5">
        <v>0</v>
      </c>
      <c r="T93" s="5">
        <v>0</v>
      </c>
      <c r="U93" s="5">
        <v>0</v>
      </c>
      <c r="V93" s="5">
        <v>0</v>
      </c>
      <c r="W93" s="5">
        <v>0</v>
      </c>
      <c r="X93" s="913">
        <v>0</v>
      </c>
      <c r="Y93" s="913">
        <v>0</v>
      </c>
      <c r="Z93" s="913">
        <v>0</v>
      </c>
      <c r="AA93" s="5">
        <v>2.5</v>
      </c>
      <c r="AB93" s="5">
        <v>0</v>
      </c>
      <c r="AC93" s="826">
        <v>0</v>
      </c>
      <c r="AD93" s="914">
        <v>0</v>
      </c>
      <c r="AE93" s="914">
        <v>0</v>
      </c>
      <c r="AF93" s="915">
        <v>0</v>
      </c>
      <c r="AG93" s="913">
        <v>0</v>
      </c>
      <c r="AH93" s="916"/>
      <c r="AI93" s="6" t="s">
        <v>273</v>
      </c>
      <c r="AJ93" s="820" t="s">
        <v>703</v>
      </c>
      <c r="AK93" s="820" t="s">
        <v>1663</v>
      </c>
      <c r="AL93" s="33"/>
      <c r="AM93" s="33"/>
      <c r="AN93" s="33"/>
      <c r="AO93" s="33"/>
      <c r="AP93" s="33"/>
      <c r="AQ93" s="842"/>
      <c r="AR93" s="820" t="s">
        <v>236</v>
      </c>
      <c r="AS93" s="829" t="s">
        <v>1837</v>
      </c>
      <c r="AT93" s="362"/>
      <c r="AU93" s="829"/>
      <c r="AV93" s="919"/>
    </row>
    <row r="94" spans="1:48" ht="12.75" customHeight="1">
      <c r="A94" s="930" t="s">
        <v>832</v>
      </c>
      <c r="B94" s="820" t="s">
        <v>1838</v>
      </c>
      <c r="C94" s="5">
        <v>0</v>
      </c>
      <c r="D94" s="5">
        <v>0</v>
      </c>
      <c r="E94" s="5">
        <v>0</v>
      </c>
      <c r="F94" s="5">
        <v>0</v>
      </c>
      <c r="G94" s="5">
        <v>0</v>
      </c>
      <c r="H94" s="5">
        <v>0</v>
      </c>
      <c r="I94" s="5">
        <v>0</v>
      </c>
      <c r="J94" s="5">
        <v>0</v>
      </c>
      <c r="K94" s="5">
        <v>0</v>
      </c>
      <c r="L94" s="5">
        <v>0</v>
      </c>
      <c r="M94" s="5">
        <v>0</v>
      </c>
      <c r="N94" s="5">
        <v>0</v>
      </c>
      <c r="O94" s="5">
        <v>0</v>
      </c>
      <c r="P94" s="5">
        <v>0</v>
      </c>
      <c r="Q94" s="5">
        <v>0</v>
      </c>
      <c r="R94" s="5">
        <v>0</v>
      </c>
      <c r="S94" s="5">
        <v>0</v>
      </c>
      <c r="T94" s="5">
        <v>0</v>
      </c>
      <c r="U94" s="5">
        <v>0</v>
      </c>
      <c r="V94" s="5">
        <v>0</v>
      </c>
      <c r="W94" s="5">
        <v>5</v>
      </c>
      <c r="X94" s="913">
        <v>0</v>
      </c>
      <c r="Y94" s="913">
        <v>0</v>
      </c>
      <c r="Z94" s="913">
        <v>0</v>
      </c>
      <c r="AA94" s="5">
        <v>0</v>
      </c>
      <c r="AB94" s="5">
        <v>0</v>
      </c>
      <c r="AC94" s="826">
        <v>0</v>
      </c>
      <c r="AD94" s="914">
        <v>0</v>
      </c>
      <c r="AE94" s="914">
        <v>0</v>
      </c>
      <c r="AF94" s="915">
        <v>0</v>
      </c>
      <c r="AG94" s="913">
        <v>0</v>
      </c>
      <c r="AH94" s="916"/>
      <c r="AI94" s="6" t="s">
        <v>273</v>
      </c>
      <c r="AJ94" s="820" t="s">
        <v>703</v>
      </c>
      <c r="AK94" s="820" t="s">
        <v>1663</v>
      </c>
      <c r="AL94" s="33"/>
      <c r="AM94" s="33"/>
      <c r="AN94" s="33"/>
      <c r="AO94" s="33"/>
      <c r="AP94" s="33"/>
      <c r="AQ94" s="842"/>
      <c r="AR94" s="820" t="s">
        <v>236</v>
      </c>
      <c r="AS94" s="829" t="s">
        <v>1839</v>
      </c>
      <c r="AT94" s="362" t="s">
        <v>238</v>
      </c>
      <c r="AU94" s="829" t="s">
        <v>238</v>
      </c>
      <c r="AV94" s="919" t="s">
        <v>238</v>
      </c>
    </row>
    <row r="95" spans="1:48" ht="12.75" customHeight="1">
      <c r="A95" s="930" t="s">
        <v>832</v>
      </c>
      <c r="B95" s="820" t="s">
        <v>1840</v>
      </c>
      <c r="C95" s="5">
        <v>0</v>
      </c>
      <c r="D95" s="5">
        <v>0</v>
      </c>
      <c r="E95" s="5">
        <v>0</v>
      </c>
      <c r="F95" s="5">
        <v>0</v>
      </c>
      <c r="G95" s="5">
        <v>0</v>
      </c>
      <c r="H95" s="5">
        <v>0</v>
      </c>
      <c r="I95" s="5">
        <v>0</v>
      </c>
      <c r="J95" s="5">
        <v>0</v>
      </c>
      <c r="K95" s="5">
        <v>0</v>
      </c>
      <c r="L95" s="5">
        <v>0</v>
      </c>
      <c r="M95" s="5">
        <v>0</v>
      </c>
      <c r="N95" s="5">
        <v>0</v>
      </c>
      <c r="O95" s="5">
        <v>0</v>
      </c>
      <c r="P95" s="5">
        <v>0</v>
      </c>
      <c r="Q95" s="5">
        <v>0</v>
      </c>
      <c r="R95" s="5">
        <v>0</v>
      </c>
      <c r="S95" s="5">
        <v>0</v>
      </c>
      <c r="T95" s="5">
        <v>0</v>
      </c>
      <c r="U95" s="5">
        <v>0</v>
      </c>
      <c r="V95" s="5">
        <v>0</v>
      </c>
      <c r="W95" s="5">
        <v>0</v>
      </c>
      <c r="X95" s="913">
        <v>0</v>
      </c>
      <c r="Y95" s="913">
        <v>0</v>
      </c>
      <c r="Z95" s="913">
        <v>0.94699999999999995</v>
      </c>
      <c r="AA95" s="5">
        <v>0.93700000000000006</v>
      </c>
      <c r="AB95" s="5">
        <v>0.92300000000000004</v>
      </c>
      <c r="AC95" s="826">
        <v>0.93700000000000006</v>
      </c>
      <c r="AD95" s="914">
        <v>0.95</v>
      </c>
      <c r="AE95" s="914">
        <v>0.95899999999999996</v>
      </c>
      <c r="AF95" s="915">
        <v>0.97699999999999998</v>
      </c>
      <c r="AG95" s="913">
        <v>0.97499999999999998</v>
      </c>
      <c r="AH95" s="916">
        <v>0.97299999999999998</v>
      </c>
      <c r="AI95" s="6" t="s">
        <v>273</v>
      </c>
      <c r="AJ95" s="820" t="s">
        <v>703</v>
      </c>
      <c r="AK95" s="820" t="s">
        <v>1663</v>
      </c>
      <c r="AL95" s="33"/>
      <c r="AM95" s="33">
        <v>1</v>
      </c>
      <c r="AN95" s="33"/>
      <c r="AO95" s="33"/>
      <c r="AP95" s="33"/>
      <c r="AQ95" s="842"/>
      <c r="AR95" s="820" t="s">
        <v>236</v>
      </c>
      <c r="AS95" s="829" t="s">
        <v>1841</v>
      </c>
      <c r="AT95" s="362" t="s">
        <v>238</v>
      </c>
      <c r="AU95" s="829"/>
      <c r="AV95" s="919"/>
    </row>
    <row r="96" spans="1:48" ht="12.75" customHeight="1">
      <c r="A96" s="930" t="s">
        <v>832</v>
      </c>
      <c r="B96" s="820" t="s">
        <v>1842</v>
      </c>
      <c r="C96" s="5">
        <v>0</v>
      </c>
      <c r="D96" s="5">
        <v>0</v>
      </c>
      <c r="E96" s="5">
        <v>0</v>
      </c>
      <c r="F96" s="5">
        <v>0</v>
      </c>
      <c r="G96" s="5">
        <v>0</v>
      </c>
      <c r="H96" s="5">
        <v>0</v>
      </c>
      <c r="I96" s="5">
        <v>0</v>
      </c>
      <c r="J96" s="5">
        <v>0</v>
      </c>
      <c r="K96" s="5">
        <v>0</v>
      </c>
      <c r="L96" s="5">
        <v>0</v>
      </c>
      <c r="M96" s="5">
        <v>0</v>
      </c>
      <c r="N96" s="5">
        <v>0</v>
      </c>
      <c r="O96" s="5">
        <v>0</v>
      </c>
      <c r="P96" s="5">
        <v>0</v>
      </c>
      <c r="Q96" s="5">
        <v>0</v>
      </c>
      <c r="R96" s="5">
        <v>0</v>
      </c>
      <c r="S96" s="5">
        <v>0.32500000000000001</v>
      </c>
      <c r="T96" s="5">
        <v>1.24</v>
      </c>
      <c r="U96" s="5">
        <v>1.228</v>
      </c>
      <c r="V96" s="5">
        <v>0.95699999999999996</v>
      </c>
      <c r="W96" s="5">
        <v>1.5489999999999999</v>
      </c>
      <c r="X96" s="913">
        <v>1.5489999999999999</v>
      </c>
      <c r="Y96" s="913">
        <v>1.5489999999999999</v>
      </c>
      <c r="Z96" s="913">
        <v>3.8330000000000002</v>
      </c>
      <c r="AA96" s="5">
        <v>1.1339999999999999</v>
      </c>
      <c r="AB96" s="5">
        <v>1.1339999999999999</v>
      </c>
      <c r="AC96" s="826">
        <v>1.1339999999999999</v>
      </c>
      <c r="AD96" s="914">
        <v>1.1339999999999999</v>
      </c>
      <c r="AE96" s="914">
        <v>0</v>
      </c>
      <c r="AF96" s="915">
        <v>0</v>
      </c>
      <c r="AG96" s="913"/>
      <c r="AH96" s="916"/>
      <c r="AI96" s="6" t="s">
        <v>233</v>
      </c>
      <c r="AJ96" s="820" t="s">
        <v>703</v>
      </c>
      <c r="AK96" s="820" t="s">
        <v>1640</v>
      </c>
      <c r="AL96" s="33"/>
      <c r="AM96" s="33"/>
      <c r="AN96" s="33"/>
      <c r="AO96" s="33"/>
      <c r="AP96" s="33"/>
      <c r="AQ96" s="842"/>
      <c r="AR96" s="820" t="s">
        <v>236</v>
      </c>
      <c r="AS96" s="829" t="s">
        <v>1843</v>
      </c>
      <c r="AT96" s="362" t="s">
        <v>238</v>
      </c>
      <c r="AU96" s="829" t="s">
        <v>238</v>
      </c>
      <c r="AV96" s="919" t="s">
        <v>238</v>
      </c>
    </row>
    <row r="97" spans="1:48" ht="12.75" customHeight="1">
      <c r="A97" s="930" t="s">
        <v>832</v>
      </c>
      <c r="B97" s="820" t="s">
        <v>1844</v>
      </c>
      <c r="C97" s="5">
        <v>0</v>
      </c>
      <c r="D97" s="5">
        <v>0</v>
      </c>
      <c r="E97" s="5">
        <v>0</v>
      </c>
      <c r="F97" s="5">
        <v>0</v>
      </c>
      <c r="G97" s="5">
        <v>0</v>
      </c>
      <c r="H97" s="5">
        <v>0</v>
      </c>
      <c r="I97" s="5">
        <v>0</v>
      </c>
      <c r="J97" s="5">
        <v>0</v>
      </c>
      <c r="K97" s="5">
        <v>0</v>
      </c>
      <c r="L97" s="5">
        <v>0</v>
      </c>
      <c r="M97" s="5">
        <v>0</v>
      </c>
      <c r="N97" s="5">
        <v>0</v>
      </c>
      <c r="O97" s="5">
        <v>0</v>
      </c>
      <c r="P97" s="5">
        <v>0</v>
      </c>
      <c r="Q97" s="5">
        <v>0</v>
      </c>
      <c r="R97" s="5">
        <v>0</v>
      </c>
      <c r="S97" s="5">
        <v>1.5960000000000001</v>
      </c>
      <c r="T97" s="5">
        <v>2.0990000000000002</v>
      </c>
      <c r="U97" s="5">
        <v>2.25</v>
      </c>
      <c r="V97" s="5">
        <v>2.8180000000000001</v>
      </c>
      <c r="W97" s="5">
        <v>3.2330000000000001</v>
      </c>
      <c r="X97" s="913">
        <v>3.2330000000000001</v>
      </c>
      <c r="Y97" s="913">
        <v>3.2330000000000001</v>
      </c>
      <c r="Z97" s="913">
        <v>0.70499999999999996</v>
      </c>
      <c r="AA97" s="5">
        <v>3.9750000000000001</v>
      </c>
      <c r="AB97" s="5">
        <v>3.9750000000000001</v>
      </c>
      <c r="AC97" s="826">
        <v>3.9750000000000001</v>
      </c>
      <c r="AD97" s="914">
        <v>3.9750000000000001</v>
      </c>
      <c r="AE97" s="914">
        <v>0</v>
      </c>
      <c r="AF97" s="915">
        <v>0</v>
      </c>
      <c r="AG97" s="913"/>
      <c r="AH97" s="916"/>
      <c r="AI97" s="6" t="s">
        <v>240</v>
      </c>
      <c r="AJ97" s="820" t="s">
        <v>703</v>
      </c>
      <c r="AK97" s="820" t="s">
        <v>1640</v>
      </c>
      <c r="AL97" s="33"/>
      <c r="AM97" s="33"/>
      <c r="AN97" s="33"/>
      <c r="AO97" s="33"/>
      <c r="AP97" s="33"/>
      <c r="AQ97" s="842"/>
      <c r="AR97" s="820" t="s">
        <v>236</v>
      </c>
      <c r="AS97" s="829" t="s">
        <v>1845</v>
      </c>
      <c r="AT97" s="362" t="s">
        <v>238</v>
      </c>
      <c r="AU97" s="829" t="s">
        <v>238</v>
      </c>
      <c r="AV97" s="919" t="s">
        <v>238</v>
      </c>
    </row>
    <row r="98" spans="1:48" ht="12.75" customHeight="1">
      <c r="A98" s="930" t="s">
        <v>832</v>
      </c>
      <c r="B98" s="820" t="s">
        <v>1751</v>
      </c>
      <c r="C98" s="5">
        <v>0</v>
      </c>
      <c r="D98" s="5">
        <v>0</v>
      </c>
      <c r="E98" s="5">
        <v>0</v>
      </c>
      <c r="F98" s="5">
        <v>0</v>
      </c>
      <c r="G98" s="5">
        <v>0</v>
      </c>
      <c r="H98" s="5">
        <v>0</v>
      </c>
      <c r="I98" s="5">
        <v>0</v>
      </c>
      <c r="J98" s="5">
        <v>0</v>
      </c>
      <c r="K98" s="5">
        <v>0</v>
      </c>
      <c r="L98" s="5">
        <v>0</v>
      </c>
      <c r="M98" s="5">
        <v>0</v>
      </c>
      <c r="N98" s="5">
        <v>0</v>
      </c>
      <c r="O98" s="5">
        <v>0</v>
      </c>
      <c r="P98" s="5">
        <v>0</v>
      </c>
      <c r="Q98" s="5">
        <v>0</v>
      </c>
      <c r="R98" s="5">
        <v>0</v>
      </c>
      <c r="S98" s="5">
        <v>0</v>
      </c>
      <c r="T98" s="5">
        <v>0</v>
      </c>
      <c r="U98" s="5">
        <v>0</v>
      </c>
      <c r="V98" s="5">
        <v>0</v>
      </c>
      <c r="W98" s="5">
        <v>6.1980000000000004</v>
      </c>
      <c r="X98" s="913">
        <v>9.1029999999999998</v>
      </c>
      <c r="Y98" s="913">
        <v>3.6589999999999998</v>
      </c>
      <c r="Z98" s="913">
        <v>0</v>
      </c>
      <c r="AA98" s="5">
        <v>0</v>
      </c>
      <c r="AB98" s="5">
        <v>0</v>
      </c>
      <c r="AC98" s="826">
        <v>0</v>
      </c>
      <c r="AD98" s="914">
        <v>0</v>
      </c>
      <c r="AE98" s="914">
        <v>0</v>
      </c>
      <c r="AF98" s="915">
        <v>0</v>
      </c>
      <c r="AG98" s="913"/>
      <c r="AH98" s="916"/>
      <c r="AI98" s="6" t="s">
        <v>240</v>
      </c>
      <c r="AJ98" s="820" t="s">
        <v>403</v>
      </c>
      <c r="AK98" s="820" t="s">
        <v>1663</v>
      </c>
      <c r="AL98" s="33"/>
      <c r="AM98" s="33"/>
      <c r="AN98" s="33"/>
      <c r="AO98" s="33"/>
      <c r="AP98" s="33"/>
      <c r="AQ98" s="842"/>
      <c r="AR98" s="820" t="s">
        <v>236</v>
      </c>
      <c r="AS98" s="829" t="s">
        <v>1752</v>
      </c>
      <c r="AT98" s="362" t="s">
        <v>1846</v>
      </c>
      <c r="AU98" s="829" t="s">
        <v>1754</v>
      </c>
      <c r="AV98" s="919" t="s">
        <v>238</v>
      </c>
    </row>
    <row r="99" spans="1:48" ht="12.75" customHeight="1">
      <c r="A99" s="930" t="s">
        <v>832</v>
      </c>
      <c r="B99" s="820" t="s">
        <v>1847</v>
      </c>
      <c r="C99" s="5">
        <v>0</v>
      </c>
      <c r="D99" s="5">
        <v>0</v>
      </c>
      <c r="E99" s="5">
        <v>0</v>
      </c>
      <c r="F99" s="5">
        <v>0</v>
      </c>
      <c r="G99" s="5">
        <v>0</v>
      </c>
      <c r="H99" s="5">
        <v>0</v>
      </c>
      <c r="I99" s="5">
        <v>0</v>
      </c>
      <c r="J99" s="5">
        <v>0</v>
      </c>
      <c r="K99" s="5">
        <v>0</v>
      </c>
      <c r="L99" s="5">
        <v>0</v>
      </c>
      <c r="M99" s="5">
        <v>0</v>
      </c>
      <c r="N99" s="5">
        <v>0</v>
      </c>
      <c r="O99" s="5">
        <v>0</v>
      </c>
      <c r="P99" s="5">
        <v>0</v>
      </c>
      <c r="Q99" s="5">
        <v>0</v>
      </c>
      <c r="R99" s="5">
        <v>0</v>
      </c>
      <c r="S99" s="5">
        <v>0</v>
      </c>
      <c r="T99" s="5">
        <v>0</v>
      </c>
      <c r="U99" s="5">
        <v>0</v>
      </c>
      <c r="V99" s="5">
        <v>9.5690000000000008</v>
      </c>
      <c r="W99" s="5">
        <v>11.164</v>
      </c>
      <c r="X99" s="913">
        <v>21.164000000000001</v>
      </c>
      <c r="Y99" s="913">
        <v>2.4380000000000002</v>
      </c>
      <c r="Z99" s="913">
        <v>1.2470000000000001</v>
      </c>
      <c r="AA99" s="5">
        <v>11.891999999999999</v>
      </c>
      <c r="AB99" s="5">
        <v>11.898</v>
      </c>
      <c r="AC99" s="826">
        <v>11.528</v>
      </c>
      <c r="AD99" s="914">
        <v>12.996</v>
      </c>
      <c r="AE99" s="914">
        <v>16.567</v>
      </c>
      <c r="AF99" s="915">
        <v>22.08</v>
      </c>
      <c r="AG99" s="913"/>
      <c r="AH99" s="916"/>
      <c r="AI99" s="6" t="s">
        <v>240</v>
      </c>
      <c r="AJ99" s="820" t="s">
        <v>703</v>
      </c>
      <c r="AK99" s="820" t="s">
        <v>1848</v>
      </c>
      <c r="AL99" s="33"/>
      <c r="AM99" s="33">
        <v>1</v>
      </c>
      <c r="AN99" s="33"/>
      <c r="AO99" s="33"/>
      <c r="AP99" s="33"/>
      <c r="AQ99" s="842"/>
      <c r="AR99" s="820" t="s">
        <v>236</v>
      </c>
      <c r="AS99" s="829" t="s">
        <v>1849</v>
      </c>
      <c r="AT99" s="362" t="s">
        <v>1850</v>
      </c>
      <c r="AU99" s="829" t="s">
        <v>238</v>
      </c>
      <c r="AV99" s="919" t="s">
        <v>238</v>
      </c>
    </row>
    <row r="100" spans="1:48" ht="12.75" customHeight="1">
      <c r="A100" s="930" t="s">
        <v>832</v>
      </c>
      <c r="B100" s="820" t="s">
        <v>1851</v>
      </c>
      <c r="C100" s="5">
        <v>0</v>
      </c>
      <c r="D100" s="5">
        <v>0</v>
      </c>
      <c r="E100" s="5">
        <v>0</v>
      </c>
      <c r="F100" s="5">
        <v>0</v>
      </c>
      <c r="G100" s="5">
        <v>0</v>
      </c>
      <c r="H100" s="5">
        <v>0</v>
      </c>
      <c r="I100" s="5">
        <v>0</v>
      </c>
      <c r="J100" s="5">
        <v>0</v>
      </c>
      <c r="K100" s="5">
        <v>0</v>
      </c>
      <c r="L100" s="5">
        <v>0</v>
      </c>
      <c r="M100" s="5">
        <v>0</v>
      </c>
      <c r="N100" s="5">
        <v>0</v>
      </c>
      <c r="O100" s="5">
        <v>0</v>
      </c>
      <c r="P100" s="5">
        <v>0</v>
      </c>
      <c r="Q100" s="5">
        <v>0</v>
      </c>
      <c r="R100" s="5">
        <v>0</v>
      </c>
      <c r="S100" s="5">
        <v>0</v>
      </c>
      <c r="T100" s="5">
        <v>0</v>
      </c>
      <c r="U100" s="5">
        <v>0</v>
      </c>
      <c r="V100" s="5">
        <v>0</v>
      </c>
      <c r="W100" s="5">
        <v>0</v>
      </c>
      <c r="X100" s="913">
        <v>0.35</v>
      </c>
      <c r="Y100" s="913">
        <v>0.17599999999999999</v>
      </c>
      <c r="Z100" s="913">
        <v>0.114</v>
      </c>
      <c r="AA100" s="5">
        <v>0</v>
      </c>
      <c r="AB100" s="5">
        <v>0.374</v>
      </c>
      <c r="AC100" s="826">
        <v>0</v>
      </c>
      <c r="AD100" s="914">
        <v>0</v>
      </c>
      <c r="AE100" s="914">
        <v>0</v>
      </c>
      <c r="AF100" s="915">
        <v>0</v>
      </c>
      <c r="AG100" s="913"/>
      <c r="AH100" s="916"/>
      <c r="AI100" s="6" t="s">
        <v>273</v>
      </c>
      <c r="AJ100" s="820" t="s">
        <v>703</v>
      </c>
      <c r="AK100" s="820" t="s">
        <v>1691</v>
      </c>
      <c r="AL100" s="33"/>
      <c r="AM100" s="33"/>
      <c r="AN100" s="33"/>
      <c r="AO100" s="33"/>
      <c r="AP100" s="33"/>
      <c r="AQ100" s="842"/>
      <c r="AR100" s="820" t="s">
        <v>251</v>
      </c>
      <c r="AS100" s="829" t="s">
        <v>1852</v>
      </c>
      <c r="AT100" s="362" t="s">
        <v>238</v>
      </c>
      <c r="AU100" s="829" t="s">
        <v>238</v>
      </c>
      <c r="AV100" s="919" t="s">
        <v>238</v>
      </c>
    </row>
    <row r="101" spans="1:48" ht="12.75" customHeight="1">
      <c r="A101" s="930" t="s">
        <v>832</v>
      </c>
      <c r="B101" s="820" t="s">
        <v>1853</v>
      </c>
      <c r="C101" s="5">
        <v>0</v>
      </c>
      <c r="D101" s="5">
        <v>0</v>
      </c>
      <c r="E101" s="5">
        <v>0</v>
      </c>
      <c r="F101" s="5">
        <v>0</v>
      </c>
      <c r="G101" s="5">
        <v>0</v>
      </c>
      <c r="H101" s="5">
        <v>0</v>
      </c>
      <c r="I101" s="5">
        <v>0</v>
      </c>
      <c r="J101" s="5">
        <v>0</v>
      </c>
      <c r="K101" s="5">
        <v>0</v>
      </c>
      <c r="L101" s="5">
        <v>0</v>
      </c>
      <c r="M101" s="5">
        <v>0</v>
      </c>
      <c r="N101" s="5">
        <v>0</v>
      </c>
      <c r="O101" s="5">
        <v>0</v>
      </c>
      <c r="P101" s="5">
        <v>0</v>
      </c>
      <c r="Q101" s="5">
        <v>0</v>
      </c>
      <c r="R101" s="5">
        <v>0</v>
      </c>
      <c r="S101" s="5">
        <v>0</v>
      </c>
      <c r="T101" s="5">
        <v>0</v>
      </c>
      <c r="U101" s="5">
        <v>0.37</v>
      </c>
      <c r="V101" s="5">
        <v>0.33</v>
      </c>
      <c r="W101" s="5">
        <v>0.2</v>
      </c>
      <c r="X101" s="913">
        <v>1.5620000000000001</v>
      </c>
      <c r="Y101" s="913">
        <v>1.254</v>
      </c>
      <c r="Z101" s="913">
        <v>2.339</v>
      </c>
      <c r="AA101" s="5">
        <v>0.77700000000000002</v>
      </c>
      <c r="AB101" s="5">
        <v>1.3</v>
      </c>
      <c r="AC101" s="826">
        <v>1.1000000000000001</v>
      </c>
      <c r="AD101" s="914">
        <v>1.1000000000000001</v>
      </c>
      <c r="AE101" s="914">
        <v>1.1000000000000001</v>
      </c>
      <c r="AF101" s="915">
        <v>0</v>
      </c>
      <c r="AG101" s="913"/>
      <c r="AH101" s="916"/>
      <c r="AI101" s="6" t="s">
        <v>240</v>
      </c>
      <c r="AJ101" s="820" t="s">
        <v>703</v>
      </c>
      <c r="AK101" s="820" t="s">
        <v>1691</v>
      </c>
      <c r="AL101" s="33"/>
      <c r="AM101" s="33"/>
      <c r="AN101" s="33">
        <v>1</v>
      </c>
      <c r="AO101" s="33"/>
      <c r="AP101" s="33"/>
      <c r="AQ101" s="842"/>
      <c r="AR101" s="820" t="s">
        <v>236</v>
      </c>
      <c r="AS101" s="829" t="s">
        <v>1854</v>
      </c>
      <c r="AT101" s="362" t="s">
        <v>238</v>
      </c>
      <c r="AU101" s="829" t="s">
        <v>238</v>
      </c>
      <c r="AV101" s="919" t="s">
        <v>238</v>
      </c>
    </row>
    <row r="102" spans="1:48" ht="12.75" customHeight="1">
      <c r="A102" s="930" t="s">
        <v>832</v>
      </c>
      <c r="B102" s="820" t="s">
        <v>1855</v>
      </c>
      <c r="C102" s="5">
        <v>0</v>
      </c>
      <c r="D102" s="5">
        <v>0</v>
      </c>
      <c r="E102" s="5">
        <v>0</v>
      </c>
      <c r="F102" s="5">
        <v>0</v>
      </c>
      <c r="G102" s="5">
        <v>0</v>
      </c>
      <c r="H102" s="5">
        <v>0</v>
      </c>
      <c r="I102" s="5">
        <v>0</v>
      </c>
      <c r="J102" s="5">
        <v>0</v>
      </c>
      <c r="K102" s="5">
        <v>0</v>
      </c>
      <c r="L102" s="5">
        <v>0</v>
      </c>
      <c r="M102" s="5">
        <v>0</v>
      </c>
      <c r="N102" s="5">
        <v>0</v>
      </c>
      <c r="O102" s="5">
        <v>0</v>
      </c>
      <c r="P102" s="5">
        <v>0</v>
      </c>
      <c r="Q102" s="5">
        <v>0</v>
      </c>
      <c r="R102" s="5">
        <v>0</v>
      </c>
      <c r="S102" s="5">
        <v>0</v>
      </c>
      <c r="T102" s="5">
        <v>0</v>
      </c>
      <c r="U102" s="5">
        <v>0</v>
      </c>
      <c r="V102" s="5">
        <v>0</v>
      </c>
      <c r="W102" s="5">
        <v>0</v>
      </c>
      <c r="X102" s="5">
        <v>0</v>
      </c>
      <c r="Y102" s="5">
        <v>0</v>
      </c>
      <c r="Z102" s="5">
        <v>0</v>
      </c>
      <c r="AA102" s="5">
        <v>0</v>
      </c>
      <c r="AB102" s="5">
        <v>0</v>
      </c>
      <c r="AC102" s="826">
        <v>0.44500000000000001</v>
      </c>
      <c r="AD102" s="914">
        <v>0.45</v>
      </c>
      <c r="AE102" s="914"/>
      <c r="AF102" s="915"/>
      <c r="AG102" s="913"/>
      <c r="AH102" s="916"/>
      <c r="AI102" s="6" t="s">
        <v>233</v>
      </c>
      <c r="AJ102" s="820" t="s">
        <v>703</v>
      </c>
      <c r="AK102" s="820" t="s">
        <v>1640</v>
      </c>
      <c r="AL102" s="33"/>
      <c r="AM102" s="33"/>
      <c r="AN102" s="33"/>
      <c r="AO102" s="33"/>
      <c r="AP102" s="33"/>
      <c r="AQ102" s="842"/>
      <c r="AR102" s="820" t="s">
        <v>251</v>
      </c>
      <c r="AS102" s="829" t="s">
        <v>1856</v>
      </c>
      <c r="AT102" s="362"/>
      <c r="AU102" s="829"/>
      <c r="AV102" s="919"/>
    </row>
    <row r="103" spans="1:48" ht="12.75" customHeight="1">
      <c r="A103" s="930" t="s">
        <v>832</v>
      </c>
      <c r="B103" s="820" t="s">
        <v>1857</v>
      </c>
      <c r="C103" s="5">
        <v>0</v>
      </c>
      <c r="D103" s="5">
        <v>0</v>
      </c>
      <c r="E103" s="5">
        <v>0</v>
      </c>
      <c r="F103" s="5">
        <v>0</v>
      </c>
      <c r="G103" s="5">
        <v>0</v>
      </c>
      <c r="H103" s="5">
        <v>0</v>
      </c>
      <c r="I103" s="5">
        <v>0</v>
      </c>
      <c r="J103" s="5">
        <v>0</v>
      </c>
      <c r="K103" s="5">
        <v>0</v>
      </c>
      <c r="L103" s="5">
        <v>0</v>
      </c>
      <c r="M103" s="5">
        <v>0</v>
      </c>
      <c r="N103" s="5">
        <v>0</v>
      </c>
      <c r="O103" s="5">
        <v>0</v>
      </c>
      <c r="P103" s="5">
        <v>0</v>
      </c>
      <c r="Q103" s="5">
        <v>0</v>
      </c>
      <c r="R103" s="5">
        <v>0</v>
      </c>
      <c r="S103" s="5">
        <v>0</v>
      </c>
      <c r="T103" s="5">
        <v>0</v>
      </c>
      <c r="U103" s="5">
        <v>0</v>
      </c>
      <c r="V103" s="5">
        <v>0</v>
      </c>
      <c r="W103" s="5">
        <v>0.16200000000000001</v>
      </c>
      <c r="X103" s="913">
        <v>0.14099999999999999</v>
      </c>
      <c r="Y103" s="913">
        <v>0</v>
      </c>
      <c r="Z103" s="913">
        <v>0</v>
      </c>
      <c r="AA103" s="5">
        <v>0</v>
      </c>
      <c r="AB103" s="5">
        <v>0</v>
      </c>
      <c r="AC103" s="826">
        <v>0</v>
      </c>
      <c r="AD103" s="914">
        <v>0</v>
      </c>
      <c r="AE103" s="914">
        <v>0</v>
      </c>
      <c r="AF103" s="915">
        <v>0</v>
      </c>
      <c r="AG103" s="913"/>
      <c r="AH103" s="916"/>
      <c r="AI103" s="6" t="s">
        <v>240</v>
      </c>
      <c r="AJ103" s="820" t="s">
        <v>703</v>
      </c>
      <c r="AK103" s="820" t="s">
        <v>1663</v>
      </c>
      <c r="AL103" s="33"/>
      <c r="AM103" s="33"/>
      <c r="AN103" s="33"/>
      <c r="AO103" s="33"/>
      <c r="AP103" s="33"/>
      <c r="AQ103" s="842"/>
      <c r="AR103" s="820" t="s">
        <v>236</v>
      </c>
      <c r="AS103" s="829" t="s">
        <v>1858</v>
      </c>
      <c r="AT103" s="362" t="s">
        <v>238</v>
      </c>
      <c r="AU103" s="829" t="s">
        <v>238</v>
      </c>
      <c r="AV103" s="919" t="s">
        <v>238</v>
      </c>
    </row>
    <row r="104" spans="1:48" ht="12.75" customHeight="1">
      <c r="A104" s="930" t="s">
        <v>832</v>
      </c>
      <c r="B104" s="820" t="s">
        <v>1859</v>
      </c>
      <c r="C104" s="5">
        <v>0</v>
      </c>
      <c r="D104" s="5">
        <v>0</v>
      </c>
      <c r="E104" s="5">
        <v>0</v>
      </c>
      <c r="F104" s="5">
        <v>0</v>
      </c>
      <c r="G104" s="5">
        <v>0</v>
      </c>
      <c r="H104" s="5">
        <v>0</v>
      </c>
      <c r="I104" s="5">
        <v>0</v>
      </c>
      <c r="J104" s="5">
        <v>0</v>
      </c>
      <c r="K104" s="5">
        <v>0</v>
      </c>
      <c r="L104" s="5">
        <v>0</v>
      </c>
      <c r="M104" s="5">
        <v>0</v>
      </c>
      <c r="N104" s="5">
        <v>0</v>
      </c>
      <c r="O104" s="5">
        <v>0</v>
      </c>
      <c r="P104" s="5">
        <v>0</v>
      </c>
      <c r="Q104" s="5">
        <v>0</v>
      </c>
      <c r="R104" s="5">
        <v>0</v>
      </c>
      <c r="S104" s="5">
        <v>0</v>
      </c>
      <c r="T104" s="5">
        <v>0</v>
      </c>
      <c r="U104" s="5">
        <v>0</v>
      </c>
      <c r="V104" s="5">
        <v>0</v>
      </c>
      <c r="W104" s="5">
        <v>5.9450000000000003</v>
      </c>
      <c r="X104" s="913">
        <v>1.2429999999999999</v>
      </c>
      <c r="Y104" s="913">
        <v>1.302</v>
      </c>
      <c r="Z104" s="913">
        <v>0</v>
      </c>
      <c r="AA104" s="5">
        <v>0</v>
      </c>
      <c r="AB104" s="5">
        <v>0</v>
      </c>
      <c r="AC104" s="826">
        <v>0</v>
      </c>
      <c r="AD104" s="914">
        <v>0</v>
      </c>
      <c r="AE104" s="914">
        <v>0</v>
      </c>
      <c r="AF104" s="915">
        <v>0</v>
      </c>
      <c r="AG104" s="913"/>
      <c r="AH104" s="916"/>
      <c r="AI104" s="6" t="s">
        <v>233</v>
      </c>
      <c r="AJ104" s="820" t="s">
        <v>703</v>
      </c>
      <c r="AK104" s="820" t="s">
        <v>1663</v>
      </c>
      <c r="AL104" s="33"/>
      <c r="AM104" s="33"/>
      <c r="AN104" s="33"/>
      <c r="AO104" s="33"/>
      <c r="AP104" s="33"/>
      <c r="AQ104" s="842"/>
      <c r="AR104" s="820" t="s">
        <v>236</v>
      </c>
      <c r="AS104" s="829" t="s">
        <v>1860</v>
      </c>
      <c r="AT104" s="362" t="s">
        <v>238</v>
      </c>
      <c r="AU104" s="829" t="s">
        <v>238</v>
      </c>
      <c r="AV104" s="919" t="s">
        <v>238</v>
      </c>
    </row>
    <row r="105" spans="1:48" ht="12.75" customHeight="1">
      <c r="A105" s="930" t="s">
        <v>832</v>
      </c>
      <c r="B105" s="820" t="s">
        <v>1861</v>
      </c>
      <c r="C105" s="5">
        <v>0</v>
      </c>
      <c r="D105" s="5">
        <v>0</v>
      </c>
      <c r="E105" s="5">
        <v>0</v>
      </c>
      <c r="F105" s="5">
        <v>0</v>
      </c>
      <c r="G105" s="5">
        <v>0</v>
      </c>
      <c r="H105" s="5">
        <v>0</v>
      </c>
      <c r="I105" s="5">
        <v>0</v>
      </c>
      <c r="J105" s="5">
        <v>0</v>
      </c>
      <c r="K105" s="5">
        <v>0</v>
      </c>
      <c r="L105" s="5">
        <v>0</v>
      </c>
      <c r="M105" s="5">
        <v>0</v>
      </c>
      <c r="N105" s="5">
        <v>0</v>
      </c>
      <c r="O105" s="5">
        <v>0</v>
      </c>
      <c r="P105" s="5">
        <v>0</v>
      </c>
      <c r="Q105" s="5">
        <v>0</v>
      </c>
      <c r="R105" s="5">
        <v>0</v>
      </c>
      <c r="S105" s="5">
        <v>0</v>
      </c>
      <c r="T105" s="5">
        <v>0</v>
      </c>
      <c r="U105" s="5">
        <v>0</v>
      </c>
      <c r="V105" s="5">
        <v>0</v>
      </c>
      <c r="W105" s="5">
        <v>0</v>
      </c>
      <c r="X105" s="5">
        <v>0</v>
      </c>
      <c r="Y105" s="5">
        <v>0</v>
      </c>
      <c r="Z105" s="5">
        <v>0</v>
      </c>
      <c r="AA105" s="5">
        <v>0</v>
      </c>
      <c r="AB105" s="5">
        <v>0</v>
      </c>
      <c r="AC105" s="5">
        <v>0</v>
      </c>
      <c r="AD105" s="849">
        <v>0.65</v>
      </c>
      <c r="AE105" s="849">
        <v>0</v>
      </c>
      <c r="AF105" s="850">
        <v>0</v>
      </c>
      <c r="AG105" s="5">
        <v>0</v>
      </c>
      <c r="AH105" s="821">
        <v>0</v>
      </c>
      <c r="AI105" s="6" t="s">
        <v>273</v>
      </c>
      <c r="AJ105" s="820" t="s">
        <v>703</v>
      </c>
      <c r="AK105" s="921" t="s">
        <v>1748</v>
      </c>
      <c r="AL105" s="33"/>
      <c r="AM105" s="33"/>
      <c r="AN105" s="33"/>
      <c r="AO105" s="33"/>
      <c r="AP105" s="33"/>
      <c r="AQ105" s="842"/>
      <c r="AR105" s="820" t="s">
        <v>251</v>
      </c>
      <c r="AS105" s="829" t="s">
        <v>1862</v>
      </c>
      <c r="AT105" s="362"/>
      <c r="AU105" s="829"/>
      <c r="AV105" s="919"/>
    </row>
    <row r="106" spans="1:48" ht="12.75" customHeight="1">
      <c r="A106" s="930" t="s">
        <v>832</v>
      </c>
      <c r="B106" s="820" t="s">
        <v>1863</v>
      </c>
      <c r="C106" s="5">
        <v>0</v>
      </c>
      <c r="D106" s="5">
        <v>0</v>
      </c>
      <c r="E106" s="5">
        <v>0</v>
      </c>
      <c r="F106" s="5">
        <v>0</v>
      </c>
      <c r="G106" s="5">
        <v>0</v>
      </c>
      <c r="H106" s="5">
        <v>0</v>
      </c>
      <c r="I106" s="5">
        <v>0</v>
      </c>
      <c r="J106" s="5">
        <v>0</v>
      </c>
      <c r="K106" s="5">
        <v>0</v>
      </c>
      <c r="L106" s="5">
        <v>0</v>
      </c>
      <c r="M106" s="5">
        <v>0</v>
      </c>
      <c r="N106" s="5">
        <v>0</v>
      </c>
      <c r="O106" s="5">
        <v>0</v>
      </c>
      <c r="P106" s="5">
        <v>0</v>
      </c>
      <c r="Q106" s="5">
        <v>0</v>
      </c>
      <c r="R106" s="5">
        <v>0</v>
      </c>
      <c r="S106" s="5">
        <v>0</v>
      </c>
      <c r="T106" s="5">
        <v>0</v>
      </c>
      <c r="U106" s="5">
        <v>0</v>
      </c>
      <c r="V106" s="5">
        <v>0</v>
      </c>
      <c r="W106" s="5">
        <v>0</v>
      </c>
      <c r="X106" s="913">
        <v>0</v>
      </c>
      <c r="Y106" s="913">
        <v>0</v>
      </c>
      <c r="Z106" s="913">
        <v>0.27</v>
      </c>
      <c r="AA106" s="5">
        <v>0</v>
      </c>
      <c r="AB106" s="5">
        <v>0</v>
      </c>
      <c r="AC106" s="826">
        <v>0</v>
      </c>
      <c r="AD106" s="914">
        <v>0</v>
      </c>
      <c r="AE106" s="914">
        <v>0</v>
      </c>
      <c r="AF106" s="915">
        <v>0</v>
      </c>
      <c r="AG106" s="913"/>
      <c r="AH106" s="916"/>
      <c r="AI106" s="6" t="s">
        <v>273</v>
      </c>
      <c r="AJ106" s="820" t="s">
        <v>703</v>
      </c>
      <c r="AK106" s="820" t="s">
        <v>1691</v>
      </c>
      <c r="AL106" s="33"/>
      <c r="AM106" s="33"/>
      <c r="AN106" s="33"/>
      <c r="AO106" s="33"/>
      <c r="AP106" s="33"/>
      <c r="AQ106" s="842"/>
      <c r="AR106" s="820" t="s">
        <v>251</v>
      </c>
      <c r="AS106" s="829" t="s">
        <v>1864</v>
      </c>
      <c r="AT106" s="362" t="s">
        <v>238</v>
      </c>
      <c r="AU106" s="829" t="s">
        <v>238</v>
      </c>
      <c r="AV106" s="919" t="s">
        <v>238</v>
      </c>
    </row>
    <row r="107" spans="1:48" ht="12.75" customHeight="1">
      <c r="A107" s="930" t="s">
        <v>832</v>
      </c>
      <c r="B107" s="820" t="s">
        <v>1865</v>
      </c>
      <c r="C107" s="5">
        <v>0</v>
      </c>
      <c r="D107" s="5">
        <v>0</v>
      </c>
      <c r="E107" s="5">
        <v>0</v>
      </c>
      <c r="F107" s="5">
        <v>0</v>
      </c>
      <c r="G107" s="5">
        <v>0</v>
      </c>
      <c r="H107" s="5">
        <v>0</v>
      </c>
      <c r="I107" s="5">
        <v>0</v>
      </c>
      <c r="J107" s="5">
        <v>0</v>
      </c>
      <c r="K107" s="5">
        <v>0</v>
      </c>
      <c r="L107" s="5">
        <v>0</v>
      </c>
      <c r="M107" s="5">
        <v>0</v>
      </c>
      <c r="N107" s="5">
        <v>0</v>
      </c>
      <c r="O107" s="5">
        <v>0</v>
      </c>
      <c r="P107" s="5">
        <v>0</v>
      </c>
      <c r="Q107" s="5">
        <v>0</v>
      </c>
      <c r="R107" s="5">
        <v>0</v>
      </c>
      <c r="S107" s="5">
        <v>0</v>
      </c>
      <c r="T107" s="5">
        <v>0</v>
      </c>
      <c r="U107" s="5">
        <v>0</v>
      </c>
      <c r="V107" s="5">
        <v>0</v>
      </c>
      <c r="W107" s="5">
        <v>0</v>
      </c>
      <c r="X107" s="5">
        <v>0</v>
      </c>
      <c r="Y107" s="5">
        <v>0</v>
      </c>
      <c r="Z107" s="913">
        <v>0.63800000000000001</v>
      </c>
      <c r="AA107" s="5">
        <v>0.879</v>
      </c>
      <c r="AB107" s="5">
        <v>1.208</v>
      </c>
      <c r="AC107" s="826">
        <v>1.2669999999999999</v>
      </c>
      <c r="AD107" s="914">
        <v>1.2669999999999999</v>
      </c>
      <c r="AE107" s="914"/>
      <c r="AF107" s="915"/>
      <c r="AG107" s="913"/>
      <c r="AH107" s="916"/>
      <c r="AI107" s="6" t="s">
        <v>273</v>
      </c>
      <c r="AJ107" s="820" t="s">
        <v>703</v>
      </c>
      <c r="AK107" s="820" t="s">
        <v>1640</v>
      </c>
      <c r="AL107" s="33"/>
      <c r="AM107" s="33"/>
      <c r="AN107" s="33"/>
      <c r="AO107" s="33"/>
      <c r="AP107" s="33"/>
      <c r="AQ107" s="842"/>
      <c r="AR107" s="820" t="s">
        <v>251</v>
      </c>
      <c r="AS107" s="829" t="s">
        <v>1866</v>
      </c>
      <c r="AT107" s="362"/>
      <c r="AU107" s="829"/>
      <c r="AV107" s="919"/>
    </row>
    <row r="108" spans="1:48" ht="12.75" customHeight="1">
      <c r="A108" s="930" t="s">
        <v>832</v>
      </c>
      <c r="B108" s="820" t="s">
        <v>1867</v>
      </c>
      <c r="C108" s="5">
        <v>0</v>
      </c>
      <c r="D108" s="5">
        <v>0</v>
      </c>
      <c r="E108" s="5">
        <v>0</v>
      </c>
      <c r="F108" s="5">
        <v>0</v>
      </c>
      <c r="G108" s="5">
        <v>0</v>
      </c>
      <c r="H108" s="5">
        <v>0</v>
      </c>
      <c r="I108" s="5">
        <v>0</v>
      </c>
      <c r="J108" s="5">
        <v>0</v>
      </c>
      <c r="K108" s="5">
        <v>0</v>
      </c>
      <c r="L108" s="5">
        <v>0</v>
      </c>
      <c r="M108" s="5">
        <v>0</v>
      </c>
      <c r="N108" s="5">
        <v>0</v>
      </c>
      <c r="O108" s="5">
        <v>0</v>
      </c>
      <c r="P108" s="5">
        <v>0</v>
      </c>
      <c r="Q108" s="5">
        <v>0</v>
      </c>
      <c r="R108" s="5">
        <v>0</v>
      </c>
      <c r="S108" s="5">
        <v>0</v>
      </c>
      <c r="T108" s="5">
        <v>0</v>
      </c>
      <c r="U108" s="5">
        <v>0</v>
      </c>
      <c r="V108" s="5">
        <v>0</v>
      </c>
      <c r="W108" s="5">
        <v>0</v>
      </c>
      <c r="X108" s="5">
        <v>0</v>
      </c>
      <c r="Y108" s="5">
        <v>0</v>
      </c>
      <c r="Z108" s="5">
        <v>0</v>
      </c>
      <c r="AA108" s="5">
        <v>0</v>
      </c>
      <c r="AB108" s="5">
        <v>0</v>
      </c>
      <c r="AC108" s="5">
        <v>0</v>
      </c>
      <c r="AD108" s="849">
        <v>15</v>
      </c>
      <c r="AE108" s="849">
        <v>0</v>
      </c>
      <c r="AF108" s="850">
        <v>0</v>
      </c>
      <c r="AG108" s="5">
        <v>0</v>
      </c>
      <c r="AH108" s="821">
        <v>0</v>
      </c>
      <c r="AI108" s="6" t="s">
        <v>273</v>
      </c>
      <c r="AJ108" s="820" t="s">
        <v>703</v>
      </c>
      <c r="AK108" s="921" t="s">
        <v>1663</v>
      </c>
      <c r="AL108" s="33"/>
      <c r="AM108" s="33"/>
      <c r="AN108" s="33"/>
      <c r="AO108" s="33"/>
      <c r="AP108" s="33"/>
      <c r="AQ108" s="842"/>
      <c r="AR108" s="820" t="s">
        <v>236</v>
      </c>
      <c r="AS108" s="829" t="s">
        <v>1868</v>
      </c>
      <c r="AT108" s="362"/>
      <c r="AU108" s="829"/>
      <c r="AV108" s="919"/>
    </row>
    <row r="109" spans="1:48" ht="12.75" customHeight="1">
      <c r="A109" s="930" t="s">
        <v>832</v>
      </c>
      <c r="B109" s="820" t="s">
        <v>1869</v>
      </c>
      <c r="C109" s="5">
        <v>0</v>
      </c>
      <c r="D109" s="5">
        <v>0</v>
      </c>
      <c r="E109" s="5">
        <v>0</v>
      </c>
      <c r="F109" s="5">
        <v>0</v>
      </c>
      <c r="G109" s="5">
        <v>0</v>
      </c>
      <c r="H109" s="5">
        <v>0</v>
      </c>
      <c r="I109" s="5">
        <v>0</v>
      </c>
      <c r="J109" s="5">
        <v>0</v>
      </c>
      <c r="K109" s="5">
        <v>0</v>
      </c>
      <c r="L109" s="5">
        <v>0</v>
      </c>
      <c r="M109" s="5">
        <v>0</v>
      </c>
      <c r="N109" s="5">
        <v>0</v>
      </c>
      <c r="O109" s="5">
        <v>0</v>
      </c>
      <c r="P109" s="5">
        <v>0</v>
      </c>
      <c r="Q109" s="5">
        <v>0</v>
      </c>
      <c r="R109" s="5">
        <v>0</v>
      </c>
      <c r="S109" s="5">
        <v>0</v>
      </c>
      <c r="T109" s="5">
        <v>0</v>
      </c>
      <c r="U109" s="5">
        <v>0.9</v>
      </c>
      <c r="V109" s="5">
        <v>2.7</v>
      </c>
      <c r="W109" s="5">
        <v>2.7</v>
      </c>
      <c r="X109" s="913">
        <v>1.1000000000000001</v>
      </c>
      <c r="Y109" s="913">
        <v>1.677</v>
      </c>
      <c r="Z109" s="913">
        <v>0.752</v>
      </c>
      <c r="AA109" s="5">
        <v>0.752</v>
      </c>
      <c r="AB109" s="5">
        <v>0</v>
      </c>
      <c r="AC109" s="826">
        <v>0</v>
      </c>
      <c r="AD109" s="914">
        <v>0</v>
      </c>
      <c r="AE109" s="914">
        <v>0</v>
      </c>
      <c r="AF109" s="915">
        <v>0</v>
      </c>
      <c r="AG109" s="913"/>
      <c r="AH109" s="916"/>
      <c r="AI109" s="6" t="s">
        <v>233</v>
      </c>
      <c r="AJ109" s="820" t="s">
        <v>703</v>
      </c>
      <c r="AK109" s="820" t="s">
        <v>1663</v>
      </c>
      <c r="AL109" s="33"/>
      <c r="AM109" s="33"/>
      <c r="AN109" s="33"/>
      <c r="AO109" s="33"/>
      <c r="AP109" s="33"/>
      <c r="AQ109" s="842"/>
      <c r="AR109" s="820" t="s">
        <v>236</v>
      </c>
      <c r="AS109" s="829" t="s">
        <v>1870</v>
      </c>
      <c r="AT109" s="362" t="s">
        <v>238</v>
      </c>
      <c r="AU109" s="829" t="s">
        <v>238</v>
      </c>
      <c r="AV109" s="919" t="s">
        <v>238</v>
      </c>
    </row>
    <row r="110" spans="1:48" ht="12.75" customHeight="1">
      <c r="A110" s="930" t="s">
        <v>1095</v>
      </c>
      <c r="B110" s="855" t="s">
        <v>1871</v>
      </c>
      <c r="C110" s="860">
        <v>0</v>
      </c>
      <c r="D110" s="860">
        <v>0</v>
      </c>
      <c r="E110" s="860">
        <v>0</v>
      </c>
      <c r="F110" s="860">
        <v>0</v>
      </c>
      <c r="G110" s="860">
        <v>0</v>
      </c>
      <c r="H110" s="860">
        <v>0</v>
      </c>
      <c r="I110" s="860">
        <v>0</v>
      </c>
      <c r="J110" s="860">
        <v>0</v>
      </c>
      <c r="K110" s="860">
        <v>0</v>
      </c>
      <c r="L110" s="860">
        <v>0</v>
      </c>
      <c r="M110" s="860">
        <v>0</v>
      </c>
      <c r="N110" s="860">
        <v>0</v>
      </c>
      <c r="O110" s="860">
        <v>0</v>
      </c>
      <c r="P110" s="860">
        <v>0</v>
      </c>
      <c r="Q110" s="860">
        <v>0</v>
      </c>
      <c r="R110" s="860">
        <v>0</v>
      </c>
      <c r="S110" s="860">
        <v>0</v>
      </c>
      <c r="T110" s="860">
        <v>0</v>
      </c>
      <c r="U110" s="860">
        <v>0</v>
      </c>
      <c r="V110" s="856">
        <v>0</v>
      </c>
      <c r="W110" s="856">
        <v>0</v>
      </c>
      <c r="X110" s="856">
        <v>0</v>
      </c>
      <c r="Y110" s="856">
        <v>0</v>
      </c>
      <c r="Z110" s="856">
        <v>0</v>
      </c>
      <c r="AA110" s="856">
        <v>0</v>
      </c>
      <c r="AB110" s="856">
        <v>5.7000000000000002E-2</v>
      </c>
      <c r="AC110" s="856">
        <v>1.6830000000000001</v>
      </c>
      <c r="AD110" s="931">
        <v>0</v>
      </c>
      <c r="AE110" s="931">
        <v>0</v>
      </c>
      <c r="AF110" s="859">
        <v>0</v>
      </c>
      <c r="AG110" s="860" t="s">
        <v>1100</v>
      </c>
      <c r="AH110" s="861" t="s">
        <v>1100</v>
      </c>
      <c r="AI110" s="865" t="s">
        <v>273</v>
      </c>
      <c r="AJ110" s="855" t="s">
        <v>362</v>
      </c>
      <c r="AK110" s="855" t="s">
        <v>1640</v>
      </c>
      <c r="AL110" s="860" t="s">
        <v>1100</v>
      </c>
      <c r="AM110" s="860"/>
      <c r="AN110" s="860"/>
      <c r="AO110" s="860"/>
      <c r="AP110" s="860"/>
      <c r="AQ110" s="865"/>
      <c r="AR110" s="855" t="s">
        <v>236</v>
      </c>
      <c r="AS110" s="932" t="s">
        <v>1872</v>
      </c>
      <c r="AT110" s="932"/>
      <c r="AU110" s="932"/>
      <c r="AV110" s="828" t="s">
        <v>277</v>
      </c>
    </row>
    <row r="111" spans="1:48" ht="12.75" customHeight="1">
      <c r="A111" s="930" t="s">
        <v>1095</v>
      </c>
      <c r="B111" s="820" t="s">
        <v>1873</v>
      </c>
      <c r="C111" s="5">
        <v>0</v>
      </c>
      <c r="D111" s="5">
        <v>0</v>
      </c>
      <c r="E111" s="5">
        <v>0</v>
      </c>
      <c r="F111" s="5">
        <v>0</v>
      </c>
      <c r="G111" s="5">
        <v>0</v>
      </c>
      <c r="H111" s="5">
        <v>0</v>
      </c>
      <c r="I111" s="5">
        <v>0</v>
      </c>
      <c r="J111" s="5">
        <v>0</v>
      </c>
      <c r="K111" s="5">
        <v>0</v>
      </c>
      <c r="L111" s="5">
        <v>0</v>
      </c>
      <c r="M111" s="5">
        <v>0</v>
      </c>
      <c r="N111" s="5">
        <v>0</v>
      </c>
      <c r="O111" s="5">
        <v>0</v>
      </c>
      <c r="P111" s="5">
        <v>0</v>
      </c>
      <c r="Q111" s="5">
        <v>0</v>
      </c>
      <c r="R111" s="5">
        <v>0</v>
      </c>
      <c r="S111" s="5">
        <v>0</v>
      </c>
      <c r="T111" s="5">
        <v>0</v>
      </c>
      <c r="U111" s="5">
        <v>0</v>
      </c>
      <c r="V111" s="5">
        <v>1.135</v>
      </c>
      <c r="W111" s="5">
        <v>0.97596000000000005</v>
      </c>
      <c r="X111" s="913">
        <v>0</v>
      </c>
      <c r="Y111" s="913">
        <v>0</v>
      </c>
      <c r="Z111" s="913">
        <v>0</v>
      </c>
      <c r="AA111" s="5">
        <v>0</v>
      </c>
      <c r="AB111" s="5">
        <v>0</v>
      </c>
      <c r="AC111" s="826">
        <v>0</v>
      </c>
      <c r="AD111" s="914">
        <v>0</v>
      </c>
      <c r="AE111" s="914">
        <v>0</v>
      </c>
      <c r="AF111" s="915">
        <v>0</v>
      </c>
      <c r="AG111" s="913"/>
      <c r="AH111" s="916"/>
      <c r="AI111" s="6" t="s">
        <v>273</v>
      </c>
      <c r="AJ111" s="820" t="s">
        <v>362</v>
      </c>
      <c r="AK111" s="820" t="s">
        <v>1663</v>
      </c>
      <c r="AL111" s="33"/>
      <c r="AM111" s="33"/>
      <c r="AN111" s="33"/>
      <c r="AO111" s="33"/>
      <c r="AP111" s="33"/>
      <c r="AQ111" s="842"/>
      <c r="AR111" s="820" t="s">
        <v>236</v>
      </c>
      <c r="AS111" s="829" t="s">
        <v>1874</v>
      </c>
      <c r="AT111" s="362" t="s">
        <v>238</v>
      </c>
      <c r="AU111" s="829" t="s">
        <v>238</v>
      </c>
      <c r="AV111" s="919" t="s">
        <v>238</v>
      </c>
    </row>
    <row r="112" spans="1:48" ht="12.75" customHeight="1">
      <c r="A112" s="930" t="s">
        <v>1095</v>
      </c>
      <c r="B112" s="860" t="s">
        <v>1875</v>
      </c>
      <c r="C112" s="860">
        <v>0</v>
      </c>
      <c r="D112" s="860">
        <v>0</v>
      </c>
      <c r="E112" s="860">
        <v>0</v>
      </c>
      <c r="F112" s="860">
        <v>0</v>
      </c>
      <c r="G112" s="860">
        <v>0</v>
      </c>
      <c r="H112" s="860">
        <v>0</v>
      </c>
      <c r="I112" s="860">
        <v>0</v>
      </c>
      <c r="J112" s="860">
        <v>0</v>
      </c>
      <c r="K112" s="860">
        <v>0</v>
      </c>
      <c r="L112" s="860">
        <v>0</v>
      </c>
      <c r="M112" s="860">
        <v>0</v>
      </c>
      <c r="N112" s="860">
        <v>0</v>
      </c>
      <c r="O112" s="860">
        <v>0</v>
      </c>
      <c r="P112" s="860">
        <v>0</v>
      </c>
      <c r="Q112" s="860">
        <v>0</v>
      </c>
      <c r="R112" s="860">
        <v>0</v>
      </c>
      <c r="S112" s="860">
        <v>0</v>
      </c>
      <c r="T112" s="860">
        <v>0</v>
      </c>
      <c r="U112" s="860">
        <v>0</v>
      </c>
      <c r="V112" s="856">
        <v>0</v>
      </c>
      <c r="W112" s="856">
        <v>0</v>
      </c>
      <c r="X112" s="856">
        <v>0</v>
      </c>
      <c r="Y112" s="856">
        <v>0</v>
      </c>
      <c r="Z112" s="856">
        <v>0</v>
      </c>
      <c r="AA112" s="856">
        <v>0</v>
      </c>
      <c r="AB112" s="856">
        <v>0</v>
      </c>
      <c r="AC112" s="856">
        <v>0</v>
      </c>
      <c r="AD112" s="857">
        <v>1.07</v>
      </c>
      <c r="AE112" s="931">
        <v>0</v>
      </c>
      <c r="AF112" s="859">
        <v>0</v>
      </c>
      <c r="AG112" s="860" t="s">
        <v>1100</v>
      </c>
      <c r="AH112" s="861" t="s">
        <v>1100</v>
      </c>
      <c r="AI112" s="860" t="s">
        <v>273</v>
      </c>
      <c r="AJ112" s="933" t="s">
        <v>397</v>
      </c>
      <c r="AK112" s="933" t="s">
        <v>1663</v>
      </c>
      <c r="AL112" s="933" t="s">
        <v>1100</v>
      </c>
      <c r="AM112" s="860"/>
      <c r="AN112" s="860"/>
      <c r="AO112" s="860"/>
      <c r="AP112" s="860"/>
      <c r="AQ112" s="860"/>
      <c r="AR112" s="933" t="s">
        <v>236</v>
      </c>
      <c r="AS112" s="934" t="s">
        <v>1876</v>
      </c>
      <c r="AT112" s="932"/>
      <c r="AU112" s="932"/>
      <c r="AV112" s="828" t="s">
        <v>277</v>
      </c>
    </row>
    <row r="113" spans="1:48" ht="12.75" customHeight="1">
      <c r="A113" s="930" t="s">
        <v>1095</v>
      </c>
      <c r="B113" s="1" t="s">
        <v>1877</v>
      </c>
      <c r="C113" s="935">
        <v>0</v>
      </c>
      <c r="D113" s="935">
        <v>0</v>
      </c>
      <c r="E113" s="935">
        <v>0</v>
      </c>
      <c r="F113" s="935">
        <v>0</v>
      </c>
      <c r="G113" s="935">
        <v>0</v>
      </c>
      <c r="H113" s="935">
        <v>0</v>
      </c>
      <c r="I113" s="935">
        <v>0</v>
      </c>
      <c r="J113" s="935">
        <v>0</v>
      </c>
      <c r="K113" s="935">
        <v>0</v>
      </c>
      <c r="L113" s="935">
        <v>0</v>
      </c>
      <c r="M113" s="935">
        <v>0</v>
      </c>
      <c r="N113" s="935">
        <v>0</v>
      </c>
      <c r="O113" s="935">
        <v>0</v>
      </c>
      <c r="P113" s="935">
        <v>0</v>
      </c>
      <c r="Q113" s="935">
        <v>0</v>
      </c>
      <c r="R113" s="935">
        <v>0</v>
      </c>
      <c r="S113" s="935">
        <v>0</v>
      </c>
      <c r="T113" s="935">
        <v>0</v>
      </c>
      <c r="U113" s="935">
        <v>0</v>
      </c>
      <c r="V113" s="935">
        <v>0</v>
      </c>
      <c r="W113" s="935">
        <v>0</v>
      </c>
      <c r="X113" s="936">
        <v>0</v>
      </c>
      <c r="Y113" s="936">
        <v>0</v>
      </c>
      <c r="Z113" s="936">
        <v>0</v>
      </c>
      <c r="AA113" s="935">
        <v>0</v>
      </c>
      <c r="AB113" s="5">
        <v>6.8000000000000005E-2</v>
      </c>
      <c r="AC113" s="937">
        <v>0</v>
      </c>
      <c r="AD113" s="938">
        <v>0</v>
      </c>
      <c r="AE113" s="938">
        <v>0</v>
      </c>
      <c r="AF113" s="939">
        <v>0</v>
      </c>
      <c r="AG113" s="913"/>
      <c r="AH113" s="916"/>
      <c r="AI113" s="1" t="s">
        <v>273</v>
      </c>
      <c r="AJ113" s="940" t="s">
        <v>397</v>
      </c>
      <c r="AK113" s="940" t="s">
        <v>1663</v>
      </c>
      <c r="AL113" s="941"/>
      <c r="AM113" s="33"/>
      <c r="AN113" s="33"/>
      <c r="AO113" s="33"/>
      <c r="AP113" s="33"/>
      <c r="AQ113" s="33"/>
      <c r="AR113" s="940" t="s">
        <v>251</v>
      </c>
      <c r="AS113" s="942" t="s">
        <v>1878</v>
      </c>
      <c r="AT113" s="362"/>
      <c r="AU113" s="829"/>
      <c r="AV113" s="829"/>
    </row>
    <row r="114" spans="1:48" ht="12.75" customHeight="1">
      <c r="A114" s="930" t="s">
        <v>1119</v>
      </c>
      <c r="B114" s="820" t="s">
        <v>1879</v>
      </c>
      <c r="C114" s="5">
        <v>0</v>
      </c>
      <c r="D114" s="5">
        <v>0</v>
      </c>
      <c r="E114" s="5">
        <v>0</v>
      </c>
      <c r="F114" s="5">
        <v>0</v>
      </c>
      <c r="G114" s="5">
        <v>0</v>
      </c>
      <c r="H114" s="5">
        <v>0</v>
      </c>
      <c r="I114" s="5">
        <v>0</v>
      </c>
      <c r="J114" s="5">
        <v>0</v>
      </c>
      <c r="K114" s="5">
        <v>0</v>
      </c>
      <c r="L114" s="5">
        <v>0</v>
      </c>
      <c r="M114" s="5">
        <v>0</v>
      </c>
      <c r="N114" s="5">
        <v>0</v>
      </c>
      <c r="O114" s="5">
        <v>0</v>
      </c>
      <c r="P114" s="5">
        <v>0</v>
      </c>
      <c r="Q114" s="5">
        <v>0</v>
      </c>
      <c r="R114" s="5">
        <v>0</v>
      </c>
      <c r="S114" s="5">
        <v>0</v>
      </c>
      <c r="T114" s="5">
        <v>0</v>
      </c>
      <c r="U114" s="5">
        <v>0</v>
      </c>
      <c r="V114" s="5">
        <v>0</v>
      </c>
      <c r="W114" s="5">
        <v>0</v>
      </c>
      <c r="X114" s="913">
        <v>0</v>
      </c>
      <c r="Y114" s="913">
        <v>0</v>
      </c>
      <c r="Z114" s="913">
        <v>0</v>
      </c>
      <c r="AA114" s="5">
        <v>7.1760000000000002</v>
      </c>
      <c r="AB114" s="5">
        <v>10.768000000000001</v>
      </c>
      <c r="AC114" s="826">
        <v>16.768000000000001</v>
      </c>
      <c r="AD114" s="914">
        <v>6</v>
      </c>
      <c r="AE114" s="914">
        <v>6</v>
      </c>
      <c r="AF114" s="915">
        <v>7.9649999999999999</v>
      </c>
      <c r="AG114" s="913">
        <v>10.113</v>
      </c>
      <c r="AH114" s="916">
        <v>4.0199999999999996</v>
      </c>
      <c r="AI114" s="6" t="s">
        <v>263</v>
      </c>
      <c r="AJ114" s="820" t="s">
        <v>389</v>
      </c>
      <c r="AK114" s="820" t="s">
        <v>1640</v>
      </c>
      <c r="AL114" s="33">
        <v>1</v>
      </c>
      <c r="AM114" s="33">
        <v>1</v>
      </c>
      <c r="AN114" s="33"/>
      <c r="AO114" s="33">
        <v>1</v>
      </c>
      <c r="AP114" s="33">
        <v>1</v>
      </c>
      <c r="AQ114" s="842">
        <v>1</v>
      </c>
      <c r="AR114" s="820" t="s">
        <v>236</v>
      </c>
      <c r="AS114" s="829" t="s">
        <v>1880</v>
      </c>
      <c r="AT114" s="362" t="s">
        <v>238</v>
      </c>
      <c r="AU114" s="829" t="s">
        <v>238</v>
      </c>
      <c r="AV114" s="919" t="s">
        <v>238</v>
      </c>
    </row>
    <row r="115" spans="1:48" ht="12.75" customHeight="1">
      <c r="A115" s="930" t="s">
        <v>1119</v>
      </c>
      <c r="B115" s="820" t="s">
        <v>1881</v>
      </c>
      <c r="C115" s="5">
        <v>0</v>
      </c>
      <c r="D115" s="5">
        <v>0</v>
      </c>
      <c r="E115" s="5">
        <v>0</v>
      </c>
      <c r="F115" s="5">
        <v>0</v>
      </c>
      <c r="G115" s="5">
        <v>0</v>
      </c>
      <c r="H115" s="5">
        <v>0</v>
      </c>
      <c r="I115" s="5">
        <v>0</v>
      </c>
      <c r="J115" s="5">
        <v>0</v>
      </c>
      <c r="K115" s="5">
        <v>0</v>
      </c>
      <c r="L115" s="5">
        <v>0</v>
      </c>
      <c r="M115" s="5">
        <v>0</v>
      </c>
      <c r="N115" s="5">
        <v>0</v>
      </c>
      <c r="O115" s="5">
        <v>0</v>
      </c>
      <c r="P115" s="5">
        <v>0</v>
      </c>
      <c r="Q115" s="5">
        <v>0</v>
      </c>
      <c r="R115" s="5">
        <v>0</v>
      </c>
      <c r="S115" s="5">
        <v>0</v>
      </c>
      <c r="T115" s="5">
        <v>0</v>
      </c>
      <c r="U115" s="5">
        <v>0</v>
      </c>
      <c r="V115" s="5">
        <v>0</v>
      </c>
      <c r="W115" s="5">
        <v>0</v>
      </c>
      <c r="X115" s="913">
        <v>0</v>
      </c>
      <c r="Y115" s="913">
        <v>0</v>
      </c>
      <c r="Z115" s="913">
        <v>0</v>
      </c>
      <c r="AA115" s="5">
        <v>0</v>
      </c>
      <c r="AB115" s="5">
        <v>0</v>
      </c>
      <c r="AC115" s="826">
        <v>4</v>
      </c>
      <c r="AD115" s="914">
        <v>5</v>
      </c>
      <c r="AE115" s="914">
        <v>5.5</v>
      </c>
      <c r="AF115" s="915">
        <v>4</v>
      </c>
      <c r="AG115" s="913"/>
      <c r="AH115" s="916"/>
      <c r="AI115" s="6" t="s">
        <v>233</v>
      </c>
      <c r="AJ115" s="820" t="s">
        <v>389</v>
      </c>
      <c r="AK115" s="820" t="s">
        <v>1691</v>
      </c>
      <c r="AL115" s="33"/>
      <c r="AM115" s="33"/>
      <c r="AN115" s="33"/>
      <c r="AO115" s="33"/>
      <c r="AP115" s="33">
        <v>1</v>
      </c>
      <c r="AQ115" s="842"/>
      <c r="AR115" s="820" t="s">
        <v>251</v>
      </c>
      <c r="AS115" s="829" t="s">
        <v>1882</v>
      </c>
      <c r="AT115" s="362"/>
      <c r="AU115" s="829"/>
      <c r="AV115" s="919"/>
    </row>
    <row r="116" spans="1:48" ht="12.75" customHeight="1">
      <c r="A116" s="930" t="s">
        <v>1119</v>
      </c>
      <c r="B116" s="820" t="s">
        <v>1883</v>
      </c>
      <c r="C116" s="5">
        <v>0</v>
      </c>
      <c r="D116" s="5">
        <v>0</v>
      </c>
      <c r="E116" s="5">
        <v>0</v>
      </c>
      <c r="F116" s="5">
        <v>0</v>
      </c>
      <c r="G116" s="5">
        <v>0</v>
      </c>
      <c r="H116" s="5">
        <v>0</v>
      </c>
      <c r="I116" s="5">
        <v>0</v>
      </c>
      <c r="J116" s="5">
        <v>0</v>
      </c>
      <c r="K116" s="5">
        <v>0</v>
      </c>
      <c r="L116" s="5">
        <v>0</v>
      </c>
      <c r="M116" s="5">
        <v>0</v>
      </c>
      <c r="N116" s="5">
        <v>0</v>
      </c>
      <c r="O116" s="5">
        <v>0</v>
      </c>
      <c r="P116" s="5">
        <v>0</v>
      </c>
      <c r="Q116" s="5">
        <v>0</v>
      </c>
      <c r="R116" s="5">
        <v>0</v>
      </c>
      <c r="S116" s="5">
        <v>0</v>
      </c>
      <c r="T116" s="5">
        <v>0</v>
      </c>
      <c r="U116" s="5">
        <v>0</v>
      </c>
      <c r="V116" s="5">
        <v>0</v>
      </c>
      <c r="W116" s="5">
        <v>0</v>
      </c>
      <c r="X116" s="5">
        <v>0</v>
      </c>
      <c r="Y116" s="5">
        <v>0</v>
      </c>
      <c r="Z116" s="5">
        <v>0</v>
      </c>
      <c r="AA116" s="5">
        <v>0</v>
      </c>
      <c r="AB116" s="5">
        <v>1.1120000000000001</v>
      </c>
      <c r="AC116" s="826">
        <v>0.996</v>
      </c>
      <c r="AD116" s="914">
        <v>1.002</v>
      </c>
      <c r="AE116" s="914">
        <v>0.51</v>
      </c>
      <c r="AF116" s="915"/>
      <c r="AG116" s="913"/>
      <c r="AH116" s="916"/>
      <c r="AI116" s="6" t="s">
        <v>233</v>
      </c>
      <c r="AJ116" s="820" t="s">
        <v>389</v>
      </c>
      <c r="AK116" s="820" t="s">
        <v>1691</v>
      </c>
      <c r="AL116" s="33"/>
      <c r="AM116" s="33"/>
      <c r="AN116" s="33"/>
      <c r="AO116" s="33"/>
      <c r="AP116" s="33">
        <v>1</v>
      </c>
      <c r="AQ116" s="842"/>
      <c r="AR116" s="820" t="s">
        <v>251</v>
      </c>
      <c r="AS116" s="829" t="s">
        <v>1884</v>
      </c>
      <c r="AT116" s="362"/>
      <c r="AU116" s="829"/>
      <c r="AV116" s="919"/>
    </row>
    <row r="117" spans="1:48" ht="12.75" customHeight="1">
      <c r="A117" s="930" t="s">
        <v>1119</v>
      </c>
      <c r="B117" s="820" t="s">
        <v>1885</v>
      </c>
      <c r="C117" s="5">
        <v>0</v>
      </c>
      <c r="D117" s="5">
        <v>0</v>
      </c>
      <c r="E117" s="5">
        <v>0</v>
      </c>
      <c r="F117" s="5">
        <v>0</v>
      </c>
      <c r="G117" s="5">
        <v>0</v>
      </c>
      <c r="H117" s="5">
        <v>0</v>
      </c>
      <c r="I117" s="5">
        <v>0</v>
      </c>
      <c r="J117" s="5">
        <v>0</v>
      </c>
      <c r="K117" s="5">
        <v>0</v>
      </c>
      <c r="L117" s="5">
        <v>0</v>
      </c>
      <c r="M117" s="5">
        <v>0</v>
      </c>
      <c r="N117" s="5">
        <v>0</v>
      </c>
      <c r="O117" s="5">
        <v>0</v>
      </c>
      <c r="P117" s="5">
        <v>0</v>
      </c>
      <c r="Q117" s="5">
        <v>0</v>
      </c>
      <c r="R117" s="5">
        <v>0</v>
      </c>
      <c r="S117" s="5">
        <v>0</v>
      </c>
      <c r="T117" s="5">
        <v>0</v>
      </c>
      <c r="U117" s="5">
        <v>0</v>
      </c>
      <c r="V117" s="5">
        <v>0</v>
      </c>
      <c r="W117" s="5">
        <v>0</v>
      </c>
      <c r="X117" s="913">
        <v>1.708</v>
      </c>
      <c r="Y117" s="913">
        <v>2.1040000000000001</v>
      </c>
      <c r="Z117" s="913">
        <v>1.266</v>
      </c>
      <c r="AA117" s="5">
        <v>0</v>
      </c>
      <c r="AB117" s="5">
        <v>0</v>
      </c>
      <c r="AC117" s="826">
        <v>0</v>
      </c>
      <c r="AD117" s="914">
        <v>0</v>
      </c>
      <c r="AE117" s="914">
        <v>0</v>
      </c>
      <c r="AF117" s="915">
        <v>0</v>
      </c>
      <c r="AG117" s="913"/>
      <c r="AH117" s="916"/>
      <c r="AI117" s="6" t="s">
        <v>273</v>
      </c>
      <c r="AJ117" s="820" t="s">
        <v>389</v>
      </c>
      <c r="AK117" s="820" t="s">
        <v>1691</v>
      </c>
      <c r="AL117" s="33"/>
      <c r="AM117" s="33"/>
      <c r="AN117" s="33"/>
      <c r="AO117" s="33"/>
      <c r="AP117" s="33"/>
      <c r="AQ117" s="842"/>
      <c r="AR117" s="820" t="s">
        <v>236</v>
      </c>
      <c r="AS117" s="829" t="s">
        <v>1886</v>
      </c>
      <c r="AT117" s="362"/>
      <c r="AU117" s="829" t="s">
        <v>1129</v>
      </c>
      <c r="AV117" s="919" t="s">
        <v>238</v>
      </c>
    </row>
    <row r="118" spans="1:48" ht="12.75" customHeight="1">
      <c r="A118" s="930" t="s">
        <v>1119</v>
      </c>
      <c r="B118" s="820" t="s">
        <v>1887</v>
      </c>
      <c r="C118" s="5">
        <v>0</v>
      </c>
      <c r="D118" s="5">
        <v>0</v>
      </c>
      <c r="E118" s="5">
        <v>0</v>
      </c>
      <c r="F118" s="5">
        <v>0</v>
      </c>
      <c r="G118" s="5">
        <v>0</v>
      </c>
      <c r="H118" s="5">
        <v>0</v>
      </c>
      <c r="I118" s="5">
        <v>0</v>
      </c>
      <c r="J118" s="5">
        <v>0</v>
      </c>
      <c r="K118" s="5">
        <v>0</v>
      </c>
      <c r="L118" s="5">
        <v>0</v>
      </c>
      <c r="M118" s="5">
        <v>0</v>
      </c>
      <c r="N118" s="5">
        <v>0</v>
      </c>
      <c r="O118" s="5">
        <v>0</v>
      </c>
      <c r="P118" s="5">
        <v>0</v>
      </c>
      <c r="Q118" s="5">
        <v>0</v>
      </c>
      <c r="R118" s="5">
        <v>0</v>
      </c>
      <c r="S118" s="5">
        <v>0</v>
      </c>
      <c r="T118" s="5">
        <v>0</v>
      </c>
      <c r="U118" s="5">
        <v>0</v>
      </c>
      <c r="V118" s="5">
        <v>0</v>
      </c>
      <c r="W118" s="5">
        <v>0</v>
      </c>
      <c r="X118" s="913">
        <v>0</v>
      </c>
      <c r="Y118" s="913">
        <v>0</v>
      </c>
      <c r="Z118" s="913">
        <v>6.3109999999999999</v>
      </c>
      <c r="AA118" s="5">
        <v>9.4960000000000004</v>
      </c>
      <c r="AB118" s="5">
        <v>9.7569999999999997</v>
      </c>
      <c r="AC118" s="826">
        <v>12.202</v>
      </c>
      <c r="AD118" s="914">
        <v>5.9</v>
      </c>
      <c r="AE118" s="914">
        <v>3.5110000000000001</v>
      </c>
      <c r="AF118" s="915">
        <v>0</v>
      </c>
      <c r="AG118" s="913"/>
      <c r="AH118" s="916"/>
      <c r="AI118" s="6" t="s">
        <v>233</v>
      </c>
      <c r="AJ118" s="820" t="s">
        <v>403</v>
      </c>
      <c r="AK118" s="820" t="s">
        <v>1691</v>
      </c>
      <c r="AL118" s="33"/>
      <c r="AM118" s="33"/>
      <c r="AN118" s="33"/>
      <c r="AO118" s="33"/>
      <c r="AP118" s="33"/>
      <c r="AQ118" s="842">
        <v>1</v>
      </c>
      <c r="AR118" s="820" t="s">
        <v>236</v>
      </c>
      <c r="AS118" s="829" t="s">
        <v>1888</v>
      </c>
      <c r="AT118" s="362" t="s">
        <v>238</v>
      </c>
      <c r="AU118" s="829" t="s">
        <v>238</v>
      </c>
      <c r="AV118" s="919" t="s">
        <v>238</v>
      </c>
    </row>
    <row r="119" spans="1:48" ht="12.75" customHeight="1">
      <c r="A119" s="930" t="s">
        <v>1119</v>
      </c>
      <c r="B119" s="820" t="s">
        <v>1889</v>
      </c>
      <c r="C119" s="5">
        <v>0</v>
      </c>
      <c r="D119" s="5">
        <v>0</v>
      </c>
      <c r="E119" s="5">
        <v>0</v>
      </c>
      <c r="F119" s="5">
        <v>0</v>
      </c>
      <c r="G119" s="5">
        <v>0</v>
      </c>
      <c r="H119" s="5">
        <v>0</v>
      </c>
      <c r="I119" s="5">
        <v>0</v>
      </c>
      <c r="J119" s="5">
        <v>0</v>
      </c>
      <c r="K119" s="5">
        <v>0</v>
      </c>
      <c r="L119" s="5">
        <v>0</v>
      </c>
      <c r="M119" s="5">
        <v>0</v>
      </c>
      <c r="N119" s="5">
        <v>0</v>
      </c>
      <c r="O119" s="5">
        <v>0</v>
      </c>
      <c r="P119" s="5">
        <v>0</v>
      </c>
      <c r="Q119" s="5">
        <v>0</v>
      </c>
      <c r="R119" s="5">
        <v>0</v>
      </c>
      <c r="S119" s="5">
        <v>0</v>
      </c>
      <c r="T119" s="5">
        <v>0</v>
      </c>
      <c r="U119" s="5">
        <v>0</v>
      </c>
      <c r="V119" s="5">
        <v>0</v>
      </c>
      <c r="W119" s="5">
        <v>0</v>
      </c>
      <c r="X119" s="5">
        <v>0</v>
      </c>
      <c r="Y119" s="5">
        <v>0</v>
      </c>
      <c r="Z119" s="5">
        <v>0</v>
      </c>
      <c r="AA119" s="5">
        <v>0</v>
      </c>
      <c r="AB119" s="5">
        <v>0</v>
      </c>
      <c r="AC119" s="826">
        <v>0</v>
      </c>
      <c r="AD119" s="914">
        <v>4.4649999999999999</v>
      </c>
      <c r="AE119" s="914">
        <v>3.1549999999999998</v>
      </c>
      <c r="AF119" s="915">
        <v>1.3049999999999999</v>
      </c>
      <c r="AG119" s="913">
        <v>1.0049999999999999</v>
      </c>
      <c r="AH119" s="916"/>
      <c r="AI119" s="6" t="s">
        <v>1890</v>
      </c>
      <c r="AJ119" s="820" t="s">
        <v>409</v>
      </c>
      <c r="AK119" s="820" t="s">
        <v>1691</v>
      </c>
      <c r="AL119" s="33">
        <v>1</v>
      </c>
      <c r="AM119" s="33"/>
      <c r="AN119" s="33"/>
      <c r="AO119" s="33"/>
      <c r="AP119" s="33">
        <v>1</v>
      </c>
      <c r="AQ119" s="842"/>
      <c r="AR119" s="820" t="s">
        <v>236</v>
      </c>
      <c r="AS119" s="829" t="s">
        <v>1891</v>
      </c>
      <c r="AT119" s="362" t="s">
        <v>1892</v>
      </c>
      <c r="AU119" s="829"/>
      <c r="AV119" s="919"/>
    </row>
    <row r="120" spans="1:48" ht="12.75" customHeight="1">
      <c r="A120" s="930" t="s">
        <v>1119</v>
      </c>
      <c r="B120" s="820" t="s">
        <v>1893</v>
      </c>
      <c r="C120" s="5">
        <v>0</v>
      </c>
      <c r="D120" s="5">
        <v>0</v>
      </c>
      <c r="E120" s="5">
        <v>0</v>
      </c>
      <c r="F120" s="5">
        <v>0</v>
      </c>
      <c r="G120" s="5">
        <v>0</v>
      </c>
      <c r="H120" s="5">
        <v>0</v>
      </c>
      <c r="I120" s="5">
        <v>0</v>
      </c>
      <c r="J120" s="5">
        <v>0</v>
      </c>
      <c r="K120" s="5">
        <v>0</v>
      </c>
      <c r="L120" s="5">
        <v>0</v>
      </c>
      <c r="M120" s="5">
        <v>0</v>
      </c>
      <c r="N120" s="5">
        <v>0</v>
      </c>
      <c r="O120" s="5">
        <v>0</v>
      </c>
      <c r="P120" s="5">
        <v>0</v>
      </c>
      <c r="Q120" s="5">
        <v>0</v>
      </c>
      <c r="R120" s="5">
        <v>0</v>
      </c>
      <c r="S120" s="5">
        <v>0</v>
      </c>
      <c r="T120" s="5">
        <v>0</v>
      </c>
      <c r="U120" s="5">
        <v>0</v>
      </c>
      <c r="V120" s="5">
        <v>0</v>
      </c>
      <c r="W120" s="5">
        <v>0</v>
      </c>
      <c r="X120" s="5">
        <v>0</v>
      </c>
      <c r="Y120" s="5">
        <v>0</v>
      </c>
      <c r="Z120" s="5">
        <v>0</v>
      </c>
      <c r="AA120" s="5">
        <v>0</v>
      </c>
      <c r="AB120" s="5">
        <v>0</v>
      </c>
      <c r="AC120" s="826">
        <v>0</v>
      </c>
      <c r="AD120" s="914">
        <v>2</v>
      </c>
      <c r="AE120" s="914">
        <v>4</v>
      </c>
      <c r="AF120" s="915">
        <v>2</v>
      </c>
      <c r="AG120" s="913">
        <v>2</v>
      </c>
      <c r="AH120" s="916">
        <v>0</v>
      </c>
      <c r="AI120" s="6" t="s">
        <v>1890</v>
      </c>
      <c r="AJ120" s="820" t="s">
        <v>409</v>
      </c>
      <c r="AK120" s="820" t="s">
        <v>1691</v>
      </c>
      <c r="AL120" s="33">
        <v>1</v>
      </c>
      <c r="AM120" s="33"/>
      <c r="AN120" s="33"/>
      <c r="AO120" s="33"/>
      <c r="AP120" s="33">
        <v>1</v>
      </c>
      <c r="AQ120" s="842"/>
      <c r="AR120" s="820" t="s">
        <v>236</v>
      </c>
      <c r="AS120" s="829" t="s">
        <v>1894</v>
      </c>
      <c r="AT120" s="362" t="s">
        <v>1892</v>
      </c>
      <c r="AU120" s="829"/>
      <c r="AV120" s="919"/>
    </row>
    <row r="121" spans="1:48" ht="12.75" customHeight="1">
      <c r="A121" s="930" t="s">
        <v>1119</v>
      </c>
      <c r="B121" s="820" t="s">
        <v>1895</v>
      </c>
      <c r="C121" s="5">
        <v>0</v>
      </c>
      <c r="D121" s="5">
        <v>0</v>
      </c>
      <c r="E121" s="5">
        <v>0</v>
      </c>
      <c r="F121" s="5">
        <v>0</v>
      </c>
      <c r="G121" s="5">
        <v>0</v>
      </c>
      <c r="H121" s="5">
        <v>0</v>
      </c>
      <c r="I121" s="5">
        <v>0</v>
      </c>
      <c r="J121" s="5">
        <v>0</v>
      </c>
      <c r="K121" s="5">
        <v>0</v>
      </c>
      <c r="L121" s="5">
        <v>0</v>
      </c>
      <c r="M121" s="5">
        <v>0</v>
      </c>
      <c r="N121" s="5">
        <v>0</v>
      </c>
      <c r="O121" s="5">
        <v>0</v>
      </c>
      <c r="P121" s="5">
        <v>0</v>
      </c>
      <c r="Q121" s="5">
        <v>0</v>
      </c>
      <c r="R121" s="5">
        <v>0</v>
      </c>
      <c r="S121" s="5">
        <v>0</v>
      </c>
      <c r="T121" s="5">
        <v>0</v>
      </c>
      <c r="U121" s="5">
        <v>0</v>
      </c>
      <c r="V121" s="5">
        <v>2.2450000000000001</v>
      </c>
      <c r="W121" s="5">
        <v>8.4819999999999993</v>
      </c>
      <c r="X121" s="913">
        <v>2.6520000000000001</v>
      </c>
      <c r="Y121" s="913">
        <v>3.6469999999999998</v>
      </c>
      <c r="Z121" s="913">
        <v>7.0759999999999996</v>
      </c>
      <c r="AA121" s="5">
        <v>10.648999999999999</v>
      </c>
      <c r="AB121" s="5">
        <v>3.5270000000000001</v>
      </c>
      <c r="AC121" s="826">
        <v>3.0819999999999999</v>
      </c>
      <c r="AD121" s="914">
        <v>1.8129999999999999</v>
      </c>
      <c r="AE121" s="914">
        <v>3.9630000000000001</v>
      </c>
      <c r="AF121" s="915">
        <v>2.1</v>
      </c>
      <c r="AG121" s="913">
        <v>0</v>
      </c>
      <c r="AH121" s="916"/>
      <c r="AI121" s="6" t="s">
        <v>233</v>
      </c>
      <c r="AJ121" s="820" t="s">
        <v>389</v>
      </c>
      <c r="AK121" s="820" t="s">
        <v>1691</v>
      </c>
      <c r="AL121" s="33">
        <v>1</v>
      </c>
      <c r="AM121" s="33">
        <v>1</v>
      </c>
      <c r="AN121" s="33"/>
      <c r="AO121" s="33">
        <v>1</v>
      </c>
      <c r="AP121" s="33">
        <v>1</v>
      </c>
      <c r="AQ121" s="842">
        <v>1</v>
      </c>
      <c r="AR121" s="820" t="s">
        <v>236</v>
      </c>
      <c r="AS121" s="829" t="s">
        <v>1896</v>
      </c>
      <c r="AT121" s="362" t="s">
        <v>1897</v>
      </c>
      <c r="AU121" s="829" t="s">
        <v>244</v>
      </c>
      <c r="AV121" s="919" t="s">
        <v>238</v>
      </c>
    </row>
    <row r="122" spans="1:48" ht="12.75" customHeight="1">
      <c r="A122" s="930" t="s">
        <v>1119</v>
      </c>
      <c r="B122" s="820" t="s">
        <v>1898</v>
      </c>
      <c r="C122" s="5">
        <v>0</v>
      </c>
      <c r="D122" s="5">
        <v>0</v>
      </c>
      <c r="E122" s="5">
        <v>0</v>
      </c>
      <c r="F122" s="5">
        <v>0</v>
      </c>
      <c r="G122" s="5">
        <v>0</v>
      </c>
      <c r="H122" s="5">
        <v>0</v>
      </c>
      <c r="I122" s="5">
        <v>0</v>
      </c>
      <c r="J122" s="5">
        <v>0</v>
      </c>
      <c r="K122" s="5">
        <v>0</v>
      </c>
      <c r="L122" s="5">
        <v>0</v>
      </c>
      <c r="M122" s="5">
        <v>0</v>
      </c>
      <c r="N122" s="5">
        <v>0</v>
      </c>
      <c r="O122" s="5">
        <v>2.2959999999999998</v>
      </c>
      <c r="P122" s="5">
        <v>23.465</v>
      </c>
      <c r="Q122" s="5">
        <v>51.034999999999997</v>
      </c>
      <c r="R122" s="5">
        <v>63.923000000000002</v>
      </c>
      <c r="S122" s="5">
        <v>65.781000000000006</v>
      </c>
      <c r="T122" s="5">
        <v>38.744</v>
      </c>
      <c r="U122" s="5">
        <v>5.9269999999999996</v>
      </c>
      <c r="V122" s="5">
        <v>0</v>
      </c>
      <c r="W122" s="5">
        <v>0</v>
      </c>
      <c r="X122" s="913">
        <v>0</v>
      </c>
      <c r="Y122" s="913">
        <v>0</v>
      </c>
      <c r="Z122" s="913">
        <v>0</v>
      </c>
      <c r="AA122" s="5">
        <v>0</v>
      </c>
      <c r="AB122" s="5">
        <v>0</v>
      </c>
      <c r="AC122" s="826">
        <v>0</v>
      </c>
      <c r="AD122" s="914">
        <v>0</v>
      </c>
      <c r="AE122" s="914">
        <v>0</v>
      </c>
      <c r="AF122" s="915">
        <v>0</v>
      </c>
      <c r="AG122" s="913"/>
      <c r="AH122" s="916"/>
      <c r="AI122" s="6" t="s">
        <v>233</v>
      </c>
      <c r="AJ122" s="820" t="s">
        <v>389</v>
      </c>
      <c r="AK122" s="820" t="s">
        <v>1691</v>
      </c>
      <c r="AL122" s="33"/>
      <c r="AM122" s="33"/>
      <c r="AN122" s="33"/>
      <c r="AO122" s="33"/>
      <c r="AP122" s="33"/>
      <c r="AQ122" s="842"/>
      <c r="AR122" s="820" t="s">
        <v>236</v>
      </c>
      <c r="AS122" s="829" t="s">
        <v>1899</v>
      </c>
      <c r="AT122" s="362" t="s">
        <v>238</v>
      </c>
      <c r="AU122" s="829" t="s">
        <v>238</v>
      </c>
      <c r="AV122" s="919" t="s">
        <v>238</v>
      </c>
    </row>
    <row r="123" spans="1:48" ht="12.75" customHeight="1">
      <c r="A123" s="930" t="s">
        <v>1119</v>
      </c>
      <c r="B123" s="820" t="s">
        <v>1900</v>
      </c>
      <c r="C123" s="5">
        <v>0</v>
      </c>
      <c r="D123" s="5">
        <v>0</v>
      </c>
      <c r="E123" s="5">
        <v>0</v>
      </c>
      <c r="F123" s="5">
        <v>0</v>
      </c>
      <c r="G123" s="5">
        <v>0</v>
      </c>
      <c r="H123" s="5">
        <v>4.2</v>
      </c>
      <c r="I123" s="5">
        <v>6.4</v>
      </c>
      <c r="J123" s="5">
        <v>6.7</v>
      </c>
      <c r="K123" s="5">
        <v>12.494</v>
      </c>
      <c r="L123" s="5">
        <v>8.8179999999999996</v>
      </c>
      <c r="M123" s="5">
        <v>7.5650000000000004</v>
      </c>
      <c r="N123" s="5">
        <v>6.8760000000000003</v>
      </c>
      <c r="O123" s="5">
        <v>5.4589999999999996</v>
      </c>
      <c r="P123" s="5">
        <v>3.718</v>
      </c>
      <c r="Q123" s="5">
        <v>2.8530000000000002</v>
      </c>
      <c r="R123" s="5">
        <v>0.92500000000000004</v>
      </c>
      <c r="S123" s="5">
        <v>-0.10073322000000007</v>
      </c>
      <c r="T123" s="5">
        <v>0.17799999999999999</v>
      </c>
      <c r="U123" s="5">
        <v>1.7000000000000001E-2</v>
      </c>
      <c r="V123" s="5">
        <v>0</v>
      </c>
      <c r="W123" s="5">
        <v>3.0430000000000001</v>
      </c>
      <c r="X123" s="913">
        <v>0</v>
      </c>
      <c r="Y123" s="913">
        <v>0</v>
      </c>
      <c r="Z123" s="913">
        <v>0</v>
      </c>
      <c r="AA123" s="5">
        <v>0</v>
      </c>
      <c r="AB123" s="5">
        <v>0</v>
      </c>
      <c r="AC123" s="826">
        <v>0</v>
      </c>
      <c r="AD123" s="914">
        <v>0</v>
      </c>
      <c r="AE123" s="914">
        <v>0</v>
      </c>
      <c r="AF123" s="915">
        <v>0</v>
      </c>
      <c r="AG123" s="913"/>
      <c r="AH123" s="916"/>
      <c r="AI123" s="6" t="s">
        <v>233</v>
      </c>
      <c r="AJ123" s="820" t="s">
        <v>389</v>
      </c>
      <c r="AK123" s="820" t="s">
        <v>1691</v>
      </c>
      <c r="AL123" s="33"/>
      <c r="AM123" s="33"/>
      <c r="AN123" s="33"/>
      <c r="AO123" s="33"/>
      <c r="AP123" s="33"/>
      <c r="AQ123" s="842"/>
      <c r="AR123" s="820" t="s">
        <v>236</v>
      </c>
      <c r="AS123" s="829" t="s">
        <v>238</v>
      </c>
      <c r="AT123" s="362" t="s">
        <v>1901</v>
      </c>
      <c r="AU123" s="829" t="s">
        <v>1902</v>
      </c>
      <c r="AV123" s="919" t="s">
        <v>238</v>
      </c>
    </row>
    <row r="124" spans="1:48" ht="12.75" customHeight="1">
      <c r="A124" s="930" t="s">
        <v>1119</v>
      </c>
      <c r="B124" s="820" t="s">
        <v>1202</v>
      </c>
      <c r="C124" s="5">
        <v>0</v>
      </c>
      <c r="D124" s="5">
        <v>0</v>
      </c>
      <c r="E124" s="5">
        <v>0</v>
      </c>
      <c r="F124" s="5">
        <v>0</v>
      </c>
      <c r="G124" s="5">
        <v>0</v>
      </c>
      <c r="H124" s="5">
        <v>0</v>
      </c>
      <c r="I124" s="5">
        <v>0</v>
      </c>
      <c r="J124" s="5">
        <v>0</v>
      </c>
      <c r="K124" s="5">
        <v>0</v>
      </c>
      <c r="L124" s="5">
        <v>0</v>
      </c>
      <c r="M124" s="5">
        <v>0</v>
      </c>
      <c r="N124" s="5">
        <v>0</v>
      </c>
      <c r="O124" s="5">
        <v>0</v>
      </c>
      <c r="P124" s="5">
        <v>0</v>
      </c>
      <c r="Q124" s="5">
        <v>0</v>
      </c>
      <c r="R124" s="5">
        <v>0</v>
      </c>
      <c r="S124" s="5">
        <v>0</v>
      </c>
      <c r="T124" s="5">
        <v>0</v>
      </c>
      <c r="U124" s="5">
        <v>0</v>
      </c>
      <c r="V124" s="5">
        <v>0</v>
      </c>
      <c r="W124" s="5">
        <v>0</v>
      </c>
      <c r="X124" s="5">
        <v>0</v>
      </c>
      <c r="Y124" s="5">
        <v>0</v>
      </c>
      <c r="Z124" s="5">
        <v>0</v>
      </c>
      <c r="AA124" s="5">
        <v>0</v>
      </c>
      <c r="AB124" s="5">
        <v>0</v>
      </c>
      <c r="AC124" s="826">
        <v>0</v>
      </c>
      <c r="AD124" s="914">
        <v>10.5</v>
      </c>
      <c r="AE124" s="914">
        <v>18</v>
      </c>
      <c r="AF124" s="915">
        <v>7.4249999999999998</v>
      </c>
      <c r="AG124" s="913"/>
      <c r="AH124" s="916"/>
      <c r="AI124" s="6" t="s">
        <v>233</v>
      </c>
      <c r="AJ124" s="820" t="s">
        <v>389</v>
      </c>
      <c r="AK124" s="820" t="s">
        <v>1691</v>
      </c>
      <c r="AL124" s="33">
        <v>1</v>
      </c>
      <c r="AM124" s="33"/>
      <c r="AN124" s="33"/>
      <c r="AO124" s="33"/>
      <c r="AP124" s="33">
        <v>1</v>
      </c>
      <c r="AQ124" s="842"/>
      <c r="AR124" s="820"/>
      <c r="AS124" s="829" t="s">
        <v>1903</v>
      </c>
      <c r="AT124" s="362" t="s">
        <v>1904</v>
      </c>
      <c r="AU124" s="829"/>
      <c r="AV124" s="919"/>
    </row>
    <row r="125" spans="1:48" ht="12.75" customHeight="1">
      <c r="A125" s="930" t="s">
        <v>1119</v>
      </c>
      <c r="B125" s="820" t="s">
        <v>1905</v>
      </c>
      <c r="C125" s="5">
        <v>0</v>
      </c>
      <c r="D125" s="5">
        <v>0</v>
      </c>
      <c r="E125" s="5">
        <v>0</v>
      </c>
      <c r="F125" s="5">
        <v>0</v>
      </c>
      <c r="G125" s="5">
        <v>0</v>
      </c>
      <c r="H125" s="5">
        <v>0</v>
      </c>
      <c r="I125" s="5">
        <v>0</v>
      </c>
      <c r="J125" s="5">
        <v>0</v>
      </c>
      <c r="K125" s="5">
        <v>0</v>
      </c>
      <c r="L125" s="5">
        <v>0</v>
      </c>
      <c r="M125" s="5">
        <v>0</v>
      </c>
      <c r="N125" s="5">
        <v>0</v>
      </c>
      <c r="O125" s="5">
        <v>0</v>
      </c>
      <c r="P125" s="5">
        <v>0</v>
      </c>
      <c r="Q125" s="5">
        <v>0</v>
      </c>
      <c r="R125" s="5">
        <v>0</v>
      </c>
      <c r="S125" s="5">
        <v>0</v>
      </c>
      <c r="T125" s="5">
        <v>0</v>
      </c>
      <c r="U125" s="5">
        <v>0</v>
      </c>
      <c r="V125" s="5">
        <v>0</v>
      </c>
      <c r="W125" s="5">
        <v>0</v>
      </c>
      <c r="X125" s="913">
        <v>0</v>
      </c>
      <c r="Y125" s="913">
        <v>0</v>
      </c>
      <c r="Z125" s="913">
        <v>6.8</v>
      </c>
      <c r="AA125" s="5">
        <v>0</v>
      </c>
      <c r="AB125" s="5">
        <v>0</v>
      </c>
      <c r="AC125" s="826">
        <v>0</v>
      </c>
      <c r="AD125" s="914">
        <v>0</v>
      </c>
      <c r="AE125" s="914">
        <v>0</v>
      </c>
      <c r="AF125" s="915">
        <v>0</v>
      </c>
      <c r="AG125" s="913"/>
      <c r="AH125" s="916"/>
      <c r="AI125" s="6" t="s">
        <v>233</v>
      </c>
      <c r="AJ125" s="820" t="s">
        <v>389</v>
      </c>
      <c r="AK125" s="820" t="s">
        <v>1640</v>
      </c>
      <c r="AL125" s="33"/>
      <c r="AM125" s="33"/>
      <c r="AN125" s="33"/>
      <c r="AO125" s="33"/>
      <c r="AP125" s="33"/>
      <c r="AQ125" s="842"/>
      <c r="AR125" s="820" t="s">
        <v>251</v>
      </c>
      <c r="AS125" s="829" t="s">
        <v>1906</v>
      </c>
      <c r="AT125" s="362" t="s">
        <v>1907</v>
      </c>
      <c r="AU125" s="829"/>
      <c r="AV125" s="919"/>
    </row>
    <row r="126" spans="1:48" ht="12.75" customHeight="1">
      <c r="A126" s="930" t="s">
        <v>1119</v>
      </c>
      <c r="B126" s="820" t="s">
        <v>1908</v>
      </c>
      <c r="C126" s="5">
        <v>0</v>
      </c>
      <c r="D126" s="5">
        <v>0</v>
      </c>
      <c r="E126" s="5">
        <v>0</v>
      </c>
      <c r="F126" s="5">
        <v>0</v>
      </c>
      <c r="G126" s="5">
        <v>0</v>
      </c>
      <c r="H126" s="5">
        <v>0</v>
      </c>
      <c r="I126" s="5">
        <v>0</v>
      </c>
      <c r="J126" s="5">
        <v>0</v>
      </c>
      <c r="K126" s="5">
        <v>0</v>
      </c>
      <c r="L126" s="5">
        <v>0</v>
      </c>
      <c r="M126" s="5">
        <v>0</v>
      </c>
      <c r="N126" s="5">
        <v>0</v>
      </c>
      <c r="O126" s="5">
        <v>0</v>
      </c>
      <c r="P126" s="5">
        <v>0</v>
      </c>
      <c r="Q126" s="5">
        <v>0</v>
      </c>
      <c r="R126" s="5">
        <v>0</v>
      </c>
      <c r="S126" s="5">
        <v>0</v>
      </c>
      <c r="T126" s="5">
        <v>0</v>
      </c>
      <c r="U126" s="5">
        <v>0</v>
      </c>
      <c r="V126" s="5">
        <v>0</v>
      </c>
      <c r="W126" s="5">
        <v>0</v>
      </c>
      <c r="X126" s="913">
        <v>0</v>
      </c>
      <c r="Y126" s="913"/>
      <c r="Z126" s="913"/>
      <c r="AA126" s="5">
        <v>2.88</v>
      </c>
      <c r="AB126" s="5">
        <v>23</v>
      </c>
      <c r="AC126" s="826">
        <v>41.16</v>
      </c>
      <c r="AD126" s="914">
        <v>1.27</v>
      </c>
      <c r="AE126" s="914">
        <v>0</v>
      </c>
      <c r="AF126" s="915">
        <v>0</v>
      </c>
      <c r="AG126" s="913"/>
      <c r="AH126" s="916"/>
      <c r="AI126" s="6" t="s">
        <v>233</v>
      </c>
      <c r="AJ126" s="820" t="s">
        <v>403</v>
      </c>
      <c r="AK126" s="820" t="s">
        <v>1640</v>
      </c>
      <c r="AL126" s="33"/>
      <c r="AM126" s="33"/>
      <c r="AN126" s="33"/>
      <c r="AO126" s="33"/>
      <c r="AP126" s="33"/>
      <c r="AQ126" s="842"/>
      <c r="AR126" s="820" t="s">
        <v>236</v>
      </c>
      <c r="AS126" s="829" t="s">
        <v>1909</v>
      </c>
      <c r="AT126" s="362" t="s">
        <v>1910</v>
      </c>
      <c r="AU126" s="829"/>
      <c r="AV126" s="919"/>
    </row>
    <row r="127" spans="1:48" ht="12.75" customHeight="1">
      <c r="A127" s="930" t="s">
        <v>1119</v>
      </c>
      <c r="B127" s="820" t="s">
        <v>1911</v>
      </c>
      <c r="C127" s="5">
        <v>0</v>
      </c>
      <c r="D127" s="5">
        <v>0</v>
      </c>
      <c r="E127" s="5">
        <v>0</v>
      </c>
      <c r="F127" s="5">
        <v>0</v>
      </c>
      <c r="G127" s="5">
        <v>0</v>
      </c>
      <c r="H127" s="5">
        <v>0</v>
      </c>
      <c r="I127" s="5">
        <v>0</v>
      </c>
      <c r="J127" s="5">
        <v>0</v>
      </c>
      <c r="K127" s="5">
        <v>0</v>
      </c>
      <c r="L127" s="5">
        <v>0</v>
      </c>
      <c r="M127" s="5">
        <v>0</v>
      </c>
      <c r="N127" s="5">
        <v>0</v>
      </c>
      <c r="O127" s="5">
        <v>0</v>
      </c>
      <c r="P127" s="5">
        <v>0</v>
      </c>
      <c r="Q127" s="5">
        <v>0</v>
      </c>
      <c r="R127" s="5">
        <v>0</v>
      </c>
      <c r="S127" s="5">
        <v>0</v>
      </c>
      <c r="T127" s="5">
        <v>0</v>
      </c>
      <c r="U127" s="5">
        <v>0</v>
      </c>
      <c r="V127" s="5">
        <v>0</v>
      </c>
      <c r="W127" s="5">
        <v>0</v>
      </c>
      <c r="X127" s="913">
        <v>0</v>
      </c>
      <c r="Y127" s="913">
        <v>0</v>
      </c>
      <c r="Z127" s="913">
        <v>0.75</v>
      </c>
      <c r="AA127" s="5">
        <v>0.8</v>
      </c>
      <c r="AB127" s="5">
        <v>17.2</v>
      </c>
      <c r="AC127" s="826">
        <v>0</v>
      </c>
      <c r="AD127" s="914">
        <v>0</v>
      </c>
      <c r="AE127" s="914">
        <v>0</v>
      </c>
      <c r="AF127" s="915">
        <v>0</v>
      </c>
      <c r="AG127" s="913"/>
      <c r="AH127" s="916"/>
      <c r="AI127" s="6" t="s">
        <v>1168</v>
      </c>
      <c r="AJ127" s="820" t="s">
        <v>403</v>
      </c>
      <c r="AK127" s="820" t="s">
        <v>1691</v>
      </c>
      <c r="AL127" s="33"/>
      <c r="AM127" s="33"/>
      <c r="AN127" s="33"/>
      <c r="AO127" s="33"/>
      <c r="AP127" s="33"/>
      <c r="AQ127" s="842"/>
      <c r="AR127" s="820" t="s">
        <v>236</v>
      </c>
      <c r="AS127" s="829" t="s">
        <v>1912</v>
      </c>
      <c r="AT127" s="362" t="s">
        <v>1910</v>
      </c>
      <c r="AU127" s="829" t="s">
        <v>238</v>
      </c>
      <c r="AV127" s="919" t="s">
        <v>238</v>
      </c>
    </row>
    <row r="128" spans="1:48" ht="12.75" customHeight="1">
      <c r="A128" s="930" t="s">
        <v>1119</v>
      </c>
      <c r="B128" s="820" t="s">
        <v>1751</v>
      </c>
      <c r="C128" s="5">
        <v>0</v>
      </c>
      <c r="D128" s="5">
        <v>0</v>
      </c>
      <c r="E128" s="5">
        <v>0</v>
      </c>
      <c r="F128" s="5">
        <v>0</v>
      </c>
      <c r="G128" s="5">
        <v>0</v>
      </c>
      <c r="H128" s="5">
        <v>0</v>
      </c>
      <c r="I128" s="5">
        <v>0</v>
      </c>
      <c r="J128" s="5">
        <v>0</v>
      </c>
      <c r="K128" s="5">
        <v>0</v>
      </c>
      <c r="L128" s="5">
        <v>0</v>
      </c>
      <c r="M128" s="5">
        <v>0</v>
      </c>
      <c r="N128" s="5">
        <v>0</v>
      </c>
      <c r="O128" s="5">
        <v>0</v>
      </c>
      <c r="P128" s="5">
        <v>0</v>
      </c>
      <c r="Q128" s="5">
        <v>0</v>
      </c>
      <c r="R128" s="5">
        <v>0</v>
      </c>
      <c r="S128" s="5">
        <v>0</v>
      </c>
      <c r="T128" s="5">
        <v>0</v>
      </c>
      <c r="U128" s="5">
        <v>0</v>
      </c>
      <c r="V128" s="5">
        <v>0</v>
      </c>
      <c r="W128" s="5">
        <v>0.26</v>
      </c>
      <c r="X128" s="913">
        <v>0.93</v>
      </c>
      <c r="Y128" s="913">
        <v>0.627</v>
      </c>
      <c r="Z128" s="913">
        <v>0</v>
      </c>
      <c r="AA128" s="5">
        <v>0</v>
      </c>
      <c r="AB128" s="5">
        <v>0</v>
      </c>
      <c r="AC128" s="826">
        <v>0</v>
      </c>
      <c r="AD128" s="914">
        <v>0</v>
      </c>
      <c r="AE128" s="914">
        <v>0</v>
      </c>
      <c r="AF128" s="915">
        <v>0</v>
      </c>
      <c r="AG128" s="913"/>
      <c r="AH128" s="916"/>
      <c r="AI128" s="6" t="s">
        <v>240</v>
      </c>
      <c r="AJ128" s="820" t="s">
        <v>403</v>
      </c>
      <c r="AK128" s="820" t="s">
        <v>1663</v>
      </c>
      <c r="AL128" s="33"/>
      <c r="AM128" s="33"/>
      <c r="AN128" s="33"/>
      <c r="AO128" s="33"/>
      <c r="AP128" s="33"/>
      <c r="AQ128" s="842"/>
      <c r="AR128" s="820" t="s">
        <v>236</v>
      </c>
      <c r="AS128" s="829" t="s">
        <v>1752</v>
      </c>
      <c r="AT128" s="362" t="s">
        <v>1913</v>
      </c>
      <c r="AU128" s="829" t="s">
        <v>1754</v>
      </c>
      <c r="AV128" s="919" t="s">
        <v>238</v>
      </c>
    </row>
    <row r="129" spans="1:48" ht="12.75" customHeight="1">
      <c r="A129" s="930" t="s">
        <v>1119</v>
      </c>
      <c r="B129" s="820" t="s">
        <v>1914</v>
      </c>
      <c r="C129" s="5">
        <v>0</v>
      </c>
      <c r="D129" s="5">
        <v>0</v>
      </c>
      <c r="E129" s="5">
        <v>0</v>
      </c>
      <c r="F129" s="5">
        <v>0</v>
      </c>
      <c r="G129" s="5">
        <v>0</v>
      </c>
      <c r="H129" s="5">
        <v>0</v>
      </c>
      <c r="I129" s="5">
        <v>0</v>
      </c>
      <c r="J129" s="5">
        <v>0</v>
      </c>
      <c r="K129" s="5">
        <v>0</v>
      </c>
      <c r="L129" s="5">
        <v>0</v>
      </c>
      <c r="M129" s="5">
        <v>0</v>
      </c>
      <c r="N129" s="5">
        <v>0</v>
      </c>
      <c r="O129" s="5">
        <v>0</v>
      </c>
      <c r="P129" s="5">
        <v>0</v>
      </c>
      <c r="Q129" s="5">
        <v>0</v>
      </c>
      <c r="R129" s="5">
        <v>0</v>
      </c>
      <c r="S129" s="5">
        <v>0</v>
      </c>
      <c r="T129" s="5">
        <v>0</v>
      </c>
      <c r="U129" s="5">
        <v>0</v>
      </c>
      <c r="V129" s="5">
        <v>0</v>
      </c>
      <c r="W129" s="5">
        <v>0</v>
      </c>
      <c r="X129" s="913">
        <v>0.1</v>
      </c>
      <c r="Y129" s="913">
        <v>0</v>
      </c>
      <c r="Z129" s="913">
        <v>0</v>
      </c>
      <c r="AA129" s="5">
        <v>0</v>
      </c>
      <c r="AB129" s="5">
        <v>0</v>
      </c>
      <c r="AC129" s="826">
        <v>0</v>
      </c>
      <c r="AD129" s="914">
        <v>0</v>
      </c>
      <c r="AE129" s="914">
        <v>0</v>
      </c>
      <c r="AF129" s="915">
        <v>0</v>
      </c>
      <c r="AG129" s="913"/>
      <c r="AH129" s="916"/>
      <c r="AI129" s="6" t="s">
        <v>273</v>
      </c>
      <c r="AJ129" s="820" t="s">
        <v>403</v>
      </c>
      <c r="AK129" s="820" t="s">
        <v>1663</v>
      </c>
      <c r="AL129" s="33"/>
      <c r="AM129" s="33"/>
      <c r="AN129" s="33"/>
      <c r="AO129" s="33"/>
      <c r="AP129" s="33"/>
      <c r="AQ129" s="842"/>
      <c r="AR129" s="820" t="s">
        <v>236</v>
      </c>
      <c r="AS129" s="829" t="s">
        <v>1915</v>
      </c>
      <c r="AT129" s="362" t="s">
        <v>1916</v>
      </c>
      <c r="AU129" s="829" t="s">
        <v>1917</v>
      </c>
      <c r="AV129" s="919" t="s">
        <v>238</v>
      </c>
    </row>
    <row r="130" spans="1:48" ht="12.75" customHeight="1">
      <c r="A130" s="930" t="s">
        <v>1119</v>
      </c>
      <c r="B130" s="820" t="s">
        <v>1918</v>
      </c>
      <c r="C130" s="5">
        <v>0</v>
      </c>
      <c r="D130" s="5">
        <v>0</v>
      </c>
      <c r="E130" s="5">
        <v>0</v>
      </c>
      <c r="F130" s="5">
        <v>0</v>
      </c>
      <c r="G130" s="5">
        <v>0</v>
      </c>
      <c r="H130" s="5">
        <v>0</v>
      </c>
      <c r="I130" s="5">
        <v>0</v>
      </c>
      <c r="J130" s="5">
        <v>0</v>
      </c>
      <c r="K130" s="5">
        <v>0</v>
      </c>
      <c r="L130" s="5">
        <v>0</v>
      </c>
      <c r="M130" s="5">
        <v>0</v>
      </c>
      <c r="N130" s="5">
        <v>0</v>
      </c>
      <c r="O130" s="5">
        <v>0</v>
      </c>
      <c r="P130" s="5">
        <v>0</v>
      </c>
      <c r="Q130" s="5">
        <v>0</v>
      </c>
      <c r="R130" s="5">
        <v>0</v>
      </c>
      <c r="S130" s="5">
        <v>0</v>
      </c>
      <c r="T130" s="5">
        <v>0</v>
      </c>
      <c r="U130" s="5">
        <v>0</v>
      </c>
      <c r="V130" s="5">
        <v>0</v>
      </c>
      <c r="W130" s="5">
        <v>0</v>
      </c>
      <c r="X130" s="913">
        <v>0</v>
      </c>
      <c r="Y130" s="913">
        <v>0</v>
      </c>
      <c r="Z130" s="913">
        <v>1.5</v>
      </c>
      <c r="AA130" s="5">
        <v>1.5</v>
      </c>
      <c r="AB130" s="5">
        <v>1.5</v>
      </c>
      <c r="AC130" s="826">
        <v>0</v>
      </c>
      <c r="AD130" s="914">
        <v>0</v>
      </c>
      <c r="AE130" s="914">
        <v>0</v>
      </c>
      <c r="AF130" s="915">
        <v>0</v>
      </c>
      <c r="AG130" s="913"/>
      <c r="AH130" s="916"/>
      <c r="AI130" s="6" t="s">
        <v>1168</v>
      </c>
      <c r="AJ130" s="820" t="s">
        <v>389</v>
      </c>
      <c r="AK130" s="820" t="s">
        <v>1640</v>
      </c>
      <c r="AL130" s="33"/>
      <c r="AM130" s="33"/>
      <c r="AN130" s="33"/>
      <c r="AO130" s="33"/>
      <c r="AP130" s="33"/>
      <c r="AQ130" s="842"/>
      <c r="AR130" s="820" t="s">
        <v>251</v>
      </c>
      <c r="AS130" s="829" t="s">
        <v>1919</v>
      </c>
      <c r="AT130" s="362" t="s">
        <v>1920</v>
      </c>
      <c r="AU130" s="829"/>
      <c r="AV130" s="919"/>
    </row>
    <row r="131" spans="1:48" ht="12.75" customHeight="1">
      <c r="A131" s="930" t="s">
        <v>1119</v>
      </c>
      <c r="B131" s="820" t="s">
        <v>1921</v>
      </c>
      <c r="C131" s="5">
        <v>0</v>
      </c>
      <c r="D131" s="5">
        <v>0</v>
      </c>
      <c r="E131" s="5">
        <v>0</v>
      </c>
      <c r="F131" s="5">
        <v>0</v>
      </c>
      <c r="G131" s="5">
        <v>0</v>
      </c>
      <c r="H131" s="5">
        <v>0</v>
      </c>
      <c r="I131" s="5">
        <v>0</v>
      </c>
      <c r="J131" s="5">
        <v>0</v>
      </c>
      <c r="K131" s="5">
        <v>0</v>
      </c>
      <c r="L131" s="5">
        <v>0</v>
      </c>
      <c r="M131" s="5">
        <v>0</v>
      </c>
      <c r="N131" s="5">
        <v>0</v>
      </c>
      <c r="O131" s="5">
        <v>0</v>
      </c>
      <c r="P131" s="5">
        <v>0</v>
      </c>
      <c r="Q131" s="5">
        <v>0</v>
      </c>
      <c r="R131" s="5">
        <v>0</v>
      </c>
      <c r="S131" s="5">
        <v>0</v>
      </c>
      <c r="T131" s="5">
        <v>0</v>
      </c>
      <c r="U131" s="5">
        <v>0</v>
      </c>
      <c r="V131" s="5">
        <v>0</v>
      </c>
      <c r="W131" s="5">
        <v>0</v>
      </c>
      <c r="X131" s="913">
        <v>0</v>
      </c>
      <c r="Y131" s="913">
        <v>0</v>
      </c>
      <c r="Z131" s="913">
        <v>0.5</v>
      </c>
      <c r="AA131" s="5"/>
      <c r="AB131" s="5"/>
      <c r="AC131" s="826">
        <v>0</v>
      </c>
      <c r="AD131" s="914">
        <v>0</v>
      </c>
      <c r="AE131" s="914">
        <v>0</v>
      </c>
      <c r="AF131" s="915">
        <v>0</v>
      </c>
      <c r="AG131" s="913"/>
      <c r="AH131" s="916"/>
      <c r="AI131" s="6" t="s">
        <v>1168</v>
      </c>
      <c r="AJ131" s="820" t="s">
        <v>403</v>
      </c>
      <c r="AK131" s="820" t="s">
        <v>1640</v>
      </c>
      <c r="AL131" s="33"/>
      <c r="AM131" s="33"/>
      <c r="AN131" s="33"/>
      <c r="AO131" s="33"/>
      <c r="AP131" s="33"/>
      <c r="AQ131" s="842"/>
      <c r="AR131" s="820" t="s">
        <v>251</v>
      </c>
      <c r="AS131" s="829" t="s">
        <v>1922</v>
      </c>
      <c r="AT131" s="362" t="s">
        <v>1923</v>
      </c>
      <c r="AU131" s="829" t="s">
        <v>1924</v>
      </c>
      <c r="AV131" s="919"/>
    </row>
    <row r="132" spans="1:48" ht="12.75" customHeight="1">
      <c r="A132" s="930" t="s">
        <v>1119</v>
      </c>
      <c r="B132" s="820" t="s">
        <v>1925</v>
      </c>
      <c r="C132" s="5">
        <v>0</v>
      </c>
      <c r="D132" s="5">
        <v>0</v>
      </c>
      <c r="E132" s="5">
        <v>0</v>
      </c>
      <c r="F132" s="5">
        <v>0</v>
      </c>
      <c r="G132" s="5">
        <v>0</v>
      </c>
      <c r="H132" s="5">
        <v>0</v>
      </c>
      <c r="I132" s="5">
        <v>0</v>
      </c>
      <c r="J132" s="5">
        <v>0</v>
      </c>
      <c r="K132" s="5">
        <v>0</v>
      </c>
      <c r="L132" s="5">
        <v>0</v>
      </c>
      <c r="M132" s="5">
        <v>0</v>
      </c>
      <c r="N132" s="5">
        <v>0</v>
      </c>
      <c r="O132" s="5">
        <v>0</v>
      </c>
      <c r="P132" s="5">
        <v>0</v>
      </c>
      <c r="Q132" s="5">
        <v>0</v>
      </c>
      <c r="R132" s="5">
        <v>0</v>
      </c>
      <c r="S132" s="5">
        <v>0</v>
      </c>
      <c r="T132" s="5">
        <v>0</v>
      </c>
      <c r="U132" s="5">
        <v>0</v>
      </c>
      <c r="V132" s="5">
        <v>0</v>
      </c>
      <c r="W132" s="5">
        <v>0</v>
      </c>
      <c r="X132" s="913">
        <v>0</v>
      </c>
      <c r="Y132" s="913">
        <v>0</v>
      </c>
      <c r="Z132" s="913">
        <v>1.25</v>
      </c>
      <c r="AA132" s="5">
        <v>1.25</v>
      </c>
      <c r="AB132" s="5"/>
      <c r="AC132" s="826">
        <v>0</v>
      </c>
      <c r="AD132" s="914">
        <v>0</v>
      </c>
      <c r="AE132" s="914">
        <v>0</v>
      </c>
      <c r="AF132" s="915">
        <v>0</v>
      </c>
      <c r="AG132" s="913"/>
      <c r="AH132" s="916"/>
      <c r="AI132" s="6" t="s">
        <v>1168</v>
      </c>
      <c r="AJ132" s="820" t="s">
        <v>403</v>
      </c>
      <c r="AK132" s="820" t="s">
        <v>1640</v>
      </c>
      <c r="AL132" s="33"/>
      <c r="AM132" s="33"/>
      <c r="AN132" s="33"/>
      <c r="AO132" s="33"/>
      <c r="AP132" s="33"/>
      <c r="AQ132" s="842"/>
      <c r="AR132" s="820" t="s">
        <v>251</v>
      </c>
      <c r="AS132" s="829" t="s">
        <v>1926</v>
      </c>
      <c r="AT132" s="362" t="s">
        <v>1927</v>
      </c>
      <c r="AU132" s="829" t="s">
        <v>1924</v>
      </c>
      <c r="AV132" s="919"/>
    </row>
    <row r="133" spans="1:48" ht="12.75" customHeight="1">
      <c r="A133" s="930" t="s">
        <v>1119</v>
      </c>
      <c r="B133" s="922" t="s">
        <v>1928</v>
      </c>
      <c r="C133" s="816">
        <v>0</v>
      </c>
      <c r="D133" s="816">
        <v>0</v>
      </c>
      <c r="E133" s="816">
        <v>0</v>
      </c>
      <c r="F133" s="816">
        <v>0</v>
      </c>
      <c r="G133" s="816">
        <v>0</v>
      </c>
      <c r="H133" s="816">
        <v>0</v>
      </c>
      <c r="I133" s="816">
        <v>0</v>
      </c>
      <c r="J133" s="816">
        <v>0</v>
      </c>
      <c r="K133" s="816">
        <v>0</v>
      </c>
      <c r="L133" s="816">
        <v>0</v>
      </c>
      <c r="M133" s="816">
        <v>0</v>
      </c>
      <c r="N133" s="816">
        <v>0</v>
      </c>
      <c r="O133" s="816">
        <v>0</v>
      </c>
      <c r="P133" s="816">
        <v>0</v>
      </c>
      <c r="Q133" s="816">
        <v>0</v>
      </c>
      <c r="R133" s="816">
        <v>0</v>
      </c>
      <c r="S133" s="816">
        <v>0</v>
      </c>
      <c r="T133" s="816">
        <v>0</v>
      </c>
      <c r="U133" s="816">
        <v>0</v>
      </c>
      <c r="V133" s="816">
        <v>5.42</v>
      </c>
      <c r="W133" s="816">
        <v>4.72</v>
      </c>
      <c r="X133" s="913">
        <v>5.17</v>
      </c>
      <c r="Y133" s="913">
        <v>3.7720000000000002</v>
      </c>
      <c r="Z133" s="913">
        <v>3.6550000000000002</v>
      </c>
      <c r="AA133" s="5">
        <v>5.8449999999999998</v>
      </c>
      <c r="AB133" s="5">
        <v>15.885</v>
      </c>
      <c r="AC133" s="826">
        <v>16.375</v>
      </c>
      <c r="AD133" s="914">
        <v>21.963999999999999</v>
      </c>
      <c r="AE133" s="914">
        <v>13.349</v>
      </c>
      <c r="AF133" s="915">
        <v>5.3150000000000004</v>
      </c>
      <c r="AG133" s="913">
        <v>5.6369999999999996</v>
      </c>
      <c r="AH133" s="916">
        <v>4.7880000000000003</v>
      </c>
      <c r="AI133" s="927" t="s">
        <v>240</v>
      </c>
      <c r="AJ133" s="820" t="s">
        <v>389</v>
      </c>
      <c r="AK133" s="820" t="s">
        <v>1640</v>
      </c>
      <c r="AL133" s="33">
        <v>1</v>
      </c>
      <c r="AM133" s="33">
        <v>1</v>
      </c>
      <c r="AN133" s="33"/>
      <c r="AO133" s="33"/>
      <c r="AP133" s="33"/>
      <c r="AQ133" s="842"/>
      <c r="AR133" s="820" t="s">
        <v>236</v>
      </c>
      <c r="AS133" s="829" t="s">
        <v>1929</v>
      </c>
      <c r="AT133" s="843" t="s">
        <v>1930</v>
      </c>
      <c r="AU133" s="843" t="s">
        <v>238</v>
      </c>
      <c r="AV133" s="920" t="s">
        <v>238</v>
      </c>
    </row>
    <row r="134" spans="1:48" ht="12.75" customHeight="1">
      <c r="A134" s="930" t="s">
        <v>1119</v>
      </c>
      <c r="B134" s="820" t="s">
        <v>1931</v>
      </c>
      <c r="C134" s="5">
        <v>0</v>
      </c>
      <c r="D134" s="5">
        <v>0</v>
      </c>
      <c r="E134" s="5">
        <v>0</v>
      </c>
      <c r="F134" s="5">
        <v>0</v>
      </c>
      <c r="G134" s="5">
        <v>0</v>
      </c>
      <c r="H134" s="5">
        <v>0</v>
      </c>
      <c r="I134" s="5">
        <v>0</v>
      </c>
      <c r="J134" s="5">
        <v>0</v>
      </c>
      <c r="K134" s="5">
        <v>0</v>
      </c>
      <c r="L134" s="5">
        <v>0</v>
      </c>
      <c r="M134" s="5">
        <v>0</v>
      </c>
      <c r="N134" s="5">
        <v>0</v>
      </c>
      <c r="O134" s="5">
        <v>0</v>
      </c>
      <c r="P134" s="5">
        <v>0</v>
      </c>
      <c r="Q134" s="5">
        <v>0</v>
      </c>
      <c r="R134" s="5">
        <v>0</v>
      </c>
      <c r="S134" s="5">
        <v>0</v>
      </c>
      <c r="T134" s="5">
        <v>0</v>
      </c>
      <c r="U134" s="5">
        <v>0</v>
      </c>
      <c r="V134" s="5">
        <v>0</v>
      </c>
      <c r="W134" s="5">
        <v>0</v>
      </c>
      <c r="X134" s="913">
        <v>0</v>
      </c>
      <c r="Y134" s="913">
        <v>0</v>
      </c>
      <c r="Z134" s="913">
        <v>1.5</v>
      </c>
      <c r="AA134" s="5">
        <v>0.41</v>
      </c>
      <c r="AB134" s="5"/>
      <c r="AC134" s="826">
        <v>0</v>
      </c>
      <c r="AD134" s="914">
        <v>0</v>
      </c>
      <c r="AE134" s="914">
        <v>0</v>
      </c>
      <c r="AF134" s="915">
        <v>0</v>
      </c>
      <c r="AG134" s="913"/>
      <c r="AH134" s="916"/>
      <c r="AI134" s="6" t="s">
        <v>1932</v>
      </c>
      <c r="AJ134" s="820" t="s">
        <v>389</v>
      </c>
      <c r="AK134" s="820" t="s">
        <v>1640</v>
      </c>
      <c r="AL134" s="33"/>
      <c r="AM134" s="33"/>
      <c r="AN134" s="33"/>
      <c r="AO134" s="33"/>
      <c r="AP134" s="33"/>
      <c r="AQ134" s="842"/>
      <c r="AR134" s="820" t="s">
        <v>236</v>
      </c>
      <c r="AS134" s="829" t="s">
        <v>1933</v>
      </c>
      <c r="AT134" s="362" t="s">
        <v>1920</v>
      </c>
      <c r="AU134" s="829"/>
      <c r="AV134" s="919"/>
    </row>
    <row r="135" spans="1:48" ht="12.75" customHeight="1">
      <c r="A135" s="930" t="s">
        <v>1119</v>
      </c>
      <c r="B135" s="820" t="s">
        <v>1934</v>
      </c>
      <c r="C135" s="5">
        <v>0</v>
      </c>
      <c r="D135" s="5">
        <v>0</v>
      </c>
      <c r="E135" s="5">
        <v>0</v>
      </c>
      <c r="F135" s="5">
        <v>0</v>
      </c>
      <c r="G135" s="5">
        <v>0</v>
      </c>
      <c r="H135" s="5">
        <v>0</v>
      </c>
      <c r="I135" s="5">
        <v>0</v>
      </c>
      <c r="J135" s="5">
        <v>0</v>
      </c>
      <c r="K135" s="5">
        <v>0</v>
      </c>
      <c r="L135" s="5">
        <v>0</v>
      </c>
      <c r="M135" s="5">
        <v>0</v>
      </c>
      <c r="N135" s="5">
        <v>0</v>
      </c>
      <c r="O135" s="5">
        <v>0</v>
      </c>
      <c r="P135" s="5">
        <v>0</v>
      </c>
      <c r="Q135" s="5">
        <v>0</v>
      </c>
      <c r="R135" s="5">
        <v>0</v>
      </c>
      <c r="S135" s="5">
        <v>0</v>
      </c>
      <c r="T135" s="5">
        <v>12.513</v>
      </c>
      <c r="U135" s="5">
        <v>76.757000000000005</v>
      </c>
      <c r="V135" s="5">
        <v>85.081999999999994</v>
      </c>
      <c r="W135" s="5">
        <v>85.995000000000005</v>
      </c>
      <c r="X135" s="913">
        <v>86.203000000000003</v>
      </c>
      <c r="Y135" s="913">
        <v>80.63000000000001</v>
      </c>
      <c r="Z135" s="913">
        <v>93.463999999999999</v>
      </c>
      <c r="AA135" s="5">
        <v>95.92</v>
      </c>
      <c r="AB135" s="5">
        <v>105.742</v>
      </c>
      <c r="AC135" s="826">
        <v>31.033000000000001</v>
      </c>
      <c r="AD135" s="914">
        <v>3.38</v>
      </c>
      <c r="AE135" s="914">
        <v>2.298</v>
      </c>
      <c r="AF135" s="915">
        <v>0</v>
      </c>
      <c r="AG135" s="913"/>
      <c r="AH135" s="916"/>
      <c r="AI135" s="6" t="s">
        <v>1935</v>
      </c>
      <c r="AJ135" s="820" t="s">
        <v>389</v>
      </c>
      <c r="AK135" s="820" t="s">
        <v>1691</v>
      </c>
      <c r="AL135" s="33"/>
      <c r="AM135" s="33"/>
      <c r="AN135" s="33"/>
      <c r="AO135" s="33"/>
      <c r="AP135" s="33"/>
      <c r="AQ135" s="842">
        <v>1</v>
      </c>
      <c r="AR135" s="820" t="s">
        <v>236</v>
      </c>
      <c r="AS135" s="829" t="s">
        <v>1936</v>
      </c>
      <c r="AT135" s="362" t="s">
        <v>1937</v>
      </c>
      <c r="AU135" s="829" t="s">
        <v>244</v>
      </c>
      <c r="AV135" s="919" t="s">
        <v>238</v>
      </c>
    </row>
    <row r="136" spans="1:48" ht="12.75" customHeight="1">
      <c r="A136" s="930" t="s">
        <v>1119</v>
      </c>
      <c r="B136" s="820" t="s">
        <v>1215</v>
      </c>
      <c r="C136" s="5">
        <v>0</v>
      </c>
      <c r="D136" s="5">
        <v>0</v>
      </c>
      <c r="E136" s="5">
        <v>0</v>
      </c>
      <c r="F136" s="5">
        <v>0</v>
      </c>
      <c r="G136" s="5">
        <v>0</v>
      </c>
      <c r="H136" s="5">
        <v>0</v>
      </c>
      <c r="I136" s="5">
        <v>0</v>
      </c>
      <c r="J136" s="5">
        <v>0</v>
      </c>
      <c r="K136" s="5">
        <v>0</v>
      </c>
      <c r="L136" s="5">
        <v>0</v>
      </c>
      <c r="M136" s="5">
        <v>0</v>
      </c>
      <c r="N136" s="5">
        <v>0</v>
      </c>
      <c r="O136" s="5">
        <v>0</v>
      </c>
      <c r="P136" s="5">
        <v>0</v>
      </c>
      <c r="Q136" s="5">
        <v>0</v>
      </c>
      <c r="R136" s="5">
        <v>0</v>
      </c>
      <c r="S136" s="5">
        <v>0</v>
      </c>
      <c r="T136" s="5">
        <v>0</v>
      </c>
      <c r="U136" s="5">
        <v>0</v>
      </c>
      <c r="V136" s="5">
        <v>0</v>
      </c>
      <c r="W136" s="5">
        <v>0</v>
      </c>
      <c r="X136" s="913">
        <v>0</v>
      </c>
      <c r="Y136" s="913">
        <v>0</v>
      </c>
      <c r="Z136" s="913">
        <v>0</v>
      </c>
      <c r="AA136" s="5">
        <v>218.33</v>
      </c>
      <c r="AB136" s="5">
        <v>279.61799999999999</v>
      </c>
      <c r="AC136" s="826">
        <v>280.24099999999999</v>
      </c>
      <c r="AD136" s="914">
        <v>280.87400000000002</v>
      </c>
      <c r="AE136" s="914">
        <v>298.22300000000001</v>
      </c>
      <c r="AF136" s="915">
        <v>272.82900000000001</v>
      </c>
      <c r="AG136" s="913">
        <v>301.41300000000001</v>
      </c>
      <c r="AH136" s="916">
        <v>272.642</v>
      </c>
      <c r="AI136" s="6" t="s">
        <v>273</v>
      </c>
      <c r="AJ136" s="820" t="s">
        <v>403</v>
      </c>
      <c r="AK136" s="820" t="s">
        <v>1663</v>
      </c>
      <c r="AL136" s="33">
        <v>1</v>
      </c>
      <c r="AM136" s="33"/>
      <c r="AN136" s="33">
        <v>1</v>
      </c>
      <c r="AO136" s="33">
        <v>1</v>
      </c>
      <c r="AP136" s="33">
        <v>1</v>
      </c>
      <c r="AQ136" s="842"/>
      <c r="AR136" s="820" t="s">
        <v>236</v>
      </c>
      <c r="AS136" s="829" t="s">
        <v>1216</v>
      </c>
      <c r="AT136" s="362" t="s">
        <v>1217</v>
      </c>
      <c r="AU136" s="829" t="s">
        <v>238</v>
      </c>
      <c r="AV136" s="919" t="s">
        <v>238</v>
      </c>
    </row>
    <row r="137" spans="1:48" ht="12.75" customHeight="1">
      <c r="A137" s="930" t="s">
        <v>1119</v>
      </c>
      <c r="B137" s="820" t="s">
        <v>1938</v>
      </c>
      <c r="C137" s="5">
        <v>0</v>
      </c>
      <c r="D137" s="5">
        <v>0</v>
      </c>
      <c r="E137" s="5">
        <v>0</v>
      </c>
      <c r="F137" s="5">
        <v>0</v>
      </c>
      <c r="G137" s="5">
        <v>0</v>
      </c>
      <c r="H137" s="5">
        <v>0</v>
      </c>
      <c r="I137" s="5">
        <v>0</v>
      </c>
      <c r="J137" s="5">
        <v>0</v>
      </c>
      <c r="K137" s="5">
        <v>0</v>
      </c>
      <c r="L137" s="5">
        <v>0</v>
      </c>
      <c r="M137" s="5">
        <v>0</v>
      </c>
      <c r="N137" s="5">
        <v>0</v>
      </c>
      <c r="O137" s="5">
        <v>0</v>
      </c>
      <c r="P137" s="5">
        <v>0</v>
      </c>
      <c r="Q137" s="5">
        <v>0</v>
      </c>
      <c r="R137" s="5">
        <v>0</v>
      </c>
      <c r="S137" s="5">
        <v>0</v>
      </c>
      <c r="T137" s="5">
        <v>0</v>
      </c>
      <c r="U137" s="5">
        <v>0</v>
      </c>
      <c r="V137" s="5">
        <v>0</v>
      </c>
      <c r="W137" s="5">
        <v>0</v>
      </c>
      <c r="X137" s="913">
        <v>5.65</v>
      </c>
      <c r="Y137" s="913">
        <v>0</v>
      </c>
      <c r="Z137" s="913">
        <v>0</v>
      </c>
      <c r="AA137" s="5">
        <v>0</v>
      </c>
      <c r="AB137" s="5">
        <v>0</v>
      </c>
      <c r="AC137" s="826">
        <v>0</v>
      </c>
      <c r="AD137" s="914">
        <v>0</v>
      </c>
      <c r="AE137" s="914">
        <v>0</v>
      </c>
      <c r="AF137" s="915">
        <v>0</v>
      </c>
      <c r="AG137" s="913"/>
      <c r="AH137" s="916"/>
      <c r="AI137" s="6" t="s">
        <v>273</v>
      </c>
      <c r="AJ137" s="820" t="s">
        <v>389</v>
      </c>
      <c r="AK137" s="820" t="s">
        <v>1748</v>
      </c>
      <c r="AL137" s="33"/>
      <c r="AM137" s="33"/>
      <c r="AN137" s="33"/>
      <c r="AO137" s="33"/>
      <c r="AP137" s="33"/>
      <c r="AQ137" s="842"/>
      <c r="AR137" s="820" t="s">
        <v>251</v>
      </c>
      <c r="AS137" s="829" t="s">
        <v>1939</v>
      </c>
      <c r="AT137" s="362" t="s">
        <v>238</v>
      </c>
      <c r="AU137" s="829" t="s">
        <v>238</v>
      </c>
      <c r="AV137" s="919" t="s">
        <v>238</v>
      </c>
    </row>
    <row r="138" spans="1:48" ht="12.75" customHeight="1">
      <c r="A138" s="930" t="s">
        <v>1119</v>
      </c>
      <c r="B138" s="820" t="s">
        <v>1940</v>
      </c>
      <c r="C138" s="5">
        <v>0</v>
      </c>
      <c r="D138" s="5">
        <v>0</v>
      </c>
      <c r="E138" s="5">
        <v>0</v>
      </c>
      <c r="F138" s="5">
        <v>0</v>
      </c>
      <c r="G138" s="5">
        <v>0</v>
      </c>
      <c r="H138" s="5">
        <v>0</v>
      </c>
      <c r="I138" s="5">
        <v>0</v>
      </c>
      <c r="J138" s="5">
        <v>0</v>
      </c>
      <c r="K138" s="5">
        <v>0</v>
      </c>
      <c r="L138" s="5">
        <v>0</v>
      </c>
      <c r="M138" s="5">
        <v>0</v>
      </c>
      <c r="N138" s="5">
        <v>0</v>
      </c>
      <c r="O138" s="5">
        <v>0</v>
      </c>
      <c r="P138" s="5">
        <v>0</v>
      </c>
      <c r="Q138" s="5">
        <v>0</v>
      </c>
      <c r="R138" s="5">
        <v>0</v>
      </c>
      <c r="S138" s="5">
        <v>0</v>
      </c>
      <c r="T138" s="5">
        <v>0</v>
      </c>
      <c r="U138" s="5">
        <v>1.75</v>
      </c>
      <c r="V138" s="5">
        <v>4</v>
      </c>
      <c r="W138" s="5">
        <v>10.75</v>
      </c>
      <c r="X138" s="913">
        <v>5.5</v>
      </c>
      <c r="Y138" s="913">
        <v>1.25</v>
      </c>
      <c r="Z138" s="913">
        <v>0</v>
      </c>
      <c r="AA138" s="5">
        <v>0</v>
      </c>
      <c r="AB138" s="5">
        <v>0</v>
      </c>
      <c r="AC138" s="826">
        <v>0</v>
      </c>
      <c r="AD138" s="914">
        <v>0</v>
      </c>
      <c r="AE138" s="914">
        <v>0</v>
      </c>
      <c r="AF138" s="915">
        <v>0</v>
      </c>
      <c r="AG138" s="913"/>
      <c r="AH138" s="916"/>
      <c r="AI138" s="6" t="s">
        <v>240</v>
      </c>
      <c r="AJ138" s="820" t="s">
        <v>389</v>
      </c>
      <c r="AK138" s="820" t="s">
        <v>1691</v>
      </c>
      <c r="AL138" s="33"/>
      <c r="AM138" s="33"/>
      <c r="AN138" s="33"/>
      <c r="AO138" s="33"/>
      <c r="AP138" s="33"/>
      <c r="AQ138" s="842"/>
      <c r="AR138" s="820" t="s">
        <v>236</v>
      </c>
      <c r="AS138" s="829" t="s">
        <v>1941</v>
      </c>
      <c r="AT138" s="362" t="s">
        <v>1942</v>
      </c>
      <c r="AU138" s="829" t="s">
        <v>238</v>
      </c>
      <c r="AV138" s="919" t="s">
        <v>238</v>
      </c>
    </row>
    <row r="139" spans="1:48" ht="12.75" customHeight="1">
      <c r="A139" s="930" t="s">
        <v>1119</v>
      </c>
      <c r="B139" s="820" t="s">
        <v>1943</v>
      </c>
      <c r="C139" s="5">
        <v>0</v>
      </c>
      <c r="D139" s="5">
        <v>0</v>
      </c>
      <c r="E139" s="5">
        <v>0</v>
      </c>
      <c r="F139" s="5">
        <v>0</v>
      </c>
      <c r="G139" s="5">
        <v>0</v>
      </c>
      <c r="H139" s="5">
        <v>0</v>
      </c>
      <c r="I139" s="5">
        <v>0</v>
      </c>
      <c r="J139" s="5">
        <v>0</v>
      </c>
      <c r="K139" s="5">
        <v>0</v>
      </c>
      <c r="L139" s="5">
        <v>0</v>
      </c>
      <c r="M139" s="5">
        <v>0</v>
      </c>
      <c r="N139" s="5">
        <v>0</v>
      </c>
      <c r="O139" s="5">
        <v>0</v>
      </c>
      <c r="P139" s="5">
        <v>0</v>
      </c>
      <c r="Q139" s="5">
        <v>0</v>
      </c>
      <c r="R139" s="5">
        <v>0</v>
      </c>
      <c r="S139" s="5">
        <v>0</v>
      </c>
      <c r="T139" s="5">
        <v>0</v>
      </c>
      <c r="U139" s="5">
        <v>0</v>
      </c>
      <c r="V139" s="5">
        <v>0</v>
      </c>
      <c r="W139" s="5">
        <v>0</v>
      </c>
      <c r="X139" s="913">
        <v>0</v>
      </c>
      <c r="Y139" s="913">
        <v>0</v>
      </c>
      <c r="Z139" s="913">
        <v>20</v>
      </c>
      <c r="AA139" s="5">
        <v>10</v>
      </c>
      <c r="AB139" s="5">
        <v>0</v>
      </c>
      <c r="AC139" s="826">
        <v>0</v>
      </c>
      <c r="AD139" s="914">
        <v>0</v>
      </c>
      <c r="AE139" s="914">
        <v>0</v>
      </c>
      <c r="AF139" s="915">
        <v>0</v>
      </c>
      <c r="AG139" s="913"/>
      <c r="AH139" s="916"/>
      <c r="AI139" s="6" t="s">
        <v>240</v>
      </c>
      <c r="AJ139" s="820" t="s">
        <v>389</v>
      </c>
      <c r="AK139" s="820" t="s">
        <v>1691</v>
      </c>
      <c r="AL139" s="33"/>
      <c r="AM139" s="33"/>
      <c r="AN139" s="33"/>
      <c r="AO139" s="33"/>
      <c r="AP139" s="33"/>
      <c r="AQ139" s="842"/>
      <c r="AR139" s="820" t="s">
        <v>251</v>
      </c>
      <c r="AS139" s="829" t="s">
        <v>1944</v>
      </c>
      <c r="AT139" s="362" t="s">
        <v>1945</v>
      </c>
      <c r="AU139" s="829" t="s">
        <v>238</v>
      </c>
      <c r="AV139" s="919" t="s">
        <v>238</v>
      </c>
    </row>
    <row r="140" spans="1:48" ht="12.75" customHeight="1">
      <c r="A140" s="930" t="s">
        <v>1119</v>
      </c>
      <c r="B140" s="820" t="s">
        <v>1946</v>
      </c>
      <c r="C140" s="5">
        <v>0</v>
      </c>
      <c r="D140" s="5">
        <v>0</v>
      </c>
      <c r="E140" s="5">
        <v>0</v>
      </c>
      <c r="F140" s="5">
        <v>0</v>
      </c>
      <c r="G140" s="5">
        <v>0</v>
      </c>
      <c r="H140" s="5">
        <v>0</v>
      </c>
      <c r="I140" s="5">
        <v>0</v>
      </c>
      <c r="J140" s="5">
        <v>0</v>
      </c>
      <c r="K140" s="5">
        <v>0</v>
      </c>
      <c r="L140" s="5">
        <v>0</v>
      </c>
      <c r="M140" s="5">
        <v>0</v>
      </c>
      <c r="N140" s="5">
        <v>0</v>
      </c>
      <c r="O140" s="5">
        <v>0</v>
      </c>
      <c r="P140" s="5">
        <v>0</v>
      </c>
      <c r="Q140" s="5">
        <v>0</v>
      </c>
      <c r="R140" s="5">
        <v>0</v>
      </c>
      <c r="S140" s="5">
        <v>0</v>
      </c>
      <c r="T140" s="5">
        <v>1</v>
      </c>
      <c r="U140" s="5">
        <v>12</v>
      </c>
      <c r="V140" s="5">
        <v>20</v>
      </c>
      <c r="W140" s="5">
        <v>12</v>
      </c>
      <c r="X140" s="913">
        <v>14.417999999999999</v>
      </c>
      <c r="Y140" s="913">
        <v>15.842000000000001</v>
      </c>
      <c r="Z140" s="913">
        <v>15.917</v>
      </c>
      <c r="AA140" s="5">
        <v>18</v>
      </c>
      <c r="AB140" s="5">
        <v>0</v>
      </c>
      <c r="AC140" s="826">
        <v>0</v>
      </c>
      <c r="AD140" s="914">
        <v>0</v>
      </c>
      <c r="AE140" s="914">
        <v>0</v>
      </c>
      <c r="AF140" s="915">
        <v>0</v>
      </c>
      <c r="AG140" s="913"/>
      <c r="AH140" s="916"/>
      <c r="AI140" s="6" t="s">
        <v>233</v>
      </c>
      <c r="AJ140" s="820" t="s">
        <v>389</v>
      </c>
      <c r="AK140" s="820" t="s">
        <v>1691</v>
      </c>
      <c r="AL140" s="33"/>
      <c r="AM140" s="33"/>
      <c r="AN140" s="33"/>
      <c r="AO140" s="33"/>
      <c r="AP140" s="33"/>
      <c r="AQ140" s="842"/>
      <c r="AR140" s="820" t="s">
        <v>236</v>
      </c>
      <c r="AS140" s="829" t="s">
        <v>1947</v>
      </c>
      <c r="AT140" s="362" t="s">
        <v>1948</v>
      </c>
      <c r="AU140" s="829" t="s">
        <v>238</v>
      </c>
      <c r="AV140" s="919" t="s">
        <v>238</v>
      </c>
    </row>
    <row r="141" spans="1:48" ht="12.75" customHeight="1">
      <c r="A141" s="930" t="s">
        <v>1119</v>
      </c>
      <c r="B141" s="820" t="s">
        <v>1949</v>
      </c>
      <c r="C141" s="5">
        <v>0</v>
      </c>
      <c r="D141" s="5">
        <v>0</v>
      </c>
      <c r="E141" s="5">
        <v>0</v>
      </c>
      <c r="F141" s="5">
        <v>0</v>
      </c>
      <c r="G141" s="5">
        <v>0</v>
      </c>
      <c r="H141" s="5">
        <v>0</v>
      </c>
      <c r="I141" s="5">
        <v>0</v>
      </c>
      <c r="J141" s="5">
        <v>0</v>
      </c>
      <c r="K141" s="5">
        <v>0</v>
      </c>
      <c r="L141" s="5">
        <v>0</v>
      </c>
      <c r="M141" s="5">
        <v>0</v>
      </c>
      <c r="N141" s="5">
        <v>0</v>
      </c>
      <c r="O141" s="5">
        <v>0</v>
      </c>
      <c r="P141" s="5">
        <v>0</v>
      </c>
      <c r="Q141" s="5">
        <v>0</v>
      </c>
      <c r="R141" s="5">
        <v>0</v>
      </c>
      <c r="S141" s="5">
        <v>0</v>
      </c>
      <c r="T141" s="5">
        <v>0</v>
      </c>
      <c r="U141" s="5">
        <v>0</v>
      </c>
      <c r="V141" s="5">
        <v>0</v>
      </c>
      <c r="W141" s="5">
        <v>0</v>
      </c>
      <c r="X141" s="913">
        <v>0</v>
      </c>
      <c r="Y141" s="913">
        <v>0</v>
      </c>
      <c r="Z141" s="913">
        <v>0</v>
      </c>
      <c r="AA141" s="5">
        <v>0</v>
      </c>
      <c r="AB141" s="5">
        <v>0</v>
      </c>
      <c r="AC141" s="826">
        <v>3.016</v>
      </c>
      <c r="AD141" s="914">
        <v>77.703999999999994</v>
      </c>
      <c r="AE141" s="914">
        <v>101.384</v>
      </c>
      <c r="AF141" s="915">
        <v>125.081</v>
      </c>
      <c r="AG141" s="913">
        <v>90.052999999999997</v>
      </c>
      <c r="AH141" s="916">
        <v>57.524000000000001</v>
      </c>
      <c r="AI141" s="6" t="s">
        <v>1935</v>
      </c>
      <c r="AJ141" s="820" t="s">
        <v>389</v>
      </c>
      <c r="AK141" s="820" t="s">
        <v>1691</v>
      </c>
      <c r="AL141" s="33">
        <v>1</v>
      </c>
      <c r="AM141" s="33"/>
      <c r="AN141" s="33"/>
      <c r="AO141" s="33">
        <v>1</v>
      </c>
      <c r="AP141" s="33">
        <v>1</v>
      </c>
      <c r="AQ141" s="842"/>
      <c r="AR141" s="820" t="s">
        <v>236</v>
      </c>
      <c r="AS141" s="943" t="s">
        <v>1950</v>
      </c>
      <c r="AT141" s="362"/>
      <c r="AU141" s="829"/>
      <c r="AV141" s="919"/>
    </row>
    <row r="142" spans="1:48" ht="12.75" customHeight="1">
      <c r="A142" s="930" t="s">
        <v>1119</v>
      </c>
      <c r="B142" s="820" t="s">
        <v>1951</v>
      </c>
      <c r="C142" s="5">
        <v>0</v>
      </c>
      <c r="D142" s="5">
        <v>0</v>
      </c>
      <c r="E142" s="5">
        <v>0</v>
      </c>
      <c r="F142" s="5">
        <v>0</v>
      </c>
      <c r="G142" s="5">
        <v>0</v>
      </c>
      <c r="H142" s="5">
        <v>0</v>
      </c>
      <c r="I142" s="5">
        <v>0</v>
      </c>
      <c r="J142" s="5">
        <v>0</v>
      </c>
      <c r="K142" s="5">
        <v>0</v>
      </c>
      <c r="L142" s="5">
        <v>0</v>
      </c>
      <c r="M142" s="5">
        <v>0</v>
      </c>
      <c r="N142" s="5">
        <v>0</v>
      </c>
      <c r="O142" s="5">
        <v>0</v>
      </c>
      <c r="P142" s="5">
        <v>0</v>
      </c>
      <c r="Q142" s="5">
        <v>0</v>
      </c>
      <c r="R142" s="5">
        <v>0</v>
      </c>
      <c r="S142" s="5">
        <v>0</v>
      </c>
      <c r="T142" s="5">
        <v>0</v>
      </c>
      <c r="U142" s="5">
        <v>0.376</v>
      </c>
      <c r="V142" s="5">
        <v>0.60699999999999998</v>
      </c>
      <c r="W142" s="5">
        <v>0.83699999999999997</v>
      </c>
      <c r="X142" s="913">
        <v>0.87</v>
      </c>
      <c r="Y142" s="913">
        <v>0.87</v>
      </c>
      <c r="Z142" s="913">
        <v>0.87</v>
      </c>
      <c r="AA142" s="5">
        <v>0.47399999999999998</v>
      </c>
      <c r="AB142" s="5">
        <v>0.66</v>
      </c>
      <c r="AC142" s="826">
        <v>0</v>
      </c>
      <c r="AD142" s="914">
        <v>0</v>
      </c>
      <c r="AE142" s="914">
        <v>0</v>
      </c>
      <c r="AF142" s="915">
        <v>0</v>
      </c>
      <c r="AG142" s="913"/>
      <c r="AH142" s="916"/>
      <c r="AI142" s="6" t="s">
        <v>249</v>
      </c>
      <c r="AJ142" s="820" t="s">
        <v>362</v>
      </c>
      <c r="AK142" s="820" t="s">
        <v>1663</v>
      </c>
      <c r="AL142" s="33"/>
      <c r="AM142" s="33"/>
      <c r="AN142" s="33"/>
      <c r="AO142" s="33"/>
      <c r="AP142" s="33"/>
      <c r="AQ142" s="842"/>
      <c r="AR142" s="820" t="s">
        <v>236</v>
      </c>
      <c r="AS142" s="829" t="s">
        <v>1952</v>
      </c>
      <c r="AT142" s="362" t="s">
        <v>238</v>
      </c>
      <c r="AU142" s="829" t="s">
        <v>244</v>
      </c>
      <c r="AV142" s="919" t="s">
        <v>238</v>
      </c>
    </row>
    <row r="143" spans="1:48" ht="12.75" customHeight="1">
      <c r="A143" s="930" t="s">
        <v>1119</v>
      </c>
      <c r="B143" s="820" t="s">
        <v>1953</v>
      </c>
      <c r="C143" s="5">
        <v>0</v>
      </c>
      <c r="D143" s="5">
        <v>13.371</v>
      </c>
      <c r="E143" s="5">
        <v>18.576000000000001</v>
      </c>
      <c r="F143" s="5">
        <v>15.706</v>
      </c>
      <c r="G143" s="5">
        <v>21.428000000000001</v>
      </c>
      <c r="H143" s="5">
        <v>18.690000000000001</v>
      </c>
      <c r="I143" s="5">
        <v>11.497999999999999</v>
      </c>
      <c r="J143" s="5">
        <v>13.41</v>
      </c>
      <c r="K143" s="5">
        <v>10.209</v>
      </c>
      <c r="L143" s="5">
        <v>8.6189999999999998</v>
      </c>
      <c r="M143" s="5">
        <v>8.8160000000000007</v>
      </c>
      <c r="N143" s="5">
        <v>5.74</v>
      </c>
      <c r="O143" s="5">
        <v>3.9910000000000001</v>
      </c>
      <c r="P143" s="5">
        <v>5.875</v>
      </c>
      <c r="Q143" s="5">
        <v>15.842000000000001</v>
      </c>
      <c r="R143" s="5">
        <v>18.448</v>
      </c>
      <c r="S143" s="5">
        <v>19.207000000000001</v>
      </c>
      <c r="T143" s="5">
        <v>17.748999999999999</v>
      </c>
      <c r="U143" s="5">
        <v>15.111000000000001</v>
      </c>
      <c r="V143" s="5">
        <v>16.382999999999999</v>
      </c>
      <c r="W143" s="5">
        <v>15.382999999999999</v>
      </c>
      <c r="X143" s="913">
        <v>3.6230000000000002</v>
      </c>
      <c r="Y143" s="913">
        <v>4.4550000000000001</v>
      </c>
      <c r="Z143" s="913">
        <v>1.591</v>
      </c>
      <c r="AA143" s="5">
        <v>0</v>
      </c>
      <c r="AB143" s="5">
        <v>0</v>
      </c>
      <c r="AC143" s="826">
        <v>0</v>
      </c>
      <c r="AD143" s="914">
        <v>0</v>
      </c>
      <c r="AE143" s="914">
        <v>0.17100000000000001</v>
      </c>
      <c r="AF143" s="915">
        <v>0</v>
      </c>
      <c r="AG143" s="913"/>
      <c r="AH143" s="916"/>
      <c r="AI143" s="6" t="s">
        <v>233</v>
      </c>
      <c r="AJ143" s="820" t="s">
        <v>389</v>
      </c>
      <c r="AK143" s="820" t="s">
        <v>1691</v>
      </c>
      <c r="AL143" s="33"/>
      <c r="AM143" s="33"/>
      <c r="AN143" s="33"/>
      <c r="AO143" s="33"/>
      <c r="AP143" s="33"/>
      <c r="AQ143" s="842">
        <v>1</v>
      </c>
      <c r="AR143" s="820" t="s">
        <v>236</v>
      </c>
      <c r="AS143" s="829" t="s">
        <v>1954</v>
      </c>
      <c r="AT143" s="362" t="s">
        <v>1955</v>
      </c>
      <c r="AU143" s="829" t="s">
        <v>1902</v>
      </c>
      <c r="AV143" s="919" t="s">
        <v>238</v>
      </c>
    </row>
    <row r="144" spans="1:48" ht="12.75" customHeight="1">
      <c r="A144" s="930" t="s">
        <v>1119</v>
      </c>
      <c r="B144" s="820" t="s">
        <v>1956</v>
      </c>
      <c r="C144" s="5">
        <v>0</v>
      </c>
      <c r="D144" s="5">
        <v>0</v>
      </c>
      <c r="E144" s="5">
        <v>0</v>
      </c>
      <c r="F144" s="5">
        <v>0</v>
      </c>
      <c r="G144" s="5">
        <v>0</v>
      </c>
      <c r="H144" s="5">
        <v>0</v>
      </c>
      <c r="I144" s="5">
        <v>0</v>
      </c>
      <c r="J144" s="5">
        <v>0</v>
      </c>
      <c r="K144" s="5">
        <v>0</v>
      </c>
      <c r="L144" s="5">
        <v>0</v>
      </c>
      <c r="M144" s="5">
        <v>0</v>
      </c>
      <c r="N144" s="5">
        <v>0</v>
      </c>
      <c r="O144" s="5">
        <v>0</v>
      </c>
      <c r="P144" s="5">
        <v>0</v>
      </c>
      <c r="Q144" s="5">
        <v>0</v>
      </c>
      <c r="R144" s="5">
        <v>0</v>
      </c>
      <c r="S144" s="5">
        <v>0</v>
      </c>
      <c r="T144" s="5">
        <v>0</v>
      </c>
      <c r="U144" s="5">
        <v>0</v>
      </c>
      <c r="V144" s="5">
        <v>9.2390000000000008</v>
      </c>
      <c r="W144" s="5">
        <v>9.2390000000000008</v>
      </c>
      <c r="X144" s="913">
        <v>8.4009999999999998</v>
      </c>
      <c r="Y144" s="913">
        <v>8.4009999999999998</v>
      </c>
      <c r="Z144" s="913">
        <v>8.4009999999999998</v>
      </c>
      <c r="AA144" s="5">
        <v>8.4009999999999998</v>
      </c>
      <c r="AB144" s="5">
        <v>8.7910000000000004</v>
      </c>
      <c r="AC144" s="826">
        <v>7.7030000000000003</v>
      </c>
      <c r="AD144" s="914">
        <v>7.883</v>
      </c>
      <c r="AE144" s="914">
        <v>8.1329999999999991</v>
      </c>
      <c r="AF144" s="915">
        <v>8.1329999999999991</v>
      </c>
      <c r="AG144" s="913">
        <v>7.91</v>
      </c>
      <c r="AH144" s="916">
        <v>7.46</v>
      </c>
      <c r="AI144" s="6" t="s">
        <v>233</v>
      </c>
      <c r="AJ144" s="820" t="s">
        <v>389</v>
      </c>
      <c r="AK144" s="820" t="s">
        <v>1691</v>
      </c>
      <c r="AL144" s="33"/>
      <c r="AM144" s="33"/>
      <c r="AN144" s="33">
        <v>1</v>
      </c>
      <c r="AO144" s="33"/>
      <c r="AP144" s="33"/>
      <c r="AQ144" s="842"/>
      <c r="AR144" s="820" t="s">
        <v>236</v>
      </c>
      <c r="AS144" s="829" t="s">
        <v>1957</v>
      </c>
      <c r="AT144" s="362"/>
      <c r="AU144" s="829" t="s">
        <v>1958</v>
      </c>
      <c r="AV144" s="919" t="s">
        <v>238</v>
      </c>
    </row>
    <row r="145" spans="1:48" ht="12.75" customHeight="1">
      <c r="A145" s="930" t="s">
        <v>1119</v>
      </c>
      <c r="B145" s="820" t="s">
        <v>1959</v>
      </c>
      <c r="C145" s="5">
        <v>0</v>
      </c>
      <c r="D145" s="5">
        <v>0</v>
      </c>
      <c r="E145" s="5">
        <v>0</v>
      </c>
      <c r="F145" s="5">
        <v>0</v>
      </c>
      <c r="G145" s="5">
        <v>0</v>
      </c>
      <c r="H145" s="5">
        <v>0</v>
      </c>
      <c r="I145" s="5">
        <v>0</v>
      </c>
      <c r="J145" s="5">
        <v>0</v>
      </c>
      <c r="K145" s="5">
        <v>0</v>
      </c>
      <c r="L145" s="5">
        <v>0</v>
      </c>
      <c r="M145" s="5">
        <v>0</v>
      </c>
      <c r="N145" s="5">
        <v>0</v>
      </c>
      <c r="O145" s="5">
        <v>0</v>
      </c>
      <c r="P145" s="5">
        <v>0</v>
      </c>
      <c r="Q145" s="5">
        <v>0</v>
      </c>
      <c r="R145" s="5">
        <v>0</v>
      </c>
      <c r="S145" s="5">
        <v>0</v>
      </c>
      <c r="T145" s="5">
        <v>0</v>
      </c>
      <c r="U145" s="5">
        <v>0</v>
      </c>
      <c r="V145" s="5">
        <v>0</v>
      </c>
      <c r="W145" s="5">
        <v>0</v>
      </c>
      <c r="X145" s="913">
        <v>0</v>
      </c>
      <c r="Y145" s="913">
        <v>0</v>
      </c>
      <c r="Z145" s="913">
        <v>0</v>
      </c>
      <c r="AA145" s="5">
        <v>0</v>
      </c>
      <c r="AB145" s="5">
        <v>2.173</v>
      </c>
      <c r="AC145" s="826">
        <v>1.9550000000000001</v>
      </c>
      <c r="AD145" s="914">
        <v>2.1019999999999999</v>
      </c>
      <c r="AE145" s="914">
        <v>2.0419999999999998</v>
      </c>
      <c r="AF145" s="915">
        <v>2.069</v>
      </c>
      <c r="AG145" s="913"/>
      <c r="AH145" s="916"/>
      <c r="AI145" s="6" t="s">
        <v>273</v>
      </c>
      <c r="AJ145" s="820" t="s">
        <v>1960</v>
      </c>
      <c r="AK145" s="820" t="s">
        <v>1961</v>
      </c>
      <c r="AL145" s="33">
        <v>1</v>
      </c>
      <c r="AM145" s="33">
        <v>1</v>
      </c>
      <c r="AN145" s="33"/>
      <c r="AO145" s="33">
        <v>1</v>
      </c>
      <c r="AP145" s="33">
        <v>1</v>
      </c>
      <c r="AQ145" s="842"/>
      <c r="AR145" s="820" t="s">
        <v>251</v>
      </c>
      <c r="AS145" s="829" t="s">
        <v>1962</v>
      </c>
      <c r="AT145" s="362" t="s">
        <v>1963</v>
      </c>
      <c r="AU145" s="829"/>
      <c r="AV145" s="919"/>
    </row>
    <row r="146" spans="1:48" ht="12.75" customHeight="1">
      <c r="A146" s="930" t="s">
        <v>1119</v>
      </c>
      <c r="B146" s="820" t="s">
        <v>1964</v>
      </c>
      <c r="C146" s="5">
        <v>0</v>
      </c>
      <c r="D146" s="5">
        <v>0</v>
      </c>
      <c r="E146" s="5">
        <v>0</v>
      </c>
      <c r="F146" s="5">
        <v>0</v>
      </c>
      <c r="G146" s="5">
        <v>0</v>
      </c>
      <c r="H146" s="5">
        <v>0</v>
      </c>
      <c r="I146" s="5">
        <v>0</v>
      </c>
      <c r="J146" s="5">
        <v>0</v>
      </c>
      <c r="K146" s="5">
        <v>0</v>
      </c>
      <c r="L146" s="5">
        <v>0</v>
      </c>
      <c r="M146" s="5">
        <v>0</v>
      </c>
      <c r="N146" s="5">
        <v>0</v>
      </c>
      <c r="O146" s="5">
        <v>0</v>
      </c>
      <c r="P146" s="5">
        <v>0</v>
      </c>
      <c r="Q146" s="5">
        <v>0</v>
      </c>
      <c r="R146" s="5">
        <v>0</v>
      </c>
      <c r="S146" s="5">
        <v>0</v>
      </c>
      <c r="T146" s="5">
        <v>0</v>
      </c>
      <c r="U146" s="5">
        <v>0</v>
      </c>
      <c r="V146" s="5">
        <v>0</v>
      </c>
      <c r="W146" s="5">
        <v>0</v>
      </c>
      <c r="X146" s="913">
        <v>0</v>
      </c>
      <c r="Y146" s="913">
        <v>2.64</v>
      </c>
      <c r="Z146" s="913">
        <v>4.8600000000000003</v>
      </c>
      <c r="AA146" s="5">
        <v>3.109</v>
      </c>
      <c r="AB146" s="5">
        <v>3.391</v>
      </c>
      <c r="AC146" s="826">
        <v>6</v>
      </c>
      <c r="AD146" s="914">
        <v>6</v>
      </c>
      <c r="AE146" s="914">
        <v>5.69</v>
      </c>
      <c r="AF146" s="915">
        <v>3</v>
      </c>
      <c r="AG146" s="913"/>
      <c r="AH146" s="916"/>
      <c r="AI146" s="6" t="s">
        <v>1935</v>
      </c>
      <c r="AJ146" s="820" t="s">
        <v>1960</v>
      </c>
      <c r="AK146" s="820" t="s">
        <v>1640</v>
      </c>
      <c r="AL146" s="33"/>
      <c r="AM146" s="33">
        <v>1</v>
      </c>
      <c r="AN146" s="33"/>
      <c r="AO146" s="33">
        <v>1</v>
      </c>
      <c r="AP146" s="33">
        <v>1</v>
      </c>
      <c r="AQ146" s="842">
        <v>1</v>
      </c>
      <c r="AR146" s="820" t="s">
        <v>236</v>
      </c>
      <c r="AS146" s="829" t="s">
        <v>1965</v>
      </c>
      <c r="AT146" s="362"/>
      <c r="AU146" s="829" t="s">
        <v>238</v>
      </c>
      <c r="AV146" s="919"/>
    </row>
    <row r="147" spans="1:48" ht="12.75" customHeight="1">
      <c r="A147" s="930" t="s">
        <v>1119</v>
      </c>
      <c r="B147" s="820" t="s">
        <v>1966</v>
      </c>
      <c r="C147" s="5">
        <v>0</v>
      </c>
      <c r="D147" s="5">
        <v>0</v>
      </c>
      <c r="E147" s="5">
        <v>0</v>
      </c>
      <c r="F147" s="5">
        <v>0</v>
      </c>
      <c r="G147" s="5">
        <v>0</v>
      </c>
      <c r="H147" s="5">
        <v>0</v>
      </c>
      <c r="I147" s="5">
        <v>0</v>
      </c>
      <c r="J147" s="5">
        <v>0</v>
      </c>
      <c r="K147" s="5">
        <v>0</v>
      </c>
      <c r="L147" s="5">
        <v>0</v>
      </c>
      <c r="M147" s="5">
        <v>0</v>
      </c>
      <c r="N147" s="5">
        <v>0</v>
      </c>
      <c r="O147" s="5">
        <v>0</v>
      </c>
      <c r="P147" s="5">
        <v>0</v>
      </c>
      <c r="Q147" s="5">
        <v>0</v>
      </c>
      <c r="R147" s="5">
        <v>0</v>
      </c>
      <c r="S147" s="5">
        <v>0</v>
      </c>
      <c r="T147" s="5">
        <v>0</v>
      </c>
      <c r="U147" s="5">
        <v>0</v>
      </c>
      <c r="V147" s="5">
        <v>0</v>
      </c>
      <c r="W147" s="5">
        <v>0</v>
      </c>
      <c r="X147" s="913">
        <v>0</v>
      </c>
      <c r="Y147" s="913">
        <v>0</v>
      </c>
      <c r="Z147" s="913">
        <v>0</v>
      </c>
      <c r="AA147" s="5">
        <v>0</v>
      </c>
      <c r="AB147" s="5">
        <v>0.2</v>
      </c>
      <c r="AC147" s="826">
        <v>5.008</v>
      </c>
      <c r="AD147" s="914">
        <v>3.992</v>
      </c>
      <c r="AE147" s="914">
        <v>0.8</v>
      </c>
      <c r="AF147" s="915">
        <v>0</v>
      </c>
      <c r="AG147" s="913"/>
      <c r="AH147" s="916"/>
      <c r="AI147" s="6" t="s">
        <v>273</v>
      </c>
      <c r="AJ147" s="820" t="s">
        <v>389</v>
      </c>
      <c r="AK147" s="820" t="s">
        <v>1748</v>
      </c>
      <c r="AL147" s="33"/>
      <c r="AM147" s="33"/>
      <c r="AN147" s="33"/>
      <c r="AO147" s="33"/>
      <c r="AP147" s="33"/>
      <c r="AQ147" s="842">
        <v>1</v>
      </c>
      <c r="AR147" s="820" t="s">
        <v>236</v>
      </c>
      <c r="AS147" s="829" t="s">
        <v>1967</v>
      </c>
      <c r="AT147" s="362" t="s">
        <v>1968</v>
      </c>
      <c r="AU147" s="829" t="s">
        <v>1969</v>
      </c>
      <c r="AV147" s="919"/>
    </row>
    <row r="148" spans="1:48" ht="12.75" customHeight="1">
      <c r="A148" s="930" t="s">
        <v>1119</v>
      </c>
      <c r="B148" s="820" t="s">
        <v>1970</v>
      </c>
      <c r="C148" s="5">
        <v>0</v>
      </c>
      <c r="D148" s="5">
        <v>0</v>
      </c>
      <c r="E148" s="5">
        <v>0</v>
      </c>
      <c r="F148" s="5">
        <v>0</v>
      </c>
      <c r="G148" s="5">
        <v>0</v>
      </c>
      <c r="H148" s="5">
        <v>0</v>
      </c>
      <c r="I148" s="5">
        <v>0</v>
      </c>
      <c r="J148" s="5">
        <v>0</v>
      </c>
      <c r="K148" s="5">
        <v>0</v>
      </c>
      <c r="L148" s="5">
        <v>0</v>
      </c>
      <c r="M148" s="5">
        <v>0</v>
      </c>
      <c r="N148" s="5">
        <v>0</v>
      </c>
      <c r="O148" s="5">
        <v>0</v>
      </c>
      <c r="P148" s="5">
        <v>0</v>
      </c>
      <c r="Q148" s="5">
        <v>0</v>
      </c>
      <c r="R148" s="5">
        <v>0</v>
      </c>
      <c r="S148" s="5">
        <v>0</v>
      </c>
      <c r="T148" s="5">
        <v>0</v>
      </c>
      <c r="U148" s="5">
        <v>0</v>
      </c>
      <c r="V148" s="5">
        <v>0</v>
      </c>
      <c r="W148" s="5">
        <v>0</v>
      </c>
      <c r="X148" s="913">
        <v>0</v>
      </c>
      <c r="Y148" s="913">
        <v>0</v>
      </c>
      <c r="Z148" s="913">
        <v>0.65</v>
      </c>
      <c r="AA148" s="5">
        <v>7.75</v>
      </c>
      <c r="AB148" s="5">
        <v>9.6</v>
      </c>
      <c r="AC148" s="826">
        <v>33.472000000000001</v>
      </c>
      <c r="AD148" s="914">
        <v>32.799999999999997</v>
      </c>
      <c r="AE148" s="914">
        <v>22.5</v>
      </c>
      <c r="AF148" s="915">
        <v>9</v>
      </c>
      <c r="AG148" s="913">
        <v>4.992</v>
      </c>
      <c r="AH148" s="916"/>
      <c r="AI148" s="6" t="s">
        <v>240</v>
      </c>
      <c r="AJ148" s="820" t="s">
        <v>1960</v>
      </c>
      <c r="AK148" s="820" t="s">
        <v>1640</v>
      </c>
      <c r="AL148" s="33"/>
      <c r="AM148" s="33"/>
      <c r="AN148" s="33"/>
      <c r="AO148" s="33"/>
      <c r="AP148" s="33">
        <v>1</v>
      </c>
      <c r="AQ148" s="842">
        <v>1</v>
      </c>
      <c r="AR148" s="820" t="s">
        <v>236</v>
      </c>
      <c r="AS148" s="829" t="s">
        <v>1971</v>
      </c>
      <c r="AT148" s="362"/>
      <c r="AU148" s="829"/>
      <c r="AV148" s="919"/>
    </row>
    <row r="149" spans="1:48" ht="12.75" customHeight="1">
      <c r="A149" s="930" t="s">
        <v>1119</v>
      </c>
      <c r="B149" s="820" t="s">
        <v>1972</v>
      </c>
      <c r="C149" s="5">
        <v>0</v>
      </c>
      <c r="D149" s="5">
        <v>0</v>
      </c>
      <c r="E149" s="5">
        <v>0</v>
      </c>
      <c r="F149" s="5">
        <v>0</v>
      </c>
      <c r="G149" s="5">
        <v>0</v>
      </c>
      <c r="H149" s="5">
        <v>0</v>
      </c>
      <c r="I149" s="5">
        <v>0</v>
      </c>
      <c r="J149" s="5">
        <v>0</v>
      </c>
      <c r="K149" s="5">
        <v>0</v>
      </c>
      <c r="L149" s="5">
        <v>0</v>
      </c>
      <c r="M149" s="5">
        <v>0</v>
      </c>
      <c r="N149" s="5">
        <v>0</v>
      </c>
      <c r="O149" s="5">
        <v>0</v>
      </c>
      <c r="P149" s="5">
        <v>0</v>
      </c>
      <c r="Q149" s="5">
        <v>0</v>
      </c>
      <c r="R149" s="5">
        <v>0</v>
      </c>
      <c r="S149" s="5">
        <v>0</v>
      </c>
      <c r="T149" s="5">
        <v>0</v>
      </c>
      <c r="U149" s="5">
        <v>0</v>
      </c>
      <c r="V149" s="5">
        <v>0</v>
      </c>
      <c r="W149" s="5">
        <v>0</v>
      </c>
      <c r="X149" s="5">
        <v>0</v>
      </c>
      <c r="Y149" s="5">
        <v>0</v>
      </c>
      <c r="Z149" s="913">
        <v>0</v>
      </c>
      <c r="AA149" s="5">
        <v>2</v>
      </c>
      <c r="AB149" s="5">
        <v>2.9</v>
      </c>
      <c r="AC149" s="826">
        <v>1.4358168846611177</v>
      </c>
      <c r="AD149" s="914">
        <v>1.4587377666248431</v>
      </c>
      <c r="AE149" s="914">
        <v>1.7509519112207153</v>
      </c>
      <c r="AF149" s="915">
        <v>1.4835307402760352</v>
      </c>
      <c r="AG149" s="913"/>
      <c r="AH149" s="916"/>
      <c r="AI149" s="6" t="s">
        <v>249</v>
      </c>
      <c r="AJ149" s="820" t="s">
        <v>403</v>
      </c>
      <c r="AK149" s="820" t="s">
        <v>1640</v>
      </c>
      <c r="AL149" s="33">
        <v>1</v>
      </c>
      <c r="AM149" s="33">
        <v>1</v>
      </c>
      <c r="AN149" s="33">
        <v>1</v>
      </c>
      <c r="AO149" s="33">
        <v>1</v>
      </c>
      <c r="AP149" s="33">
        <v>1</v>
      </c>
      <c r="AQ149" s="842"/>
      <c r="AR149" s="820" t="s">
        <v>236</v>
      </c>
      <c r="AS149" s="829" t="s">
        <v>1973</v>
      </c>
      <c r="AT149" s="362" t="s">
        <v>238</v>
      </c>
      <c r="AU149" s="829" t="s">
        <v>238</v>
      </c>
      <c r="AV149" s="919" t="s">
        <v>238</v>
      </c>
    </row>
    <row r="150" spans="1:48" ht="12.75" customHeight="1">
      <c r="A150" s="930" t="s">
        <v>1119</v>
      </c>
      <c r="B150" s="820" t="s">
        <v>1974</v>
      </c>
      <c r="C150" s="5">
        <v>0</v>
      </c>
      <c r="D150" s="5">
        <v>0</v>
      </c>
      <c r="E150" s="5">
        <v>0</v>
      </c>
      <c r="F150" s="5">
        <v>0</v>
      </c>
      <c r="G150" s="5">
        <v>0</v>
      </c>
      <c r="H150" s="5">
        <v>0</v>
      </c>
      <c r="I150" s="5">
        <v>0</v>
      </c>
      <c r="J150" s="5">
        <v>0</v>
      </c>
      <c r="K150" s="5">
        <v>0</v>
      </c>
      <c r="L150" s="5">
        <v>0</v>
      </c>
      <c r="M150" s="5">
        <v>0</v>
      </c>
      <c r="N150" s="5">
        <v>0</v>
      </c>
      <c r="O150" s="5">
        <v>0</v>
      </c>
      <c r="P150" s="5">
        <v>0</v>
      </c>
      <c r="Q150" s="5">
        <v>0</v>
      </c>
      <c r="R150" s="5">
        <v>0</v>
      </c>
      <c r="S150" s="5">
        <v>0</v>
      </c>
      <c r="T150" s="5">
        <v>0</v>
      </c>
      <c r="U150" s="5">
        <v>4.3140000000000001</v>
      </c>
      <c r="V150" s="5">
        <v>8.14</v>
      </c>
      <c r="W150" s="5">
        <v>8.2959999999999994</v>
      </c>
      <c r="X150" s="913">
        <v>8.4550000000000001</v>
      </c>
      <c r="Y150" s="913">
        <v>6.2</v>
      </c>
      <c r="Z150" s="913">
        <v>6.3239999999999998</v>
      </c>
      <c r="AA150" s="5">
        <v>6.4509999999999996</v>
      </c>
      <c r="AB150" s="5">
        <v>6.58</v>
      </c>
      <c r="AC150" s="826">
        <v>6.7110000000000003</v>
      </c>
      <c r="AD150" s="914">
        <v>9.5</v>
      </c>
      <c r="AE150" s="914">
        <v>0</v>
      </c>
      <c r="AF150" s="915">
        <v>0</v>
      </c>
      <c r="AG150" s="913"/>
      <c r="AH150" s="916"/>
      <c r="AI150" s="6" t="s">
        <v>273</v>
      </c>
      <c r="AJ150" s="820" t="s">
        <v>403</v>
      </c>
      <c r="AK150" s="820" t="s">
        <v>1663</v>
      </c>
      <c r="AL150" s="33"/>
      <c r="AM150" s="33"/>
      <c r="AN150" s="33"/>
      <c r="AO150" s="33"/>
      <c r="AP150" s="33"/>
      <c r="AQ150" s="842"/>
      <c r="AR150" s="820" t="s">
        <v>236</v>
      </c>
      <c r="AS150" s="829" t="s">
        <v>1975</v>
      </c>
      <c r="AT150" s="362" t="s">
        <v>238</v>
      </c>
      <c r="AU150" s="829" t="s">
        <v>1976</v>
      </c>
      <c r="AV150" s="919" t="s">
        <v>1977</v>
      </c>
    </row>
    <row r="151" spans="1:48" ht="12.75" customHeight="1">
      <c r="A151" s="930" t="s">
        <v>1119</v>
      </c>
      <c r="B151" s="820" t="s">
        <v>1978</v>
      </c>
      <c r="C151" s="5">
        <v>0</v>
      </c>
      <c r="D151" s="5">
        <v>0</v>
      </c>
      <c r="E151" s="5">
        <v>0</v>
      </c>
      <c r="F151" s="5">
        <v>0</v>
      </c>
      <c r="G151" s="5">
        <v>0</v>
      </c>
      <c r="H151" s="5">
        <v>0</v>
      </c>
      <c r="I151" s="5">
        <v>0</v>
      </c>
      <c r="J151" s="5">
        <v>0</v>
      </c>
      <c r="K151" s="5">
        <v>0</v>
      </c>
      <c r="L151" s="5">
        <v>0</v>
      </c>
      <c r="M151" s="5">
        <v>0</v>
      </c>
      <c r="N151" s="5">
        <v>0</v>
      </c>
      <c r="O151" s="5">
        <v>0</v>
      </c>
      <c r="P151" s="5">
        <v>0</v>
      </c>
      <c r="Q151" s="5">
        <v>0</v>
      </c>
      <c r="R151" s="5">
        <v>0</v>
      </c>
      <c r="S151" s="5">
        <v>0</v>
      </c>
      <c r="T151" s="5">
        <v>0</v>
      </c>
      <c r="U151" s="5">
        <v>0</v>
      </c>
      <c r="V151" s="5">
        <v>0</v>
      </c>
      <c r="W151" s="5">
        <v>0</v>
      </c>
      <c r="X151" s="913">
        <v>0</v>
      </c>
      <c r="Y151" s="913">
        <v>0</v>
      </c>
      <c r="Z151" s="913">
        <v>0</v>
      </c>
      <c r="AA151" s="5">
        <v>0</v>
      </c>
      <c r="AB151" s="5">
        <v>3.9</v>
      </c>
      <c r="AC151" s="826">
        <v>4</v>
      </c>
      <c r="AD151" s="914">
        <v>4</v>
      </c>
      <c r="AE151" s="914">
        <v>4</v>
      </c>
      <c r="AF151" s="915">
        <v>3.1</v>
      </c>
      <c r="AG151" s="913"/>
      <c r="AH151" s="916"/>
      <c r="AI151" s="6" t="s">
        <v>273</v>
      </c>
      <c r="AJ151" s="820" t="s">
        <v>1960</v>
      </c>
      <c r="AK151" s="820" t="s">
        <v>1640</v>
      </c>
      <c r="AL151" s="33"/>
      <c r="AM151" s="33"/>
      <c r="AN151" s="33"/>
      <c r="AO151" s="33"/>
      <c r="AP151" s="33">
        <v>1</v>
      </c>
      <c r="AQ151" s="842"/>
      <c r="AR151" s="820" t="s">
        <v>236</v>
      </c>
      <c r="AS151" s="829" t="s">
        <v>1979</v>
      </c>
      <c r="AT151" s="362"/>
      <c r="AU151" s="829"/>
      <c r="AV151" s="919"/>
    </row>
    <row r="152" spans="1:48" ht="12.75" customHeight="1">
      <c r="A152" s="930" t="s">
        <v>1119</v>
      </c>
      <c r="B152" s="922" t="s">
        <v>1980</v>
      </c>
      <c r="C152" s="816">
        <v>0</v>
      </c>
      <c r="D152" s="816">
        <v>0</v>
      </c>
      <c r="E152" s="816">
        <v>0</v>
      </c>
      <c r="F152" s="816">
        <v>0</v>
      </c>
      <c r="G152" s="816">
        <v>0</v>
      </c>
      <c r="H152" s="816">
        <v>0</v>
      </c>
      <c r="I152" s="816">
        <v>0</v>
      </c>
      <c r="J152" s="816">
        <v>0</v>
      </c>
      <c r="K152" s="816">
        <v>0</v>
      </c>
      <c r="L152" s="816">
        <v>0</v>
      </c>
      <c r="M152" s="816">
        <v>0</v>
      </c>
      <c r="N152" s="816">
        <v>0</v>
      </c>
      <c r="O152" s="816">
        <v>0</v>
      </c>
      <c r="P152" s="816">
        <v>0</v>
      </c>
      <c r="Q152" s="816">
        <v>0</v>
      </c>
      <c r="R152" s="816">
        <v>0</v>
      </c>
      <c r="S152" s="816">
        <v>0</v>
      </c>
      <c r="T152" s="816">
        <v>0</v>
      </c>
      <c r="U152" s="816">
        <v>0</v>
      </c>
      <c r="V152" s="816">
        <v>0</v>
      </c>
      <c r="W152" s="816">
        <v>0</v>
      </c>
      <c r="X152" s="816">
        <v>0</v>
      </c>
      <c r="Y152" s="816">
        <v>0</v>
      </c>
      <c r="Z152" s="816">
        <v>0</v>
      </c>
      <c r="AA152" s="816">
        <v>0</v>
      </c>
      <c r="AB152" s="816">
        <v>0</v>
      </c>
      <c r="AC152" s="826">
        <v>0</v>
      </c>
      <c r="AD152" s="914">
        <v>466.4</v>
      </c>
      <c r="AE152" s="914"/>
      <c r="AF152" s="915"/>
      <c r="AG152" s="913"/>
      <c r="AH152" s="916"/>
      <c r="AI152" s="927" t="s">
        <v>1168</v>
      </c>
      <c r="AJ152" s="820" t="s">
        <v>1960</v>
      </c>
      <c r="AK152" s="820" t="s">
        <v>1691</v>
      </c>
      <c r="AL152" s="33"/>
      <c r="AM152" s="33"/>
      <c r="AN152" s="33"/>
      <c r="AO152" s="33"/>
      <c r="AP152" s="33"/>
      <c r="AQ152" s="842"/>
      <c r="AR152" s="820" t="s">
        <v>236</v>
      </c>
      <c r="AS152" s="829" t="s">
        <v>1981</v>
      </c>
      <c r="AT152" s="829" t="s">
        <v>1981</v>
      </c>
      <c r="AU152" s="362"/>
      <c r="AV152" s="920"/>
    </row>
    <row r="153" spans="1:48" ht="12.75" customHeight="1">
      <c r="A153" s="930" t="s">
        <v>1119</v>
      </c>
      <c r="B153" s="820" t="s">
        <v>1982</v>
      </c>
      <c r="C153" s="5">
        <v>0</v>
      </c>
      <c r="D153" s="5">
        <v>0</v>
      </c>
      <c r="E153" s="5">
        <v>0</v>
      </c>
      <c r="F153" s="5">
        <v>0</v>
      </c>
      <c r="G153" s="5">
        <v>0</v>
      </c>
      <c r="H153" s="5">
        <v>0</v>
      </c>
      <c r="I153" s="5">
        <v>0</v>
      </c>
      <c r="J153" s="5">
        <v>0</v>
      </c>
      <c r="K153" s="5">
        <v>0</v>
      </c>
      <c r="L153" s="5">
        <v>0</v>
      </c>
      <c r="M153" s="5">
        <v>0</v>
      </c>
      <c r="N153" s="5">
        <v>11.532</v>
      </c>
      <c r="O153" s="5">
        <v>11.603999999999999</v>
      </c>
      <c r="P153" s="5">
        <v>8.4130000000000003</v>
      </c>
      <c r="Q153" s="5">
        <v>8.4450000000000003</v>
      </c>
      <c r="R153" s="5">
        <v>8.4450000000000003</v>
      </c>
      <c r="S153" s="5">
        <v>8.4450000000000003</v>
      </c>
      <c r="T153" s="5">
        <v>8.4450000000000003</v>
      </c>
      <c r="U153" s="5">
        <v>8.4450000000000003</v>
      </c>
      <c r="V153" s="5">
        <v>8.4450000000000003</v>
      </c>
      <c r="W153" s="5">
        <v>8.4450000000000003</v>
      </c>
      <c r="X153" s="913">
        <v>8.4450000000000003</v>
      </c>
      <c r="Y153" s="913">
        <v>10.398</v>
      </c>
      <c r="Z153" s="913">
        <v>13.648</v>
      </c>
      <c r="AA153" s="5">
        <v>10.97</v>
      </c>
      <c r="AB153" s="5">
        <v>5.1256000000000004</v>
      </c>
      <c r="AC153" s="826">
        <v>4.516</v>
      </c>
      <c r="AD153" s="914">
        <v>5.15</v>
      </c>
      <c r="AE153" s="914">
        <v>5.1740000000000004</v>
      </c>
      <c r="AF153" s="915">
        <v>5.48</v>
      </c>
      <c r="AG153" s="913">
        <v>5.48</v>
      </c>
      <c r="AH153" s="916">
        <v>5.48</v>
      </c>
      <c r="AI153" s="6" t="s">
        <v>273</v>
      </c>
      <c r="AJ153" s="820" t="s">
        <v>397</v>
      </c>
      <c r="AK153" s="820" t="s">
        <v>1663</v>
      </c>
      <c r="AL153" s="33">
        <v>1</v>
      </c>
      <c r="AM153" s="33">
        <v>1</v>
      </c>
      <c r="AN153" s="33">
        <v>1</v>
      </c>
      <c r="AO153" s="33"/>
      <c r="AP153" s="33">
        <v>1</v>
      </c>
      <c r="AQ153" s="842"/>
      <c r="AR153" s="820" t="s">
        <v>236</v>
      </c>
      <c r="AS153" s="829" t="s">
        <v>1983</v>
      </c>
      <c r="AT153" s="362" t="s">
        <v>1984</v>
      </c>
      <c r="AU153" s="829" t="s">
        <v>1985</v>
      </c>
      <c r="AV153" s="919" t="s">
        <v>238</v>
      </c>
    </row>
    <row r="154" spans="1:48" ht="12.75" customHeight="1">
      <c r="A154" s="930" t="s">
        <v>1119</v>
      </c>
      <c r="B154" s="820" t="s">
        <v>1986</v>
      </c>
      <c r="C154" s="5">
        <v>0</v>
      </c>
      <c r="D154" s="5">
        <v>0</v>
      </c>
      <c r="E154" s="5">
        <v>0</v>
      </c>
      <c r="F154" s="5">
        <v>0</v>
      </c>
      <c r="G154" s="5">
        <v>0</v>
      </c>
      <c r="H154" s="5">
        <v>0</v>
      </c>
      <c r="I154" s="5">
        <v>0</v>
      </c>
      <c r="J154" s="5">
        <v>0</v>
      </c>
      <c r="K154" s="5">
        <v>0</v>
      </c>
      <c r="L154" s="5">
        <v>0</v>
      </c>
      <c r="M154" s="5">
        <v>0</v>
      </c>
      <c r="N154" s="5">
        <v>0</v>
      </c>
      <c r="O154" s="5">
        <v>0</v>
      </c>
      <c r="P154" s="5">
        <v>0</v>
      </c>
      <c r="Q154" s="5">
        <v>0</v>
      </c>
      <c r="R154" s="5">
        <v>0</v>
      </c>
      <c r="S154" s="5">
        <v>0</v>
      </c>
      <c r="T154" s="5">
        <v>0</v>
      </c>
      <c r="U154" s="5">
        <v>0</v>
      </c>
      <c r="V154" s="5">
        <v>0</v>
      </c>
      <c r="W154" s="5">
        <v>0</v>
      </c>
      <c r="X154" s="913">
        <v>0</v>
      </c>
      <c r="Y154" s="913">
        <v>0</v>
      </c>
      <c r="Z154" s="913">
        <v>0</v>
      </c>
      <c r="AA154" s="5">
        <v>0</v>
      </c>
      <c r="AB154" s="5">
        <v>2.11</v>
      </c>
      <c r="AC154" s="826">
        <v>0</v>
      </c>
      <c r="AD154" s="914">
        <v>0</v>
      </c>
      <c r="AE154" s="914">
        <v>0</v>
      </c>
      <c r="AF154" s="915">
        <v>0</v>
      </c>
      <c r="AG154" s="913"/>
      <c r="AH154" s="916"/>
      <c r="AI154" s="6" t="s">
        <v>273</v>
      </c>
      <c r="AJ154" s="820" t="s">
        <v>397</v>
      </c>
      <c r="AK154" s="820" t="s">
        <v>1663</v>
      </c>
      <c r="AL154" s="33"/>
      <c r="AM154" s="33"/>
      <c r="AN154" s="33"/>
      <c r="AO154" s="33"/>
      <c r="AP154" s="33"/>
      <c r="AQ154" s="842"/>
      <c r="AR154" s="820" t="s">
        <v>236</v>
      </c>
      <c r="AS154" s="829" t="s">
        <v>1987</v>
      </c>
      <c r="AT154" s="362" t="s">
        <v>1988</v>
      </c>
      <c r="AU154" s="829" t="s">
        <v>1989</v>
      </c>
      <c r="AV154" s="919" t="s">
        <v>238</v>
      </c>
    </row>
    <row r="155" spans="1:48" ht="12.75" customHeight="1">
      <c r="A155" s="930" t="s">
        <v>1119</v>
      </c>
      <c r="B155" s="820" t="s">
        <v>1990</v>
      </c>
      <c r="C155" s="5">
        <v>0</v>
      </c>
      <c r="D155" s="5">
        <v>0</v>
      </c>
      <c r="E155" s="5">
        <v>0</v>
      </c>
      <c r="F155" s="5">
        <v>0</v>
      </c>
      <c r="G155" s="5">
        <v>0</v>
      </c>
      <c r="H155" s="5">
        <v>0</v>
      </c>
      <c r="I155" s="5">
        <v>0</v>
      </c>
      <c r="J155" s="5">
        <v>0</v>
      </c>
      <c r="K155" s="5">
        <v>0</v>
      </c>
      <c r="L155" s="5">
        <v>0</v>
      </c>
      <c r="M155" s="5">
        <v>0</v>
      </c>
      <c r="N155" s="5">
        <v>0</v>
      </c>
      <c r="O155" s="5">
        <v>0</v>
      </c>
      <c r="P155" s="5">
        <v>0</v>
      </c>
      <c r="Q155" s="5">
        <v>0</v>
      </c>
      <c r="R155" s="5">
        <v>0</v>
      </c>
      <c r="S155" s="5">
        <v>0</v>
      </c>
      <c r="T155" s="5">
        <v>0</v>
      </c>
      <c r="U155" s="5">
        <v>0</v>
      </c>
      <c r="V155" s="5">
        <v>0</v>
      </c>
      <c r="W155" s="5">
        <v>0</v>
      </c>
      <c r="X155" s="913">
        <v>0</v>
      </c>
      <c r="Y155" s="913">
        <v>0</v>
      </c>
      <c r="Z155" s="913">
        <v>0.79700000000000004</v>
      </c>
      <c r="AA155" s="5">
        <v>3.387</v>
      </c>
      <c r="AB155" s="5">
        <v>1.2749999999999999</v>
      </c>
      <c r="AC155" s="826">
        <v>1.147</v>
      </c>
      <c r="AD155" s="914">
        <v>0</v>
      </c>
      <c r="AE155" s="914">
        <v>0</v>
      </c>
      <c r="AF155" s="915">
        <v>0</v>
      </c>
      <c r="AG155" s="913">
        <v>0</v>
      </c>
      <c r="AH155" s="916">
        <v>0</v>
      </c>
      <c r="AI155" s="6" t="s">
        <v>273</v>
      </c>
      <c r="AJ155" s="820" t="s">
        <v>397</v>
      </c>
      <c r="AK155" s="820" t="s">
        <v>1663</v>
      </c>
      <c r="AL155" s="33"/>
      <c r="AM155" s="33"/>
      <c r="AN155" s="33"/>
      <c r="AO155" s="33"/>
      <c r="AP155" s="33"/>
      <c r="AQ155" s="842"/>
      <c r="AR155" s="820" t="s">
        <v>236</v>
      </c>
      <c r="AS155" s="829" t="s">
        <v>1991</v>
      </c>
      <c r="AT155" s="362"/>
      <c r="AU155" s="829" t="s">
        <v>1992</v>
      </c>
      <c r="AV155" s="919" t="s">
        <v>238</v>
      </c>
    </row>
    <row r="156" spans="1:48" ht="12.75" customHeight="1">
      <c r="A156" s="930" t="s">
        <v>1119</v>
      </c>
      <c r="B156" s="820" t="s">
        <v>1993</v>
      </c>
      <c r="C156" s="5">
        <v>0</v>
      </c>
      <c r="D156" s="5">
        <v>0</v>
      </c>
      <c r="E156" s="5">
        <v>0</v>
      </c>
      <c r="F156" s="5">
        <v>0</v>
      </c>
      <c r="G156" s="5">
        <v>0</v>
      </c>
      <c r="H156" s="5">
        <v>0</v>
      </c>
      <c r="I156" s="5">
        <v>0</v>
      </c>
      <c r="J156" s="5">
        <v>0</v>
      </c>
      <c r="K156" s="5">
        <v>0</v>
      </c>
      <c r="L156" s="5">
        <v>0</v>
      </c>
      <c r="M156" s="5">
        <v>0</v>
      </c>
      <c r="N156" s="5">
        <v>0</v>
      </c>
      <c r="O156" s="5">
        <v>0</v>
      </c>
      <c r="P156" s="5">
        <v>0</v>
      </c>
      <c r="Q156" s="5">
        <v>0</v>
      </c>
      <c r="R156" s="5">
        <v>0</v>
      </c>
      <c r="S156" s="5">
        <v>0</v>
      </c>
      <c r="T156" s="5">
        <v>0</v>
      </c>
      <c r="U156" s="5">
        <v>0</v>
      </c>
      <c r="V156" s="5">
        <v>0</v>
      </c>
      <c r="W156" s="5">
        <v>0</v>
      </c>
      <c r="X156" s="913">
        <v>0</v>
      </c>
      <c r="Y156" s="913">
        <v>1.859</v>
      </c>
      <c r="Z156" s="913">
        <v>1.9590000000000001</v>
      </c>
      <c r="AA156" s="5">
        <v>1.9590000000000001</v>
      </c>
      <c r="AB156" s="5">
        <v>0</v>
      </c>
      <c r="AC156" s="826">
        <v>0</v>
      </c>
      <c r="AD156" s="914">
        <v>0</v>
      </c>
      <c r="AE156" s="914">
        <v>0</v>
      </c>
      <c r="AF156" s="915">
        <v>0</v>
      </c>
      <c r="AG156" s="913"/>
      <c r="AH156" s="916"/>
      <c r="AI156" s="6" t="s">
        <v>273</v>
      </c>
      <c r="AJ156" s="820" t="s">
        <v>397</v>
      </c>
      <c r="AK156" s="820" t="s">
        <v>1663</v>
      </c>
      <c r="AL156" s="33"/>
      <c r="AM156" s="33"/>
      <c r="AN156" s="33"/>
      <c r="AO156" s="33"/>
      <c r="AP156" s="33"/>
      <c r="AQ156" s="842"/>
      <c r="AR156" s="820" t="s">
        <v>236</v>
      </c>
      <c r="AS156" s="829"/>
      <c r="AT156" s="362" t="s">
        <v>1994</v>
      </c>
      <c r="AU156" s="829"/>
      <c r="AV156" s="919"/>
    </row>
    <row r="157" spans="1:48" ht="12.75" customHeight="1">
      <c r="A157" s="930" t="s">
        <v>1119</v>
      </c>
      <c r="B157" s="820" t="s">
        <v>1995</v>
      </c>
      <c r="C157" s="5">
        <v>0</v>
      </c>
      <c r="D157" s="5">
        <v>0</v>
      </c>
      <c r="E157" s="5">
        <v>0</v>
      </c>
      <c r="F157" s="5">
        <v>0</v>
      </c>
      <c r="G157" s="5">
        <v>0</v>
      </c>
      <c r="H157" s="5">
        <v>0</v>
      </c>
      <c r="I157" s="5">
        <v>0</v>
      </c>
      <c r="J157" s="5">
        <v>0</v>
      </c>
      <c r="K157" s="5">
        <v>0</v>
      </c>
      <c r="L157" s="5">
        <v>0</v>
      </c>
      <c r="M157" s="5">
        <v>0</v>
      </c>
      <c r="N157" s="5">
        <v>0</v>
      </c>
      <c r="O157" s="5">
        <v>0</v>
      </c>
      <c r="P157" s="5">
        <v>0</v>
      </c>
      <c r="Q157" s="5">
        <v>0</v>
      </c>
      <c r="R157" s="5">
        <v>0</v>
      </c>
      <c r="S157" s="5">
        <v>0</v>
      </c>
      <c r="T157" s="5">
        <v>0</v>
      </c>
      <c r="U157" s="5">
        <v>0</v>
      </c>
      <c r="V157" s="5">
        <v>0</v>
      </c>
      <c r="W157" s="5">
        <v>0</v>
      </c>
      <c r="X157" s="913">
        <v>0</v>
      </c>
      <c r="Y157" s="913">
        <v>2.5840000000000001</v>
      </c>
      <c r="Z157" s="913">
        <v>2.6059999999999999</v>
      </c>
      <c r="AA157" s="5">
        <v>2.6259999999999999</v>
      </c>
      <c r="AB157" s="5">
        <v>0</v>
      </c>
      <c r="AC157" s="826">
        <v>0</v>
      </c>
      <c r="AD157" s="914">
        <v>0</v>
      </c>
      <c r="AE157" s="914">
        <v>0</v>
      </c>
      <c r="AF157" s="915">
        <v>0</v>
      </c>
      <c r="AG157" s="913"/>
      <c r="AH157" s="916"/>
      <c r="AI157" s="6" t="s">
        <v>273</v>
      </c>
      <c r="AJ157" s="820" t="s">
        <v>397</v>
      </c>
      <c r="AK157" s="820" t="s">
        <v>1663</v>
      </c>
      <c r="AL157" s="33"/>
      <c r="AM157" s="33"/>
      <c r="AN157" s="33"/>
      <c r="AO157" s="33"/>
      <c r="AP157" s="33"/>
      <c r="AQ157" s="842"/>
      <c r="AR157" s="820" t="s">
        <v>236</v>
      </c>
      <c r="AS157" s="829"/>
      <c r="AT157" s="362" t="s">
        <v>1994</v>
      </c>
      <c r="AU157" s="829"/>
      <c r="AV157" s="919"/>
    </row>
    <row r="158" spans="1:48" ht="12.75" customHeight="1">
      <c r="A158" s="930" t="s">
        <v>1119</v>
      </c>
      <c r="B158" s="922" t="s">
        <v>1996</v>
      </c>
      <c r="C158" s="923">
        <v>0</v>
      </c>
      <c r="D158" s="923">
        <v>0</v>
      </c>
      <c r="E158" s="923">
        <v>0</v>
      </c>
      <c r="F158" s="923">
        <v>0</v>
      </c>
      <c r="G158" s="923">
        <v>0</v>
      </c>
      <c r="H158" s="923">
        <v>0</v>
      </c>
      <c r="I158" s="923">
        <v>0</v>
      </c>
      <c r="J158" s="923">
        <v>0</v>
      </c>
      <c r="K158" s="923">
        <v>0</v>
      </c>
      <c r="L158" s="923">
        <v>0</v>
      </c>
      <c r="M158" s="923">
        <v>0</v>
      </c>
      <c r="N158" s="923">
        <v>0</v>
      </c>
      <c r="O158" s="923">
        <v>0</v>
      </c>
      <c r="P158" s="923">
        <v>0</v>
      </c>
      <c r="Q158" s="923">
        <v>0</v>
      </c>
      <c r="R158" s="923">
        <v>0</v>
      </c>
      <c r="S158" s="923">
        <v>0</v>
      </c>
      <c r="T158" s="923">
        <v>0</v>
      </c>
      <c r="U158" s="924">
        <v>0</v>
      </c>
      <c r="V158" s="924">
        <v>0</v>
      </c>
      <c r="W158" s="924">
        <v>0</v>
      </c>
      <c r="X158" s="924">
        <v>0</v>
      </c>
      <c r="Y158" s="913">
        <v>0</v>
      </c>
      <c r="Z158" s="913">
        <v>0</v>
      </c>
      <c r="AA158" s="5">
        <v>0</v>
      </c>
      <c r="AB158" s="5">
        <v>2.1840000000000002</v>
      </c>
      <c r="AC158" s="826">
        <v>4.4909999999999997</v>
      </c>
      <c r="AD158" s="914">
        <v>2.2719999999999998</v>
      </c>
      <c r="AE158" s="914">
        <v>0</v>
      </c>
      <c r="AF158" s="915">
        <v>0</v>
      </c>
      <c r="AG158" s="913">
        <v>0</v>
      </c>
      <c r="AH158" s="916">
        <v>0</v>
      </c>
      <c r="AI158" s="6" t="s">
        <v>273</v>
      </c>
      <c r="AJ158" s="820" t="s">
        <v>397</v>
      </c>
      <c r="AK158" s="820" t="s">
        <v>1663</v>
      </c>
      <c r="AL158" s="33"/>
      <c r="AM158" s="33"/>
      <c r="AN158" s="33"/>
      <c r="AO158" s="33"/>
      <c r="AP158" s="33"/>
      <c r="AQ158" s="842"/>
      <c r="AR158" s="820" t="s">
        <v>236</v>
      </c>
      <c r="AS158" s="843" t="s">
        <v>1997</v>
      </c>
      <c r="AT158" s="843" t="s">
        <v>1998</v>
      </c>
      <c r="AU158" s="843" t="s">
        <v>1999</v>
      </c>
      <c r="AV158" s="920" t="s">
        <v>238</v>
      </c>
    </row>
    <row r="159" spans="1:48" ht="12.75" customHeight="1">
      <c r="A159" s="930" t="s">
        <v>1119</v>
      </c>
      <c r="B159" s="820" t="s">
        <v>2000</v>
      </c>
      <c r="C159" s="5">
        <v>0</v>
      </c>
      <c r="D159" s="5">
        <v>0</v>
      </c>
      <c r="E159" s="5">
        <v>0</v>
      </c>
      <c r="F159" s="5">
        <v>0</v>
      </c>
      <c r="G159" s="5">
        <v>0</v>
      </c>
      <c r="H159" s="5">
        <v>0</v>
      </c>
      <c r="I159" s="5">
        <v>0</v>
      </c>
      <c r="J159" s="5">
        <v>0</v>
      </c>
      <c r="K159" s="5">
        <v>0</v>
      </c>
      <c r="L159" s="5">
        <v>0</v>
      </c>
      <c r="M159" s="5">
        <v>0</v>
      </c>
      <c r="N159" s="5">
        <v>0</v>
      </c>
      <c r="O159" s="5">
        <v>0</v>
      </c>
      <c r="P159" s="5">
        <v>0</v>
      </c>
      <c r="Q159" s="5">
        <v>0</v>
      </c>
      <c r="R159" s="5">
        <v>0</v>
      </c>
      <c r="S159" s="5">
        <v>0</v>
      </c>
      <c r="T159" s="5">
        <v>0</v>
      </c>
      <c r="U159" s="5">
        <v>0</v>
      </c>
      <c r="V159" s="5">
        <v>0</v>
      </c>
      <c r="W159" s="5">
        <v>0</v>
      </c>
      <c r="X159" s="913">
        <v>2.6720000000000002</v>
      </c>
      <c r="Y159" s="913">
        <v>2.9929999999999999</v>
      </c>
      <c r="Z159" s="913">
        <v>2.9929999999999999</v>
      </c>
      <c r="AA159" s="5">
        <v>2.6930000000000001</v>
      </c>
      <c r="AB159" s="5">
        <v>2.6930000000000001</v>
      </c>
      <c r="AC159" s="826">
        <v>2.6930000000000001</v>
      </c>
      <c r="AD159" s="914">
        <v>2.6930000000000001</v>
      </c>
      <c r="AE159" s="914">
        <v>2.6930000000000001</v>
      </c>
      <c r="AF159" s="915">
        <v>2.6930000000000001</v>
      </c>
      <c r="AG159" s="913">
        <v>2.6930000000000001</v>
      </c>
      <c r="AH159" s="916">
        <v>2.6930000000000001</v>
      </c>
      <c r="AI159" s="6" t="s">
        <v>273</v>
      </c>
      <c r="AJ159" s="820" t="s">
        <v>397</v>
      </c>
      <c r="AK159" s="820" t="s">
        <v>1663</v>
      </c>
      <c r="AL159" s="33">
        <v>1</v>
      </c>
      <c r="AM159" s="33">
        <v>1</v>
      </c>
      <c r="AN159" s="33">
        <v>1</v>
      </c>
      <c r="AO159" s="33"/>
      <c r="AP159" s="33">
        <v>1</v>
      </c>
      <c r="AQ159" s="842"/>
      <c r="AR159" s="820" t="s">
        <v>236</v>
      </c>
      <c r="AS159" s="829" t="s">
        <v>2001</v>
      </c>
      <c r="AT159" s="362" t="s">
        <v>2002</v>
      </c>
      <c r="AU159" s="829" t="s">
        <v>2003</v>
      </c>
      <c r="AV159" s="919" t="s">
        <v>238</v>
      </c>
    </row>
    <row r="160" spans="1:48" ht="12.75" customHeight="1">
      <c r="A160" s="930" t="s">
        <v>1119</v>
      </c>
      <c r="B160" s="820" t="s">
        <v>2004</v>
      </c>
      <c r="C160" s="5">
        <v>0</v>
      </c>
      <c r="D160" s="5">
        <v>0</v>
      </c>
      <c r="E160" s="5">
        <v>0</v>
      </c>
      <c r="F160" s="5">
        <v>0</v>
      </c>
      <c r="G160" s="5">
        <v>0</v>
      </c>
      <c r="H160" s="5">
        <v>0</v>
      </c>
      <c r="I160" s="5">
        <v>0</v>
      </c>
      <c r="J160" s="5">
        <v>0</v>
      </c>
      <c r="K160" s="5">
        <v>0</v>
      </c>
      <c r="L160" s="5">
        <v>0</v>
      </c>
      <c r="M160" s="5">
        <v>0</v>
      </c>
      <c r="N160" s="5">
        <v>0</v>
      </c>
      <c r="O160" s="5">
        <v>1.756</v>
      </c>
      <c r="P160" s="5">
        <v>1.7709999999999999</v>
      </c>
      <c r="Q160" s="5">
        <v>1.788</v>
      </c>
      <c r="R160" s="5">
        <v>1.806</v>
      </c>
      <c r="S160" s="5">
        <v>1.8069999999999999</v>
      </c>
      <c r="T160" s="5">
        <v>1.8069999999999999</v>
      </c>
      <c r="U160" s="5">
        <v>1.843</v>
      </c>
      <c r="V160" s="5">
        <v>1.88</v>
      </c>
      <c r="W160" s="5">
        <v>1.917</v>
      </c>
      <c r="X160" s="913">
        <v>1.956</v>
      </c>
      <c r="Y160" s="913">
        <v>1.956</v>
      </c>
      <c r="Z160" s="913">
        <v>1.956</v>
      </c>
      <c r="AA160" s="5">
        <v>1.956</v>
      </c>
      <c r="AB160" s="5">
        <v>1.956</v>
      </c>
      <c r="AC160" s="826">
        <v>1.956</v>
      </c>
      <c r="AD160" s="914">
        <v>1.956</v>
      </c>
      <c r="AE160" s="914">
        <v>1.956</v>
      </c>
      <c r="AF160" s="915">
        <v>1.956</v>
      </c>
      <c r="AG160" s="913">
        <v>1.956</v>
      </c>
      <c r="AH160" s="916">
        <v>1.956</v>
      </c>
      <c r="AI160" s="6" t="s">
        <v>273</v>
      </c>
      <c r="AJ160" s="820" t="s">
        <v>397</v>
      </c>
      <c r="AK160" s="820" t="s">
        <v>1663</v>
      </c>
      <c r="AL160" s="33">
        <v>1</v>
      </c>
      <c r="AM160" s="33">
        <v>1</v>
      </c>
      <c r="AN160" s="33">
        <v>1</v>
      </c>
      <c r="AO160" s="33"/>
      <c r="AP160" s="33">
        <v>1</v>
      </c>
      <c r="AQ160" s="842"/>
      <c r="AR160" s="820" t="s">
        <v>236</v>
      </c>
      <c r="AS160" s="829" t="s">
        <v>2005</v>
      </c>
      <c r="AT160" s="362" t="s">
        <v>238</v>
      </c>
      <c r="AU160" s="829" t="s">
        <v>2006</v>
      </c>
      <c r="AV160" s="919" t="s">
        <v>238</v>
      </c>
    </row>
    <row r="161" spans="1:48" ht="12.75" customHeight="1">
      <c r="A161" s="930" t="s">
        <v>1119</v>
      </c>
      <c r="B161" s="820" t="s">
        <v>2007</v>
      </c>
      <c r="C161" s="5">
        <v>0</v>
      </c>
      <c r="D161" s="5">
        <v>0</v>
      </c>
      <c r="E161" s="5">
        <v>0</v>
      </c>
      <c r="F161" s="5">
        <v>0</v>
      </c>
      <c r="G161" s="5">
        <v>0</v>
      </c>
      <c r="H161" s="5">
        <v>0</v>
      </c>
      <c r="I161" s="5">
        <v>0</v>
      </c>
      <c r="J161" s="5">
        <v>0</v>
      </c>
      <c r="K161" s="5">
        <v>0</v>
      </c>
      <c r="L161" s="5">
        <v>0</v>
      </c>
      <c r="M161" s="5">
        <v>0</v>
      </c>
      <c r="N161" s="5">
        <v>0</v>
      </c>
      <c r="O161" s="5">
        <v>0</v>
      </c>
      <c r="P161" s="5">
        <v>0</v>
      </c>
      <c r="Q161" s="5">
        <v>0</v>
      </c>
      <c r="R161" s="5">
        <v>0</v>
      </c>
      <c r="S161" s="5">
        <v>0</v>
      </c>
      <c r="T161" s="5">
        <v>6.83</v>
      </c>
      <c r="U161" s="5">
        <v>6.8140000000000001</v>
      </c>
      <c r="V161" s="5">
        <v>6.8029999999999999</v>
      </c>
      <c r="W161" s="5">
        <v>6.83</v>
      </c>
      <c r="X161" s="913">
        <v>0</v>
      </c>
      <c r="Y161" s="913">
        <v>0</v>
      </c>
      <c r="Z161" s="913">
        <v>0</v>
      </c>
      <c r="AA161" s="5">
        <v>0</v>
      </c>
      <c r="AB161" s="5">
        <v>0</v>
      </c>
      <c r="AC161" s="826">
        <v>0</v>
      </c>
      <c r="AD161" s="914">
        <v>0</v>
      </c>
      <c r="AE161" s="914">
        <v>0</v>
      </c>
      <c r="AF161" s="915">
        <v>0</v>
      </c>
      <c r="AG161" s="913">
        <v>0</v>
      </c>
      <c r="AH161" s="916">
        <v>0</v>
      </c>
      <c r="AI161" s="6" t="s">
        <v>273</v>
      </c>
      <c r="AJ161" s="820" t="s">
        <v>397</v>
      </c>
      <c r="AK161" s="820" t="s">
        <v>1663</v>
      </c>
      <c r="AL161" s="33"/>
      <c r="AM161" s="33"/>
      <c r="AN161" s="33"/>
      <c r="AO161" s="33"/>
      <c r="AP161" s="33"/>
      <c r="AQ161" s="842"/>
      <c r="AR161" s="820" t="s">
        <v>236</v>
      </c>
      <c r="AS161" s="829" t="s">
        <v>2008</v>
      </c>
      <c r="AT161" s="362" t="s">
        <v>2009</v>
      </c>
      <c r="AU161" s="829" t="s">
        <v>2010</v>
      </c>
      <c r="AV161" s="919" t="s">
        <v>238</v>
      </c>
    </row>
    <row r="162" spans="1:48" ht="12.75" customHeight="1">
      <c r="A162" s="930" t="s">
        <v>1119</v>
      </c>
      <c r="B162" s="820" t="s">
        <v>2011</v>
      </c>
      <c r="C162" s="5">
        <v>0</v>
      </c>
      <c r="D162" s="5">
        <v>0</v>
      </c>
      <c r="E162" s="5">
        <v>0</v>
      </c>
      <c r="F162" s="5">
        <v>0</v>
      </c>
      <c r="G162" s="5">
        <v>0</v>
      </c>
      <c r="H162" s="5">
        <v>0</v>
      </c>
      <c r="I162" s="5">
        <v>0</v>
      </c>
      <c r="J162" s="5">
        <v>0</v>
      </c>
      <c r="K162" s="5">
        <v>0</v>
      </c>
      <c r="L162" s="5">
        <v>0</v>
      </c>
      <c r="M162" s="5">
        <v>0</v>
      </c>
      <c r="N162" s="5">
        <v>0</v>
      </c>
      <c r="O162" s="5">
        <v>0</v>
      </c>
      <c r="P162" s="5">
        <v>0</v>
      </c>
      <c r="Q162" s="5">
        <v>5.9580000000000002</v>
      </c>
      <c r="R162" s="5">
        <v>5.9670000000000005</v>
      </c>
      <c r="S162" s="5">
        <v>5.9770000000000003</v>
      </c>
      <c r="T162" s="5">
        <v>0</v>
      </c>
      <c r="U162" s="5">
        <v>0</v>
      </c>
      <c r="V162" s="5">
        <v>0</v>
      </c>
      <c r="W162" s="5">
        <v>0</v>
      </c>
      <c r="X162" s="913">
        <v>0</v>
      </c>
      <c r="Y162" s="913">
        <v>0</v>
      </c>
      <c r="Z162" s="913">
        <v>0</v>
      </c>
      <c r="AA162" s="5">
        <v>0</v>
      </c>
      <c r="AB162" s="5">
        <v>0</v>
      </c>
      <c r="AC162" s="826">
        <v>0</v>
      </c>
      <c r="AD162" s="914">
        <v>0</v>
      </c>
      <c r="AE162" s="914">
        <v>0</v>
      </c>
      <c r="AF162" s="915">
        <v>0</v>
      </c>
      <c r="AG162" s="913">
        <v>0</v>
      </c>
      <c r="AH162" s="916">
        <v>0</v>
      </c>
      <c r="AI162" s="6" t="s">
        <v>273</v>
      </c>
      <c r="AJ162" s="820" t="s">
        <v>397</v>
      </c>
      <c r="AK162" s="820" t="s">
        <v>1663</v>
      </c>
      <c r="AL162" s="33"/>
      <c r="AM162" s="33"/>
      <c r="AN162" s="33"/>
      <c r="AO162" s="33"/>
      <c r="AP162" s="33"/>
      <c r="AQ162" s="842"/>
      <c r="AR162" s="820" t="s">
        <v>236</v>
      </c>
      <c r="AS162" s="829" t="s">
        <v>2001</v>
      </c>
      <c r="AT162" s="362" t="s">
        <v>2012</v>
      </c>
      <c r="AU162" s="829" t="s">
        <v>2013</v>
      </c>
      <c r="AV162" s="919" t="s">
        <v>238</v>
      </c>
    </row>
    <row r="163" spans="1:48" ht="12.75" customHeight="1">
      <c r="A163" s="930" t="s">
        <v>1119</v>
      </c>
      <c r="B163" s="820" t="s">
        <v>2014</v>
      </c>
      <c r="C163" s="5">
        <v>0</v>
      </c>
      <c r="D163" s="5">
        <v>0</v>
      </c>
      <c r="E163" s="5">
        <v>0</v>
      </c>
      <c r="F163" s="5">
        <v>0</v>
      </c>
      <c r="G163" s="5">
        <v>0</v>
      </c>
      <c r="H163" s="5">
        <v>0</v>
      </c>
      <c r="I163" s="5">
        <v>0</v>
      </c>
      <c r="J163" s="5">
        <v>0</v>
      </c>
      <c r="K163" s="5">
        <v>0</v>
      </c>
      <c r="L163" s="5">
        <v>0</v>
      </c>
      <c r="M163" s="5">
        <v>0</v>
      </c>
      <c r="N163" s="5">
        <v>0</v>
      </c>
      <c r="O163" s="5">
        <v>0</v>
      </c>
      <c r="P163" s="5">
        <v>0</v>
      </c>
      <c r="Q163" s="5">
        <v>0</v>
      </c>
      <c r="R163" s="5">
        <v>0</v>
      </c>
      <c r="S163" s="5">
        <v>0</v>
      </c>
      <c r="T163" s="5">
        <v>0</v>
      </c>
      <c r="U163" s="5">
        <v>0</v>
      </c>
      <c r="V163" s="5">
        <v>0</v>
      </c>
      <c r="W163" s="5">
        <v>0</v>
      </c>
      <c r="X163" s="913">
        <v>0</v>
      </c>
      <c r="Y163" s="913">
        <v>0</v>
      </c>
      <c r="Z163" s="913">
        <v>0</v>
      </c>
      <c r="AA163" s="5">
        <v>0</v>
      </c>
      <c r="AB163" s="5">
        <v>0</v>
      </c>
      <c r="AC163" s="826">
        <v>7.2679999999999998</v>
      </c>
      <c r="AD163" s="914">
        <v>9.9930000000000003</v>
      </c>
      <c r="AE163" s="914">
        <v>10.911000000000001</v>
      </c>
      <c r="AF163" s="915">
        <v>8.9979999999999993</v>
      </c>
      <c r="AG163" s="913">
        <v>9.3889999999999993</v>
      </c>
      <c r="AH163" s="916">
        <v>9.4719999999999995</v>
      </c>
      <c r="AI163" s="6" t="s">
        <v>273</v>
      </c>
      <c r="AJ163" s="820" t="s">
        <v>397</v>
      </c>
      <c r="AK163" s="820" t="s">
        <v>1663</v>
      </c>
      <c r="AL163" s="33">
        <v>1</v>
      </c>
      <c r="AM163" s="33">
        <v>1</v>
      </c>
      <c r="AN163" s="33">
        <v>1</v>
      </c>
      <c r="AO163" s="33"/>
      <c r="AP163" s="33">
        <v>1</v>
      </c>
      <c r="AQ163" s="842"/>
      <c r="AR163" s="820" t="s">
        <v>236</v>
      </c>
      <c r="AS163" s="829" t="s">
        <v>2015</v>
      </c>
      <c r="AT163" s="362"/>
      <c r="AU163" s="829" t="s">
        <v>2016</v>
      </c>
      <c r="AV163" s="919"/>
    </row>
    <row r="164" spans="1:48" ht="12.75" customHeight="1">
      <c r="A164" s="930" t="s">
        <v>1119</v>
      </c>
      <c r="B164" s="922" t="s">
        <v>2017</v>
      </c>
      <c r="C164" s="5">
        <v>0</v>
      </c>
      <c r="D164" s="5">
        <v>0</v>
      </c>
      <c r="E164" s="5">
        <v>0</v>
      </c>
      <c r="F164" s="5">
        <v>0</v>
      </c>
      <c r="G164" s="5">
        <v>0</v>
      </c>
      <c r="H164" s="5">
        <v>0</v>
      </c>
      <c r="I164" s="5">
        <v>0</v>
      </c>
      <c r="J164" s="5">
        <v>0</v>
      </c>
      <c r="K164" s="5">
        <v>0</v>
      </c>
      <c r="L164" s="5">
        <v>0</v>
      </c>
      <c r="M164" s="5">
        <v>0</v>
      </c>
      <c r="N164" s="5">
        <v>0</v>
      </c>
      <c r="O164" s="5">
        <v>0</v>
      </c>
      <c r="P164" s="5">
        <v>0</v>
      </c>
      <c r="Q164" s="5">
        <v>0</v>
      </c>
      <c r="R164" s="5">
        <v>0</v>
      </c>
      <c r="S164" s="5">
        <v>0</v>
      </c>
      <c r="T164" s="5">
        <v>0</v>
      </c>
      <c r="U164" s="5">
        <v>0</v>
      </c>
      <c r="V164" s="5">
        <v>0</v>
      </c>
      <c r="W164" s="5">
        <v>0</v>
      </c>
      <c r="X164" s="913">
        <v>0</v>
      </c>
      <c r="Y164" s="913">
        <v>0</v>
      </c>
      <c r="Z164" s="913">
        <v>0</v>
      </c>
      <c r="AA164" s="5">
        <v>0.14799999999999999</v>
      </c>
      <c r="AB164" s="5">
        <v>0.83099999999999996</v>
      </c>
      <c r="AC164" s="826">
        <v>2.6509999999999998</v>
      </c>
      <c r="AD164" s="914">
        <v>1.712</v>
      </c>
      <c r="AE164" s="914">
        <v>0</v>
      </c>
      <c r="AF164" s="915">
        <v>0</v>
      </c>
      <c r="AG164" s="913"/>
      <c r="AH164" s="916"/>
      <c r="AI164" s="927" t="s">
        <v>240</v>
      </c>
      <c r="AJ164" s="820" t="s">
        <v>393</v>
      </c>
      <c r="AK164" s="820" t="s">
        <v>390</v>
      </c>
      <c r="AL164" s="33"/>
      <c r="AM164" s="33"/>
      <c r="AN164" s="33"/>
      <c r="AO164" s="33"/>
      <c r="AP164" s="33"/>
      <c r="AQ164" s="842"/>
      <c r="AR164" s="820" t="s">
        <v>251</v>
      </c>
      <c r="AS164" s="829" t="s">
        <v>2018</v>
      </c>
      <c r="AT164" s="843"/>
      <c r="AU164" s="843"/>
      <c r="AV164" s="920"/>
    </row>
    <row r="165" spans="1:48" ht="12.75" customHeight="1">
      <c r="A165" s="930" t="s">
        <v>1119</v>
      </c>
      <c r="B165" s="922" t="s">
        <v>2019</v>
      </c>
      <c r="C165" s="923">
        <v>0</v>
      </c>
      <c r="D165" s="923">
        <v>0</v>
      </c>
      <c r="E165" s="923">
        <v>0</v>
      </c>
      <c r="F165" s="923">
        <v>0</v>
      </c>
      <c r="G165" s="923">
        <v>0</v>
      </c>
      <c r="H165" s="923">
        <v>0</v>
      </c>
      <c r="I165" s="923">
        <v>0</v>
      </c>
      <c r="J165" s="923">
        <v>0</v>
      </c>
      <c r="K165" s="923">
        <v>0</v>
      </c>
      <c r="L165" s="923">
        <v>0</v>
      </c>
      <c r="M165" s="923">
        <v>0</v>
      </c>
      <c r="N165" s="923">
        <v>0</v>
      </c>
      <c r="O165" s="923">
        <v>0</v>
      </c>
      <c r="P165" s="923">
        <v>0</v>
      </c>
      <c r="Q165" s="816">
        <v>0</v>
      </c>
      <c r="R165" s="816">
        <v>0</v>
      </c>
      <c r="S165" s="816">
        <v>0</v>
      </c>
      <c r="T165" s="816">
        <v>0</v>
      </c>
      <c r="U165" s="816">
        <v>0</v>
      </c>
      <c r="V165" s="816">
        <v>0</v>
      </c>
      <c r="W165" s="816">
        <v>0</v>
      </c>
      <c r="X165" s="913">
        <v>0</v>
      </c>
      <c r="Y165" s="913">
        <v>0</v>
      </c>
      <c r="Z165" s="913">
        <v>0</v>
      </c>
      <c r="AA165" s="5">
        <v>1.42</v>
      </c>
      <c r="AB165" s="5">
        <v>2.5739999999999998</v>
      </c>
      <c r="AC165" s="826">
        <v>12.577999999999999</v>
      </c>
      <c r="AD165" s="914">
        <v>10.065</v>
      </c>
      <c r="AE165" s="914">
        <v>0</v>
      </c>
      <c r="AF165" s="915">
        <v>0</v>
      </c>
      <c r="AG165" s="913"/>
      <c r="AH165" s="916"/>
      <c r="AI165" s="927" t="s">
        <v>240</v>
      </c>
      <c r="AJ165" s="820" t="s">
        <v>234</v>
      </c>
      <c r="AK165" s="820" t="s">
        <v>1691</v>
      </c>
      <c r="AL165" s="33"/>
      <c r="AM165" s="33"/>
      <c r="AN165" s="33"/>
      <c r="AO165" s="33"/>
      <c r="AP165" s="33"/>
      <c r="AQ165" s="842"/>
      <c r="AR165" s="820" t="s">
        <v>236</v>
      </c>
      <c r="AS165" s="829" t="s">
        <v>1714</v>
      </c>
      <c r="AT165" s="843" t="s">
        <v>2020</v>
      </c>
      <c r="AU165" s="843"/>
      <c r="AV165" s="920"/>
    </row>
    <row r="166" spans="1:48" ht="12.75" customHeight="1">
      <c r="A166" s="930" t="s">
        <v>1119</v>
      </c>
      <c r="B166" s="820" t="s">
        <v>2021</v>
      </c>
      <c r="C166" s="5">
        <v>0</v>
      </c>
      <c r="D166" s="5">
        <v>0</v>
      </c>
      <c r="E166" s="5">
        <v>0</v>
      </c>
      <c r="F166" s="5">
        <v>0</v>
      </c>
      <c r="G166" s="5">
        <v>0</v>
      </c>
      <c r="H166" s="5">
        <v>0</v>
      </c>
      <c r="I166" s="5">
        <v>0</v>
      </c>
      <c r="J166" s="5">
        <v>0</v>
      </c>
      <c r="K166" s="5">
        <v>0</v>
      </c>
      <c r="L166" s="5">
        <v>0</v>
      </c>
      <c r="M166" s="5">
        <v>0</v>
      </c>
      <c r="N166" s="5">
        <v>0</v>
      </c>
      <c r="O166" s="5">
        <v>0</v>
      </c>
      <c r="P166" s="5">
        <v>0</v>
      </c>
      <c r="Q166" s="5">
        <v>0</v>
      </c>
      <c r="R166" s="5">
        <v>0</v>
      </c>
      <c r="S166" s="5">
        <v>0</v>
      </c>
      <c r="T166" s="5">
        <v>0</v>
      </c>
      <c r="U166" s="5">
        <v>0</v>
      </c>
      <c r="V166" s="5">
        <v>0</v>
      </c>
      <c r="W166" s="5">
        <v>0</v>
      </c>
      <c r="X166" s="913">
        <v>0.23699999999999999</v>
      </c>
      <c r="Y166" s="913">
        <v>5.0999999999999996</v>
      </c>
      <c r="Z166" s="913">
        <v>6.8</v>
      </c>
      <c r="AA166" s="5">
        <v>4.3</v>
      </c>
      <c r="AB166" s="5">
        <v>0.6</v>
      </c>
      <c r="AC166" s="826">
        <v>1.1000000000000001</v>
      </c>
      <c r="AD166" s="914">
        <v>0</v>
      </c>
      <c r="AE166" s="914">
        <v>0</v>
      </c>
      <c r="AF166" s="915">
        <v>0</v>
      </c>
      <c r="AG166" s="913"/>
      <c r="AH166" s="916"/>
      <c r="AI166" s="6" t="s">
        <v>233</v>
      </c>
      <c r="AJ166" s="820" t="s">
        <v>1960</v>
      </c>
      <c r="AK166" s="820" t="s">
        <v>1640</v>
      </c>
      <c r="AL166" s="33"/>
      <c r="AM166" s="33"/>
      <c r="AN166" s="33"/>
      <c r="AO166" s="33"/>
      <c r="AP166" s="33"/>
      <c r="AQ166" s="842"/>
      <c r="AR166" s="820" t="s">
        <v>236</v>
      </c>
      <c r="AS166" s="829" t="s">
        <v>2022</v>
      </c>
      <c r="AT166" s="362" t="s">
        <v>2023</v>
      </c>
      <c r="AU166" s="829" t="s">
        <v>2024</v>
      </c>
      <c r="AV166" s="828" t="s">
        <v>277</v>
      </c>
    </row>
    <row r="167" spans="1:48" ht="12.75" customHeight="1">
      <c r="A167" s="930" t="s">
        <v>1119</v>
      </c>
      <c r="B167" s="922" t="s">
        <v>2025</v>
      </c>
      <c r="C167" s="816">
        <v>0</v>
      </c>
      <c r="D167" s="816">
        <v>0</v>
      </c>
      <c r="E167" s="816">
        <v>0</v>
      </c>
      <c r="F167" s="816">
        <v>0</v>
      </c>
      <c r="G167" s="816">
        <v>0</v>
      </c>
      <c r="H167" s="816">
        <v>0</v>
      </c>
      <c r="I167" s="816">
        <v>0</v>
      </c>
      <c r="J167" s="816">
        <v>0</v>
      </c>
      <c r="K167" s="816">
        <v>0</v>
      </c>
      <c r="L167" s="816">
        <v>0</v>
      </c>
      <c r="M167" s="816">
        <v>0</v>
      </c>
      <c r="N167" s="816">
        <v>0</v>
      </c>
      <c r="O167" s="816">
        <v>0</v>
      </c>
      <c r="P167" s="816">
        <v>0</v>
      </c>
      <c r="Q167" s="816">
        <v>0</v>
      </c>
      <c r="R167" s="816">
        <v>0</v>
      </c>
      <c r="S167" s="816">
        <v>0</v>
      </c>
      <c r="T167" s="816">
        <v>0</v>
      </c>
      <c r="U167" s="816">
        <v>0</v>
      </c>
      <c r="V167" s="816">
        <v>0</v>
      </c>
      <c r="W167" s="816">
        <v>0</v>
      </c>
      <c r="X167" s="816">
        <v>0</v>
      </c>
      <c r="Y167" s="816">
        <v>0</v>
      </c>
      <c r="Z167" s="816">
        <v>0</v>
      </c>
      <c r="AA167" s="816">
        <v>0</v>
      </c>
      <c r="AB167" s="816">
        <v>0</v>
      </c>
      <c r="AC167" s="826">
        <v>150</v>
      </c>
      <c r="AD167" s="914">
        <v>150</v>
      </c>
      <c r="AE167" s="914">
        <v>0</v>
      </c>
      <c r="AF167" s="915">
        <v>0</v>
      </c>
      <c r="AG167" s="913">
        <v>0</v>
      </c>
      <c r="AH167" s="916"/>
      <c r="AI167" s="927" t="s">
        <v>273</v>
      </c>
      <c r="AJ167" s="820" t="s">
        <v>1960</v>
      </c>
      <c r="AK167" s="820" t="s">
        <v>1640</v>
      </c>
      <c r="AL167" s="33"/>
      <c r="AM167" s="33"/>
      <c r="AN167" s="33"/>
      <c r="AO167" s="33"/>
      <c r="AP167" s="33"/>
      <c r="AQ167" s="842"/>
      <c r="AR167" s="820" t="s">
        <v>236</v>
      </c>
      <c r="AS167" s="829" t="s">
        <v>2026</v>
      </c>
      <c r="AT167" s="362" t="s">
        <v>2027</v>
      </c>
      <c r="AU167" s="362" t="s">
        <v>2024</v>
      </c>
      <c r="AV167" s="920"/>
    </row>
    <row r="168" spans="1:48" ht="12.75" customHeight="1">
      <c r="A168" s="930" t="s">
        <v>1119</v>
      </c>
      <c r="B168" s="922" t="s">
        <v>2028</v>
      </c>
      <c r="C168" s="816">
        <v>0</v>
      </c>
      <c r="D168" s="816">
        <v>0</v>
      </c>
      <c r="E168" s="816">
        <v>0</v>
      </c>
      <c r="F168" s="816">
        <v>0</v>
      </c>
      <c r="G168" s="816">
        <v>0</v>
      </c>
      <c r="H168" s="816">
        <v>0</v>
      </c>
      <c r="I168" s="816">
        <v>0</v>
      </c>
      <c r="J168" s="816">
        <v>0</v>
      </c>
      <c r="K168" s="816">
        <v>0</v>
      </c>
      <c r="L168" s="816">
        <v>0</v>
      </c>
      <c r="M168" s="816">
        <v>0</v>
      </c>
      <c r="N168" s="816">
        <v>0</v>
      </c>
      <c r="O168" s="816">
        <v>0</v>
      </c>
      <c r="P168" s="816">
        <v>0</v>
      </c>
      <c r="Q168" s="816">
        <v>0</v>
      </c>
      <c r="R168" s="816">
        <v>0</v>
      </c>
      <c r="S168" s="816">
        <v>0</v>
      </c>
      <c r="T168" s="816">
        <v>0</v>
      </c>
      <c r="U168" s="816">
        <v>0</v>
      </c>
      <c r="V168" s="816">
        <v>0</v>
      </c>
      <c r="W168" s="816">
        <v>0</v>
      </c>
      <c r="X168" s="816">
        <v>0</v>
      </c>
      <c r="Y168" s="816">
        <v>0</v>
      </c>
      <c r="Z168" s="816">
        <v>0</v>
      </c>
      <c r="AA168" s="816">
        <v>0</v>
      </c>
      <c r="AB168" s="816">
        <v>0</v>
      </c>
      <c r="AC168" s="826">
        <v>70</v>
      </c>
      <c r="AD168" s="914">
        <v>150</v>
      </c>
      <c r="AE168" s="914">
        <v>150</v>
      </c>
      <c r="AF168" s="915">
        <v>150</v>
      </c>
      <c r="AG168" s="913">
        <v>0</v>
      </c>
      <c r="AH168" s="916"/>
      <c r="AI168" s="927" t="s">
        <v>273</v>
      </c>
      <c r="AJ168" s="820" t="s">
        <v>1960</v>
      </c>
      <c r="AK168" s="820" t="s">
        <v>1640</v>
      </c>
      <c r="AL168" s="33"/>
      <c r="AM168" s="33"/>
      <c r="AN168" s="33">
        <v>1</v>
      </c>
      <c r="AO168" s="33"/>
      <c r="AP168" s="33"/>
      <c r="AQ168" s="842"/>
      <c r="AR168" s="820" t="s">
        <v>977</v>
      </c>
      <c r="AS168" s="829" t="s">
        <v>2029</v>
      </c>
      <c r="AT168" s="362" t="s">
        <v>2030</v>
      </c>
      <c r="AU168" s="362" t="s">
        <v>2024</v>
      </c>
      <c r="AV168" s="920"/>
    </row>
    <row r="169" spans="1:48" ht="12.75" customHeight="1">
      <c r="A169" s="930" t="s">
        <v>1119</v>
      </c>
      <c r="B169" s="820" t="s">
        <v>2031</v>
      </c>
      <c r="C169" s="5">
        <v>0</v>
      </c>
      <c r="D169" s="5">
        <v>0</v>
      </c>
      <c r="E169" s="5">
        <v>0</v>
      </c>
      <c r="F169" s="5">
        <v>0</v>
      </c>
      <c r="G169" s="5">
        <v>0</v>
      </c>
      <c r="H169" s="5">
        <v>0</v>
      </c>
      <c r="I169" s="5">
        <v>0</v>
      </c>
      <c r="J169" s="5">
        <v>0</v>
      </c>
      <c r="K169" s="5">
        <v>0</v>
      </c>
      <c r="L169" s="5">
        <v>0</v>
      </c>
      <c r="M169" s="5">
        <v>0</v>
      </c>
      <c r="N169" s="5">
        <v>0</v>
      </c>
      <c r="O169" s="5">
        <v>0</v>
      </c>
      <c r="P169" s="5">
        <v>0</v>
      </c>
      <c r="Q169" s="5">
        <v>0</v>
      </c>
      <c r="R169" s="5">
        <v>0</v>
      </c>
      <c r="S169" s="5">
        <v>0</v>
      </c>
      <c r="T169" s="5">
        <v>0</v>
      </c>
      <c r="U169" s="5">
        <v>0</v>
      </c>
      <c r="V169" s="5">
        <v>0</v>
      </c>
      <c r="W169" s="5">
        <v>0</v>
      </c>
      <c r="X169" s="913">
        <v>0</v>
      </c>
      <c r="Y169" s="913">
        <v>0</v>
      </c>
      <c r="Z169" s="913">
        <v>0</v>
      </c>
      <c r="AA169" s="826">
        <v>5.6120000000000001</v>
      </c>
      <c r="AB169" s="826">
        <v>0</v>
      </c>
      <c r="AC169" s="913">
        <v>0</v>
      </c>
      <c r="AD169" s="914">
        <v>0</v>
      </c>
      <c r="AE169" s="914">
        <v>0</v>
      </c>
      <c r="AF169" s="915">
        <v>0</v>
      </c>
      <c r="AG169" s="913"/>
      <c r="AH169" s="916"/>
      <c r="AI169" s="6" t="s">
        <v>240</v>
      </c>
      <c r="AJ169" s="820" t="s">
        <v>403</v>
      </c>
      <c r="AK169" s="820" t="s">
        <v>1640</v>
      </c>
      <c r="AL169" s="33"/>
      <c r="AM169" s="33"/>
      <c r="AN169" s="33"/>
      <c r="AO169" s="33"/>
      <c r="AP169" s="33"/>
      <c r="AQ169" s="842"/>
      <c r="AR169" s="820" t="s">
        <v>251</v>
      </c>
      <c r="AS169" s="829" t="s">
        <v>2032</v>
      </c>
      <c r="AT169" s="829" t="s">
        <v>2033</v>
      </c>
      <c r="AU169" s="829" t="s">
        <v>1924</v>
      </c>
      <c r="AV169" s="919"/>
    </row>
    <row r="170" spans="1:48" ht="12.75" customHeight="1">
      <c r="A170" s="930" t="s">
        <v>1119</v>
      </c>
      <c r="B170" s="820" t="s">
        <v>2034</v>
      </c>
      <c r="C170" s="5">
        <v>0</v>
      </c>
      <c r="D170" s="5">
        <v>0</v>
      </c>
      <c r="E170" s="5">
        <v>0</v>
      </c>
      <c r="F170" s="5">
        <v>0</v>
      </c>
      <c r="G170" s="5">
        <v>0</v>
      </c>
      <c r="H170" s="5">
        <v>0</v>
      </c>
      <c r="I170" s="5">
        <v>0</v>
      </c>
      <c r="J170" s="5">
        <v>0</v>
      </c>
      <c r="K170" s="5">
        <v>0</v>
      </c>
      <c r="L170" s="5">
        <v>0</v>
      </c>
      <c r="M170" s="5">
        <v>0</v>
      </c>
      <c r="N170" s="5">
        <v>0</v>
      </c>
      <c r="O170" s="5">
        <v>0</v>
      </c>
      <c r="P170" s="5">
        <v>0</v>
      </c>
      <c r="Q170" s="5">
        <v>0</v>
      </c>
      <c r="R170" s="5">
        <v>0</v>
      </c>
      <c r="S170" s="5">
        <v>10</v>
      </c>
      <c r="T170" s="5">
        <v>10</v>
      </c>
      <c r="U170" s="5">
        <v>5.7</v>
      </c>
      <c r="V170" s="5">
        <v>4.3</v>
      </c>
      <c r="W170" s="5">
        <v>0</v>
      </c>
      <c r="X170" s="913">
        <v>0</v>
      </c>
      <c r="Y170" s="913">
        <v>0</v>
      </c>
      <c r="Z170" s="913">
        <v>0</v>
      </c>
      <c r="AA170" s="5">
        <v>0</v>
      </c>
      <c r="AB170" s="5">
        <v>0</v>
      </c>
      <c r="AC170" s="913">
        <v>0</v>
      </c>
      <c r="AD170" s="914">
        <v>0</v>
      </c>
      <c r="AE170" s="914">
        <v>0</v>
      </c>
      <c r="AF170" s="915">
        <v>0</v>
      </c>
      <c r="AG170" s="913"/>
      <c r="AH170" s="916"/>
      <c r="AI170" s="6" t="s">
        <v>240</v>
      </c>
      <c r="AJ170" s="820" t="s">
        <v>389</v>
      </c>
      <c r="AK170" s="820" t="s">
        <v>1691</v>
      </c>
      <c r="AL170" s="33"/>
      <c r="AM170" s="33"/>
      <c r="AN170" s="33"/>
      <c r="AO170" s="33"/>
      <c r="AP170" s="33"/>
      <c r="AQ170" s="842"/>
      <c r="AR170" s="820" t="s">
        <v>236</v>
      </c>
      <c r="AS170" s="829" t="s">
        <v>2035</v>
      </c>
      <c r="AT170" s="362" t="s">
        <v>2036</v>
      </c>
      <c r="AU170" s="829" t="s">
        <v>2037</v>
      </c>
      <c r="AV170" s="919" t="s">
        <v>238</v>
      </c>
    </row>
    <row r="171" spans="1:48" ht="12.75" customHeight="1">
      <c r="A171" s="930" t="s">
        <v>1319</v>
      </c>
      <c r="B171" s="820" t="s">
        <v>2038</v>
      </c>
      <c r="C171" s="5">
        <v>0</v>
      </c>
      <c r="D171" s="5">
        <v>0</v>
      </c>
      <c r="E171" s="5">
        <v>0</v>
      </c>
      <c r="F171" s="5">
        <v>0</v>
      </c>
      <c r="G171" s="5">
        <v>0</v>
      </c>
      <c r="H171" s="5">
        <v>0</v>
      </c>
      <c r="I171" s="5">
        <v>0</v>
      </c>
      <c r="J171" s="5">
        <v>0</v>
      </c>
      <c r="K171" s="5">
        <v>0</v>
      </c>
      <c r="L171" s="5">
        <v>0</v>
      </c>
      <c r="M171" s="5">
        <v>0</v>
      </c>
      <c r="N171" s="5">
        <v>0</v>
      </c>
      <c r="O171" s="5">
        <v>0</v>
      </c>
      <c r="P171" s="5">
        <v>0</v>
      </c>
      <c r="Q171" s="5">
        <v>0</v>
      </c>
      <c r="R171" s="5">
        <v>0</v>
      </c>
      <c r="S171" s="5">
        <v>0</v>
      </c>
      <c r="T171" s="5">
        <v>0</v>
      </c>
      <c r="U171" s="5">
        <v>0</v>
      </c>
      <c r="V171" s="5">
        <v>0</v>
      </c>
      <c r="W171" s="5">
        <v>2.6669999999999998</v>
      </c>
      <c r="X171" s="913">
        <v>3.0779999999999998</v>
      </c>
      <c r="Y171" s="913">
        <v>3.194</v>
      </c>
      <c r="Z171" s="913">
        <v>0</v>
      </c>
      <c r="AA171" s="826">
        <v>0</v>
      </c>
      <c r="AB171" s="826">
        <v>0</v>
      </c>
      <c r="AC171" s="913">
        <v>0</v>
      </c>
      <c r="AD171" s="914">
        <v>0</v>
      </c>
      <c r="AE171" s="914">
        <v>0</v>
      </c>
      <c r="AF171" s="915">
        <v>0</v>
      </c>
      <c r="AG171" s="913"/>
      <c r="AH171" s="916"/>
      <c r="AI171" s="6" t="s">
        <v>273</v>
      </c>
      <c r="AJ171" s="820" t="s">
        <v>397</v>
      </c>
      <c r="AK171" s="820" t="s">
        <v>1663</v>
      </c>
      <c r="AL171" s="33"/>
      <c r="AM171" s="33"/>
      <c r="AN171" s="33"/>
      <c r="AO171" s="33"/>
      <c r="AP171" s="33"/>
      <c r="AQ171" s="842"/>
      <c r="AR171" s="820" t="s">
        <v>236</v>
      </c>
      <c r="AS171" s="829" t="s">
        <v>2039</v>
      </c>
      <c r="AT171" s="829" t="s">
        <v>238</v>
      </c>
      <c r="AU171" s="829" t="s">
        <v>238</v>
      </c>
      <c r="AV171" s="919" t="s">
        <v>238</v>
      </c>
    </row>
    <row r="172" spans="1:48" ht="12.75" customHeight="1">
      <c r="A172" s="930" t="s">
        <v>1384</v>
      </c>
      <c r="B172" s="820" t="s">
        <v>2040</v>
      </c>
      <c r="C172" s="5">
        <v>0</v>
      </c>
      <c r="D172" s="5">
        <v>0</v>
      </c>
      <c r="E172" s="5">
        <v>0</v>
      </c>
      <c r="F172" s="5">
        <v>0</v>
      </c>
      <c r="G172" s="5">
        <v>0</v>
      </c>
      <c r="H172" s="5">
        <v>0</v>
      </c>
      <c r="I172" s="5">
        <v>0</v>
      </c>
      <c r="J172" s="5">
        <v>0</v>
      </c>
      <c r="K172" s="5">
        <v>0</v>
      </c>
      <c r="L172" s="5">
        <v>0</v>
      </c>
      <c r="M172" s="5">
        <v>0</v>
      </c>
      <c r="N172" s="5">
        <v>0</v>
      </c>
      <c r="O172" s="5">
        <v>0</v>
      </c>
      <c r="P172" s="5">
        <v>0</v>
      </c>
      <c r="Q172" s="5">
        <v>0</v>
      </c>
      <c r="R172" s="5">
        <v>0</v>
      </c>
      <c r="S172" s="5">
        <v>0</v>
      </c>
      <c r="T172" s="5">
        <v>0</v>
      </c>
      <c r="U172" s="5">
        <v>0</v>
      </c>
      <c r="V172" s="5">
        <v>0</v>
      </c>
      <c r="W172" s="5">
        <v>5.6509999999999998</v>
      </c>
      <c r="X172" s="913">
        <v>1.9279999999999999</v>
      </c>
      <c r="Y172" s="913">
        <v>1.7150000000000001</v>
      </c>
      <c r="Z172" s="913">
        <v>0</v>
      </c>
      <c r="AA172" s="5">
        <v>0</v>
      </c>
      <c r="AB172" s="5">
        <v>0</v>
      </c>
      <c r="AC172" s="913">
        <v>0</v>
      </c>
      <c r="AD172" s="914">
        <v>0</v>
      </c>
      <c r="AE172" s="914">
        <v>0</v>
      </c>
      <c r="AF172" s="915">
        <v>0</v>
      </c>
      <c r="AG172" s="913"/>
      <c r="AH172" s="916"/>
      <c r="AI172" s="6" t="s">
        <v>233</v>
      </c>
      <c r="AJ172" s="820" t="s">
        <v>510</v>
      </c>
      <c r="AK172" s="820" t="s">
        <v>1663</v>
      </c>
      <c r="AL172" s="33"/>
      <c r="AM172" s="33"/>
      <c r="AN172" s="33"/>
      <c r="AO172" s="33"/>
      <c r="AP172" s="33"/>
      <c r="AQ172" s="842"/>
      <c r="AR172" s="820" t="s">
        <v>236</v>
      </c>
      <c r="AS172" s="829" t="s">
        <v>2041</v>
      </c>
      <c r="AT172" s="362" t="s">
        <v>238</v>
      </c>
      <c r="AU172" s="829" t="s">
        <v>238</v>
      </c>
      <c r="AV172" s="919" t="s">
        <v>238</v>
      </c>
    </row>
    <row r="173" spans="1:48" ht="12.75" customHeight="1">
      <c r="A173" s="930" t="s">
        <v>1384</v>
      </c>
      <c r="B173" s="820" t="s">
        <v>1751</v>
      </c>
      <c r="C173" s="5">
        <v>0</v>
      </c>
      <c r="D173" s="5">
        <v>0</v>
      </c>
      <c r="E173" s="5">
        <v>0</v>
      </c>
      <c r="F173" s="5">
        <v>0</v>
      </c>
      <c r="G173" s="5">
        <v>0</v>
      </c>
      <c r="H173" s="5">
        <v>0</v>
      </c>
      <c r="I173" s="5">
        <v>0</v>
      </c>
      <c r="J173" s="5">
        <v>0</v>
      </c>
      <c r="K173" s="5">
        <v>0</v>
      </c>
      <c r="L173" s="5">
        <v>0</v>
      </c>
      <c r="M173" s="5">
        <v>0</v>
      </c>
      <c r="N173" s="5">
        <v>0</v>
      </c>
      <c r="O173" s="5">
        <v>0</v>
      </c>
      <c r="P173" s="5">
        <v>0</v>
      </c>
      <c r="Q173" s="5">
        <v>0</v>
      </c>
      <c r="R173" s="5">
        <v>0</v>
      </c>
      <c r="S173" s="5">
        <v>0</v>
      </c>
      <c r="T173" s="5">
        <v>0</v>
      </c>
      <c r="U173" s="5">
        <v>0</v>
      </c>
      <c r="V173" s="5">
        <v>0</v>
      </c>
      <c r="W173" s="5">
        <v>2.5230000000000001</v>
      </c>
      <c r="X173" s="913">
        <v>10.542</v>
      </c>
      <c r="Y173" s="913">
        <v>7.3550000000000004</v>
      </c>
      <c r="Z173" s="913">
        <v>0</v>
      </c>
      <c r="AA173" s="5">
        <v>0</v>
      </c>
      <c r="AB173" s="5">
        <v>0</v>
      </c>
      <c r="AC173" s="913">
        <v>0</v>
      </c>
      <c r="AD173" s="914">
        <v>0</v>
      </c>
      <c r="AE173" s="914">
        <v>0</v>
      </c>
      <c r="AF173" s="915">
        <v>0</v>
      </c>
      <c r="AG173" s="913"/>
      <c r="AH173" s="916"/>
      <c r="AI173" s="6" t="s">
        <v>240</v>
      </c>
      <c r="AJ173" s="820" t="s">
        <v>403</v>
      </c>
      <c r="AK173" s="820" t="s">
        <v>1663</v>
      </c>
      <c r="AL173" s="33"/>
      <c r="AM173" s="33"/>
      <c r="AN173" s="33"/>
      <c r="AO173" s="33"/>
      <c r="AP173" s="33"/>
      <c r="AQ173" s="842"/>
      <c r="AR173" s="820" t="s">
        <v>236</v>
      </c>
      <c r="AS173" s="829" t="s">
        <v>1752</v>
      </c>
      <c r="AT173" s="362" t="s">
        <v>1753</v>
      </c>
      <c r="AU173" s="829" t="s">
        <v>1754</v>
      </c>
      <c r="AV173" s="919" t="s">
        <v>238</v>
      </c>
    </row>
    <row r="174" spans="1:48" ht="12.75" customHeight="1">
      <c r="A174" s="930" t="s">
        <v>1384</v>
      </c>
      <c r="B174" s="820" t="s">
        <v>2042</v>
      </c>
      <c r="C174" s="5">
        <v>0</v>
      </c>
      <c r="D174" s="5">
        <v>0</v>
      </c>
      <c r="E174" s="5">
        <v>0</v>
      </c>
      <c r="F174" s="5">
        <v>0</v>
      </c>
      <c r="G174" s="5">
        <v>0</v>
      </c>
      <c r="H174" s="5">
        <v>0</v>
      </c>
      <c r="I174" s="5">
        <v>0</v>
      </c>
      <c r="J174" s="5">
        <v>0</v>
      </c>
      <c r="K174" s="5">
        <v>0</v>
      </c>
      <c r="L174" s="5">
        <v>0</v>
      </c>
      <c r="M174" s="5">
        <v>0</v>
      </c>
      <c r="N174" s="5">
        <v>0</v>
      </c>
      <c r="O174" s="5">
        <v>0</v>
      </c>
      <c r="P174" s="5">
        <v>0</v>
      </c>
      <c r="Q174" s="5">
        <v>0</v>
      </c>
      <c r="R174" s="5">
        <v>0</v>
      </c>
      <c r="S174" s="5">
        <v>0</v>
      </c>
      <c r="T174" s="5">
        <v>0</v>
      </c>
      <c r="U174" s="5">
        <v>0</v>
      </c>
      <c r="V174" s="5">
        <v>0</v>
      </c>
      <c r="W174" s="5">
        <v>3.2360000000000002</v>
      </c>
      <c r="X174" s="913">
        <v>17.373999999999999</v>
      </c>
      <c r="Y174" s="913">
        <v>7.6820000000000004</v>
      </c>
      <c r="Z174" s="913">
        <v>0</v>
      </c>
      <c r="AA174" s="5">
        <v>0</v>
      </c>
      <c r="AB174" s="5">
        <v>0</v>
      </c>
      <c r="AC174" s="913">
        <v>0</v>
      </c>
      <c r="AD174" s="914">
        <v>0</v>
      </c>
      <c r="AE174" s="914">
        <v>0</v>
      </c>
      <c r="AF174" s="915">
        <v>0</v>
      </c>
      <c r="AG174" s="913"/>
      <c r="AH174" s="916"/>
      <c r="AI174" s="6" t="s">
        <v>233</v>
      </c>
      <c r="AJ174" s="820" t="s">
        <v>510</v>
      </c>
      <c r="AK174" s="820" t="s">
        <v>1663</v>
      </c>
      <c r="AL174" s="33"/>
      <c r="AM174" s="33"/>
      <c r="AN174" s="33"/>
      <c r="AO174" s="33"/>
      <c r="AP174" s="33"/>
      <c r="AQ174" s="842"/>
      <c r="AR174" s="820" t="s">
        <v>236</v>
      </c>
      <c r="AS174" s="829" t="s">
        <v>2043</v>
      </c>
      <c r="AT174" s="362" t="s">
        <v>238</v>
      </c>
      <c r="AU174" s="829" t="s">
        <v>238</v>
      </c>
      <c r="AV174" s="919" t="s">
        <v>238</v>
      </c>
    </row>
    <row r="175" spans="1:48" ht="12.75" customHeight="1">
      <c r="A175" s="930" t="s">
        <v>1384</v>
      </c>
      <c r="B175" s="820" t="s">
        <v>2044</v>
      </c>
      <c r="C175" s="5">
        <v>0</v>
      </c>
      <c r="D175" s="5">
        <v>0</v>
      </c>
      <c r="E175" s="5">
        <v>0</v>
      </c>
      <c r="F175" s="5">
        <v>0</v>
      </c>
      <c r="G175" s="5">
        <v>0</v>
      </c>
      <c r="H175" s="5">
        <v>0</v>
      </c>
      <c r="I175" s="5">
        <v>0</v>
      </c>
      <c r="J175" s="5">
        <v>0</v>
      </c>
      <c r="K175" s="5">
        <v>0</v>
      </c>
      <c r="L175" s="5">
        <v>0</v>
      </c>
      <c r="M175" s="5">
        <v>0</v>
      </c>
      <c r="N175" s="5">
        <v>0</v>
      </c>
      <c r="O175" s="5">
        <v>0</v>
      </c>
      <c r="P175" s="5">
        <v>0</v>
      </c>
      <c r="Q175" s="5">
        <v>0</v>
      </c>
      <c r="R175" s="5">
        <v>0</v>
      </c>
      <c r="S175" s="5">
        <v>0</v>
      </c>
      <c r="T175" s="5">
        <v>0</v>
      </c>
      <c r="U175" s="5">
        <v>0</v>
      </c>
      <c r="V175" s="5">
        <v>0</v>
      </c>
      <c r="W175" s="5">
        <v>0.48599999999999999</v>
      </c>
      <c r="X175" s="913">
        <v>0.48299999999999998</v>
      </c>
      <c r="Y175" s="913">
        <v>0.48499999999999999</v>
      </c>
      <c r="Z175" s="913"/>
      <c r="AA175" s="826"/>
      <c r="AB175" s="826"/>
      <c r="AC175" s="913"/>
      <c r="AD175" s="914">
        <v>0</v>
      </c>
      <c r="AE175" s="914">
        <v>0</v>
      </c>
      <c r="AF175" s="915">
        <v>0</v>
      </c>
      <c r="AG175" s="913"/>
      <c r="AH175" s="916"/>
      <c r="AI175" s="6" t="s">
        <v>233</v>
      </c>
      <c r="AJ175" s="820" t="s">
        <v>510</v>
      </c>
      <c r="AK175" s="820" t="s">
        <v>1663</v>
      </c>
      <c r="AL175" s="33"/>
      <c r="AM175" s="33"/>
      <c r="AN175" s="33"/>
      <c r="AO175" s="33"/>
      <c r="AP175" s="33"/>
      <c r="AQ175" s="842"/>
      <c r="AR175" s="820" t="s">
        <v>236</v>
      </c>
      <c r="AS175" s="829" t="s">
        <v>2045</v>
      </c>
      <c r="AT175" s="829" t="s">
        <v>238</v>
      </c>
      <c r="AU175" s="829" t="s">
        <v>238</v>
      </c>
      <c r="AV175" s="919" t="s">
        <v>238</v>
      </c>
    </row>
    <row r="176" spans="1:48" ht="12.75" customHeight="1">
      <c r="A176" s="930" t="s">
        <v>1384</v>
      </c>
      <c r="B176" s="820" t="s">
        <v>2046</v>
      </c>
      <c r="C176" s="5">
        <v>0</v>
      </c>
      <c r="D176" s="5">
        <v>0</v>
      </c>
      <c r="E176" s="5">
        <v>0</v>
      </c>
      <c r="F176" s="5">
        <v>0</v>
      </c>
      <c r="G176" s="5">
        <v>0</v>
      </c>
      <c r="H176" s="5">
        <v>0</v>
      </c>
      <c r="I176" s="5">
        <v>0</v>
      </c>
      <c r="J176" s="5">
        <v>0</v>
      </c>
      <c r="K176" s="5">
        <v>0</v>
      </c>
      <c r="L176" s="5">
        <v>0</v>
      </c>
      <c r="M176" s="5">
        <v>0</v>
      </c>
      <c r="N176" s="5">
        <v>0</v>
      </c>
      <c r="O176" s="5">
        <v>0</v>
      </c>
      <c r="P176" s="5">
        <v>0</v>
      </c>
      <c r="Q176" s="5">
        <v>0</v>
      </c>
      <c r="R176" s="5">
        <v>0</v>
      </c>
      <c r="S176" s="5">
        <v>0</v>
      </c>
      <c r="T176" s="5">
        <v>0</v>
      </c>
      <c r="U176" s="5">
        <v>0</v>
      </c>
      <c r="V176" s="5">
        <v>0</v>
      </c>
      <c r="W176" s="5">
        <v>0</v>
      </c>
      <c r="X176" s="913">
        <v>0</v>
      </c>
      <c r="Y176" s="913">
        <v>0</v>
      </c>
      <c r="Z176" s="913">
        <v>0</v>
      </c>
      <c r="AA176" s="5">
        <v>0</v>
      </c>
      <c r="AB176" s="5">
        <v>0.25</v>
      </c>
      <c r="AC176" s="826">
        <v>0</v>
      </c>
      <c r="AD176" s="914">
        <v>0.25</v>
      </c>
      <c r="AE176" s="914">
        <v>0</v>
      </c>
      <c r="AF176" s="915">
        <v>0</v>
      </c>
      <c r="AG176" s="913"/>
      <c r="AH176" s="916"/>
      <c r="AI176" s="6" t="s">
        <v>273</v>
      </c>
      <c r="AJ176" s="820" t="s">
        <v>510</v>
      </c>
      <c r="AK176" s="820" t="s">
        <v>1663</v>
      </c>
      <c r="AL176" s="33"/>
      <c r="AM176" s="33"/>
      <c r="AN176" s="33"/>
      <c r="AO176" s="33"/>
      <c r="AP176" s="33"/>
      <c r="AQ176" s="842"/>
      <c r="AR176" s="820" t="s">
        <v>236</v>
      </c>
      <c r="AS176" s="829" t="s">
        <v>2047</v>
      </c>
      <c r="AT176" s="362" t="s">
        <v>2048</v>
      </c>
      <c r="AU176" s="829" t="s">
        <v>238</v>
      </c>
      <c r="AV176" s="919"/>
    </row>
    <row r="177" spans="1:48" ht="12.75" customHeight="1">
      <c r="A177" s="930" t="s">
        <v>1401</v>
      </c>
      <c r="B177" s="820" t="s">
        <v>2049</v>
      </c>
      <c r="C177" s="5">
        <v>0</v>
      </c>
      <c r="D177" s="5">
        <v>0</v>
      </c>
      <c r="E177" s="5">
        <v>0</v>
      </c>
      <c r="F177" s="5">
        <v>0</v>
      </c>
      <c r="G177" s="5">
        <v>0</v>
      </c>
      <c r="H177" s="5">
        <v>0</v>
      </c>
      <c r="I177" s="5">
        <v>0</v>
      </c>
      <c r="J177" s="5">
        <v>0</v>
      </c>
      <c r="K177" s="5">
        <v>0</v>
      </c>
      <c r="L177" s="5">
        <v>0</v>
      </c>
      <c r="M177" s="5">
        <v>0</v>
      </c>
      <c r="N177" s="5">
        <v>0</v>
      </c>
      <c r="O177" s="5">
        <v>0</v>
      </c>
      <c r="P177" s="5">
        <v>0</v>
      </c>
      <c r="Q177" s="5">
        <v>0</v>
      </c>
      <c r="R177" s="5">
        <v>0</v>
      </c>
      <c r="S177" s="5">
        <v>0</v>
      </c>
      <c r="T177" s="5">
        <v>0</v>
      </c>
      <c r="U177" s="5">
        <v>0</v>
      </c>
      <c r="V177" s="5">
        <v>0</v>
      </c>
      <c r="W177" s="5">
        <v>0</v>
      </c>
      <c r="X177" s="913">
        <v>0</v>
      </c>
      <c r="Y177" s="913">
        <v>0</v>
      </c>
      <c r="Z177" s="913">
        <v>0</v>
      </c>
      <c r="AA177" s="5">
        <v>0</v>
      </c>
      <c r="AB177" s="5">
        <v>0</v>
      </c>
      <c r="AC177" s="826">
        <v>7.43</v>
      </c>
      <c r="AD177" s="914">
        <v>11.98</v>
      </c>
      <c r="AE177" s="914">
        <v>11.3</v>
      </c>
      <c r="AF177" s="915">
        <v>1.01</v>
      </c>
      <c r="AG177" s="913">
        <v>0</v>
      </c>
      <c r="AH177" s="916"/>
      <c r="AI177" s="6" t="s">
        <v>273</v>
      </c>
      <c r="AJ177" s="820" t="s">
        <v>362</v>
      </c>
      <c r="AK177" s="820" t="s">
        <v>1640</v>
      </c>
      <c r="AL177" s="33"/>
      <c r="AM177" s="33">
        <v>1</v>
      </c>
      <c r="AN177" s="33">
        <v>1</v>
      </c>
      <c r="AO177" s="33"/>
      <c r="AP177" s="33">
        <v>1</v>
      </c>
      <c r="AQ177" s="842"/>
      <c r="AR177" s="820" t="s">
        <v>236</v>
      </c>
      <c r="AS177" s="829" t="s">
        <v>2050</v>
      </c>
      <c r="AT177" s="362" t="s">
        <v>238</v>
      </c>
      <c r="AU177" s="829" t="s">
        <v>238</v>
      </c>
      <c r="AV177" s="919" t="s">
        <v>238</v>
      </c>
    </row>
    <row r="178" spans="1:48" ht="12.75" customHeight="1">
      <c r="A178" s="930" t="s">
        <v>1401</v>
      </c>
      <c r="B178" s="820" t="s">
        <v>2051</v>
      </c>
      <c r="C178" s="5">
        <v>0</v>
      </c>
      <c r="D178" s="5">
        <v>0</v>
      </c>
      <c r="E178" s="5">
        <v>0</v>
      </c>
      <c r="F178" s="5">
        <v>0</v>
      </c>
      <c r="G178" s="5">
        <v>0</v>
      </c>
      <c r="H178" s="5">
        <v>0</v>
      </c>
      <c r="I178" s="5">
        <v>0</v>
      </c>
      <c r="J178" s="5">
        <v>0</v>
      </c>
      <c r="K178" s="5">
        <v>0</v>
      </c>
      <c r="L178" s="5">
        <v>0</v>
      </c>
      <c r="M178" s="5">
        <v>0</v>
      </c>
      <c r="N178" s="5">
        <v>0</v>
      </c>
      <c r="O178" s="5">
        <v>0</v>
      </c>
      <c r="P178" s="5">
        <v>0</v>
      </c>
      <c r="Q178" s="5">
        <v>0</v>
      </c>
      <c r="R178" s="5">
        <v>0</v>
      </c>
      <c r="S178" s="5">
        <v>0</v>
      </c>
      <c r="T178" s="5">
        <v>0</v>
      </c>
      <c r="U178" s="5">
        <v>0</v>
      </c>
      <c r="V178" s="5">
        <v>0</v>
      </c>
      <c r="W178" s="5">
        <v>0</v>
      </c>
      <c r="X178" s="913">
        <v>0</v>
      </c>
      <c r="Y178" s="913">
        <v>0</v>
      </c>
      <c r="Z178" s="913">
        <v>0</v>
      </c>
      <c r="AA178" s="5">
        <v>0</v>
      </c>
      <c r="AB178" s="5">
        <v>0</v>
      </c>
      <c r="AC178" s="826">
        <v>0</v>
      </c>
      <c r="AD178" s="914">
        <v>2.83</v>
      </c>
      <c r="AE178" s="914">
        <v>23.454000000000001</v>
      </c>
      <c r="AF178" s="915">
        <v>34.280999999999999</v>
      </c>
      <c r="AG178" s="913">
        <v>32.481000000000002</v>
      </c>
      <c r="AH178" s="916">
        <v>12.454000000000001</v>
      </c>
      <c r="AI178" s="6" t="s">
        <v>240</v>
      </c>
      <c r="AJ178" s="820" t="s">
        <v>362</v>
      </c>
      <c r="AK178" s="820" t="s">
        <v>1640</v>
      </c>
      <c r="AL178" s="33"/>
      <c r="AM178" s="33">
        <v>1</v>
      </c>
      <c r="AN178" s="33">
        <v>1</v>
      </c>
      <c r="AO178" s="33"/>
      <c r="AP178" s="33"/>
      <c r="AQ178" s="842"/>
      <c r="AR178" s="820" t="s">
        <v>236</v>
      </c>
      <c r="AS178" s="829" t="s">
        <v>2052</v>
      </c>
      <c r="AT178" s="362"/>
      <c r="AU178" s="829"/>
      <c r="AV178" s="919"/>
    </row>
    <row r="179" spans="1:48" ht="12.75" customHeight="1">
      <c r="A179" s="930" t="s">
        <v>1401</v>
      </c>
      <c r="B179" s="820" t="s">
        <v>2053</v>
      </c>
      <c r="C179" s="5">
        <v>0</v>
      </c>
      <c r="D179" s="5">
        <v>0</v>
      </c>
      <c r="E179" s="5">
        <v>0</v>
      </c>
      <c r="F179" s="5">
        <v>0</v>
      </c>
      <c r="G179" s="5">
        <v>0</v>
      </c>
      <c r="H179" s="5">
        <v>0</v>
      </c>
      <c r="I179" s="5">
        <v>0</v>
      </c>
      <c r="J179" s="5">
        <v>0</v>
      </c>
      <c r="K179" s="5">
        <v>0</v>
      </c>
      <c r="L179" s="5">
        <v>0</v>
      </c>
      <c r="M179" s="5">
        <v>0</v>
      </c>
      <c r="N179" s="5">
        <v>0</v>
      </c>
      <c r="O179" s="5">
        <v>0</v>
      </c>
      <c r="P179" s="5">
        <v>0</v>
      </c>
      <c r="Q179" s="5">
        <v>0</v>
      </c>
      <c r="R179" s="5">
        <v>0</v>
      </c>
      <c r="S179" s="5">
        <v>0</v>
      </c>
      <c r="T179" s="5">
        <v>0</v>
      </c>
      <c r="U179" s="5">
        <v>0</v>
      </c>
      <c r="V179" s="5">
        <v>0</v>
      </c>
      <c r="W179" s="5">
        <v>6.05</v>
      </c>
      <c r="X179" s="913">
        <v>13.081</v>
      </c>
      <c r="Y179" s="913">
        <v>10.669</v>
      </c>
      <c r="Z179" s="913">
        <v>0</v>
      </c>
      <c r="AA179" s="5">
        <v>0</v>
      </c>
      <c r="AB179" s="5">
        <v>0</v>
      </c>
      <c r="AC179" s="826">
        <v>0</v>
      </c>
      <c r="AD179" s="914">
        <v>0</v>
      </c>
      <c r="AE179" s="914">
        <v>0</v>
      </c>
      <c r="AF179" s="915">
        <v>0</v>
      </c>
      <c r="AG179" s="913"/>
      <c r="AH179" s="916"/>
      <c r="AI179" s="6" t="s">
        <v>273</v>
      </c>
      <c r="AJ179" s="820" t="s">
        <v>1324</v>
      </c>
      <c r="AK179" s="820" t="s">
        <v>1663</v>
      </c>
      <c r="AL179" s="33"/>
      <c r="AM179" s="33"/>
      <c r="AN179" s="33"/>
      <c r="AO179" s="33"/>
      <c r="AP179" s="33"/>
      <c r="AQ179" s="842"/>
      <c r="AR179" s="820" t="s">
        <v>236</v>
      </c>
      <c r="AS179" s="829" t="s">
        <v>2054</v>
      </c>
      <c r="AT179" s="362" t="s">
        <v>238</v>
      </c>
      <c r="AU179" s="829" t="s">
        <v>1754</v>
      </c>
      <c r="AV179" s="919" t="s">
        <v>238</v>
      </c>
    </row>
    <row r="180" spans="1:48" ht="12.75" customHeight="1">
      <c r="A180" s="930" t="s">
        <v>1401</v>
      </c>
      <c r="B180" s="820" t="s">
        <v>2055</v>
      </c>
      <c r="C180" s="5">
        <v>0</v>
      </c>
      <c r="D180" s="5">
        <v>0</v>
      </c>
      <c r="E180" s="5">
        <v>0</v>
      </c>
      <c r="F180" s="5">
        <v>0</v>
      </c>
      <c r="G180" s="5">
        <v>0</v>
      </c>
      <c r="H180" s="5">
        <v>0</v>
      </c>
      <c r="I180" s="5">
        <v>0</v>
      </c>
      <c r="J180" s="5">
        <v>0</v>
      </c>
      <c r="K180" s="5">
        <v>0</v>
      </c>
      <c r="L180" s="5">
        <v>0</v>
      </c>
      <c r="M180" s="5">
        <v>0</v>
      </c>
      <c r="N180" s="5">
        <v>0</v>
      </c>
      <c r="O180" s="5">
        <v>0</v>
      </c>
      <c r="P180" s="5">
        <v>0</v>
      </c>
      <c r="Q180" s="5">
        <v>0</v>
      </c>
      <c r="R180" s="5">
        <v>0</v>
      </c>
      <c r="S180" s="5">
        <v>0</v>
      </c>
      <c r="T180" s="5">
        <v>0</v>
      </c>
      <c r="U180" s="5">
        <v>0</v>
      </c>
      <c r="V180" s="5">
        <v>0.3</v>
      </c>
      <c r="W180" s="5">
        <v>6.5549999999999997</v>
      </c>
      <c r="X180" s="913">
        <v>1.5620000000000001</v>
      </c>
      <c r="Y180" s="913">
        <v>1.254</v>
      </c>
      <c r="Z180" s="913">
        <v>2.3380000000000001</v>
      </c>
      <c r="AA180" s="5">
        <v>0.77700000000000002</v>
      </c>
      <c r="AB180" s="5">
        <v>0</v>
      </c>
      <c r="AC180" s="826">
        <v>0</v>
      </c>
      <c r="AD180" s="914">
        <v>0</v>
      </c>
      <c r="AE180" s="914">
        <v>0</v>
      </c>
      <c r="AF180" s="915">
        <v>0</v>
      </c>
      <c r="AG180" s="913"/>
      <c r="AH180" s="916"/>
      <c r="AI180" s="6" t="s">
        <v>273</v>
      </c>
      <c r="AJ180" s="820" t="s">
        <v>362</v>
      </c>
      <c r="AK180" s="820" t="s">
        <v>1663</v>
      </c>
      <c r="AL180" s="33"/>
      <c r="AM180" s="33"/>
      <c r="AN180" s="33"/>
      <c r="AO180" s="33"/>
      <c r="AP180" s="33"/>
      <c r="AQ180" s="842"/>
      <c r="AR180" s="820" t="s">
        <v>236</v>
      </c>
      <c r="AS180" s="829" t="s">
        <v>2056</v>
      </c>
      <c r="AT180" s="362"/>
      <c r="AU180" s="829"/>
      <c r="AV180" s="919"/>
    </row>
    <row r="181" spans="1:48" ht="12.75" customHeight="1">
      <c r="A181" s="930" t="s">
        <v>1401</v>
      </c>
      <c r="B181" s="820" t="s">
        <v>2057</v>
      </c>
      <c r="C181" s="5">
        <v>0</v>
      </c>
      <c r="D181" s="5">
        <v>0</v>
      </c>
      <c r="E181" s="5">
        <v>0</v>
      </c>
      <c r="F181" s="5">
        <v>0</v>
      </c>
      <c r="G181" s="5">
        <v>0</v>
      </c>
      <c r="H181" s="5">
        <v>0</v>
      </c>
      <c r="I181" s="5">
        <v>0</v>
      </c>
      <c r="J181" s="5">
        <v>0</v>
      </c>
      <c r="K181" s="5">
        <v>0</v>
      </c>
      <c r="L181" s="5">
        <v>0</v>
      </c>
      <c r="M181" s="5">
        <v>0</v>
      </c>
      <c r="N181" s="5">
        <v>0</v>
      </c>
      <c r="O181" s="5">
        <v>0</v>
      </c>
      <c r="P181" s="5">
        <v>0</v>
      </c>
      <c r="Q181" s="5">
        <v>0</v>
      </c>
      <c r="R181" s="5">
        <v>0</v>
      </c>
      <c r="S181" s="5">
        <v>0</v>
      </c>
      <c r="T181" s="5">
        <v>0</v>
      </c>
      <c r="U181" s="5">
        <v>63.145855579999996</v>
      </c>
      <c r="V181" s="5">
        <v>75.176000000000002</v>
      </c>
      <c r="W181" s="5">
        <v>162.52000000000001</v>
      </c>
      <c r="X181" s="913">
        <v>220.84800000000001</v>
      </c>
      <c r="Y181" s="913">
        <v>204.43700000000001</v>
      </c>
      <c r="Z181" s="913">
        <v>207.977</v>
      </c>
      <c r="AA181" s="5">
        <v>242.27500000000001</v>
      </c>
      <c r="AB181" s="5">
        <v>91.655000000000001</v>
      </c>
      <c r="AC181" s="826">
        <v>0</v>
      </c>
      <c r="AD181" s="914">
        <v>0</v>
      </c>
      <c r="AE181" s="914">
        <v>0</v>
      </c>
      <c r="AF181" s="915">
        <v>0</v>
      </c>
      <c r="AG181" s="913"/>
      <c r="AH181" s="916"/>
      <c r="AI181" s="6" t="s">
        <v>273</v>
      </c>
      <c r="AJ181" s="820" t="s">
        <v>362</v>
      </c>
      <c r="AK181" s="820" t="s">
        <v>1663</v>
      </c>
      <c r="AL181" s="33"/>
      <c r="AM181" s="33"/>
      <c r="AN181" s="33"/>
      <c r="AO181" s="33"/>
      <c r="AP181" s="33"/>
      <c r="AQ181" s="842"/>
      <c r="AR181" s="820" t="s">
        <v>236</v>
      </c>
      <c r="AS181" s="829" t="s">
        <v>2058</v>
      </c>
      <c r="AT181" s="362"/>
      <c r="AU181" s="829"/>
      <c r="AV181" s="919"/>
    </row>
    <row r="182" spans="1:48" ht="12.75" customHeight="1">
      <c r="A182" s="930" t="s">
        <v>1401</v>
      </c>
      <c r="B182" s="820" t="s">
        <v>2059</v>
      </c>
      <c r="C182" s="5">
        <v>0</v>
      </c>
      <c r="D182" s="5">
        <v>0</v>
      </c>
      <c r="E182" s="5">
        <v>0</v>
      </c>
      <c r="F182" s="5">
        <v>0</v>
      </c>
      <c r="G182" s="5">
        <v>0</v>
      </c>
      <c r="H182" s="5">
        <v>0</v>
      </c>
      <c r="I182" s="5">
        <v>0</v>
      </c>
      <c r="J182" s="5">
        <v>0</v>
      </c>
      <c r="K182" s="5">
        <v>0</v>
      </c>
      <c r="L182" s="5">
        <v>0</v>
      </c>
      <c r="M182" s="5">
        <v>0</v>
      </c>
      <c r="N182" s="5">
        <v>0</v>
      </c>
      <c r="O182" s="5">
        <v>0</v>
      </c>
      <c r="P182" s="5">
        <v>0</v>
      </c>
      <c r="Q182" s="5">
        <v>0</v>
      </c>
      <c r="R182" s="5">
        <v>0</v>
      </c>
      <c r="S182" s="5">
        <v>0</v>
      </c>
      <c r="T182" s="5">
        <v>0</v>
      </c>
      <c r="U182" s="5">
        <v>0</v>
      </c>
      <c r="V182" s="5">
        <v>0</v>
      </c>
      <c r="W182" s="5">
        <v>0</v>
      </c>
      <c r="X182" s="913">
        <v>0</v>
      </c>
      <c r="Y182" s="913">
        <v>0</v>
      </c>
      <c r="Z182" s="913">
        <v>0</v>
      </c>
      <c r="AA182" s="5">
        <v>0</v>
      </c>
      <c r="AB182" s="5">
        <v>0</v>
      </c>
      <c r="AC182" s="826">
        <v>1.141</v>
      </c>
      <c r="AD182" s="914">
        <v>0</v>
      </c>
      <c r="AE182" s="914">
        <v>0</v>
      </c>
      <c r="AF182" s="915">
        <v>0</v>
      </c>
      <c r="AG182" s="913"/>
      <c r="AH182" s="916"/>
      <c r="AI182" s="6" t="s">
        <v>273</v>
      </c>
      <c r="AJ182" s="820" t="s">
        <v>362</v>
      </c>
      <c r="AK182" s="820" t="s">
        <v>1663</v>
      </c>
      <c r="AL182" s="33"/>
      <c r="AM182" s="33"/>
      <c r="AN182" s="33"/>
      <c r="AO182" s="33"/>
      <c r="AP182" s="33"/>
      <c r="AQ182" s="842"/>
      <c r="AR182" s="820" t="s">
        <v>236</v>
      </c>
      <c r="AS182" s="829" t="s">
        <v>2060</v>
      </c>
      <c r="AT182" s="362"/>
      <c r="AU182" s="829"/>
      <c r="AV182" s="919"/>
    </row>
    <row r="183" spans="1:48" ht="12.75" customHeight="1">
      <c r="A183" s="930" t="s">
        <v>1401</v>
      </c>
      <c r="B183" s="820" t="s">
        <v>2061</v>
      </c>
      <c r="C183" s="5">
        <v>0</v>
      </c>
      <c r="D183" s="5">
        <v>0</v>
      </c>
      <c r="E183" s="5">
        <v>0</v>
      </c>
      <c r="F183" s="5">
        <v>0</v>
      </c>
      <c r="G183" s="5">
        <v>0</v>
      </c>
      <c r="H183" s="5">
        <v>0</v>
      </c>
      <c r="I183" s="5">
        <v>0</v>
      </c>
      <c r="J183" s="5">
        <v>0</v>
      </c>
      <c r="K183" s="5">
        <v>0</v>
      </c>
      <c r="L183" s="5">
        <v>0</v>
      </c>
      <c r="M183" s="5">
        <v>0</v>
      </c>
      <c r="N183" s="5">
        <v>0</v>
      </c>
      <c r="O183" s="5">
        <v>0</v>
      </c>
      <c r="P183" s="5">
        <v>0</v>
      </c>
      <c r="Q183" s="5">
        <v>0</v>
      </c>
      <c r="R183" s="5">
        <v>0</v>
      </c>
      <c r="S183" s="5">
        <v>0</v>
      </c>
      <c r="T183" s="5">
        <v>0</v>
      </c>
      <c r="U183" s="5">
        <v>13.997999999999999</v>
      </c>
      <c r="V183" s="5">
        <v>11.135999999999999</v>
      </c>
      <c r="W183" s="5">
        <v>3.9289999999999998</v>
      </c>
      <c r="X183" s="913">
        <v>3.9670000000000001</v>
      </c>
      <c r="Y183" s="913">
        <v>3.7669999999999999</v>
      </c>
      <c r="Z183" s="913">
        <v>2.7290000000000001</v>
      </c>
      <c r="AA183" s="5">
        <v>2.7290000000000001</v>
      </c>
      <c r="AB183" s="5">
        <v>2.7290000000000001</v>
      </c>
      <c r="AC183" s="826">
        <v>2.7290000000000001</v>
      </c>
      <c r="AD183" s="914">
        <v>2.7290000000000001</v>
      </c>
      <c r="AE183" s="914">
        <v>2.7290000000000001</v>
      </c>
      <c r="AF183" s="915">
        <v>2.7290000000000001</v>
      </c>
      <c r="AG183" s="913">
        <v>2.7290000000000001</v>
      </c>
      <c r="AH183" s="916">
        <v>2.7290000000000001</v>
      </c>
      <c r="AI183" s="6" t="s">
        <v>273</v>
      </c>
      <c r="AJ183" s="820" t="s">
        <v>362</v>
      </c>
      <c r="AK183" s="820" t="s">
        <v>1691</v>
      </c>
      <c r="AL183" s="33"/>
      <c r="AM183" s="33"/>
      <c r="AN183" s="33"/>
      <c r="AO183" s="33"/>
      <c r="AP183" s="33"/>
      <c r="AQ183" s="842">
        <v>1</v>
      </c>
      <c r="AR183" s="820" t="s">
        <v>236</v>
      </c>
      <c r="AS183" s="918" t="s">
        <v>2062</v>
      </c>
      <c r="AT183" s="812" t="s">
        <v>2063</v>
      </c>
      <c r="AU183" s="829" t="s">
        <v>238</v>
      </c>
      <c r="AV183" s="919" t="s">
        <v>238</v>
      </c>
    </row>
    <row r="184" spans="1:48" ht="12.75" customHeight="1">
      <c r="A184" s="930" t="s">
        <v>1401</v>
      </c>
      <c r="B184" s="820" t="s">
        <v>2064</v>
      </c>
      <c r="C184" s="5">
        <v>0</v>
      </c>
      <c r="D184" s="5">
        <v>0</v>
      </c>
      <c r="E184" s="5">
        <v>0</v>
      </c>
      <c r="F184" s="5">
        <v>0</v>
      </c>
      <c r="G184" s="5">
        <v>0</v>
      </c>
      <c r="H184" s="5">
        <v>0</v>
      </c>
      <c r="I184" s="5">
        <v>0</v>
      </c>
      <c r="J184" s="5">
        <v>0</v>
      </c>
      <c r="K184" s="5">
        <v>0</v>
      </c>
      <c r="L184" s="5">
        <v>0</v>
      </c>
      <c r="M184" s="5">
        <v>0</v>
      </c>
      <c r="N184" s="5">
        <v>0</v>
      </c>
      <c r="O184" s="5">
        <v>0</v>
      </c>
      <c r="P184" s="5">
        <v>0</v>
      </c>
      <c r="Q184" s="5">
        <v>0</v>
      </c>
      <c r="R184" s="5">
        <v>3.6586155099999997</v>
      </c>
      <c r="S184" s="5">
        <v>15.412037</v>
      </c>
      <c r="T184" s="5">
        <v>9.1008305700000012</v>
      </c>
      <c r="U184" s="5">
        <v>12.093416099999999</v>
      </c>
      <c r="V184" s="5">
        <v>7.0818079100000002</v>
      </c>
      <c r="W184" s="5">
        <v>4.2809999999999997</v>
      </c>
      <c r="X184" s="913">
        <v>0</v>
      </c>
      <c r="Y184" s="913">
        <v>4.665</v>
      </c>
      <c r="Z184" s="913">
        <v>9.1059999999999999</v>
      </c>
      <c r="AA184" s="5">
        <v>0</v>
      </c>
      <c r="AB184" s="5">
        <v>0</v>
      </c>
      <c r="AC184" s="826">
        <v>0</v>
      </c>
      <c r="AD184" s="914">
        <v>0</v>
      </c>
      <c r="AE184" s="914">
        <v>0</v>
      </c>
      <c r="AF184" s="915">
        <v>0</v>
      </c>
      <c r="AG184" s="913"/>
      <c r="AH184" s="916"/>
      <c r="AI184" s="6" t="s">
        <v>273</v>
      </c>
      <c r="AJ184" s="820" t="s">
        <v>362</v>
      </c>
      <c r="AK184" s="820" t="s">
        <v>1663</v>
      </c>
      <c r="AL184" s="33"/>
      <c r="AM184" s="33"/>
      <c r="AN184" s="33"/>
      <c r="AO184" s="33"/>
      <c r="AP184" s="33"/>
      <c r="AQ184" s="842"/>
      <c r="AR184" s="820" t="s">
        <v>236</v>
      </c>
      <c r="AS184" s="829" t="s">
        <v>2065</v>
      </c>
      <c r="AT184" s="362" t="s">
        <v>238</v>
      </c>
      <c r="AU184" s="829" t="s">
        <v>238</v>
      </c>
      <c r="AV184" s="919" t="s">
        <v>238</v>
      </c>
    </row>
    <row r="185" spans="1:48" ht="12.75" customHeight="1">
      <c r="A185" s="930" t="s">
        <v>1401</v>
      </c>
      <c r="B185" s="820" t="s">
        <v>2066</v>
      </c>
      <c r="C185" s="5">
        <v>0</v>
      </c>
      <c r="D185" s="5">
        <v>0</v>
      </c>
      <c r="E185" s="5">
        <v>0</v>
      </c>
      <c r="F185" s="5">
        <v>0</v>
      </c>
      <c r="G185" s="5">
        <v>0</v>
      </c>
      <c r="H185" s="5">
        <v>0</v>
      </c>
      <c r="I185" s="5">
        <v>0</v>
      </c>
      <c r="J185" s="5">
        <v>0</v>
      </c>
      <c r="K185" s="5">
        <v>0</v>
      </c>
      <c r="L185" s="5">
        <v>0</v>
      </c>
      <c r="M185" s="5">
        <v>0</v>
      </c>
      <c r="N185" s="5">
        <v>0</v>
      </c>
      <c r="O185" s="5">
        <v>0</v>
      </c>
      <c r="P185" s="5">
        <v>0</v>
      </c>
      <c r="Q185" s="5">
        <v>0</v>
      </c>
      <c r="R185" s="5">
        <v>0</v>
      </c>
      <c r="S185" s="5">
        <v>0</v>
      </c>
      <c r="T185" s="5">
        <v>0</v>
      </c>
      <c r="U185" s="5">
        <v>0</v>
      </c>
      <c r="V185" s="5">
        <v>0</v>
      </c>
      <c r="W185" s="5">
        <v>0</v>
      </c>
      <c r="X185" s="913">
        <v>0</v>
      </c>
      <c r="Y185" s="913">
        <v>14.01</v>
      </c>
      <c r="Z185" s="913"/>
      <c r="AA185" s="5"/>
      <c r="AB185" s="5"/>
      <c r="AC185" s="826">
        <v>0</v>
      </c>
      <c r="AD185" s="914">
        <v>0</v>
      </c>
      <c r="AE185" s="914">
        <v>0</v>
      </c>
      <c r="AF185" s="915">
        <v>0</v>
      </c>
      <c r="AG185" s="913"/>
      <c r="AH185" s="916"/>
      <c r="AI185" s="6" t="s">
        <v>273</v>
      </c>
      <c r="AJ185" s="820" t="s">
        <v>362</v>
      </c>
      <c r="AK185" s="820" t="s">
        <v>1663</v>
      </c>
      <c r="AL185" s="33"/>
      <c r="AM185" s="33"/>
      <c r="AN185" s="33"/>
      <c r="AO185" s="33"/>
      <c r="AP185" s="33"/>
      <c r="AQ185" s="842"/>
      <c r="AR185" s="820" t="s">
        <v>236</v>
      </c>
      <c r="AS185" s="829" t="s">
        <v>2067</v>
      </c>
      <c r="AT185" s="362" t="s">
        <v>2068</v>
      </c>
      <c r="AU185" s="829" t="s">
        <v>1524</v>
      </c>
      <c r="AV185" s="919"/>
    </row>
    <row r="186" spans="1:48" ht="12.75" customHeight="1">
      <c r="A186" s="930" t="s">
        <v>1401</v>
      </c>
      <c r="B186" s="820" t="s">
        <v>2069</v>
      </c>
      <c r="C186" s="5">
        <v>0</v>
      </c>
      <c r="D186" s="5">
        <v>0</v>
      </c>
      <c r="E186" s="5">
        <v>0</v>
      </c>
      <c r="F186" s="5">
        <v>0</v>
      </c>
      <c r="G186" s="5">
        <v>0</v>
      </c>
      <c r="H186" s="5">
        <v>0</v>
      </c>
      <c r="I186" s="5">
        <v>0</v>
      </c>
      <c r="J186" s="5">
        <v>0</v>
      </c>
      <c r="K186" s="5">
        <v>0</v>
      </c>
      <c r="L186" s="5">
        <v>0</v>
      </c>
      <c r="M186" s="5">
        <v>0</v>
      </c>
      <c r="N186" s="5">
        <v>0</v>
      </c>
      <c r="O186" s="5">
        <v>0</v>
      </c>
      <c r="P186" s="5">
        <v>0</v>
      </c>
      <c r="Q186" s="5">
        <v>0</v>
      </c>
      <c r="R186" s="5">
        <v>0</v>
      </c>
      <c r="S186" s="5">
        <v>0</v>
      </c>
      <c r="T186" s="5">
        <v>0</v>
      </c>
      <c r="U186" s="5">
        <v>0</v>
      </c>
      <c r="V186" s="5">
        <v>0</v>
      </c>
      <c r="W186" s="5">
        <v>0</v>
      </c>
      <c r="X186" s="913">
        <v>1.1160000000000001</v>
      </c>
      <c r="Y186" s="913">
        <v>10.26</v>
      </c>
      <c r="Z186" s="913">
        <v>10.36</v>
      </c>
      <c r="AA186" s="5">
        <v>8.76</v>
      </c>
      <c r="AB186" s="5">
        <v>8.6859999999999999</v>
      </c>
      <c r="AC186" s="826">
        <v>4.2069999999999999</v>
      </c>
      <c r="AD186" s="914">
        <v>0</v>
      </c>
      <c r="AE186" s="914">
        <v>0</v>
      </c>
      <c r="AF186" s="915">
        <v>0</v>
      </c>
      <c r="AG186" s="913"/>
      <c r="AH186" s="916"/>
      <c r="AI186" s="6" t="s">
        <v>273</v>
      </c>
      <c r="AJ186" s="820" t="s">
        <v>362</v>
      </c>
      <c r="AK186" s="820" t="s">
        <v>1640</v>
      </c>
      <c r="AL186" s="33"/>
      <c r="AM186" s="33"/>
      <c r="AN186" s="33"/>
      <c r="AO186" s="33"/>
      <c r="AP186" s="33"/>
      <c r="AQ186" s="842"/>
      <c r="AR186" s="820" t="s">
        <v>236</v>
      </c>
      <c r="AS186" s="829" t="s">
        <v>2070</v>
      </c>
      <c r="AT186" s="362" t="s">
        <v>238</v>
      </c>
      <c r="AU186" s="829" t="s">
        <v>238</v>
      </c>
      <c r="AV186" s="919" t="s">
        <v>238</v>
      </c>
    </row>
    <row r="187" spans="1:48" ht="12.75" customHeight="1">
      <c r="A187" s="930" t="s">
        <v>1401</v>
      </c>
      <c r="B187" s="820" t="s">
        <v>2071</v>
      </c>
      <c r="C187" s="5">
        <v>0</v>
      </c>
      <c r="D187" s="5">
        <v>0</v>
      </c>
      <c r="E187" s="5">
        <v>0</v>
      </c>
      <c r="F187" s="5">
        <v>0</v>
      </c>
      <c r="G187" s="5">
        <v>0</v>
      </c>
      <c r="H187" s="5">
        <v>0</v>
      </c>
      <c r="I187" s="5">
        <v>0</v>
      </c>
      <c r="J187" s="5">
        <v>0</v>
      </c>
      <c r="K187" s="5">
        <v>0</v>
      </c>
      <c r="L187" s="5">
        <v>0</v>
      </c>
      <c r="M187" s="5">
        <v>0</v>
      </c>
      <c r="N187" s="5">
        <v>0</v>
      </c>
      <c r="O187" s="5">
        <v>0</v>
      </c>
      <c r="P187" s="5">
        <v>0</v>
      </c>
      <c r="Q187" s="5">
        <v>0</v>
      </c>
      <c r="R187" s="5">
        <v>0</v>
      </c>
      <c r="S187" s="5">
        <v>0</v>
      </c>
      <c r="T187" s="5">
        <v>0</v>
      </c>
      <c r="U187" s="5">
        <v>0</v>
      </c>
      <c r="V187" s="5">
        <v>0</v>
      </c>
      <c r="W187" s="5">
        <v>0</v>
      </c>
      <c r="X187" s="913">
        <v>0.2</v>
      </c>
      <c r="Y187" s="913">
        <v>1.4419999999999999</v>
      </c>
      <c r="Z187" s="913">
        <v>0.91600000000000004</v>
      </c>
      <c r="AA187" s="5">
        <v>1.0169999999999999</v>
      </c>
      <c r="AB187" s="5">
        <v>0</v>
      </c>
      <c r="AC187" s="826">
        <v>0</v>
      </c>
      <c r="AD187" s="914">
        <v>0</v>
      </c>
      <c r="AE187" s="914">
        <v>0</v>
      </c>
      <c r="AF187" s="915">
        <v>0</v>
      </c>
      <c r="AG187" s="913"/>
      <c r="AH187" s="916"/>
      <c r="AI187" s="6" t="s">
        <v>240</v>
      </c>
      <c r="AJ187" s="820" t="s">
        <v>362</v>
      </c>
      <c r="AK187" s="820" t="s">
        <v>1640</v>
      </c>
      <c r="AL187" s="33"/>
      <c r="AM187" s="33"/>
      <c r="AN187" s="33"/>
      <c r="AO187" s="33"/>
      <c r="AP187" s="33"/>
      <c r="AQ187" s="842"/>
      <c r="AR187" s="820" t="s">
        <v>236</v>
      </c>
      <c r="AS187" s="829" t="s">
        <v>2072</v>
      </c>
      <c r="AT187" s="362" t="s">
        <v>2073</v>
      </c>
      <c r="AU187" s="829" t="s">
        <v>238</v>
      </c>
      <c r="AV187" s="828" t="s">
        <v>277</v>
      </c>
    </row>
    <row r="188" spans="1:48" ht="12.75" customHeight="1">
      <c r="A188" s="911" t="s">
        <v>1401</v>
      </c>
      <c r="B188" s="820" t="s">
        <v>2074</v>
      </c>
      <c r="C188" s="5">
        <v>0</v>
      </c>
      <c r="D188" s="5">
        <v>0</v>
      </c>
      <c r="E188" s="5">
        <v>0</v>
      </c>
      <c r="F188" s="5">
        <v>0</v>
      </c>
      <c r="G188" s="5">
        <v>0</v>
      </c>
      <c r="H188" s="5">
        <v>0</v>
      </c>
      <c r="I188" s="5">
        <v>0</v>
      </c>
      <c r="J188" s="5">
        <v>0</v>
      </c>
      <c r="K188" s="5">
        <v>0</v>
      </c>
      <c r="L188" s="5">
        <v>0</v>
      </c>
      <c r="M188" s="5">
        <v>0</v>
      </c>
      <c r="N188" s="5">
        <v>0</v>
      </c>
      <c r="O188" s="5">
        <v>0</v>
      </c>
      <c r="P188" s="5">
        <v>0</v>
      </c>
      <c r="Q188" s="5">
        <v>0</v>
      </c>
      <c r="R188" s="5">
        <v>0</v>
      </c>
      <c r="S188" s="5">
        <v>0</v>
      </c>
      <c r="T188" s="5">
        <v>0</v>
      </c>
      <c r="U188" s="5">
        <v>0</v>
      </c>
      <c r="V188" s="5">
        <v>0</v>
      </c>
      <c r="W188" s="5">
        <v>0</v>
      </c>
      <c r="X188" s="913">
        <v>0</v>
      </c>
      <c r="Y188" s="913">
        <v>1.792</v>
      </c>
      <c r="Z188" s="913">
        <v>0.69799999999999995</v>
      </c>
      <c r="AA188" s="5">
        <v>1.21</v>
      </c>
      <c r="AB188" s="5">
        <v>2.4460000000000002</v>
      </c>
      <c r="AC188" s="826">
        <v>2.0680000000000001</v>
      </c>
      <c r="AD188" s="914">
        <v>5.42</v>
      </c>
      <c r="AE188" s="914">
        <v>1.61</v>
      </c>
      <c r="AF188" s="915">
        <v>0.5</v>
      </c>
      <c r="AG188" s="913"/>
      <c r="AH188" s="916"/>
      <c r="AI188" s="6" t="s">
        <v>240</v>
      </c>
      <c r="AJ188" s="820" t="s">
        <v>362</v>
      </c>
      <c r="AK188" s="820" t="s">
        <v>1640</v>
      </c>
      <c r="AL188" s="33"/>
      <c r="AM188" s="33">
        <v>1</v>
      </c>
      <c r="AN188" s="33"/>
      <c r="AO188" s="33"/>
      <c r="AP188" s="33"/>
      <c r="AQ188" s="842"/>
      <c r="AR188" s="820" t="s">
        <v>236</v>
      </c>
      <c r="AS188" s="918" t="s">
        <v>2075</v>
      </c>
      <c r="AT188" s="812" t="s">
        <v>2076</v>
      </c>
      <c r="AU188" s="829" t="s">
        <v>238</v>
      </c>
      <c r="AV188" s="919" t="s">
        <v>238</v>
      </c>
    </row>
    <row r="189" spans="1:48" ht="12.75" customHeight="1">
      <c r="A189" s="911" t="s">
        <v>1401</v>
      </c>
      <c r="B189" s="820" t="s">
        <v>2077</v>
      </c>
      <c r="C189" s="5">
        <v>0</v>
      </c>
      <c r="D189" s="5">
        <v>0</v>
      </c>
      <c r="E189" s="5">
        <v>0</v>
      </c>
      <c r="F189" s="5">
        <v>0</v>
      </c>
      <c r="G189" s="5">
        <v>0</v>
      </c>
      <c r="H189" s="5">
        <v>0</v>
      </c>
      <c r="I189" s="5">
        <v>0</v>
      </c>
      <c r="J189" s="5">
        <v>0</v>
      </c>
      <c r="K189" s="5">
        <v>0</v>
      </c>
      <c r="L189" s="5">
        <v>0</v>
      </c>
      <c r="M189" s="5">
        <v>0</v>
      </c>
      <c r="N189" s="5">
        <v>0</v>
      </c>
      <c r="O189" s="5">
        <v>0</v>
      </c>
      <c r="P189" s="5">
        <v>0</v>
      </c>
      <c r="Q189" s="5">
        <v>0</v>
      </c>
      <c r="R189" s="5">
        <v>0</v>
      </c>
      <c r="S189" s="5">
        <v>0</v>
      </c>
      <c r="T189" s="5">
        <v>0</v>
      </c>
      <c r="U189" s="5">
        <v>0</v>
      </c>
      <c r="V189" s="5">
        <v>0</v>
      </c>
      <c r="W189" s="5">
        <v>0.13600000000000001</v>
      </c>
      <c r="X189" s="913">
        <v>1.8640000000000001</v>
      </c>
      <c r="Y189" s="913">
        <v>2.2999999999999998</v>
      </c>
      <c r="Z189" s="913">
        <v>3.7240000000000002</v>
      </c>
      <c r="AA189" s="826">
        <v>0</v>
      </c>
      <c r="AB189" s="826">
        <v>0</v>
      </c>
      <c r="AC189" s="826">
        <v>0</v>
      </c>
      <c r="AD189" s="914">
        <v>0</v>
      </c>
      <c r="AE189" s="914">
        <v>0</v>
      </c>
      <c r="AF189" s="915">
        <v>0</v>
      </c>
      <c r="AG189" s="913"/>
      <c r="AH189" s="916"/>
      <c r="AI189" s="6" t="s">
        <v>240</v>
      </c>
      <c r="AJ189" s="820" t="s">
        <v>362</v>
      </c>
      <c r="AK189" s="820" t="s">
        <v>1640</v>
      </c>
      <c r="AL189" s="33"/>
      <c r="AM189" s="33">
        <v>1</v>
      </c>
      <c r="AN189" s="33"/>
      <c r="AO189" s="33"/>
      <c r="AP189" s="33"/>
      <c r="AQ189" s="842"/>
      <c r="AR189" s="820" t="s">
        <v>236</v>
      </c>
      <c r="AS189" s="829" t="s">
        <v>2078</v>
      </c>
      <c r="AT189" s="362" t="s">
        <v>2073</v>
      </c>
      <c r="AU189" s="829" t="s">
        <v>238</v>
      </c>
      <c r="AV189" s="919" t="s">
        <v>238</v>
      </c>
    </row>
    <row r="190" spans="1:48" ht="12.75" customHeight="1">
      <c r="A190" s="911" t="s">
        <v>1401</v>
      </c>
      <c r="B190" s="820" t="s">
        <v>2079</v>
      </c>
      <c r="C190" s="5">
        <v>0</v>
      </c>
      <c r="D190" s="5">
        <v>0</v>
      </c>
      <c r="E190" s="5">
        <v>0</v>
      </c>
      <c r="F190" s="5">
        <v>0</v>
      </c>
      <c r="G190" s="5">
        <v>0</v>
      </c>
      <c r="H190" s="5">
        <v>0</v>
      </c>
      <c r="I190" s="5">
        <v>0</v>
      </c>
      <c r="J190" s="5">
        <v>0</v>
      </c>
      <c r="K190" s="5">
        <v>0</v>
      </c>
      <c r="L190" s="5">
        <v>0</v>
      </c>
      <c r="M190" s="5">
        <v>0</v>
      </c>
      <c r="N190" s="5">
        <v>0</v>
      </c>
      <c r="O190" s="5">
        <v>0</v>
      </c>
      <c r="P190" s="5">
        <v>0</v>
      </c>
      <c r="Q190" s="5">
        <v>0</v>
      </c>
      <c r="R190" s="5">
        <v>0</v>
      </c>
      <c r="S190" s="5">
        <v>0</v>
      </c>
      <c r="T190" s="5">
        <v>0</v>
      </c>
      <c r="U190" s="5">
        <v>0</v>
      </c>
      <c r="V190" s="5">
        <v>0</v>
      </c>
      <c r="W190" s="5">
        <v>0</v>
      </c>
      <c r="X190" s="913">
        <v>0</v>
      </c>
      <c r="Y190" s="913">
        <v>0</v>
      </c>
      <c r="Z190" s="913">
        <v>0</v>
      </c>
      <c r="AA190" s="826">
        <v>0</v>
      </c>
      <c r="AB190" s="5">
        <v>0</v>
      </c>
      <c r="AC190" s="826">
        <v>0</v>
      </c>
      <c r="AD190" s="914">
        <v>0</v>
      </c>
      <c r="AE190" s="914">
        <v>1.2</v>
      </c>
      <c r="AF190" s="915">
        <v>0</v>
      </c>
      <c r="AG190" s="913">
        <v>0</v>
      </c>
      <c r="AH190" s="916"/>
      <c r="AI190" s="6" t="s">
        <v>273</v>
      </c>
      <c r="AJ190" s="820" t="s">
        <v>362</v>
      </c>
      <c r="AK190" s="820" t="s">
        <v>1640</v>
      </c>
      <c r="AL190" s="33"/>
      <c r="AM190" s="33">
        <v>1</v>
      </c>
      <c r="AN190" s="33"/>
      <c r="AO190" s="33"/>
      <c r="AP190" s="33"/>
      <c r="AQ190" s="842"/>
      <c r="AR190" s="820" t="s">
        <v>236</v>
      </c>
      <c r="AS190" s="829" t="s">
        <v>2080</v>
      </c>
      <c r="AT190" s="362"/>
      <c r="AU190" s="829"/>
      <c r="AV190" s="919"/>
    </row>
    <row r="191" spans="1:48" ht="12.75" customHeight="1">
      <c r="A191" s="911" t="s">
        <v>1401</v>
      </c>
      <c r="B191" s="820" t="s">
        <v>2081</v>
      </c>
      <c r="C191" s="5">
        <v>0</v>
      </c>
      <c r="D191" s="5">
        <v>0</v>
      </c>
      <c r="E191" s="5">
        <v>0</v>
      </c>
      <c r="F191" s="5">
        <v>0</v>
      </c>
      <c r="G191" s="5">
        <v>0</v>
      </c>
      <c r="H191" s="5">
        <v>0</v>
      </c>
      <c r="I191" s="5">
        <v>0</v>
      </c>
      <c r="J191" s="5">
        <v>0</v>
      </c>
      <c r="K191" s="5">
        <v>0</v>
      </c>
      <c r="L191" s="5">
        <v>0</v>
      </c>
      <c r="M191" s="5">
        <v>0</v>
      </c>
      <c r="N191" s="5">
        <v>0</v>
      </c>
      <c r="O191" s="5">
        <v>0</v>
      </c>
      <c r="P191" s="5">
        <v>0</v>
      </c>
      <c r="Q191" s="5">
        <v>0</v>
      </c>
      <c r="R191" s="5">
        <v>0</v>
      </c>
      <c r="S191" s="5">
        <v>0</v>
      </c>
      <c r="T191" s="5">
        <v>0</v>
      </c>
      <c r="U191" s="5">
        <v>0</v>
      </c>
      <c r="V191" s="5">
        <v>0</v>
      </c>
      <c r="W191" s="5">
        <v>0</v>
      </c>
      <c r="X191" s="913">
        <v>0</v>
      </c>
      <c r="Y191" s="913">
        <v>0</v>
      </c>
      <c r="Z191" s="913">
        <v>0</v>
      </c>
      <c r="AA191" s="826">
        <v>0</v>
      </c>
      <c r="AB191" s="5">
        <v>0</v>
      </c>
      <c r="AC191" s="826">
        <v>3.4780000000000002</v>
      </c>
      <c r="AD191" s="914">
        <v>4.6470000000000002</v>
      </c>
      <c r="AE191" s="914">
        <v>4.9009999999999998</v>
      </c>
      <c r="AF191" s="915">
        <v>1.89</v>
      </c>
      <c r="AG191" s="913">
        <v>0</v>
      </c>
      <c r="AH191" s="916"/>
      <c r="AI191" s="6" t="s">
        <v>240</v>
      </c>
      <c r="AJ191" s="820" t="s">
        <v>362</v>
      </c>
      <c r="AK191" s="820" t="s">
        <v>1640</v>
      </c>
      <c r="AL191" s="33"/>
      <c r="AM191" s="33">
        <v>1</v>
      </c>
      <c r="AN191" s="33"/>
      <c r="AO191" s="33"/>
      <c r="AP191" s="33">
        <v>1</v>
      </c>
      <c r="AQ191" s="842"/>
      <c r="AR191" s="820" t="s">
        <v>236</v>
      </c>
      <c r="AS191" s="829" t="s">
        <v>2082</v>
      </c>
      <c r="AT191" s="362"/>
      <c r="AU191" s="829"/>
      <c r="AV191" s="919"/>
    </row>
    <row r="192" spans="1:48" ht="12.75" customHeight="1">
      <c r="A192" s="911" t="s">
        <v>1401</v>
      </c>
      <c r="B192" s="820" t="s">
        <v>2083</v>
      </c>
      <c r="C192" s="5">
        <v>0</v>
      </c>
      <c r="D192" s="5">
        <v>0</v>
      </c>
      <c r="E192" s="5">
        <v>0</v>
      </c>
      <c r="F192" s="5">
        <v>0</v>
      </c>
      <c r="G192" s="5">
        <v>0</v>
      </c>
      <c r="H192" s="5">
        <v>0</v>
      </c>
      <c r="I192" s="5">
        <v>0</v>
      </c>
      <c r="J192" s="5">
        <v>0</v>
      </c>
      <c r="K192" s="5">
        <v>0</v>
      </c>
      <c r="L192" s="5">
        <v>0</v>
      </c>
      <c r="M192" s="5">
        <v>0</v>
      </c>
      <c r="N192" s="5">
        <v>0</v>
      </c>
      <c r="O192" s="5">
        <v>0</v>
      </c>
      <c r="P192" s="5">
        <v>0</v>
      </c>
      <c r="Q192" s="5">
        <v>0</v>
      </c>
      <c r="R192" s="5">
        <v>0</v>
      </c>
      <c r="S192" s="5">
        <v>0</v>
      </c>
      <c r="T192" s="5">
        <v>0</v>
      </c>
      <c r="U192" s="5">
        <v>0</v>
      </c>
      <c r="V192" s="5">
        <v>0</v>
      </c>
      <c r="W192" s="5">
        <v>0.19500000000000001</v>
      </c>
      <c r="X192" s="913">
        <v>0.47499999999999998</v>
      </c>
      <c r="Y192" s="913">
        <v>0</v>
      </c>
      <c r="Z192" s="913">
        <v>0</v>
      </c>
      <c r="AA192" s="5">
        <v>0</v>
      </c>
      <c r="AB192" s="5">
        <v>0.25</v>
      </c>
      <c r="AC192" s="826">
        <v>0.95799999999999996</v>
      </c>
      <c r="AD192" s="914">
        <v>1.4590000000000001</v>
      </c>
      <c r="AE192" s="914">
        <v>2.25</v>
      </c>
      <c r="AF192" s="915">
        <v>2.6</v>
      </c>
      <c r="AG192" s="913"/>
      <c r="AH192" s="916"/>
      <c r="AI192" s="6" t="s">
        <v>273</v>
      </c>
      <c r="AJ192" s="820" t="s">
        <v>362</v>
      </c>
      <c r="AK192" s="820" t="s">
        <v>1640</v>
      </c>
      <c r="AL192" s="33"/>
      <c r="AM192" s="33">
        <v>1</v>
      </c>
      <c r="AN192" s="33"/>
      <c r="AO192" s="33"/>
      <c r="AP192" s="33"/>
      <c r="AQ192" s="842"/>
      <c r="AR192" s="820" t="s">
        <v>236</v>
      </c>
      <c r="AS192" s="829" t="s">
        <v>2084</v>
      </c>
      <c r="AT192" s="362" t="s">
        <v>2073</v>
      </c>
      <c r="AU192" s="829" t="s">
        <v>238</v>
      </c>
      <c r="AV192" s="919" t="s">
        <v>238</v>
      </c>
    </row>
    <row r="193" spans="1:48" ht="12.75" customHeight="1">
      <c r="A193" s="930" t="s">
        <v>1401</v>
      </c>
      <c r="B193" s="820" t="s">
        <v>2085</v>
      </c>
      <c r="C193" s="5">
        <v>0</v>
      </c>
      <c r="D193" s="5">
        <v>0</v>
      </c>
      <c r="E193" s="5">
        <v>0</v>
      </c>
      <c r="F193" s="5">
        <v>0</v>
      </c>
      <c r="G193" s="5">
        <v>0</v>
      </c>
      <c r="H193" s="5">
        <v>0</v>
      </c>
      <c r="I193" s="5">
        <v>0</v>
      </c>
      <c r="J193" s="5">
        <v>0</v>
      </c>
      <c r="K193" s="5">
        <v>0</v>
      </c>
      <c r="L193" s="5">
        <v>0</v>
      </c>
      <c r="M193" s="5">
        <v>0</v>
      </c>
      <c r="N193" s="5">
        <v>0</v>
      </c>
      <c r="O193" s="5">
        <v>0</v>
      </c>
      <c r="P193" s="5">
        <v>0</v>
      </c>
      <c r="Q193" s="5">
        <v>0</v>
      </c>
      <c r="R193" s="5">
        <v>0</v>
      </c>
      <c r="S193" s="5">
        <v>0</v>
      </c>
      <c r="T193" s="5">
        <v>0</v>
      </c>
      <c r="U193" s="5">
        <v>0</v>
      </c>
      <c r="V193" s="5">
        <v>0</v>
      </c>
      <c r="W193" s="5">
        <v>1.0649999999999999</v>
      </c>
      <c r="X193" s="913">
        <v>1.6240000000000001</v>
      </c>
      <c r="Y193" s="913">
        <v>0</v>
      </c>
      <c r="Z193" s="913">
        <v>0.53100000000000003</v>
      </c>
      <c r="AA193" s="826">
        <v>0.73099999999999998</v>
      </c>
      <c r="AB193" s="826">
        <v>0.86199999999999999</v>
      </c>
      <c r="AC193" s="826">
        <v>0.73899999999999999</v>
      </c>
      <c r="AD193" s="914">
        <v>0.74</v>
      </c>
      <c r="AE193" s="914">
        <v>0.53100000000000003</v>
      </c>
      <c r="AF193" s="915">
        <v>1.6140000000000001</v>
      </c>
      <c r="AG193" s="913"/>
      <c r="AH193" s="916"/>
      <c r="AI193" s="6" t="s">
        <v>273</v>
      </c>
      <c r="AJ193" s="820" t="s">
        <v>362</v>
      </c>
      <c r="AK193" s="820" t="s">
        <v>1640</v>
      </c>
      <c r="AL193" s="33"/>
      <c r="AM193" s="33">
        <v>1</v>
      </c>
      <c r="AN193" s="33"/>
      <c r="AO193" s="33"/>
      <c r="AP193" s="33"/>
      <c r="AQ193" s="842"/>
      <c r="AR193" s="820" t="s">
        <v>236</v>
      </c>
      <c r="AS193" s="944" t="s">
        <v>2086</v>
      </c>
      <c r="AT193" s="362" t="s">
        <v>2073</v>
      </c>
      <c r="AU193" s="829" t="s">
        <v>238</v>
      </c>
      <c r="AV193" s="919" t="s">
        <v>238</v>
      </c>
    </row>
    <row r="194" spans="1:48" ht="12.75" customHeight="1">
      <c r="A194" s="911" t="s">
        <v>1401</v>
      </c>
      <c r="B194" s="820" t="s">
        <v>2087</v>
      </c>
      <c r="C194" s="5">
        <v>0</v>
      </c>
      <c r="D194" s="5">
        <v>0</v>
      </c>
      <c r="E194" s="5">
        <v>0</v>
      </c>
      <c r="F194" s="5">
        <v>0</v>
      </c>
      <c r="G194" s="5">
        <v>0</v>
      </c>
      <c r="H194" s="5">
        <v>0</v>
      </c>
      <c r="I194" s="5">
        <v>0</v>
      </c>
      <c r="J194" s="5">
        <v>0</v>
      </c>
      <c r="K194" s="5">
        <v>0</v>
      </c>
      <c r="L194" s="5">
        <v>0</v>
      </c>
      <c r="M194" s="5">
        <v>0</v>
      </c>
      <c r="N194" s="5">
        <v>0</v>
      </c>
      <c r="O194" s="5">
        <v>0</v>
      </c>
      <c r="P194" s="5">
        <v>0</v>
      </c>
      <c r="Q194" s="5">
        <v>0</v>
      </c>
      <c r="R194" s="5">
        <v>0</v>
      </c>
      <c r="S194" s="5">
        <v>0</v>
      </c>
      <c r="T194" s="5">
        <v>0</v>
      </c>
      <c r="U194" s="5">
        <v>0</v>
      </c>
      <c r="V194" s="5">
        <v>0</v>
      </c>
      <c r="W194" s="5">
        <v>0</v>
      </c>
      <c r="X194" s="913">
        <v>0.246</v>
      </c>
      <c r="Y194" s="913">
        <v>0.37</v>
      </c>
      <c r="Z194" s="913">
        <v>0.187</v>
      </c>
      <c r="AA194" s="5">
        <v>0.94699999999999995</v>
      </c>
      <c r="AB194" s="5">
        <v>5.5E-2</v>
      </c>
      <c r="AC194" s="826">
        <v>5.5E-2</v>
      </c>
      <c r="AD194" s="914">
        <v>0</v>
      </c>
      <c r="AE194" s="914">
        <v>0</v>
      </c>
      <c r="AF194" s="915">
        <v>0</v>
      </c>
      <c r="AG194" s="913"/>
      <c r="AH194" s="916"/>
      <c r="AI194" s="6" t="s">
        <v>273</v>
      </c>
      <c r="AJ194" s="820" t="s">
        <v>362</v>
      </c>
      <c r="AK194" s="820" t="s">
        <v>1848</v>
      </c>
      <c r="AL194" s="33"/>
      <c r="AM194" s="33"/>
      <c r="AN194" s="33"/>
      <c r="AO194" s="33"/>
      <c r="AP194" s="33"/>
      <c r="AQ194" s="842"/>
      <c r="AR194" s="820" t="s">
        <v>236</v>
      </c>
      <c r="AS194" s="829" t="s">
        <v>2088</v>
      </c>
      <c r="AT194" s="362"/>
      <c r="AU194" s="829"/>
      <c r="AV194" s="919"/>
    </row>
    <row r="195" spans="1:48" ht="12.75" customHeight="1">
      <c r="A195" s="911" t="s">
        <v>1401</v>
      </c>
      <c r="B195" s="820" t="s">
        <v>2089</v>
      </c>
      <c r="C195" s="5">
        <v>0</v>
      </c>
      <c r="D195" s="5">
        <v>0</v>
      </c>
      <c r="E195" s="5">
        <v>0</v>
      </c>
      <c r="F195" s="5">
        <v>0</v>
      </c>
      <c r="G195" s="5">
        <v>0</v>
      </c>
      <c r="H195" s="5">
        <v>0</v>
      </c>
      <c r="I195" s="5">
        <v>0</v>
      </c>
      <c r="J195" s="5">
        <v>0</v>
      </c>
      <c r="K195" s="5">
        <v>0</v>
      </c>
      <c r="L195" s="5">
        <v>0</v>
      </c>
      <c r="M195" s="5">
        <v>0</v>
      </c>
      <c r="N195" s="5">
        <v>0</v>
      </c>
      <c r="O195" s="5">
        <v>0</v>
      </c>
      <c r="P195" s="5">
        <v>0</v>
      </c>
      <c r="Q195" s="5">
        <v>0</v>
      </c>
      <c r="R195" s="5">
        <v>0</v>
      </c>
      <c r="S195" s="5">
        <v>0</v>
      </c>
      <c r="T195" s="5">
        <v>0</v>
      </c>
      <c r="U195" s="5">
        <v>0</v>
      </c>
      <c r="V195" s="5">
        <v>0</v>
      </c>
      <c r="W195" s="5">
        <v>0</v>
      </c>
      <c r="X195" s="913">
        <v>0.25600000000000001</v>
      </c>
      <c r="Y195" s="913">
        <v>0.3</v>
      </c>
      <c r="Z195" s="913">
        <v>0.32200000000000001</v>
      </c>
      <c r="AA195" s="5">
        <v>0.86099999999999999</v>
      </c>
      <c r="AB195" s="5">
        <v>0.05</v>
      </c>
      <c r="AC195" s="826">
        <v>0.05</v>
      </c>
      <c r="AD195" s="914">
        <v>0</v>
      </c>
      <c r="AE195" s="914">
        <v>0</v>
      </c>
      <c r="AF195" s="915">
        <v>0</v>
      </c>
      <c r="AG195" s="913"/>
      <c r="AH195" s="916"/>
      <c r="AI195" s="6" t="s">
        <v>273</v>
      </c>
      <c r="AJ195" s="820" t="s">
        <v>362</v>
      </c>
      <c r="AK195" s="820" t="s">
        <v>1848</v>
      </c>
      <c r="AL195" s="33"/>
      <c r="AM195" s="33"/>
      <c r="AN195" s="33"/>
      <c r="AO195" s="33"/>
      <c r="AP195" s="33"/>
      <c r="AQ195" s="842"/>
      <c r="AR195" s="820" t="s">
        <v>236</v>
      </c>
      <c r="AS195" s="829" t="s">
        <v>2090</v>
      </c>
      <c r="AT195" s="362"/>
      <c r="AU195" s="829"/>
      <c r="AV195" s="919"/>
    </row>
    <row r="196" spans="1:48" ht="12.75" customHeight="1">
      <c r="A196" s="911" t="s">
        <v>1401</v>
      </c>
      <c r="B196" s="820" t="s">
        <v>2091</v>
      </c>
      <c r="C196" s="5">
        <v>0</v>
      </c>
      <c r="D196" s="5">
        <v>0</v>
      </c>
      <c r="E196" s="5">
        <v>0</v>
      </c>
      <c r="F196" s="5">
        <v>0</v>
      </c>
      <c r="G196" s="5">
        <v>0</v>
      </c>
      <c r="H196" s="5">
        <v>0</v>
      </c>
      <c r="I196" s="5">
        <v>0</v>
      </c>
      <c r="J196" s="5">
        <v>0</v>
      </c>
      <c r="K196" s="5">
        <v>0</v>
      </c>
      <c r="L196" s="5">
        <v>0</v>
      </c>
      <c r="M196" s="5">
        <v>0</v>
      </c>
      <c r="N196" s="5">
        <v>0</v>
      </c>
      <c r="O196" s="5">
        <v>0</v>
      </c>
      <c r="P196" s="5">
        <v>0</v>
      </c>
      <c r="Q196" s="5">
        <v>0</v>
      </c>
      <c r="R196" s="5">
        <v>0</v>
      </c>
      <c r="S196" s="5">
        <v>0</v>
      </c>
      <c r="T196" s="5">
        <v>0</v>
      </c>
      <c r="U196" s="5">
        <v>0</v>
      </c>
      <c r="V196" s="5">
        <v>0</v>
      </c>
      <c r="W196" s="5">
        <v>0</v>
      </c>
      <c r="X196" s="913">
        <v>0</v>
      </c>
      <c r="Y196" s="913">
        <v>0</v>
      </c>
      <c r="Z196" s="913">
        <v>0</v>
      </c>
      <c r="AA196" s="5">
        <v>0</v>
      </c>
      <c r="AB196" s="5">
        <v>0.5</v>
      </c>
      <c r="AC196" s="826">
        <v>0</v>
      </c>
      <c r="AD196" s="914">
        <v>0</v>
      </c>
      <c r="AE196" s="914">
        <v>0</v>
      </c>
      <c r="AF196" s="915">
        <v>0</v>
      </c>
      <c r="AG196" s="913"/>
      <c r="AH196" s="916"/>
      <c r="AI196" s="6" t="s">
        <v>263</v>
      </c>
      <c r="AJ196" s="820" t="s">
        <v>1960</v>
      </c>
      <c r="AK196" s="820" t="s">
        <v>1663</v>
      </c>
      <c r="AL196" s="33"/>
      <c r="AM196" s="33"/>
      <c r="AN196" s="33"/>
      <c r="AO196" s="33"/>
      <c r="AP196" s="33"/>
      <c r="AQ196" s="842"/>
      <c r="AR196" s="820" t="s">
        <v>236</v>
      </c>
      <c r="AS196" s="829" t="s">
        <v>2092</v>
      </c>
      <c r="AT196" s="362"/>
      <c r="AU196" s="829" t="s">
        <v>2093</v>
      </c>
      <c r="AV196" s="919"/>
    </row>
    <row r="197" spans="1:48" ht="12.75" customHeight="1">
      <c r="A197" s="911" t="s">
        <v>1401</v>
      </c>
      <c r="B197" s="820" t="s">
        <v>2094</v>
      </c>
      <c r="C197" s="5">
        <v>0</v>
      </c>
      <c r="D197" s="5">
        <v>0</v>
      </c>
      <c r="E197" s="5">
        <v>0</v>
      </c>
      <c r="F197" s="5">
        <v>0</v>
      </c>
      <c r="G197" s="5">
        <v>0</v>
      </c>
      <c r="H197" s="5">
        <v>0</v>
      </c>
      <c r="I197" s="5">
        <v>0</v>
      </c>
      <c r="J197" s="5">
        <v>0</v>
      </c>
      <c r="K197" s="5">
        <v>0</v>
      </c>
      <c r="L197" s="5">
        <v>0</v>
      </c>
      <c r="M197" s="5">
        <v>0</v>
      </c>
      <c r="N197" s="5">
        <v>0</v>
      </c>
      <c r="O197" s="5">
        <v>0</v>
      </c>
      <c r="P197" s="5">
        <v>0</v>
      </c>
      <c r="Q197" s="5">
        <v>0</v>
      </c>
      <c r="R197" s="5">
        <v>0</v>
      </c>
      <c r="S197" s="5">
        <v>0</v>
      </c>
      <c r="T197" s="5">
        <v>0</v>
      </c>
      <c r="U197" s="5">
        <v>0.17977299999999999</v>
      </c>
      <c r="V197" s="5">
        <v>1.5487690000000001</v>
      </c>
      <c r="W197" s="5">
        <v>1.0609999999999999</v>
      </c>
      <c r="X197" s="913">
        <v>1.59</v>
      </c>
      <c r="Y197" s="913">
        <v>1.071</v>
      </c>
      <c r="Z197" s="913">
        <v>1.375</v>
      </c>
      <c r="AA197" s="5">
        <v>1.222</v>
      </c>
      <c r="AB197" s="5">
        <v>1.704</v>
      </c>
      <c r="AC197" s="826">
        <v>8.5000000000000006E-2</v>
      </c>
      <c r="AD197" s="914">
        <v>0</v>
      </c>
      <c r="AE197" s="914">
        <v>0</v>
      </c>
      <c r="AF197" s="915">
        <v>0</v>
      </c>
      <c r="AG197" s="913"/>
      <c r="AH197" s="916"/>
      <c r="AI197" s="6" t="s">
        <v>273</v>
      </c>
      <c r="AJ197" s="820" t="s">
        <v>362</v>
      </c>
      <c r="AK197" s="820" t="s">
        <v>1663</v>
      </c>
      <c r="AL197" s="33"/>
      <c r="AM197" s="33"/>
      <c r="AN197" s="33"/>
      <c r="AO197" s="33"/>
      <c r="AP197" s="33"/>
      <c r="AQ197" s="842"/>
      <c r="AR197" s="820" t="s">
        <v>236</v>
      </c>
      <c r="AS197" s="829" t="s">
        <v>2095</v>
      </c>
      <c r="AT197" s="362" t="s">
        <v>238</v>
      </c>
      <c r="AU197" s="829"/>
      <c r="AV197" s="919"/>
    </row>
    <row r="198" spans="1:48" ht="12.75" customHeight="1">
      <c r="A198" s="911" t="s">
        <v>1401</v>
      </c>
      <c r="B198" s="820" t="s">
        <v>2096</v>
      </c>
      <c r="C198" s="5">
        <v>0</v>
      </c>
      <c r="D198" s="5">
        <v>0</v>
      </c>
      <c r="E198" s="5">
        <v>0</v>
      </c>
      <c r="F198" s="5">
        <v>0</v>
      </c>
      <c r="G198" s="5">
        <v>0</v>
      </c>
      <c r="H198" s="5">
        <v>0</v>
      </c>
      <c r="I198" s="5">
        <v>0</v>
      </c>
      <c r="J198" s="5">
        <v>0</v>
      </c>
      <c r="K198" s="5">
        <v>0</v>
      </c>
      <c r="L198" s="5">
        <v>0</v>
      </c>
      <c r="M198" s="5">
        <v>0</v>
      </c>
      <c r="N198" s="5">
        <v>0</v>
      </c>
      <c r="O198" s="5">
        <v>0</v>
      </c>
      <c r="P198" s="5">
        <v>0</v>
      </c>
      <c r="Q198" s="5">
        <v>0</v>
      </c>
      <c r="R198" s="5">
        <v>0</v>
      </c>
      <c r="S198" s="5">
        <v>0</v>
      </c>
      <c r="T198" s="5">
        <v>0</v>
      </c>
      <c r="U198" s="5">
        <v>0</v>
      </c>
      <c r="V198" s="5">
        <v>0</v>
      </c>
      <c r="W198" s="5">
        <v>0</v>
      </c>
      <c r="X198" s="913">
        <v>0</v>
      </c>
      <c r="Y198" s="913">
        <v>0</v>
      </c>
      <c r="Z198" s="913">
        <v>0</v>
      </c>
      <c r="AA198" s="5">
        <v>6.673</v>
      </c>
      <c r="AB198" s="5">
        <v>3.1080000000000001</v>
      </c>
      <c r="AC198" s="826">
        <v>0.45</v>
      </c>
      <c r="AD198" s="914">
        <v>0</v>
      </c>
      <c r="AE198" s="914">
        <v>0</v>
      </c>
      <c r="AF198" s="915">
        <v>0</v>
      </c>
      <c r="AG198" s="913"/>
      <c r="AH198" s="916"/>
      <c r="AI198" s="6" t="s">
        <v>273</v>
      </c>
      <c r="AJ198" s="820" t="s">
        <v>362</v>
      </c>
      <c r="AK198" s="820" t="s">
        <v>1640</v>
      </c>
      <c r="AL198" s="33"/>
      <c r="AM198" s="33"/>
      <c r="AN198" s="33"/>
      <c r="AO198" s="33"/>
      <c r="AP198" s="33"/>
      <c r="AQ198" s="842"/>
      <c r="AR198" s="820" t="s">
        <v>236</v>
      </c>
      <c r="AS198" s="829" t="s">
        <v>2097</v>
      </c>
      <c r="AT198" s="362"/>
      <c r="AU198" s="829"/>
      <c r="AV198" s="919"/>
    </row>
    <row r="199" spans="1:48" ht="12.75" customHeight="1">
      <c r="A199" s="911" t="s">
        <v>1401</v>
      </c>
      <c r="B199" s="820" t="s">
        <v>2098</v>
      </c>
      <c r="C199" s="5">
        <v>0</v>
      </c>
      <c r="D199" s="5">
        <v>0</v>
      </c>
      <c r="E199" s="5">
        <v>0</v>
      </c>
      <c r="F199" s="5">
        <v>0</v>
      </c>
      <c r="G199" s="5">
        <v>0</v>
      </c>
      <c r="H199" s="5">
        <v>0</v>
      </c>
      <c r="I199" s="5">
        <v>0</v>
      </c>
      <c r="J199" s="5">
        <v>0</v>
      </c>
      <c r="K199" s="5">
        <v>0</v>
      </c>
      <c r="L199" s="5">
        <v>0</v>
      </c>
      <c r="M199" s="5">
        <v>0</v>
      </c>
      <c r="N199" s="5">
        <v>0</v>
      </c>
      <c r="O199" s="5">
        <v>0</v>
      </c>
      <c r="P199" s="5">
        <v>0</v>
      </c>
      <c r="Q199" s="5">
        <v>0</v>
      </c>
      <c r="R199" s="5">
        <v>0</v>
      </c>
      <c r="S199" s="5">
        <v>0</v>
      </c>
      <c r="T199" s="5">
        <v>0</v>
      </c>
      <c r="U199" s="5">
        <v>0</v>
      </c>
      <c r="V199" s="5">
        <v>1.532</v>
      </c>
      <c r="W199" s="5">
        <v>7.194</v>
      </c>
      <c r="X199" s="913">
        <v>24.56</v>
      </c>
      <c r="Y199" s="913">
        <v>32.21</v>
      </c>
      <c r="Z199" s="913">
        <v>20.78</v>
      </c>
      <c r="AA199" s="5">
        <v>0</v>
      </c>
      <c r="AB199" s="5">
        <v>0</v>
      </c>
      <c r="AC199" s="826">
        <v>0</v>
      </c>
      <c r="AD199" s="914">
        <v>0</v>
      </c>
      <c r="AE199" s="914">
        <v>0</v>
      </c>
      <c r="AF199" s="915">
        <v>0</v>
      </c>
      <c r="AG199" s="913"/>
      <c r="AH199" s="916"/>
      <c r="AI199" s="6" t="s">
        <v>240</v>
      </c>
      <c r="AJ199" s="820" t="s">
        <v>362</v>
      </c>
      <c r="AK199" s="820" t="s">
        <v>1640</v>
      </c>
      <c r="AL199" s="33"/>
      <c r="AM199" s="33"/>
      <c r="AN199" s="33"/>
      <c r="AO199" s="33"/>
      <c r="AP199" s="33"/>
      <c r="AQ199" s="842"/>
      <c r="AR199" s="820" t="s">
        <v>251</v>
      </c>
      <c r="AS199" s="829" t="s">
        <v>2099</v>
      </c>
      <c r="AT199" s="362" t="s">
        <v>238</v>
      </c>
      <c r="AU199" s="829" t="s">
        <v>238</v>
      </c>
      <c r="AV199" s="919" t="s">
        <v>238</v>
      </c>
    </row>
    <row r="200" spans="1:48" ht="12.75" customHeight="1">
      <c r="A200" s="911" t="s">
        <v>1401</v>
      </c>
      <c r="B200" s="820" t="s">
        <v>2100</v>
      </c>
      <c r="C200" s="5">
        <v>0</v>
      </c>
      <c r="D200" s="5">
        <v>0</v>
      </c>
      <c r="E200" s="5">
        <v>0</v>
      </c>
      <c r="F200" s="5">
        <v>0</v>
      </c>
      <c r="G200" s="5">
        <v>0</v>
      </c>
      <c r="H200" s="5">
        <v>0</v>
      </c>
      <c r="I200" s="5">
        <v>0</v>
      </c>
      <c r="J200" s="5">
        <v>0</v>
      </c>
      <c r="K200" s="5">
        <v>0</v>
      </c>
      <c r="L200" s="5">
        <v>0</v>
      </c>
      <c r="M200" s="5">
        <v>0</v>
      </c>
      <c r="N200" s="5">
        <v>0</v>
      </c>
      <c r="O200" s="5">
        <v>0</v>
      </c>
      <c r="P200" s="5">
        <v>0</v>
      </c>
      <c r="Q200" s="5">
        <v>0</v>
      </c>
      <c r="R200" s="5">
        <v>0</v>
      </c>
      <c r="S200" s="5">
        <v>0</v>
      </c>
      <c r="T200" s="5">
        <v>0</v>
      </c>
      <c r="U200" s="5">
        <v>0</v>
      </c>
      <c r="V200" s="5">
        <v>0.73</v>
      </c>
      <c r="W200" s="5">
        <v>0.90559851000000002</v>
      </c>
      <c r="X200" s="913">
        <v>0.94932335999999995</v>
      </c>
      <c r="Y200" s="913">
        <v>0.19900000000000001</v>
      </c>
      <c r="Z200" s="913">
        <v>0</v>
      </c>
      <c r="AA200" s="5">
        <v>0</v>
      </c>
      <c r="AB200" s="5">
        <v>0</v>
      </c>
      <c r="AC200" s="826">
        <v>0</v>
      </c>
      <c r="AD200" s="914">
        <v>0</v>
      </c>
      <c r="AE200" s="914">
        <v>0</v>
      </c>
      <c r="AF200" s="915">
        <v>0</v>
      </c>
      <c r="AG200" s="913"/>
      <c r="AH200" s="916"/>
      <c r="AI200" s="6" t="s">
        <v>273</v>
      </c>
      <c r="AJ200" s="820" t="s">
        <v>362</v>
      </c>
      <c r="AK200" s="820" t="s">
        <v>1663</v>
      </c>
      <c r="AL200" s="33"/>
      <c r="AM200" s="33"/>
      <c r="AN200" s="33"/>
      <c r="AO200" s="33"/>
      <c r="AP200" s="33"/>
      <c r="AQ200" s="842"/>
      <c r="AR200" s="820" t="s">
        <v>236</v>
      </c>
      <c r="AS200" s="829" t="s">
        <v>2101</v>
      </c>
      <c r="AT200" s="362" t="s">
        <v>238</v>
      </c>
      <c r="AU200" s="829" t="s">
        <v>238</v>
      </c>
      <c r="AV200" s="919"/>
    </row>
    <row r="201" spans="1:48" ht="12.75" customHeight="1">
      <c r="A201" s="911" t="s">
        <v>1608</v>
      </c>
      <c r="B201" s="820" t="s">
        <v>1751</v>
      </c>
      <c r="C201" s="5">
        <v>0</v>
      </c>
      <c r="D201" s="5">
        <v>0</v>
      </c>
      <c r="E201" s="5">
        <v>0</v>
      </c>
      <c r="F201" s="5">
        <v>0</v>
      </c>
      <c r="G201" s="5">
        <v>0</v>
      </c>
      <c r="H201" s="5">
        <v>0</v>
      </c>
      <c r="I201" s="5">
        <v>0</v>
      </c>
      <c r="J201" s="5">
        <v>0</v>
      </c>
      <c r="K201" s="5">
        <v>0</v>
      </c>
      <c r="L201" s="5">
        <v>0</v>
      </c>
      <c r="M201" s="5">
        <v>0</v>
      </c>
      <c r="N201" s="5">
        <v>0</v>
      </c>
      <c r="O201" s="5">
        <v>0</v>
      </c>
      <c r="P201" s="5">
        <v>0</v>
      </c>
      <c r="Q201" s="5">
        <v>0</v>
      </c>
      <c r="R201" s="5">
        <v>0</v>
      </c>
      <c r="S201" s="5">
        <v>0</v>
      </c>
      <c r="T201" s="5">
        <v>0</v>
      </c>
      <c r="U201" s="5">
        <v>0</v>
      </c>
      <c r="V201" s="5">
        <v>0</v>
      </c>
      <c r="W201" s="5">
        <v>5.8230000000000004</v>
      </c>
      <c r="X201" s="913">
        <v>14.102</v>
      </c>
      <c r="Y201" s="913">
        <v>17.821000000000002</v>
      </c>
      <c r="Z201" s="913">
        <v>0</v>
      </c>
      <c r="AA201" s="5">
        <v>0</v>
      </c>
      <c r="AB201" s="5">
        <v>0</v>
      </c>
      <c r="AC201" s="826">
        <v>0</v>
      </c>
      <c r="AD201" s="914">
        <v>0</v>
      </c>
      <c r="AE201" s="914">
        <v>0</v>
      </c>
      <c r="AF201" s="915">
        <v>0</v>
      </c>
      <c r="AG201" s="913"/>
      <c r="AH201" s="916"/>
      <c r="AI201" s="6" t="s">
        <v>240</v>
      </c>
      <c r="AJ201" s="820" t="s">
        <v>403</v>
      </c>
      <c r="AK201" s="820" t="s">
        <v>1663</v>
      </c>
      <c r="AL201" s="33"/>
      <c r="AM201" s="33"/>
      <c r="AN201" s="33"/>
      <c r="AO201" s="33"/>
      <c r="AP201" s="33"/>
      <c r="AQ201" s="842"/>
      <c r="AR201" s="820" t="s">
        <v>236</v>
      </c>
      <c r="AS201" s="829" t="s">
        <v>1752</v>
      </c>
      <c r="AT201" s="362" t="s">
        <v>2102</v>
      </c>
      <c r="AU201" s="829" t="s">
        <v>1754</v>
      </c>
      <c r="AV201" s="919" t="s">
        <v>238</v>
      </c>
    </row>
    <row r="202" spans="1:48" ht="12.75" customHeight="1" thickBot="1">
      <c r="A202" s="911" t="s">
        <v>1608</v>
      </c>
      <c r="B202" s="820" t="s">
        <v>2103</v>
      </c>
      <c r="C202" s="5">
        <v>0</v>
      </c>
      <c r="D202" s="5">
        <v>0</v>
      </c>
      <c r="E202" s="5">
        <v>0</v>
      </c>
      <c r="F202" s="5">
        <v>0</v>
      </c>
      <c r="G202" s="5">
        <v>0</v>
      </c>
      <c r="H202" s="5">
        <v>0</v>
      </c>
      <c r="I202" s="5">
        <v>0</v>
      </c>
      <c r="J202" s="5">
        <v>0</v>
      </c>
      <c r="K202" s="5">
        <v>0</v>
      </c>
      <c r="L202" s="5">
        <v>0</v>
      </c>
      <c r="M202" s="5">
        <v>0</v>
      </c>
      <c r="N202" s="5">
        <v>0</v>
      </c>
      <c r="O202" s="5">
        <v>0</v>
      </c>
      <c r="P202" s="5">
        <v>0</v>
      </c>
      <c r="Q202" s="5">
        <v>0</v>
      </c>
      <c r="R202" s="5">
        <v>0</v>
      </c>
      <c r="S202" s="5">
        <v>0</v>
      </c>
      <c r="T202" s="5">
        <v>0</v>
      </c>
      <c r="U202" s="5">
        <v>0</v>
      </c>
      <c r="V202" s="5">
        <v>25</v>
      </c>
      <c r="W202" s="5">
        <v>30</v>
      </c>
      <c r="X202" s="913">
        <v>30</v>
      </c>
      <c r="Y202" s="913">
        <v>30</v>
      </c>
      <c r="Z202" s="913">
        <v>35</v>
      </c>
      <c r="AA202" s="5">
        <v>40</v>
      </c>
      <c r="AB202" s="5">
        <v>40</v>
      </c>
      <c r="AC202" s="945">
        <v>40</v>
      </c>
      <c r="AD202" s="914">
        <v>45</v>
      </c>
      <c r="AE202" s="914">
        <v>45</v>
      </c>
      <c r="AF202" s="946">
        <v>50</v>
      </c>
      <c r="AG202" s="947">
        <v>50</v>
      </c>
      <c r="AH202" s="948"/>
      <c r="AI202" s="6" t="s">
        <v>1172</v>
      </c>
      <c r="AJ202" s="820" t="s">
        <v>403</v>
      </c>
      <c r="AK202" s="820" t="s">
        <v>1691</v>
      </c>
      <c r="AL202" s="33"/>
      <c r="AM202" s="33"/>
      <c r="AN202" s="33"/>
      <c r="AO202" s="33"/>
      <c r="AP202" s="33"/>
      <c r="AQ202" s="842">
        <v>1</v>
      </c>
      <c r="AR202" s="820" t="s">
        <v>251</v>
      </c>
      <c r="AS202" s="829" t="s">
        <v>2104</v>
      </c>
      <c r="AT202" s="362" t="s">
        <v>2105</v>
      </c>
      <c r="AU202" s="829" t="s">
        <v>1902</v>
      </c>
      <c r="AV202" s="919" t="s">
        <v>238</v>
      </c>
    </row>
    <row r="203" spans="1:48" ht="15" customHeight="1" thickTop="1" thickBot="1">
      <c r="A203" s="727"/>
      <c r="B203" s="727" t="s">
        <v>1622</v>
      </c>
      <c r="C203" s="731">
        <f t="shared" ref="C203:AH203" si="0">SUM(C7:C202)</f>
        <v>0</v>
      </c>
      <c r="D203" s="731">
        <f t="shared" si="0"/>
        <v>13.371</v>
      </c>
      <c r="E203" s="731">
        <f t="shared" si="0"/>
        <v>19.100999999999999</v>
      </c>
      <c r="F203" s="731">
        <f t="shared" si="0"/>
        <v>16.48</v>
      </c>
      <c r="G203" s="731">
        <f t="shared" si="0"/>
        <v>22.253</v>
      </c>
      <c r="H203" s="731">
        <f t="shared" si="0"/>
        <v>23.715000000000003</v>
      </c>
      <c r="I203" s="731">
        <f t="shared" si="0"/>
        <v>18.722999999999999</v>
      </c>
      <c r="J203" s="731">
        <f t="shared" si="0"/>
        <v>20.935000000000002</v>
      </c>
      <c r="K203" s="731">
        <f t="shared" si="0"/>
        <v>22.757999999999999</v>
      </c>
      <c r="L203" s="731">
        <f t="shared" si="0"/>
        <v>17.777000000000001</v>
      </c>
      <c r="M203" s="731">
        <f t="shared" si="0"/>
        <v>16.721</v>
      </c>
      <c r="N203" s="731">
        <f t="shared" si="0"/>
        <v>24.57</v>
      </c>
      <c r="O203" s="731">
        <f t="shared" si="0"/>
        <v>35.399000000000001</v>
      </c>
      <c r="P203" s="731">
        <f t="shared" si="0"/>
        <v>62.140541999999996</v>
      </c>
      <c r="Q203" s="731">
        <f t="shared" si="0"/>
        <v>123.76073999999998</v>
      </c>
      <c r="R203" s="731">
        <f t="shared" si="0"/>
        <v>145.35004951000002</v>
      </c>
      <c r="S203" s="731">
        <f t="shared" si="0"/>
        <v>200.85257578</v>
      </c>
      <c r="T203" s="731">
        <f t="shared" si="0"/>
        <v>171.52105594</v>
      </c>
      <c r="U203" s="731">
        <f t="shared" si="0"/>
        <v>290.12504467999997</v>
      </c>
      <c r="V203" s="731">
        <f t="shared" si="0"/>
        <v>419.82757691</v>
      </c>
      <c r="W203" s="731">
        <f t="shared" si="0"/>
        <v>588.52655850999986</v>
      </c>
      <c r="X203" s="731">
        <f t="shared" si="0"/>
        <v>654.59032336000007</v>
      </c>
      <c r="Y203" s="731">
        <f t="shared" si="0"/>
        <v>627.23200000000008</v>
      </c>
      <c r="Z203" s="731">
        <f t="shared" si="0"/>
        <v>1133.1660789999994</v>
      </c>
      <c r="AA203" s="731">
        <f t="shared" si="0"/>
        <v>1022.1166190000001</v>
      </c>
      <c r="AB203" s="731">
        <f t="shared" si="0"/>
        <v>976.66891927291124</v>
      </c>
      <c r="AC203" s="755">
        <f t="shared" si="0"/>
        <v>1188.8308168846618</v>
      </c>
      <c r="AD203" s="763">
        <f t="shared" si="0"/>
        <v>1825.6107377666247</v>
      </c>
      <c r="AE203" s="763">
        <f t="shared" si="0"/>
        <v>1135.8899519112208</v>
      </c>
      <c r="AF203" s="755">
        <f t="shared" si="0"/>
        <v>930.70253074027619</v>
      </c>
      <c r="AG203" s="756">
        <f t="shared" si="0"/>
        <v>683.29200000000003</v>
      </c>
      <c r="AH203" s="756">
        <f t="shared" si="0"/>
        <v>447.70899999999995</v>
      </c>
      <c r="AI203" s="728"/>
      <c r="AJ203" s="728"/>
      <c r="AK203" s="728"/>
      <c r="AL203" s="727">
        <f>SUM(OtherSRI[Transitioning to a net zero future])</f>
        <v>23</v>
      </c>
      <c r="AM203" s="727">
        <f>SUM(OtherSRI[Supporting healthy and thriving communities])</f>
        <v>24</v>
      </c>
      <c r="AN203" s="727">
        <f>SUM(OtherSRI[Elevating Aboriginal and Torres Strait Islander knowledge systems])</f>
        <v>14</v>
      </c>
      <c r="AO203" s="727">
        <f>SUM(OtherSRI[Protecting and restoring Australia''s environment])</f>
        <v>21</v>
      </c>
      <c r="AP203" s="727">
        <f>SUM(OtherSRI[Building a secure and resilient nation])</f>
        <v>35</v>
      </c>
      <c r="AQ203" s="727">
        <f>SUM(OtherSRI[Other research area])</f>
        <v>17</v>
      </c>
      <c r="AR203" s="728"/>
      <c r="AS203" s="727"/>
      <c r="AT203" s="730"/>
      <c r="AU203" s="727"/>
      <c r="AV203" s="729"/>
    </row>
    <row r="204" spans="1:48" ht="13.5" thickTop="1">
      <c r="AG204" s="1"/>
    </row>
    <row r="205" spans="1:48">
      <c r="B205" s="1018" t="s">
        <v>2106</v>
      </c>
      <c r="Y205" s="1019" t="s">
        <v>2107</v>
      </c>
      <c r="Z205" s="1020"/>
      <c r="AA205" s="1021"/>
      <c r="AB205" s="362"/>
      <c r="AC205" s="1019" t="s">
        <v>2108</v>
      </c>
      <c r="AD205" s="1020"/>
      <c r="AE205" s="1020"/>
      <c r="AF205" s="1021"/>
      <c r="AG205" s="732"/>
      <c r="AH205" s="732"/>
    </row>
    <row r="206" spans="1:48">
      <c r="B206" s="1018"/>
      <c r="Y206" s="1022"/>
      <c r="Z206" s="1023"/>
      <c r="AA206" s="1024"/>
      <c r="AB206" s="362"/>
      <c r="AC206" s="1022"/>
      <c r="AD206" s="1023"/>
      <c r="AE206" s="1023"/>
      <c r="AF206" s="1024"/>
      <c r="AG206" s="732"/>
      <c r="AH206" s="732"/>
    </row>
    <row r="207" spans="1:48">
      <c r="B207" s="1018"/>
      <c r="Y207" s="1022"/>
      <c r="Z207" s="1023"/>
      <c r="AA207" s="1024"/>
      <c r="AB207" s="362"/>
      <c r="AC207" s="1022"/>
      <c r="AD207" s="1023"/>
      <c r="AE207" s="1023"/>
      <c r="AF207" s="1024"/>
      <c r="AG207" s="732"/>
      <c r="AH207" s="732"/>
    </row>
    <row r="208" spans="1:48">
      <c r="B208" s="1018"/>
      <c r="Y208" s="1022"/>
      <c r="Z208" s="1023"/>
      <c r="AA208" s="1024"/>
      <c r="AB208" s="362"/>
      <c r="AC208" s="1022"/>
      <c r="AD208" s="1023"/>
      <c r="AE208" s="1023"/>
      <c r="AF208" s="1024"/>
      <c r="AG208" s="732"/>
      <c r="AH208" s="732"/>
    </row>
    <row r="209" spans="2:34" ht="12.75" customHeight="1">
      <c r="B209" s="1018"/>
      <c r="Y209" s="1022"/>
      <c r="Z209" s="1023"/>
      <c r="AA209" s="1024"/>
      <c r="AB209" s="362"/>
      <c r="AC209" s="1022"/>
      <c r="AD209" s="1023"/>
      <c r="AE209" s="1023"/>
      <c r="AF209" s="1024"/>
      <c r="AG209" s="732"/>
      <c r="AH209" s="732"/>
    </row>
    <row r="210" spans="2:34" ht="12.75" customHeight="1">
      <c r="B210" s="1018"/>
      <c r="Y210" s="1025"/>
      <c r="Z210" s="1026"/>
      <c r="AA210" s="1027"/>
      <c r="AB210" s="362"/>
      <c r="AC210" s="1025"/>
      <c r="AD210" s="1026"/>
      <c r="AE210" s="1026"/>
      <c r="AF210" s="1027"/>
      <c r="AG210" s="732"/>
      <c r="AH210" s="732"/>
    </row>
    <row r="211" spans="2:34" ht="12.75" customHeight="1">
      <c r="AG211" s="1"/>
    </row>
    <row r="212" spans="2:34" ht="12.75" customHeight="1">
      <c r="AG212" s="1"/>
    </row>
    <row r="213" spans="2:34" ht="12.75" customHeight="1">
      <c r="C213" s="445"/>
      <c r="D213" s="445"/>
      <c r="E213" s="445"/>
      <c r="F213" s="445"/>
      <c r="G213" s="445"/>
      <c r="H213" s="445"/>
      <c r="I213" s="445"/>
      <c r="J213" s="445"/>
      <c r="K213" s="445"/>
      <c r="L213" s="445"/>
      <c r="M213" s="445"/>
      <c r="N213" s="445"/>
      <c r="O213" s="445"/>
      <c r="P213" s="445"/>
      <c r="Q213" s="445"/>
      <c r="R213" s="445"/>
      <c r="S213" s="445"/>
      <c r="T213" s="445"/>
      <c r="U213" s="445"/>
      <c r="V213" s="445"/>
      <c r="W213" s="445"/>
      <c r="X213" s="445"/>
      <c r="Y213" s="445"/>
      <c r="Z213" s="445"/>
      <c r="AA213" s="445"/>
      <c r="AB213" s="445"/>
      <c r="AC213" s="445"/>
      <c r="AD213" s="445"/>
      <c r="AE213" s="445"/>
      <c r="AF213" s="445"/>
      <c r="AG213" s="445"/>
    </row>
    <row r="214" spans="2:34" ht="12.75" customHeight="1">
      <c r="AE214" s="2"/>
      <c r="AG214" s="1"/>
    </row>
    <row r="215" spans="2:34" ht="12.75" customHeight="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row>
    <row r="216" spans="2:34" ht="12.75" customHeight="1">
      <c r="AG216" s="1"/>
    </row>
    <row r="217" spans="2:34" ht="12.75" customHeight="1">
      <c r="AG217" s="1"/>
    </row>
    <row r="218" spans="2:34" ht="12.75" customHeight="1">
      <c r="AG218" s="1"/>
    </row>
    <row r="219" spans="2:34" ht="12.75" customHeight="1">
      <c r="AG219" s="1"/>
    </row>
    <row r="220" spans="2:34" ht="12.75" customHeight="1">
      <c r="AG220" s="1"/>
    </row>
    <row r="221" spans="2:34" ht="12.75" customHeight="1">
      <c r="AG221" s="1"/>
    </row>
    <row r="222" spans="2:34" ht="12.75" customHeight="1">
      <c r="AG222" s="1"/>
    </row>
    <row r="223" spans="2:34" ht="12.75" customHeight="1">
      <c r="AG223" s="1"/>
    </row>
    <row r="224" spans="2:34" ht="12.75" customHeight="1">
      <c r="AG224" s="1"/>
    </row>
    <row r="225" spans="33:33" ht="12.75" customHeight="1">
      <c r="AG225" s="1"/>
    </row>
    <row r="226" spans="33:33" ht="12.75" customHeight="1">
      <c r="AG226" s="1"/>
    </row>
    <row r="227" spans="33:33" ht="12.75" customHeight="1">
      <c r="AG227" s="1"/>
    </row>
    <row r="228" spans="33:33" ht="12.75" customHeight="1">
      <c r="AG228" s="1"/>
    </row>
    <row r="229" spans="33:33" ht="12.75" customHeight="1">
      <c r="AG229" s="1"/>
    </row>
    <row r="230" spans="33:33" ht="12.75" customHeight="1">
      <c r="AG230" s="1"/>
    </row>
    <row r="231" spans="33:33" ht="12.75" customHeight="1">
      <c r="AG231" s="1"/>
    </row>
    <row r="232" spans="33:33" ht="12.75" customHeight="1">
      <c r="AG232" s="1"/>
    </row>
    <row r="233" spans="33:33" ht="12.75" customHeight="1">
      <c r="AG233" s="1"/>
    </row>
    <row r="234" spans="33:33" ht="12.75" customHeight="1">
      <c r="AG234" s="1"/>
    </row>
    <row r="235" spans="33:33" ht="12.75" customHeight="1">
      <c r="AG235" s="1"/>
    </row>
    <row r="236" spans="33:33" ht="12.75" customHeight="1">
      <c r="AG236" s="1"/>
    </row>
    <row r="237" spans="33:33" ht="12.75" customHeight="1">
      <c r="AG237" s="1"/>
    </row>
    <row r="238" spans="33:33" ht="12.75" customHeight="1">
      <c r="AG238" s="1"/>
    </row>
    <row r="239" spans="33:33" ht="12.75" customHeight="1">
      <c r="AG239" s="1"/>
    </row>
    <row r="240" spans="33:33" ht="12.75" customHeight="1">
      <c r="AG240" s="1"/>
    </row>
    <row r="241" spans="33:33" ht="12.75" customHeight="1">
      <c r="AG241" s="1"/>
    </row>
    <row r="242" spans="33:33" ht="12.75" customHeight="1">
      <c r="AG242" s="1"/>
    </row>
    <row r="243" spans="33:33" ht="12.75" customHeight="1">
      <c r="AG243" s="1"/>
    </row>
    <row r="244" spans="33:33" ht="12.75" customHeight="1">
      <c r="AG244" s="1"/>
    </row>
    <row r="245" spans="33:33" ht="12.75" customHeight="1">
      <c r="AG245" s="1"/>
    </row>
    <row r="246" spans="33:33" ht="12.75" customHeight="1">
      <c r="AG246" s="1"/>
    </row>
    <row r="247" spans="33:33" ht="12.75" customHeight="1">
      <c r="AG247" s="1"/>
    </row>
    <row r="248" spans="33:33" ht="12.75" customHeight="1">
      <c r="AG248" s="1"/>
    </row>
    <row r="249" spans="33:33" ht="12.75" customHeight="1">
      <c r="AG249" s="1"/>
    </row>
    <row r="250" spans="33:33" ht="12.75" customHeight="1">
      <c r="AG250" s="1"/>
    </row>
    <row r="251" spans="33:33" ht="12.75" customHeight="1">
      <c r="AG251" s="1"/>
    </row>
    <row r="252" spans="33:33" ht="12.75" customHeight="1">
      <c r="AG252" s="1"/>
    </row>
    <row r="253" spans="33:33" ht="12.75" customHeight="1">
      <c r="AG253" s="1"/>
    </row>
    <row r="254" spans="33:33" ht="12.75" customHeight="1">
      <c r="AG254" s="1"/>
    </row>
    <row r="255" spans="33:33" ht="12.75" customHeight="1">
      <c r="AG255" s="1"/>
    </row>
    <row r="256" spans="33:33" ht="12.75" customHeight="1">
      <c r="AG256" s="1"/>
    </row>
    <row r="257" spans="33:33" ht="12.75" customHeight="1">
      <c r="AG257" s="1"/>
    </row>
    <row r="258" spans="33:33" ht="12.75" customHeight="1">
      <c r="AG258" s="1"/>
    </row>
    <row r="259" spans="33:33" ht="12.75" customHeight="1">
      <c r="AG259" s="1"/>
    </row>
    <row r="260" spans="33:33" ht="12.75" customHeight="1">
      <c r="AG260" s="1"/>
    </row>
    <row r="261" spans="33:33" ht="12.75" customHeight="1">
      <c r="AG261" s="1"/>
    </row>
    <row r="262" spans="33:33" ht="12.75" customHeight="1">
      <c r="AG262" s="1"/>
    </row>
    <row r="263" spans="33:33" ht="12.75" customHeight="1">
      <c r="AG263" s="1"/>
    </row>
    <row r="264" spans="33:33" ht="12.75" customHeight="1">
      <c r="AG264" s="1"/>
    </row>
    <row r="265" spans="33:33" ht="12.75" customHeight="1">
      <c r="AG265" s="1"/>
    </row>
    <row r="266" spans="33:33" ht="12.75" customHeight="1">
      <c r="AG266" s="1"/>
    </row>
    <row r="267" spans="33:33" ht="12.75" customHeight="1">
      <c r="AG267" s="1"/>
    </row>
    <row r="268" spans="33:33" ht="12.75" customHeight="1">
      <c r="AG268" s="1"/>
    </row>
    <row r="269" spans="33:33" ht="12.75" customHeight="1">
      <c r="AG269" s="1"/>
    </row>
    <row r="270" spans="33:33" ht="12.75" customHeight="1">
      <c r="AG270" s="1"/>
    </row>
    <row r="271" spans="33:33" ht="12.75" customHeight="1">
      <c r="AG271" s="1"/>
    </row>
    <row r="272" spans="33:33" ht="12.75" customHeight="1">
      <c r="AG272" s="1"/>
    </row>
    <row r="273" spans="33:33" ht="12.75" customHeight="1">
      <c r="AG273" s="1"/>
    </row>
    <row r="274" spans="33:33" ht="12.75" customHeight="1">
      <c r="AG274" s="1"/>
    </row>
    <row r="275" spans="33:33" ht="12.75" customHeight="1">
      <c r="AG275" s="1"/>
    </row>
    <row r="276" spans="33:33" ht="12.75" customHeight="1">
      <c r="AG276" s="1"/>
    </row>
    <row r="277" spans="33:33" ht="12.75" customHeight="1">
      <c r="AG277" s="1"/>
    </row>
    <row r="278" spans="33:33" ht="12.75" customHeight="1">
      <c r="AG278" s="1"/>
    </row>
    <row r="279" spans="33:33" ht="12.75" customHeight="1">
      <c r="AG279" s="1"/>
    </row>
    <row r="280" spans="33:33" ht="12.75" customHeight="1">
      <c r="AG280" s="1"/>
    </row>
    <row r="281" spans="33:33" ht="12.75" customHeight="1">
      <c r="AG281" s="1"/>
    </row>
    <row r="282" spans="33:33" ht="12.75" customHeight="1">
      <c r="AG282" s="1"/>
    </row>
    <row r="283" spans="33:33" ht="12.75" customHeight="1">
      <c r="AG283" s="1"/>
    </row>
    <row r="284" spans="33:33" ht="12.75" customHeight="1">
      <c r="AG284" s="1"/>
    </row>
    <row r="285" spans="33:33" ht="12.75" customHeight="1">
      <c r="AG285" s="1"/>
    </row>
    <row r="286" spans="33:33" ht="12.75" customHeight="1">
      <c r="AG286" s="1"/>
    </row>
    <row r="287" spans="33:33" ht="12.75" customHeight="1">
      <c r="AG287" s="1"/>
    </row>
    <row r="288" spans="33:33" ht="12.75" customHeight="1">
      <c r="AG288" s="1"/>
    </row>
    <row r="289" spans="33:33" ht="12.75" customHeight="1">
      <c r="AG289" s="1"/>
    </row>
    <row r="290" spans="33:33" ht="12.75" customHeight="1">
      <c r="AG290" s="1"/>
    </row>
    <row r="291" spans="33:33" ht="12.75" customHeight="1">
      <c r="AG291" s="1"/>
    </row>
    <row r="292" spans="33:33" ht="12.75" customHeight="1">
      <c r="AG292" s="1"/>
    </row>
    <row r="293" spans="33:33" ht="12.75" customHeight="1">
      <c r="AG293" s="1"/>
    </row>
    <row r="294" spans="33:33" ht="12.75" customHeight="1">
      <c r="AG294" s="1"/>
    </row>
    <row r="295" spans="33:33" ht="12.75" customHeight="1">
      <c r="AG295" s="1"/>
    </row>
    <row r="296" spans="33:33" ht="12.75" customHeight="1">
      <c r="AG296" s="1"/>
    </row>
    <row r="297" spans="33:33" ht="12.75" customHeight="1">
      <c r="AG297" s="1"/>
    </row>
    <row r="298" spans="33:33" ht="12.75" customHeight="1">
      <c r="AG298" s="1"/>
    </row>
    <row r="299" spans="33:33" ht="12.75" customHeight="1">
      <c r="AG299" s="1"/>
    </row>
    <row r="300" spans="33:33" ht="12.75" customHeight="1">
      <c r="AG300" s="1"/>
    </row>
    <row r="301" spans="33:33" ht="12.75" customHeight="1">
      <c r="AG301" s="1"/>
    </row>
    <row r="302" spans="33:33" ht="12.75" customHeight="1">
      <c r="AG302" s="1"/>
    </row>
    <row r="303" spans="33:33" ht="12.75" customHeight="1">
      <c r="AG303" s="1"/>
    </row>
    <row r="304" spans="33:33" ht="12.75" customHeight="1">
      <c r="AG304" s="1"/>
    </row>
    <row r="305" spans="33:33" ht="12.75" customHeight="1">
      <c r="AG305" s="1"/>
    </row>
    <row r="306" spans="33:33" ht="12.75" customHeight="1">
      <c r="AG306" s="1"/>
    </row>
    <row r="307" spans="33:33" ht="12.75" customHeight="1">
      <c r="AG307" s="1"/>
    </row>
    <row r="308" spans="33:33" ht="12.75" customHeight="1">
      <c r="AG308" s="1"/>
    </row>
    <row r="309" spans="33:33" ht="12.75" customHeight="1">
      <c r="AG309" s="1"/>
    </row>
    <row r="310" spans="33:33" ht="12.75" customHeight="1">
      <c r="AG310" s="1"/>
    </row>
    <row r="311" spans="33:33" ht="12.75" customHeight="1">
      <c r="AG311" s="1"/>
    </row>
    <row r="312" spans="33:33" ht="12.75" customHeight="1">
      <c r="AG312" s="1"/>
    </row>
    <row r="313" spans="33:33" ht="12.75" customHeight="1">
      <c r="AG313" s="1"/>
    </row>
    <row r="314" spans="33:33" ht="12.75" customHeight="1">
      <c r="AG314" s="1"/>
    </row>
    <row r="315" spans="33:33" ht="12.75" customHeight="1">
      <c r="AG315" s="1"/>
    </row>
    <row r="316" spans="33:33" ht="12.75" customHeight="1">
      <c r="AG316" s="1"/>
    </row>
    <row r="317" spans="33:33" ht="12.75" customHeight="1">
      <c r="AG317" s="1"/>
    </row>
    <row r="318" spans="33:33" ht="12.75" customHeight="1">
      <c r="AG318" s="1"/>
    </row>
    <row r="319" spans="33:33" ht="12.75" customHeight="1">
      <c r="AG319" s="1"/>
    </row>
    <row r="320" spans="33:33" ht="12.75" customHeight="1">
      <c r="AG320" s="1"/>
    </row>
    <row r="321" spans="33:33" ht="12.75" customHeight="1">
      <c r="AG321" s="1"/>
    </row>
    <row r="322" spans="33:33" ht="12.75" customHeight="1">
      <c r="AG322" s="1"/>
    </row>
    <row r="323" spans="33:33" ht="12.75" customHeight="1">
      <c r="AG323" s="1"/>
    </row>
    <row r="324" spans="33:33" ht="12.75" customHeight="1">
      <c r="AG324" s="1"/>
    </row>
    <row r="325" spans="33:33" ht="12.75" customHeight="1">
      <c r="AG325" s="1"/>
    </row>
    <row r="326" spans="33:33" ht="12.75" customHeight="1">
      <c r="AG326" s="1"/>
    </row>
    <row r="327" spans="33:33" ht="12.75" customHeight="1">
      <c r="AG327" s="1"/>
    </row>
    <row r="328" spans="33:33" ht="12.75" customHeight="1">
      <c r="AG328" s="1"/>
    </row>
    <row r="329" spans="33:33" ht="12.75" customHeight="1">
      <c r="AG329" s="1"/>
    </row>
    <row r="330" spans="33:33" ht="12.75" customHeight="1">
      <c r="AG330" s="1"/>
    </row>
    <row r="331" spans="33:33" ht="12.75" customHeight="1">
      <c r="AG331" s="1"/>
    </row>
    <row r="332" spans="33:33" ht="12.75" customHeight="1">
      <c r="AG332" s="1"/>
    </row>
    <row r="333" spans="33:33" ht="12.75" customHeight="1">
      <c r="AG333" s="1"/>
    </row>
    <row r="334" spans="33:33" ht="12.75" customHeight="1">
      <c r="AG334" s="1"/>
    </row>
    <row r="335" spans="33:33" ht="12.75" customHeight="1">
      <c r="AG335" s="1"/>
    </row>
    <row r="336" spans="33:33" ht="12.75" customHeight="1">
      <c r="AG336" s="1"/>
    </row>
    <row r="337" spans="33:33" ht="12.75" customHeight="1">
      <c r="AG337" s="1"/>
    </row>
    <row r="338" spans="33:33" ht="12.75" customHeight="1">
      <c r="AG338" s="1"/>
    </row>
    <row r="339" spans="33:33" ht="12.75" customHeight="1">
      <c r="AG339" s="1"/>
    </row>
    <row r="340" spans="33:33" ht="12.75" customHeight="1">
      <c r="AG340" s="1"/>
    </row>
    <row r="341" spans="33:33" ht="12.75" customHeight="1">
      <c r="AG341" s="1"/>
    </row>
    <row r="342" spans="33:33" ht="12.75" customHeight="1">
      <c r="AG342" s="1"/>
    </row>
    <row r="343" spans="33:33" ht="12.75" customHeight="1">
      <c r="AG343" s="1"/>
    </row>
    <row r="344" spans="33:33" ht="12.75" customHeight="1">
      <c r="AG344" s="1"/>
    </row>
    <row r="345" spans="33:33" ht="12.75" customHeight="1">
      <c r="AG345" s="1"/>
    </row>
    <row r="346" spans="33:33" ht="12.75" customHeight="1">
      <c r="AG346" s="1"/>
    </row>
    <row r="347" spans="33:33" ht="12.75" customHeight="1">
      <c r="AG347" s="1"/>
    </row>
    <row r="348" spans="33:33" ht="12.75" customHeight="1">
      <c r="AG348" s="1"/>
    </row>
    <row r="349" spans="33:33" ht="12.75" customHeight="1">
      <c r="AG349" s="1"/>
    </row>
    <row r="350" spans="33:33" ht="12.75" customHeight="1">
      <c r="AG350" s="1"/>
    </row>
    <row r="351" spans="33:33" ht="12.75" customHeight="1">
      <c r="AG351" s="1"/>
    </row>
    <row r="352" spans="33:33" ht="12.75" customHeight="1">
      <c r="AG352" s="1"/>
    </row>
    <row r="353" spans="33:33" ht="12.75" customHeight="1">
      <c r="AG353" s="1"/>
    </row>
    <row r="354" spans="33:33" ht="12.75" customHeight="1">
      <c r="AG354" s="1"/>
    </row>
    <row r="355" spans="33:33" ht="12.75" customHeight="1">
      <c r="AG355" s="1"/>
    </row>
    <row r="356" spans="33:33" ht="12.75" customHeight="1">
      <c r="AG356" s="1"/>
    </row>
    <row r="357" spans="33:33" ht="12.75" customHeight="1">
      <c r="AG357" s="1"/>
    </row>
    <row r="358" spans="33:33" ht="12.75" customHeight="1">
      <c r="AG358" s="1"/>
    </row>
    <row r="359" spans="33:33" ht="12.75" customHeight="1">
      <c r="AG359" s="1"/>
    </row>
    <row r="360" spans="33:33" ht="12.75" customHeight="1">
      <c r="AG360" s="1"/>
    </row>
    <row r="361" spans="33:33" ht="12.75" customHeight="1">
      <c r="AG361" s="1"/>
    </row>
    <row r="362" spans="33:33" ht="12.75" customHeight="1">
      <c r="AG362" s="1"/>
    </row>
    <row r="363" spans="33:33" ht="12.75" customHeight="1">
      <c r="AG363" s="1"/>
    </row>
    <row r="364" spans="33:33" ht="12.75" customHeight="1">
      <c r="AG364" s="1"/>
    </row>
    <row r="365" spans="33:33" ht="12.75" customHeight="1">
      <c r="AG365" s="1"/>
    </row>
    <row r="366" spans="33:33" ht="12.75" customHeight="1">
      <c r="AG366" s="1"/>
    </row>
    <row r="367" spans="33:33" ht="12.75" customHeight="1">
      <c r="AG367" s="1"/>
    </row>
    <row r="368" spans="33:33" ht="12.75" customHeight="1">
      <c r="AG368" s="1"/>
    </row>
    <row r="369" spans="33:33" ht="12.75" customHeight="1">
      <c r="AG369" s="1"/>
    </row>
    <row r="370" spans="33:33" ht="12.75" customHeight="1">
      <c r="AG370" s="1"/>
    </row>
    <row r="371" spans="33:33" ht="12.75" customHeight="1">
      <c r="AG371" s="1"/>
    </row>
    <row r="372" spans="33:33" ht="12.75" customHeight="1">
      <c r="AG372" s="1"/>
    </row>
    <row r="373" spans="33:33" ht="12.75" customHeight="1">
      <c r="AG373" s="1"/>
    </row>
    <row r="374" spans="33:33" ht="12.75" customHeight="1">
      <c r="AG374" s="1"/>
    </row>
    <row r="375" spans="33:33" ht="12.75" customHeight="1">
      <c r="AG375" s="1"/>
    </row>
    <row r="376" spans="33:33" ht="12.75" customHeight="1">
      <c r="AG376" s="1"/>
    </row>
    <row r="377" spans="33:33" ht="12.75" customHeight="1">
      <c r="AG377" s="1"/>
    </row>
    <row r="378" spans="33:33" ht="12.75" customHeight="1">
      <c r="AG378" s="1"/>
    </row>
    <row r="379" spans="33:33" ht="12.75" customHeight="1">
      <c r="AG379" s="1"/>
    </row>
    <row r="380" spans="33:33" ht="12.75" customHeight="1">
      <c r="AG380" s="1"/>
    </row>
    <row r="381" spans="33:33" ht="12.75" customHeight="1">
      <c r="AG381" s="1"/>
    </row>
    <row r="382" spans="33:33" ht="12.75" customHeight="1">
      <c r="AG382" s="1"/>
    </row>
    <row r="383" spans="33:33" ht="12.75" customHeight="1">
      <c r="AG383" s="1"/>
    </row>
    <row r="384" spans="33:33" ht="12.75" customHeight="1">
      <c r="AG384" s="1"/>
    </row>
    <row r="385" spans="33:33" ht="12.75" customHeight="1">
      <c r="AG385" s="1"/>
    </row>
    <row r="386" spans="33:33" ht="12.75" customHeight="1">
      <c r="AG386" s="1"/>
    </row>
    <row r="387" spans="33:33" ht="12.75" customHeight="1">
      <c r="AG387" s="1"/>
    </row>
    <row r="388" spans="33:33" ht="12.75" customHeight="1">
      <c r="AG388" s="1"/>
    </row>
    <row r="389" spans="33:33" ht="12.75" customHeight="1">
      <c r="AG389" s="1"/>
    </row>
    <row r="390" spans="33:33" ht="12.75" customHeight="1">
      <c r="AG390" s="1"/>
    </row>
    <row r="391" spans="33:33" ht="12.75" customHeight="1">
      <c r="AG391" s="1"/>
    </row>
    <row r="392" spans="33:33" ht="12.75" customHeight="1">
      <c r="AG392" s="1"/>
    </row>
    <row r="393" spans="33:33" ht="12.75" customHeight="1">
      <c r="AG393" s="1"/>
    </row>
    <row r="394" spans="33:33" ht="12.75" customHeight="1">
      <c r="AG394" s="1"/>
    </row>
    <row r="395" spans="33:33" ht="12.75" customHeight="1">
      <c r="AG395" s="1"/>
    </row>
    <row r="396" spans="33:33" ht="12.75" customHeight="1">
      <c r="AG396" s="1"/>
    </row>
    <row r="397" spans="33:33" ht="12.75" customHeight="1">
      <c r="AG397" s="1"/>
    </row>
    <row r="398" spans="33:33" ht="12.75" customHeight="1">
      <c r="AG398" s="1"/>
    </row>
    <row r="399" spans="33:33" ht="12.75" customHeight="1">
      <c r="AG399" s="1"/>
    </row>
    <row r="400" spans="33:33" ht="12.75" customHeight="1">
      <c r="AG400" s="1"/>
    </row>
    <row r="401" spans="33:33" ht="12.75" customHeight="1">
      <c r="AG401" s="1"/>
    </row>
    <row r="402" spans="33:33" ht="12.75" customHeight="1">
      <c r="AG402" s="1"/>
    </row>
    <row r="403" spans="33:33" ht="12.75" customHeight="1">
      <c r="AG403" s="1"/>
    </row>
    <row r="404" spans="33:33" ht="12.75" customHeight="1">
      <c r="AG404" s="1"/>
    </row>
    <row r="405" spans="33:33" ht="12.75" customHeight="1">
      <c r="AG405" s="1"/>
    </row>
    <row r="406" spans="33:33" ht="12.75" customHeight="1">
      <c r="AG406" s="1"/>
    </row>
    <row r="407" spans="33:33" ht="12.75" customHeight="1">
      <c r="AG407" s="1"/>
    </row>
    <row r="408" spans="33:33" ht="12.75" customHeight="1">
      <c r="AG408" s="1"/>
    </row>
    <row r="409" spans="33:33" ht="12.75" customHeight="1">
      <c r="AG409" s="1"/>
    </row>
    <row r="410" spans="33:33" ht="12.75" customHeight="1">
      <c r="AG410" s="1"/>
    </row>
    <row r="411" spans="33:33" ht="12.75" customHeight="1">
      <c r="AG411" s="1"/>
    </row>
    <row r="412" spans="33:33" ht="12.75" customHeight="1">
      <c r="AG412" s="1"/>
    </row>
    <row r="413" spans="33:33" ht="12.75" customHeight="1">
      <c r="AG413" s="1"/>
    </row>
    <row r="414" spans="33:33" ht="12.75" customHeight="1">
      <c r="AG414" s="1"/>
    </row>
    <row r="415" spans="33:33" ht="12.75" customHeight="1">
      <c r="AG415" s="1"/>
    </row>
    <row r="416" spans="33:33" ht="12.75" customHeight="1">
      <c r="AG416" s="1"/>
    </row>
    <row r="417" spans="33:33" ht="12.75" customHeight="1">
      <c r="AG417" s="1"/>
    </row>
    <row r="418" spans="33:33" ht="12.75" customHeight="1">
      <c r="AG418" s="1"/>
    </row>
    <row r="419" spans="33:33" ht="12.75" customHeight="1">
      <c r="AG419" s="1"/>
    </row>
    <row r="420" spans="33:33" ht="12.75" customHeight="1">
      <c r="AG420" s="1"/>
    </row>
    <row r="421" spans="33:33" ht="12.75" customHeight="1">
      <c r="AG421" s="1"/>
    </row>
    <row r="422" spans="33:33" ht="12.75" customHeight="1">
      <c r="AG422" s="1"/>
    </row>
    <row r="423" spans="33:33" ht="12.75" customHeight="1">
      <c r="AG423" s="1"/>
    </row>
    <row r="424" spans="33:33" ht="12.75" customHeight="1">
      <c r="AG424" s="1"/>
    </row>
    <row r="425" spans="33:33" ht="12.75" customHeight="1">
      <c r="AG425" s="1"/>
    </row>
    <row r="426" spans="33:33" ht="12.75" customHeight="1">
      <c r="AG426" s="1"/>
    </row>
    <row r="427" spans="33:33" ht="12.75" customHeight="1">
      <c r="AG427" s="1"/>
    </row>
    <row r="428" spans="33:33" ht="12.75" customHeight="1">
      <c r="AG428" s="1"/>
    </row>
    <row r="429" spans="33:33" ht="12.75" customHeight="1">
      <c r="AG429" s="1"/>
    </row>
    <row r="430" spans="33:33" ht="12.75" customHeight="1">
      <c r="AG430" s="1"/>
    </row>
    <row r="431" spans="33:33" ht="12.75" customHeight="1">
      <c r="AG431" s="1"/>
    </row>
    <row r="432" spans="33:33" ht="12.75" customHeight="1">
      <c r="AG432" s="1"/>
    </row>
    <row r="433" spans="33:33" ht="12.75" customHeight="1">
      <c r="AG433" s="1"/>
    </row>
    <row r="434" spans="33:33" ht="12.75" customHeight="1">
      <c r="AG434" s="1"/>
    </row>
    <row r="435" spans="33:33" ht="12.75" customHeight="1">
      <c r="AG435" s="1"/>
    </row>
    <row r="436" spans="33:33" ht="12.75" customHeight="1">
      <c r="AG436" s="1"/>
    </row>
    <row r="437" spans="33:33" ht="12.75" customHeight="1">
      <c r="AG437" s="1"/>
    </row>
    <row r="438" spans="33:33" ht="12.75" customHeight="1">
      <c r="AG438" s="1"/>
    </row>
    <row r="439" spans="33:33" ht="12.75" customHeight="1">
      <c r="AG439" s="1"/>
    </row>
    <row r="440" spans="33:33" ht="12.75" customHeight="1">
      <c r="AG440" s="1"/>
    </row>
    <row r="441" spans="33:33" ht="12.75" customHeight="1">
      <c r="AG441" s="1"/>
    </row>
    <row r="442" spans="33:33" ht="12.75" customHeight="1">
      <c r="AG442" s="1"/>
    </row>
    <row r="443" spans="33:33" ht="12.75" customHeight="1">
      <c r="AG443" s="1"/>
    </row>
    <row r="444" spans="33:33" ht="12.75" customHeight="1">
      <c r="AG444" s="1"/>
    </row>
    <row r="445" spans="33:33" ht="12.75" customHeight="1">
      <c r="AG445" s="1"/>
    </row>
    <row r="446" spans="33:33" ht="12.75" customHeight="1">
      <c r="AG446" s="1"/>
    </row>
    <row r="447" spans="33:33" ht="12.75" customHeight="1">
      <c r="AG447" s="1"/>
    </row>
    <row r="448" spans="33:33" ht="12.75" customHeight="1">
      <c r="AG448" s="1"/>
    </row>
    <row r="449" spans="33:33" ht="12.75" customHeight="1">
      <c r="AG449" s="1"/>
    </row>
    <row r="450" spans="33:33" ht="12.75" customHeight="1">
      <c r="AG450" s="1"/>
    </row>
    <row r="451" spans="33:33" ht="12.75" customHeight="1">
      <c r="AG451" s="1"/>
    </row>
    <row r="452" spans="33:33" ht="12.75" customHeight="1">
      <c r="AG452" s="1"/>
    </row>
    <row r="453" spans="33:33" ht="12.75" customHeight="1">
      <c r="AG453" s="1"/>
    </row>
    <row r="454" spans="33:33" ht="12.75" customHeight="1">
      <c r="AG454" s="1"/>
    </row>
    <row r="455" spans="33:33" ht="12.75" customHeight="1">
      <c r="AG455" s="1"/>
    </row>
    <row r="456" spans="33:33" ht="12.75" customHeight="1">
      <c r="AG456" s="1"/>
    </row>
    <row r="457" spans="33:33" ht="12.75" customHeight="1">
      <c r="AG457" s="1"/>
    </row>
    <row r="458" spans="33:33" ht="12.75" customHeight="1">
      <c r="AG458" s="1"/>
    </row>
    <row r="459" spans="33:33" ht="12.75" customHeight="1">
      <c r="AG459" s="1"/>
    </row>
    <row r="460" spans="33:33" ht="12.75" customHeight="1">
      <c r="AG460" s="1"/>
    </row>
    <row r="461" spans="33:33" ht="12.75" customHeight="1">
      <c r="AG461" s="1"/>
    </row>
    <row r="462" spans="33:33" ht="12.75" customHeight="1">
      <c r="AG462" s="1"/>
    </row>
    <row r="463" spans="33:33" ht="12.75" customHeight="1">
      <c r="AG463" s="1"/>
    </row>
    <row r="464" spans="33:33" ht="12.75" customHeight="1">
      <c r="AG464" s="1"/>
    </row>
    <row r="465" spans="33:33" ht="12.75" customHeight="1">
      <c r="AG465" s="1"/>
    </row>
    <row r="466" spans="33:33" ht="12.75" customHeight="1">
      <c r="AG466" s="1"/>
    </row>
    <row r="467" spans="33:33" ht="12.75" customHeight="1">
      <c r="AG467" s="1"/>
    </row>
    <row r="468" spans="33:33" ht="12.75" customHeight="1">
      <c r="AG468" s="1"/>
    </row>
    <row r="469" spans="33:33" ht="12.75" customHeight="1">
      <c r="AG469" s="1"/>
    </row>
    <row r="470" spans="33:33" ht="12.75" customHeight="1">
      <c r="AG470" s="1"/>
    </row>
    <row r="471" spans="33:33" ht="12.75" customHeight="1">
      <c r="AG471" s="1"/>
    </row>
    <row r="472" spans="33:33" ht="12.75" customHeight="1">
      <c r="AG472" s="1"/>
    </row>
    <row r="473" spans="33:33" ht="12.75" customHeight="1">
      <c r="AG473" s="1"/>
    </row>
    <row r="474" spans="33:33" ht="12.75" customHeight="1">
      <c r="AG474" s="1"/>
    </row>
    <row r="475" spans="33:33" ht="12.75" customHeight="1">
      <c r="AG475" s="1"/>
    </row>
    <row r="476" spans="33:33" ht="12.75" customHeight="1">
      <c r="AG476" s="1"/>
    </row>
    <row r="477" spans="33:33" ht="12.75" customHeight="1">
      <c r="AG477" s="1"/>
    </row>
    <row r="478" spans="33:33" ht="12.75" customHeight="1">
      <c r="AG478" s="1"/>
    </row>
    <row r="479" spans="33:33" ht="12.75" customHeight="1">
      <c r="AG479" s="1"/>
    </row>
    <row r="480" spans="33:33" ht="12.75" customHeight="1">
      <c r="AG480" s="1"/>
    </row>
    <row r="481" spans="33:33" ht="12.75" customHeight="1">
      <c r="AG481" s="1"/>
    </row>
    <row r="482" spans="33:33" ht="12.75" customHeight="1">
      <c r="AG482" s="1"/>
    </row>
    <row r="483" spans="33:33" ht="12.75" customHeight="1">
      <c r="AG483" s="1"/>
    </row>
    <row r="484" spans="33:33" ht="12.75" customHeight="1">
      <c r="AG484" s="1"/>
    </row>
    <row r="485" spans="33:33" ht="12.75" customHeight="1">
      <c r="AG485" s="1"/>
    </row>
    <row r="486" spans="33:33" ht="12.75" customHeight="1">
      <c r="AG486" s="1"/>
    </row>
    <row r="487" spans="33:33" ht="12.75" customHeight="1">
      <c r="AG487" s="1"/>
    </row>
    <row r="488" spans="33:33" ht="12.75" customHeight="1">
      <c r="AG488" s="1"/>
    </row>
    <row r="489" spans="33:33" ht="12.75" customHeight="1">
      <c r="AG489" s="1"/>
    </row>
    <row r="490" spans="33:33" ht="12.75" customHeight="1">
      <c r="AG490" s="1"/>
    </row>
    <row r="491" spans="33:33" ht="12.75" customHeight="1">
      <c r="AG491" s="1"/>
    </row>
    <row r="492" spans="33:33" ht="12.75" customHeight="1">
      <c r="AG492" s="1"/>
    </row>
    <row r="493" spans="33:33" ht="12.75" customHeight="1">
      <c r="AG493" s="1"/>
    </row>
    <row r="494" spans="33:33" ht="12.75" customHeight="1">
      <c r="AG494" s="1"/>
    </row>
    <row r="495" spans="33:33" ht="12.75" customHeight="1">
      <c r="AG495" s="1"/>
    </row>
    <row r="496" spans="33:33" ht="12.75" customHeight="1">
      <c r="AG496" s="1"/>
    </row>
    <row r="497" spans="33:33" ht="12.75" customHeight="1">
      <c r="AG497" s="1"/>
    </row>
    <row r="498" spans="33:33" ht="12.75" customHeight="1">
      <c r="AG498" s="1"/>
    </row>
    <row r="499" spans="33:33" ht="12.75" customHeight="1">
      <c r="AG499" s="1"/>
    </row>
    <row r="500" spans="33:33" ht="12.75" customHeight="1">
      <c r="AG500" s="1"/>
    </row>
    <row r="501" spans="33:33" ht="12.75" customHeight="1">
      <c r="AG501" s="1"/>
    </row>
    <row r="502" spans="33:33" ht="12.75" customHeight="1">
      <c r="AG502" s="1"/>
    </row>
    <row r="503" spans="33:33" ht="12.75" customHeight="1">
      <c r="AG503" s="1"/>
    </row>
    <row r="504" spans="33:33" ht="12.75" customHeight="1">
      <c r="AG504" s="1"/>
    </row>
    <row r="505" spans="33:33" ht="12.75" customHeight="1">
      <c r="AG505" s="1"/>
    </row>
    <row r="506" spans="33:33" ht="12.75" customHeight="1">
      <c r="AG506" s="1"/>
    </row>
    <row r="507" spans="33:33" ht="12.75" customHeight="1">
      <c r="AG507" s="1"/>
    </row>
    <row r="508" spans="33:33" ht="12.75" customHeight="1">
      <c r="AG508" s="1"/>
    </row>
    <row r="509" spans="33:33" ht="12.75" customHeight="1">
      <c r="AG509" s="1"/>
    </row>
    <row r="510" spans="33:33" ht="12.75" customHeight="1">
      <c r="AG510" s="1"/>
    </row>
    <row r="511" spans="33:33" ht="12.75" customHeight="1">
      <c r="AG511" s="1"/>
    </row>
    <row r="512" spans="33:33" ht="12.75" customHeight="1">
      <c r="AG512" s="1"/>
    </row>
    <row r="513" spans="33:33" ht="12.75" customHeight="1">
      <c r="AG513" s="1"/>
    </row>
    <row r="514" spans="33:33" ht="12.75" customHeight="1">
      <c r="AG514" s="1"/>
    </row>
    <row r="515" spans="33:33" ht="12.75" customHeight="1">
      <c r="AG515" s="1"/>
    </row>
    <row r="516" spans="33:33" ht="12.75" customHeight="1">
      <c r="AG516" s="1"/>
    </row>
    <row r="517" spans="33:33" ht="12.75" customHeight="1">
      <c r="AG517" s="1"/>
    </row>
    <row r="518" spans="33:33" ht="12.75" customHeight="1">
      <c r="AG518" s="1"/>
    </row>
    <row r="519" spans="33:33" ht="12.75" customHeight="1">
      <c r="AG519" s="1"/>
    </row>
    <row r="520" spans="33:33" ht="12.75" customHeight="1">
      <c r="AG520" s="1"/>
    </row>
    <row r="521" spans="33:33" ht="12.75" customHeight="1">
      <c r="AG521" s="1"/>
    </row>
    <row r="522" spans="33:33" ht="12.75" customHeight="1">
      <c r="AG522" s="1"/>
    </row>
    <row r="523" spans="33:33" ht="12.75" customHeight="1">
      <c r="AG523" s="1"/>
    </row>
    <row r="524" spans="33:33" ht="12.75" customHeight="1">
      <c r="AG524" s="1"/>
    </row>
    <row r="525" spans="33:33" ht="12.75" customHeight="1">
      <c r="AG525" s="1"/>
    </row>
    <row r="526" spans="33:33" ht="12.75" customHeight="1">
      <c r="AG526" s="1"/>
    </row>
    <row r="527" spans="33:33" ht="12.75" customHeight="1">
      <c r="AG527" s="1"/>
    </row>
    <row r="528" spans="33:33" ht="12.75" customHeight="1">
      <c r="AG528" s="1"/>
    </row>
    <row r="529" spans="33:33" ht="12.75" customHeight="1">
      <c r="AG529" s="1"/>
    </row>
    <row r="530" spans="33:33" ht="12.75" customHeight="1">
      <c r="AG530" s="1"/>
    </row>
    <row r="531" spans="33:33" ht="12.75" customHeight="1">
      <c r="AG531" s="1"/>
    </row>
    <row r="532" spans="33:33" ht="12.75" customHeight="1">
      <c r="AG532" s="1"/>
    </row>
    <row r="533" spans="33:33" ht="12.75" customHeight="1">
      <c r="AG533" s="1"/>
    </row>
    <row r="534" spans="33:33" ht="12.75" customHeight="1">
      <c r="AG534" s="1"/>
    </row>
    <row r="535" spans="33:33" ht="12.75" customHeight="1">
      <c r="AG535" s="1"/>
    </row>
    <row r="536" spans="33:33" ht="12.75" customHeight="1">
      <c r="AG536" s="1"/>
    </row>
    <row r="537" spans="33:33" ht="12.75" customHeight="1">
      <c r="AG537" s="1"/>
    </row>
    <row r="538" spans="33:33" ht="12.75" customHeight="1">
      <c r="AG538" s="1"/>
    </row>
    <row r="539" spans="33:33" ht="12.75" customHeight="1">
      <c r="AG539" s="1"/>
    </row>
    <row r="540" spans="33:33" ht="12.75" customHeight="1">
      <c r="AG540" s="1"/>
    </row>
    <row r="541" spans="33:33" ht="12.75" customHeight="1">
      <c r="AG541" s="1"/>
    </row>
    <row r="542" spans="33:33" ht="12.75" customHeight="1">
      <c r="AG542" s="1"/>
    </row>
    <row r="543" spans="33:33" ht="12.75" customHeight="1">
      <c r="AG543" s="1"/>
    </row>
    <row r="544" spans="33:33" ht="12.75" customHeight="1">
      <c r="AG544" s="1"/>
    </row>
    <row r="545" spans="33:33" ht="12.75" customHeight="1">
      <c r="AG545" s="1"/>
    </row>
    <row r="546" spans="33:33" ht="12.75" customHeight="1">
      <c r="AG546" s="1"/>
    </row>
    <row r="547" spans="33:33" ht="12.75" customHeight="1">
      <c r="AG547" s="1"/>
    </row>
    <row r="548" spans="33:33" ht="12.75" customHeight="1">
      <c r="AG548" s="1"/>
    </row>
    <row r="549" spans="33:33" ht="12.75" customHeight="1">
      <c r="AG549" s="1"/>
    </row>
    <row r="550" spans="33:33" ht="12.75" customHeight="1">
      <c r="AG550" s="1"/>
    </row>
    <row r="551" spans="33:33" ht="12.75" customHeight="1">
      <c r="AG551" s="1"/>
    </row>
    <row r="552" spans="33:33" ht="12.75" customHeight="1">
      <c r="AG552" s="1"/>
    </row>
    <row r="553" spans="33:33" ht="12.75" customHeight="1">
      <c r="AG553" s="1"/>
    </row>
    <row r="554" spans="33:33" ht="12.75" customHeight="1">
      <c r="AG554" s="1"/>
    </row>
    <row r="555" spans="33:33" ht="12.75" customHeight="1">
      <c r="AG555" s="1"/>
    </row>
    <row r="556" spans="33:33" ht="12.75" customHeight="1">
      <c r="AG556" s="1"/>
    </row>
    <row r="557" spans="33:33" ht="12.75" customHeight="1">
      <c r="AG557" s="1"/>
    </row>
    <row r="558" spans="33:33" ht="12.75" customHeight="1">
      <c r="AG558" s="1"/>
    </row>
    <row r="559" spans="33:33" ht="12.75" customHeight="1">
      <c r="AG559" s="1"/>
    </row>
    <row r="560" spans="33:33" ht="12.75" customHeight="1">
      <c r="AG560" s="1"/>
    </row>
    <row r="561" spans="33:33" ht="12.75" customHeight="1">
      <c r="AG561" s="1"/>
    </row>
    <row r="562" spans="33:33" ht="12.75" customHeight="1">
      <c r="AG562" s="1"/>
    </row>
    <row r="563" spans="33:33" ht="12.75" customHeight="1">
      <c r="AG563" s="1"/>
    </row>
    <row r="564" spans="33:33" ht="12.75" customHeight="1">
      <c r="AG564" s="1"/>
    </row>
    <row r="565" spans="33:33" ht="12.75" customHeight="1">
      <c r="AG565" s="1"/>
    </row>
    <row r="566" spans="33:33" ht="12.75" customHeight="1">
      <c r="AG566" s="1"/>
    </row>
    <row r="567" spans="33:33" ht="12.75" customHeight="1">
      <c r="AG567" s="1"/>
    </row>
    <row r="568" spans="33:33" ht="12.75" customHeight="1">
      <c r="AG568" s="1"/>
    </row>
    <row r="569" spans="33:33" ht="12.75" customHeight="1">
      <c r="AG569" s="1"/>
    </row>
    <row r="570" spans="33:33" ht="12.75" customHeight="1">
      <c r="AG570" s="1"/>
    </row>
    <row r="571" spans="33:33" ht="12.75" customHeight="1">
      <c r="AG571" s="1"/>
    </row>
    <row r="572" spans="33:33" ht="12.75" customHeight="1">
      <c r="AG572" s="1"/>
    </row>
    <row r="573" spans="33:33" ht="12.75" customHeight="1">
      <c r="AG573" s="1"/>
    </row>
    <row r="574" spans="33:33" ht="12.75" customHeight="1">
      <c r="AG574" s="1"/>
    </row>
    <row r="575" spans="33:33" ht="12.75" customHeight="1">
      <c r="AG575" s="1"/>
    </row>
    <row r="576" spans="33:33" ht="12.75" customHeight="1">
      <c r="AG576" s="1"/>
    </row>
    <row r="577" spans="33:33" ht="12.75" customHeight="1">
      <c r="AG577" s="1"/>
    </row>
    <row r="578" spans="33:33" ht="12.75" customHeight="1">
      <c r="AG578" s="1"/>
    </row>
    <row r="579" spans="33:33" ht="12.75" customHeight="1">
      <c r="AG579" s="1"/>
    </row>
    <row r="580" spans="33:33" ht="12.75" customHeight="1">
      <c r="AG580" s="1"/>
    </row>
    <row r="581" spans="33:33" ht="12.75" customHeight="1">
      <c r="AG581" s="1"/>
    </row>
    <row r="582" spans="33:33" ht="12.75" customHeight="1">
      <c r="AG582" s="1"/>
    </row>
    <row r="583" spans="33:33" ht="12.75" customHeight="1">
      <c r="AG583" s="1"/>
    </row>
    <row r="584" spans="33:33" ht="12.75" customHeight="1">
      <c r="AG584" s="1"/>
    </row>
    <row r="585" spans="33:33" ht="12.75" customHeight="1">
      <c r="AG585" s="1"/>
    </row>
    <row r="586" spans="33:33" ht="12.75" customHeight="1">
      <c r="AG586" s="1"/>
    </row>
    <row r="587" spans="33:33" ht="12.75" customHeight="1">
      <c r="AG587" s="1"/>
    </row>
    <row r="588" spans="33:33" ht="12.75" customHeight="1">
      <c r="AG588" s="1"/>
    </row>
    <row r="589" spans="33:33" ht="12.75" customHeight="1">
      <c r="AG589" s="1"/>
    </row>
    <row r="590" spans="33:33" ht="12.75" customHeight="1">
      <c r="AG590" s="1"/>
    </row>
    <row r="591" spans="33:33" ht="12.75" customHeight="1">
      <c r="AG591" s="1"/>
    </row>
    <row r="592" spans="33:33" ht="12.75" customHeight="1">
      <c r="AG592" s="1"/>
    </row>
    <row r="593" spans="33:33" ht="12.75" customHeight="1">
      <c r="AG593" s="1"/>
    </row>
    <row r="594" spans="33:33" ht="12.75" customHeight="1">
      <c r="AG594" s="1"/>
    </row>
    <row r="595" spans="33:33" ht="12.75" customHeight="1">
      <c r="AG595" s="1"/>
    </row>
    <row r="596" spans="33:33" ht="12.75" customHeight="1">
      <c r="AG596" s="1"/>
    </row>
    <row r="597" spans="33:33" ht="12.75" customHeight="1">
      <c r="AG597" s="1"/>
    </row>
    <row r="598" spans="33:33" ht="12.75" customHeight="1">
      <c r="AG598" s="1"/>
    </row>
    <row r="599" spans="33:33" ht="12.75" customHeight="1">
      <c r="AG599" s="1"/>
    </row>
    <row r="600" spans="33:33" ht="12.75" customHeight="1">
      <c r="AG600" s="1"/>
    </row>
    <row r="601" spans="33:33" ht="12.75" customHeight="1">
      <c r="AG601" s="1"/>
    </row>
    <row r="602" spans="33:33" ht="12.75" customHeight="1">
      <c r="AG602" s="1"/>
    </row>
    <row r="603" spans="33:33" ht="12.75" customHeight="1">
      <c r="AG603" s="1"/>
    </row>
    <row r="604" spans="33:33" ht="12.75" customHeight="1">
      <c r="AG604" s="1"/>
    </row>
    <row r="605" spans="33:33" ht="12.75" customHeight="1">
      <c r="AG605" s="1"/>
    </row>
    <row r="606" spans="33:33" ht="12.75" customHeight="1">
      <c r="AG606" s="1"/>
    </row>
    <row r="607" spans="33:33" ht="12.75" customHeight="1">
      <c r="AG607" s="1"/>
    </row>
    <row r="608" spans="33:33" ht="12.75" customHeight="1">
      <c r="AG608" s="1"/>
    </row>
    <row r="609" spans="33:33" ht="12.75" customHeight="1">
      <c r="AG609" s="1"/>
    </row>
    <row r="610" spans="33:33" ht="12.75" customHeight="1">
      <c r="AG610" s="1"/>
    </row>
    <row r="611" spans="33:33" ht="12.75" customHeight="1">
      <c r="AG611" s="1"/>
    </row>
    <row r="612" spans="33:33" ht="12.75" customHeight="1">
      <c r="AG612" s="1"/>
    </row>
    <row r="613" spans="33:33" ht="12.75" customHeight="1">
      <c r="AG613" s="1"/>
    </row>
    <row r="614" spans="33:33" ht="12.75" customHeight="1">
      <c r="AG614" s="1"/>
    </row>
    <row r="615" spans="33:33" ht="12.75" customHeight="1">
      <c r="AG615" s="1"/>
    </row>
    <row r="616" spans="33:33" ht="12.75" customHeight="1">
      <c r="AG616" s="1"/>
    </row>
    <row r="617" spans="33:33" ht="12.75" customHeight="1">
      <c r="AG617" s="1"/>
    </row>
    <row r="618" spans="33:33" ht="12.75" customHeight="1">
      <c r="AG618" s="1"/>
    </row>
    <row r="619" spans="33:33" ht="12.75" customHeight="1">
      <c r="AG619" s="1"/>
    </row>
    <row r="620" spans="33:33" ht="12.75" customHeight="1">
      <c r="AG620" s="1"/>
    </row>
    <row r="621" spans="33:33" ht="12.75" customHeight="1">
      <c r="AG621" s="1"/>
    </row>
    <row r="622" spans="33:33" ht="12.75" customHeight="1">
      <c r="AG622" s="1"/>
    </row>
    <row r="623" spans="33:33" ht="12.75" customHeight="1">
      <c r="AG623" s="1"/>
    </row>
    <row r="624" spans="33:33" ht="12.75" customHeight="1">
      <c r="AG624" s="1"/>
    </row>
    <row r="625" spans="33:33" ht="12.75" customHeight="1">
      <c r="AG625" s="1"/>
    </row>
    <row r="626" spans="33:33" ht="12.75" customHeight="1">
      <c r="AG626" s="1"/>
    </row>
    <row r="627" spans="33:33" ht="12.75" customHeight="1">
      <c r="AG627" s="1"/>
    </row>
    <row r="628" spans="33:33" ht="12.75" customHeight="1">
      <c r="AG628" s="1"/>
    </row>
    <row r="629" spans="33:33" ht="12.75" customHeight="1">
      <c r="AG629" s="1"/>
    </row>
    <row r="630" spans="33:33" ht="12.75" customHeight="1">
      <c r="AG630" s="1"/>
    </row>
    <row r="631" spans="33:33" ht="12.75" customHeight="1">
      <c r="AG631" s="1"/>
    </row>
    <row r="632" spans="33:33" ht="12.75" customHeight="1">
      <c r="AG632" s="1"/>
    </row>
    <row r="633" spans="33:33" ht="12.75" customHeight="1">
      <c r="AG633" s="1"/>
    </row>
    <row r="634" spans="33:33" ht="12.75" customHeight="1">
      <c r="AG634" s="1"/>
    </row>
    <row r="635" spans="33:33" ht="12.75" customHeight="1">
      <c r="AG635" s="1"/>
    </row>
    <row r="636" spans="33:33" ht="12.75" customHeight="1">
      <c r="AG636" s="1"/>
    </row>
    <row r="637" spans="33:33" ht="12.75" customHeight="1">
      <c r="AG637" s="1"/>
    </row>
    <row r="638" spans="33:33" ht="12.75" customHeight="1">
      <c r="AG638" s="1"/>
    </row>
    <row r="639" spans="33:33" ht="12.75" customHeight="1">
      <c r="AG639" s="1"/>
    </row>
    <row r="640" spans="33:33" ht="12.75" customHeight="1">
      <c r="AG640" s="1"/>
    </row>
    <row r="641" spans="33:33" ht="12.75" customHeight="1">
      <c r="AG641" s="1"/>
    </row>
    <row r="642" spans="33:33" ht="12.75" customHeight="1">
      <c r="AG642" s="1"/>
    </row>
    <row r="643" spans="33:33" ht="12.75" customHeight="1">
      <c r="AG643" s="1"/>
    </row>
    <row r="644" spans="33:33" ht="12.75" customHeight="1">
      <c r="AG644" s="1"/>
    </row>
    <row r="645" spans="33:33" ht="12.75" customHeight="1">
      <c r="AG645" s="1"/>
    </row>
    <row r="646" spans="33:33" ht="12.75" customHeight="1">
      <c r="AG646" s="1"/>
    </row>
    <row r="647" spans="33:33" ht="12.75" customHeight="1">
      <c r="AG647" s="1"/>
    </row>
    <row r="648" spans="33:33" ht="12.75" customHeight="1">
      <c r="AG648" s="1"/>
    </row>
    <row r="649" spans="33:33" ht="12.75" customHeight="1">
      <c r="AG649" s="1"/>
    </row>
    <row r="650" spans="33:33" ht="12.75" customHeight="1">
      <c r="AG650" s="1"/>
    </row>
    <row r="651" spans="33:33" ht="12.75" customHeight="1">
      <c r="AG651" s="1"/>
    </row>
    <row r="652" spans="33:33" ht="12.75" customHeight="1">
      <c r="AG652" s="1"/>
    </row>
    <row r="653" spans="33:33" ht="12.75" customHeight="1">
      <c r="AG653" s="1"/>
    </row>
    <row r="654" spans="33:33" ht="12.75" customHeight="1">
      <c r="AG654" s="1"/>
    </row>
    <row r="655" spans="33:33" ht="12.75" customHeight="1">
      <c r="AG655" s="1"/>
    </row>
    <row r="656" spans="33:33" ht="12.75" customHeight="1">
      <c r="AG656" s="1"/>
    </row>
    <row r="657" spans="33:33" ht="12.75" customHeight="1">
      <c r="AG657" s="1"/>
    </row>
    <row r="658" spans="33:33" ht="12.75" customHeight="1">
      <c r="AG658" s="1"/>
    </row>
    <row r="659" spans="33:33" ht="12.75" customHeight="1">
      <c r="AG659" s="1"/>
    </row>
    <row r="660" spans="33:33" ht="12.75" customHeight="1">
      <c r="AG660" s="1"/>
    </row>
    <row r="661" spans="33:33" ht="12.75" customHeight="1">
      <c r="AG661" s="1"/>
    </row>
    <row r="662" spans="33:33" ht="12.75" customHeight="1">
      <c r="AG662" s="1"/>
    </row>
    <row r="663" spans="33:33" ht="12.75" customHeight="1">
      <c r="AG663" s="1"/>
    </row>
    <row r="664" spans="33:33" ht="12.75" customHeight="1">
      <c r="AG664" s="1"/>
    </row>
    <row r="665" spans="33:33" ht="12.75" customHeight="1">
      <c r="AG665" s="1"/>
    </row>
    <row r="666" spans="33:33" ht="12.75" customHeight="1">
      <c r="AG666" s="1"/>
    </row>
    <row r="667" spans="33:33" ht="12.75" customHeight="1">
      <c r="AG667" s="1"/>
    </row>
    <row r="668" spans="33:33" ht="12.75" customHeight="1">
      <c r="AG668" s="1"/>
    </row>
    <row r="669" spans="33:33" ht="12.75" customHeight="1">
      <c r="AG669" s="1"/>
    </row>
    <row r="670" spans="33:33" ht="12.75" customHeight="1">
      <c r="AG670" s="1"/>
    </row>
    <row r="671" spans="33:33" ht="12.75" customHeight="1">
      <c r="AG671" s="1"/>
    </row>
    <row r="672" spans="33:33" ht="12.75" customHeight="1">
      <c r="AG672" s="1"/>
    </row>
    <row r="673" spans="33:33" ht="12.75" customHeight="1">
      <c r="AG673" s="1"/>
    </row>
    <row r="674" spans="33:33" ht="12.75" customHeight="1">
      <c r="AG674" s="1"/>
    </row>
    <row r="675" spans="33:33" ht="12.75" customHeight="1">
      <c r="AG675" s="1"/>
    </row>
    <row r="676" spans="33:33" ht="12.75" customHeight="1">
      <c r="AG676" s="1"/>
    </row>
    <row r="677" spans="33:33" ht="12.75" customHeight="1">
      <c r="AG677" s="1"/>
    </row>
    <row r="678" spans="33:33" ht="12.75" customHeight="1">
      <c r="AG678" s="1"/>
    </row>
    <row r="679" spans="33:33" ht="12.75" customHeight="1">
      <c r="AG679" s="1"/>
    </row>
    <row r="680" spans="33:33" ht="12.75" customHeight="1">
      <c r="AG680" s="1"/>
    </row>
    <row r="681" spans="33:33" ht="12.75" customHeight="1">
      <c r="AG681" s="1"/>
    </row>
    <row r="682" spans="33:33" ht="12.75" customHeight="1">
      <c r="AG682" s="1"/>
    </row>
    <row r="683" spans="33:33" ht="12.75" customHeight="1">
      <c r="AG683" s="1"/>
    </row>
    <row r="684" spans="33:33" ht="12.75" customHeight="1">
      <c r="AG684" s="1"/>
    </row>
    <row r="685" spans="33:33" ht="12.75" customHeight="1">
      <c r="AG685" s="1"/>
    </row>
    <row r="686" spans="33:33" ht="12.75" customHeight="1">
      <c r="AG686" s="1"/>
    </row>
    <row r="687" spans="33:33" ht="12.75" customHeight="1">
      <c r="AG687" s="1"/>
    </row>
    <row r="688" spans="33:33" ht="12.75" customHeight="1">
      <c r="AG688" s="1"/>
    </row>
    <row r="689" spans="33:33" ht="12.75" customHeight="1">
      <c r="AG689" s="1"/>
    </row>
    <row r="690" spans="33:33" ht="12.75" customHeight="1">
      <c r="AG690" s="1"/>
    </row>
    <row r="691" spans="33:33" ht="12.75" customHeight="1">
      <c r="AG691" s="1"/>
    </row>
    <row r="692" spans="33:33" ht="12.75" customHeight="1">
      <c r="AG692" s="1"/>
    </row>
    <row r="693" spans="33:33" ht="12.75" customHeight="1">
      <c r="AG693" s="1"/>
    </row>
    <row r="694" spans="33:33" ht="12.75" customHeight="1">
      <c r="AG694" s="1"/>
    </row>
    <row r="695" spans="33:33" ht="12.75" customHeight="1">
      <c r="AG695" s="1"/>
    </row>
    <row r="696" spans="33:33" ht="12.75" customHeight="1">
      <c r="AG696" s="1"/>
    </row>
    <row r="697" spans="33:33" ht="12.75" customHeight="1">
      <c r="AG697" s="1"/>
    </row>
    <row r="698" spans="33:33" ht="12.75" customHeight="1">
      <c r="AG698" s="1"/>
    </row>
    <row r="699" spans="33:33" ht="12.75" customHeight="1">
      <c r="AG699" s="1"/>
    </row>
    <row r="700" spans="33:33" ht="12.75" customHeight="1">
      <c r="AG700" s="1"/>
    </row>
    <row r="701" spans="33:33" ht="12.75" customHeight="1">
      <c r="AG701" s="1"/>
    </row>
    <row r="702" spans="33:33" ht="12.75" customHeight="1">
      <c r="AG702" s="1"/>
    </row>
    <row r="703" spans="33:33" ht="12.75" customHeight="1">
      <c r="AG703" s="1"/>
    </row>
    <row r="704" spans="33:33" ht="12.75" customHeight="1">
      <c r="AG704" s="1"/>
    </row>
    <row r="705" spans="33:33" ht="12.75" customHeight="1">
      <c r="AG705" s="1"/>
    </row>
    <row r="706" spans="33:33" ht="12.75" customHeight="1">
      <c r="AG706" s="1"/>
    </row>
    <row r="707" spans="33:33" ht="12.75" customHeight="1">
      <c r="AG707" s="1"/>
    </row>
    <row r="708" spans="33:33" ht="12.75" customHeight="1">
      <c r="AG708" s="1"/>
    </row>
    <row r="709" spans="33:33" ht="12.75" customHeight="1">
      <c r="AG709" s="1"/>
    </row>
    <row r="710" spans="33:33" ht="12.75" customHeight="1">
      <c r="AG710" s="1"/>
    </row>
    <row r="711" spans="33:33" ht="12.75" customHeight="1">
      <c r="AG711" s="1"/>
    </row>
    <row r="712" spans="33:33" ht="12.75" customHeight="1">
      <c r="AG712" s="1"/>
    </row>
    <row r="713" spans="33:33" ht="12.75" customHeight="1">
      <c r="AG713" s="1"/>
    </row>
    <row r="714" spans="33:33" ht="12.75" customHeight="1">
      <c r="AG714" s="1"/>
    </row>
    <row r="715" spans="33:33" ht="12.75" customHeight="1">
      <c r="AG715" s="1"/>
    </row>
    <row r="716" spans="33:33" ht="12.75" customHeight="1">
      <c r="AG716" s="1"/>
    </row>
    <row r="717" spans="33:33" ht="12.75" customHeight="1">
      <c r="AG717" s="1"/>
    </row>
    <row r="718" spans="33:33" ht="12.75" customHeight="1">
      <c r="AG718" s="1"/>
    </row>
    <row r="719" spans="33:33" ht="12.75" customHeight="1">
      <c r="AG719" s="1"/>
    </row>
    <row r="720" spans="33:33" ht="12.75" customHeight="1">
      <c r="AG720" s="1"/>
    </row>
    <row r="721" spans="33:33" ht="12.75" customHeight="1">
      <c r="AG721" s="1"/>
    </row>
    <row r="722" spans="33:33" ht="12.75" customHeight="1">
      <c r="AG722" s="1"/>
    </row>
    <row r="723" spans="33:33" ht="12.75" customHeight="1">
      <c r="AG723" s="1"/>
    </row>
    <row r="724" spans="33:33" ht="12.75" customHeight="1">
      <c r="AG724" s="1"/>
    </row>
    <row r="725" spans="33:33" ht="12.75" customHeight="1">
      <c r="AG725" s="1"/>
    </row>
    <row r="726" spans="33:33" ht="12.75" customHeight="1">
      <c r="AG726" s="1"/>
    </row>
    <row r="727" spans="33:33" ht="12.75" customHeight="1">
      <c r="AG727" s="1"/>
    </row>
    <row r="728" spans="33:33" ht="12.75" customHeight="1">
      <c r="AG728" s="1"/>
    </row>
    <row r="729" spans="33:33" ht="12.75" customHeight="1">
      <c r="AG729" s="1"/>
    </row>
    <row r="730" spans="33:33" ht="12.75" customHeight="1">
      <c r="AG730" s="1"/>
    </row>
    <row r="731" spans="33:33" ht="12.75" customHeight="1">
      <c r="AG731" s="1"/>
    </row>
    <row r="732" spans="33:33" ht="12.75" customHeight="1">
      <c r="AG732" s="1"/>
    </row>
    <row r="733" spans="33:33" ht="12.75" customHeight="1">
      <c r="AG733" s="1"/>
    </row>
    <row r="734" spans="33:33" ht="12.75" customHeight="1">
      <c r="AG734" s="1"/>
    </row>
    <row r="735" spans="33:33" ht="12.75" customHeight="1">
      <c r="AG735" s="1"/>
    </row>
    <row r="736" spans="33:33" ht="12.75" customHeight="1">
      <c r="AG736" s="1"/>
    </row>
    <row r="737" spans="33:33" ht="12.75" customHeight="1">
      <c r="AG737" s="1"/>
    </row>
    <row r="738" spans="33:33" ht="12.75" customHeight="1">
      <c r="AG738" s="1"/>
    </row>
    <row r="739" spans="33:33" ht="12.75" customHeight="1">
      <c r="AG739" s="1"/>
    </row>
    <row r="740" spans="33:33" ht="12.75" customHeight="1">
      <c r="AG740" s="1"/>
    </row>
    <row r="741" spans="33:33" ht="12.75" customHeight="1">
      <c r="AG741" s="1"/>
    </row>
    <row r="742" spans="33:33" ht="12.75" customHeight="1">
      <c r="AG742" s="1"/>
    </row>
    <row r="743" spans="33:33" ht="12.75" customHeight="1">
      <c r="AG743" s="1"/>
    </row>
    <row r="744" spans="33:33" ht="12.75" customHeight="1">
      <c r="AG744" s="1"/>
    </row>
    <row r="745" spans="33:33" ht="12.75" customHeight="1">
      <c r="AG745" s="1"/>
    </row>
    <row r="746" spans="33:33" ht="12.75" customHeight="1">
      <c r="AG746" s="1"/>
    </row>
    <row r="747" spans="33:33" ht="12.75" customHeight="1">
      <c r="AG747" s="1"/>
    </row>
    <row r="748" spans="33:33" ht="12.75" customHeight="1">
      <c r="AG748" s="1"/>
    </row>
    <row r="749" spans="33:33" ht="12.75" customHeight="1">
      <c r="AG749" s="1"/>
    </row>
    <row r="750" spans="33:33" ht="12.75" customHeight="1">
      <c r="AG750" s="1"/>
    </row>
    <row r="751" spans="33:33" ht="12.75" customHeight="1">
      <c r="AG751" s="1"/>
    </row>
    <row r="752" spans="33:33" ht="12.75" customHeight="1">
      <c r="AG752" s="1"/>
    </row>
    <row r="753" spans="33:33" ht="12.75" customHeight="1">
      <c r="AG753" s="1"/>
    </row>
    <row r="754" spans="33:33" ht="12.75" customHeight="1">
      <c r="AG754" s="1"/>
    </row>
    <row r="755" spans="33:33" ht="12.75" customHeight="1">
      <c r="AG755" s="1"/>
    </row>
    <row r="756" spans="33:33" ht="12.75" customHeight="1">
      <c r="AG756" s="1"/>
    </row>
    <row r="757" spans="33:33" ht="12.75" customHeight="1">
      <c r="AG757" s="1"/>
    </row>
    <row r="758" spans="33:33" ht="12.75" customHeight="1">
      <c r="AG758" s="1"/>
    </row>
    <row r="759" spans="33:33" ht="12.75" customHeight="1">
      <c r="AG759" s="1"/>
    </row>
    <row r="760" spans="33:33" ht="12.75" customHeight="1">
      <c r="AG760" s="1"/>
    </row>
    <row r="761" spans="33:33" ht="12.75" customHeight="1">
      <c r="AG761" s="1"/>
    </row>
    <row r="762" spans="33:33" ht="12.75" customHeight="1">
      <c r="AG762" s="1"/>
    </row>
    <row r="763" spans="33:33" ht="12.75" customHeight="1">
      <c r="AG763" s="1"/>
    </row>
    <row r="764" spans="33:33" ht="12.75" customHeight="1">
      <c r="AG764" s="1"/>
    </row>
    <row r="765" spans="33:33" ht="12.75" customHeight="1">
      <c r="AG765" s="1"/>
    </row>
    <row r="766" spans="33:33" ht="12.75" customHeight="1">
      <c r="AG766" s="1"/>
    </row>
    <row r="767" spans="33:33" ht="12.75" customHeight="1">
      <c r="AG767" s="1"/>
    </row>
    <row r="768" spans="33:33" ht="12.75" customHeight="1">
      <c r="AG768" s="1"/>
    </row>
    <row r="769" spans="33:33" ht="12.75" customHeight="1">
      <c r="AG769" s="1"/>
    </row>
    <row r="770" spans="33:33" ht="12.75" customHeight="1">
      <c r="AG770" s="1"/>
    </row>
    <row r="771" spans="33:33" ht="12.75" customHeight="1">
      <c r="AG771" s="1"/>
    </row>
    <row r="772" spans="33:33" ht="12.75" customHeight="1">
      <c r="AG772" s="1"/>
    </row>
    <row r="773" spans="33:33" ht="12.75" customHeight="1">
      <c r="AG773" s="1"/>
    </row>
    <row r="774" spans="33:33" ht="12.75" customHeight="1">
      <c r="AG774" s="1"/>
    </row>
    <row r="775" spans="33:33" ht="12.75" customHeight="1">
      <c r="AG775" s="1"/>
    </row>
    <row r="776" spans="33:33" ht="12.75" customHeight="1">
      <c r="AG776" s="1"/>
    </row>
    <row r="777" spans="33:33" ht="12.75" customHeight="1">
      <c r="AG777" s="1"/>
    </row>
    <row r="778" spans="33:33" ht="12.75" customHeight="1">
      <c r="AG778" s="1"/>
    </row>
    <row r="779" spans="33:33" ht="12.75" customHeight="1">
      <c r="AG779" s="1"/>
    </row>
    <row r="780" spans="33:33" ht="12.75" customHeight="1">
      <c r="AG780" s="1"/>
    </row>
    <row r="781" spans="33:33" ht="12.75" customHeight="1">
      <c r="AG781" s="1"/>
    </row>
    <row r="782" spans="33:33" ht="12.75" customHeight="1">
      <c r="AG782" s="1"/>
    </row>
    <row r="783" spans="33:33" ht="12.75" customHeight="1">
      <c r="AG783" s="1"/>
    </row>
    <row r="784" spans="33:33" ht="12.75" customHeight="1">
      <c r="AG784" s="1"/>
    </row>
    <row r="785" spans="33:33" ht="12.75" customHeight="1">
      <c r="AG785" s="1"/>
    </row>
    <row r="786" spans="33:33" ht="12.75" customHeight="1">
      <c r="AG786" s="1"/>
    </row>
    <row r="787" spans="33:33" ht="12.75" customHeight="1">
      <c r="AG787" s="1"/>
    </row>
    <row r="788" spans="33:33" ht="12.75" customHeight="1">
      <c r="AG788" s="1"/>
    </row>
    <row r="789" spans="33:33" ht="12.75" customHeight="1">
      <c r="AG789" s="1"/>
    </row>
    <row r="790" spans="33:33" ht="12.75" customHeight="1">
      <c r="AG790" s="1"/>
    </row>
    <row r="791" spans="33:33" ht="12.75" customHeight="1">
      <c r="AG791" s="1"/>
    </row>
    <row r="792" spans="33:33" ht="12.75" customHeight="1">
      <c r="AG792" s="1"/>
    </row>
    <row r="793" spans="33:33" ht="12.75" customHeight="1">
      <c r="AG793" s="1"/>
    </row>
    <row r="794" spans="33:33" ht="12.75" customHeight="1">
      <c r="AG794" s="1"/>
    </row>
    <row r="795" spans="33:33" ht="12.75" customHeight="1">
      <c r="AG795" s="1"/>
    </row>
    <row r="796" spans="33:33" ht="12.75" customHeight="1">
      <c r="AG796" s="1"/>
    </row>
    <row r="797" spans="33:33" ht="12.75" customHeight="1">
      <c r="AG797" s="1"/>
    </row>
    <row r="798" spans="33:33" ht="12.75" customHeight="1">
      <c r="AG798" s="1"/>
    </row>
    <row r="799" spans="33:33" ht="12.75" customHeight="1">
      <c r="AG799" s="1"/>
    </row>
    <row r="800" spans="33:33" ht="12.75" customHeight="1">
      <c r="AG800" s="1"/>
    </row>
    <row r="801" spans="33:33" ht="12.75" customHeight="1">
      <c r="AG801" s="1"/>
    </row>
    <row r="802" spans="33:33" ht="12.75" customHeight="1">
      <c r="AG802" s="1"/>
    </row>
    <row r="803" spans="33:33" ht="12.75" customHeight="1">
      <c r="AG803" s="1"/>
    </row>
    <row r="804" spans="33:33" ht="12.75" customHeight="1">
      <c r="AG804" s="1"/>
    </row>
    <row r="805" spans="33:33" ht="12.75" customHeight="1">
      <c r="AG805" s="1"/>
    </row>
    <row r="806" spans="33:33" ht="12.75" customHeight="1">
      <c r="AG806" s="1"/>
    </row>
    <row r="807" spans="33:33" ht="12.75" customHeight="1">
      <c r="AG807" s="1"/>
    </row>
    <row r="808" spans="33:33" ht="12.75" customHeight="1">
      <c r="AG808" s="1"/>
    </row>
    <row r="809" spans="33:33" ht="12.75" customHeight="1">
      <c r="AG809" s="1"/>
    </row>
    <row r="810" spans="33:33" ht="12.75" customHeight="1">
      <c r="AG810" s="1"/>
    </row>
    <row r="811" spans="33:33" ht="12.75" customHeight="1">
      <c r="AG811" s="1"/>
    </row>
    <row r="812" spans="33:33" ht="12.75" customHeight="1">
      <c r="AG812" s="1"/>
    </row>
    <row r="813" spans="33:33" ht="12.75" customHeight="1">
      <c r="AG813" s="1"/>
    </row>
    <row r="814" spans="33:33" ht="12.75" customHeight="1">
      <c r="AG814" s="1"/>
    </row>
    <row r="815" spans="33:33" ht="12.75" customHeight="1">
      <c r="AG815" s="1"/>
    </row>
    <row r="816" spans="33:33" ht="12.75" customHeight="1">
      <c r="AG816" s="1"/>
    </row>
    <row r="817" spans="33:33" ht="12.75" customHeight="1">
      <c r="AG817" s="1"/>
    </row>
    <row r="818" spans="33:33" ht="12.75" customHeight="1">
      <c r="AG818" s="1"/>
    </row>
    <row r="819" spans="33:33" ht="12.75" customHeight="1">
      <c r="AG819" s="1"/>
    </row>
    <row r="820" spans="33:33" ht="12.75" customHeight="1">
      <c r="AG820" s="1"/>
    </row>
    <row r="821" spans="33:33" ht="12.75" customHeight="1">
      <c r="AG821" s="1"/>
    </row>
    <row r="822" spans="33:33" ht="12.75" customHeight="1">
      <c r="AG822" s="1"/>
    </row>
    <row r="823" spans="33:33" ht="12.75" customHeight="1">
      <c r="AG823" s="1"/>
    </row>
    <row r="824" spans="33:33" ht="12.75" customHeight="1">
      <c r="AG824" s="1"/>
    </row>
    <row r="825" spans="33:33" ht="12.75" customHeight="1">
      <c r="AG825" s="1"/>
    </row>
    <row r="826" spans="33:33" ht="12.75" customHeight="1">
      <c r="AG826" s="1"/>
    </row>
    <row r="827" spans="33:33" ht="12.75" customHeight="1">
      <c r="AG827" s="1"/>
    </row>
    <row r="828" spans="33:33" ht="12.75" customHeight="1">
      <c r="AG828" s="1"/>
    </row>
    <row r="829" spans="33:33" ht="12.75" customHeight="1">
      <c r="AG829" s="1"/>
    </row>
    <row r="830" spans="33:33" ht="12.75" customHeight="1">
      <c r="AG830" s="1"/>
    </row>
    <row r="831" spans="33:33" ht="12.75" customHeight="1">
      <c r="AG831" s="1"/>
    </row>
    <row r="832" spans="33:33" ht="12.75" customHeight="1">
      <c r="AG832" s="1"/>
    </row>
    <row r="833" spans="33:33" ht="12.75" customHeight="1">
      <c r="AG833" s="1"/>
    </row>
    <row r="834" spans="33:33" ht="12.75" customHeight="1">
      <c r="AG834" s="1"/>
    </row>
    <row r="835" spans="33:33" ht="12.75" customHeight="1">
      <c r="AG835" s="1"/>
    </row>
    <row r="836" spans="33:33" ht="12.75" customHeight="1">
      <c r="AG836" s="1"/>
    </row>
    <row r="837" spans="33:33" ht="12.75" customHeight="1">
      <c r="AG837" s="1"/>
    </row>
    <row r="838" spans="33:33" ht="12.75" customHeight="1">
      <c r="AG838" s="1"/>
    </row>
    <row r="839" spans="33:33" ht="12.75" customHeight="1">
      <c r="AG839" s="1"/>
    </row>
    <row r="840" spans="33:33" ht="12.75" customHeight="1">
      <c r="AG840" s="1"/>
    </row>
    <row r="841" spans="33:33" ht="12.75" customHeight="1">
      <c r="AG841" s="1"/>
    </row>
    <row r="842" spans="33:33" ht="12.75" customHeight="1">
      <c r="AG842" s="1"/>
    </row>
    <row r="843" spans="33:33" ht="12.75" customHeight="1">
      <c r="AG843" s="1"/>
    </row>
    <row r="844" spans="33:33" ht="12.75" customHeight="1">
      <c r="AG844" s="1"/>
    </row>
    <row r="845" spans="33:33" ht="12.75" customHeight="1">
      <c r="AG845" s="1"/>
    </row>
    <row r="846" spans="33:33" ht="12.75" customHeight="1">
      <c r="AG846" s="1"/>
    </row>
    <row r="847" spans="33:33" ht="12.75" customHeight="1">
      <c r="AG847" s="1"/>
    </row>
    <row r="848" spans="33:33" ht="12.75" customHeight="1">
      <c r="AG848" s="1"/>
    </row>
    <row r="849" spans="33:33" ht="12.75" customHeight="1">
      <c r="AG849" s="1"/>
    </row>
    <row r="850" spans="33:33" ht="12.75" customHeight="1">
      <c r="AG850" s="1"/>
    </row>
    <row r="851" spans="33:33" ht="12.75" customHeight="1">
      <c r="AG851" s="1"/>
    </row>
    <row r="852" spans="33:33" ht="12.75" customHeight="1">
      <c r="AG852" s="1"/>
    </row>
    <row r="853" spans="33:33" ht="12.75" customHeight="1">
      <c r="AG853" s="1"/>
    </row>
    <row r="854" spans="33:33" ht="12.75" customHeight="1">
      <c r="AG854" s="1"/>
    </row>
    <row r="855" spans="33:33" ht="12.75" customHeight="1">
      <c r="AG855" s="1"/>
    </row>
    <row r="856" spans="33:33" ht="12.75" customHeight="1">
      <c r="AG856" s="1"/>
    </row>
    <row r="857" spans="33:33" ht="12.75" customHeight="1">
      <c r="AG857" s="1"/>
    </row>
    <row r="858" spans="33:33" ht="12.75" customHeight="1">
      <c r="AG858" s="1"/>
    </row>
    <row r="859" spans="33:33" ht="12.75" customHeight="1">
      <c r="AG859" s="1"/>
    </row>
    <row r="860" spans="33:33" ht="12.75" customHeight="1">
      <c r="AG860" s="1"/>
    </row>
    <row r="861" spans="33:33" ht="12.75" customHeight="1">
      <c r="AG861" s="1"/>
    </row>
    <row r="862" spans="33:33" ht="12.75" customHeight="1">
      <c r="AG862" s="1"/>
    </row>
    <row r="863" spans="33:33" ht="12.75" customHeight="1">
      <c r="AG863" s="1"/>
    </row>
    <row r="864" spans="33:33" ht="12.75" customHeight="1">
      <c r="AG864" s="1"/>
    </row>
    <row r="865" spans="33:33" ht="12.75" customHeight="1">
      <c r="AG865" s="1"/>
    </row>
    <row r="866" spans="33:33" ht="12.75" customHeight="1">
      <c r="AG866" s="1"/>
    </row>
    <row r="867" spans="33:33" ht="12.75" customHeight="1">
      <c r="AG867" s="1"/>
    </row>
    <row r="868" spans="33:33" ht="12.75" customHeight="1">
      <c r="AG868" s="1"/>
    </row>
    <row r="869" spans="33:33" ht="12.75" customHeight="1">
      <c r="AG869" s="1"/>
    </row>
    <row r="870" spans="33:33" ht="12.75" customHeight="1">
      <c r="AG870" s="1"/>
    </row>
    <row r="871" spans="33:33" ht="12.75" customHeight="1">
      <c r="AG871" s="1"/>
    </row>
    <row r="872" spans="33:33" ht="12.75" customHeight="1">
      <c r="AG872" s="1"/>
    </row>
    <row r="873" spans="33:33" ht="12.75" customHeight="1">
      <c r="AG873" s="1"/>
    </row>
    <row r="874" spans="33:33" ht="12.75" customHeight="1">
      <c r="AG874" s="1"/>
    </row>
    <row r="875" spans="33:33" ht="12.75" customHeight="1">
      <c r="AG875" s="1"/>
    </row>
    <row r="876" spans="33:33" ht="12.75" customHeight="1">
      <c r="AG876" s="1"/>
    </row>
    <row r="877" spans="33:33" ht="12.75" customHeight="1">
      <c r="AG877" s="1"/>
    </row>
    <row r="878" spans="33:33" ht="12.75" customHeight="1">
      <c r="AG878" s="1"/>
    </row>
    <row r="879" spans="33:33" ht="12.75" customHeight="1">
      <c r="AG879" s="1"/>
    </row>
    <row r="880" spans="33:33" ht="12.75" customHeight="1">
      <c r="AG880" s="1"/>
    </row>
    <row r="881" spans="33:33" ht="12.75" customHeight="1">
      <c r="AG881" s="1"/>
    </row>
    <row r="882" spans="33:33" ht="12.75" customHeight="1">
      <c r="AG882" s="1"/>
    </row>
    <row r="883" spans="33:33" ht="12.75" customHeight="1">
      <c r="AG883" s="1"/>
    </row>
    <row r="884" spans="33:33" ht="12.75" customHeight="1">
      <c r="AG884" s="1"/>
    </row>
    <row r="885" spans="33:33" ht="12.75" customHeight="1">
      <c r="AG885" s="1"/>
    </row>
    <row r="886" spans="33:33" ht="12.75" customHeight="1">
      <c r="AG886" s="1"/>
    </row>
    <row r="887" spans="33:33" ht="12.75" customHeight="1">
      <c r="AG887" s="1"/>
    </row>
    <row r="888" spans="33:33" ht="12.75" customHeight="1">
      <c r="AG888" s="1"/>
    </row>
    <row r="889" spans="33:33" ht="12.75" customHeight="1">
      <c r="AG889" s="1"/>
    </row>
    <row r="890" spans="33:33" ht="12.75" customHeight="1">
      <c r="AG890" s="1"/>
    </row>
    <row r="891" spans="33:33" ht="12.75" customHeight="1">
      <c r="AG891" s="1"/>
    </row>
    <row r="892" spans="33:33" ht="12.75" customHeight="1">
      <c r="AG892" s="1"/>
    </row>
    <row r="893" spans="33:33" ht="12.75" customHeight="1">
      <c r="AG893" s="1"/>
    </row>
    <row r="894" spans="33:33" ht="12.75" customHeight="1">
      <c r="AG894" s="1"/>
    </row>
    <row r="895" spans="33:33" ht="12.75" customHeight="1">
      <c r="AG895" s="1"/>
    </row>
    <row r="896" spans="33:33" ht="12.75" customHeight="1">
      <c r="AG896" s="1"/>
    </row>
    <row r="897" spans="33:33" ht="12.75" customHeight="1">
      <c r="AG897" s="1"/>
    </row>
    <row r="898" spans="33:33" ht="12.75" customHeight="1">
      <c r="AG898" s="1"/>
    </row>
    <row r="899" spans="33:33" ht="12.75" customHeight="1">
      <c r="AG899" s="1"/>
    </row>
    <row r="900" spans="33:33" ht="12.75" customHeight="1">
      <c r="AG900" s="1"/>
    </row>
    <row r="901" spans="33:33" ht="12.75" customHeight="1">
      <c r="AG901" s="1"/>
    </row>
    <row r="902" spans="33:33" ht="12.75" customHeight="1">
      <c r="AG902" s="1"/>
    </row>
    <row r="903" spans="33:33" ht="12.75" customHeight="1">
      <c r="AG903" s="1"/>
    </row>
    <row r="904" spans="33:33" ht="12.75" customHeight="1">
      <c r="AG904" s="1"/>
    </row>
    <row r="905" spans="33:33" ht="12.75" customHeight="1">
      <c r="AG905" s="1"/>
    </row>
    <row r="906" spans="33:33" ht="12.75" customHeight="1">
      <c r="AG906" s="1"/>
    </row>
    <row r="907" spans="33:33" ht="12.75" customHeight="1">
      <c r="AG907" s="1"/>
    </row>
    <row r="908" spans="33:33" ht="12.75" customHeight="1">
      <c r="AG908" s="1"/>
    </row>
    <row r="909" spans="33:33" ht="12.75" customHeight="1">
      <c r="AG909" s="1"/>
    </row>
    <row r="910" spans="33:33" ht="12.75" customHeight="1">
      <c r="AG910" s="1"/>
    </row>
    <row r="911" spans="33:33" ht="12.75" customHeight="1">
      <c r="AG911" s="1"/>
    </row>
    <row r="912" spans="33:33" ht="12.75" customHeight="1">
      <c r="AG912" s="1"/>
    </row>
    <row r="913" spans="33:33" ht="12.75" customHeight="1">
      <c r="AG913" s="1"/>
    </row>
    <row r="914" spans="33:33" ht="12.75" customHeight="1">
      <c r="AG914" s="1"/>
    </row>
    <row r="915" spans="33:33" ht="12.75" customHeight="1">
      <c r="AG915" s="1"/>
    </row>
    <row r="916" spans="33:33" ht="12.75" customHeight="1">
      <c r="AG916" s="1"/>
    </row>
    <row r="917" spans="33:33" ht="12.75" customHeight="1">
      <c r="AG917" s="1"/>
    </row>
    <row r="918" spans="33:33" ht="12.75" customHeight="1">
      <c r="AG918" s="1"/>
    </row>
    <row r="919" spans="33:33" ht="12.75" customHeight="1">
      <c r="AG919" s="1"/>
    </row>
    <row r="920" spans="33:33" ht="12.75" customHeight="1">
      <c r="AG920" s="1"/>
    </row>
    <row r="921" spans="33:33" ht="12.75" customHeight="1">
      <c r="AG921" s="1"/>
    </row>
    <row r="922" spans="33:33" ht="12.75" customHeight="1">
      <c r="AG922" s="1"/>
    </row>
    <row r="923" spans="33:33" ht="12.75" customHeight="1">
      <c r="AG923" s="1"/>
    </row>
    <row r="924" spans="33:33" ht="12.75" customHeight="1">
      <c r="AG924" s="1"/>
    </row>
    <row r="925" spans="33:33" ht="12.75" customHeight="1">
      <c r="AG925" s="1"/>
    </row>
    <row r="926" spans="33:33" ht="12.75" customHeight="1">
      <c r="AG926" s="1"/>
    </row>
    <row r="927" spans="33:33" ht="12.75" customHeight="1">
      <c r="AG927" s="1"/>
    </row>
    <row r="928" spans="33:33" ht="12.75" customHeight="1">
      <c r="AG928" s="1"/>
    </row>
    <row r="929" spans="33:33" ht="12.75" customHeight="1">
      <c r="AG929" s="1"/>
    </row>
    <row r="930" spans="33:33" ht="12.75" customHeight="1">
      <c r="AG930" s="1"/>
    </row>
    <row r="931" spans="33:33" ht="12.75" customHeight="1">
      <c r="AG931" s="1"/>
    </row>
    <row r="932" spans="33:33" ht="12.75" customHeight="1">
      <c r="AG932" s="1"/>
    </row>
    <row r="933" spans="33:33" ht="12.75" customHeight="1">
      <c r="AG933" s="1"/>
    </row>
    <row r="934" spans="33:33" ht="12.75" customHeight="1">
      <c r="AG934" s="1"/>
    </row>
    <row r="935" spans="33:33" ht="12.75" customHeight="1">
      <c r="AG935" s="1"/>
    </row>
    <row r="936" spans="33:33" ht="12.75" customHeight="1">
      <c r="AG936" s="1"/>
    </row>
    <row r="937" spans="33:33" ht="12.75" customHeight="1">
      <c r="AG937" s="1"/>
    </row>
    <row r="938" spans="33:33" ht="12.75" customHeight="1">
      <c r="AG938" s="1"/>
    </row>
    <row r="939" spans="33:33" ht="12.75" customHeight="1">
      <c r="AG939" s="1"/>
    </row>
    <row r="940" spans="33:33" ht="12.75" customHeight="1">
      <c r="AG940" s="1"/>
    </row>
    <row r="941" spans="33:33" ht="12.75" customHeight="1">
      <c r="AG941" s="1"/>
    </row>
    <row r="942" spans="33:33" ht="12.75" customHeight="1">
      <c r="AG942" s="1"/>
    </row>
    <row r="943" spans="33:33" ht="12.75" customHeight="1">
      <c r="AG943" s="1"/>
    </row>
    <row r="944" spans="33:33" ht="12.75" customHeight="1">
      <c r="AG944" s="1"/>
    </row>
    <row r="945" spans="33:33" ht="12.75" customHeight="1">
      <c r="AG945" s="1"/>
    </row>
    <row r="946" spans="33:33" ht="12.75" customHeight="1">
      <c r="AG946" s="1"/>
    </row>
    <row r="947" spans="33:33" ht="12.75" customHeight="1">
      <c r="AG947" s="1"/>
    </row>
    <row r="948" spans="33:33" ht="12.75" customHeight="1">
      <c r="AG948" s="1"/>
    </row>
    <row r="949" spans="33:33" ht="12.75" customHeight="1">
      <c r="AG949" s="1"/>
    </row>
    <row r="950" spans="33:33" ht="12.75" customHeight="1">
      <c r="AG950" s="1"/>
    </row>
    <row r="951" spans="33:33" ht="12.75" customHeight="1">
      <c r="AG951" s="1"/>
    </row>
    <row r="952" spans="33:33" ht="12.75" customHeight="1">
      <c r="AG952" s="1"/>
    </row>
    <row r="953" spans="33:33" ht="12.75" customHeight="1">
      <c r="AG953" s="1"/>
    </row>
    <row r="954" spans="33:33" ht="12.75" customHeight="1">
      <c r="AG954" s="1"/>
    </row>
    <row r="955" spans="33:33" ht="12.75" customHeight="1">
      <c r="AG955" s="1"/>
    </row>
    <row r="956" spans="33:33" ht="12.75" customHeight="1">
      <c r="AG956" s="1"/>
    </row>
    <row r="957" spans="33:33" ht="12.75" customHeight="1">
      <c r="AG957" s="1"/>
    </row>
    <row r="958" spans="33:33" ht="12.75" customHeight="1">
      <c r="AG958" s="1"/>
    </row>
    <row r="959" spans="33:33" ht="12.75" customHeight="1">
      <c r="AG959" s="1"/>
    </row>
    <row r="960" spans="33:33" ht="12.75" customHeight="1">
      <c r="AG960" s="1"/>
    </row>
    <row r="961" spans="33:33" ht="12.75" customHeight="1">
      <c r="AG961" s="1"/>
    </row>
    <row r="962" spans="33:33" ht="12.75" customHeight="1">
      <c r="AG962" s="1"/>
    </row>
    <row r="963" spans="33:33" ht="12.75" customHeight="1">
      <c r="AG963" s="1"/>
    </row>
    <row r="964" spans="33:33" ht="12.75" customHeight="1">
      <c r="AG964" s="1"/>
    </row>
    <row r="965" spans="33:33" ht="12.75" customHeight="1">
      <c r="AG965" s="1"/>
    </row>
    <row r="966" spans="33:33" ht="12.75" customHeight="1">
      <c r="AG966" s="1"/>
    </row>
    <row r="967" spans="33:33" ht="12.75" customHeight="1">
      <c r="AG967" s="1"/>
    </row>
    <row r="968" spans="33:33" ht="12.75" customHeight="1">
      <c r="AG968" s="1"/>
    </row>
    <row r="969" spans="33:33" ht="12.75" customHeight="1">
      <c r="AG969" s="1"/>
    </row>
    <row r="970" spans="33:33" ht="12.75" customHeight="1">
      <c r="AG970" s="1"/>
    </row>
    <row r="971" spans="33:33" ht="12.75" customHeight="1">
      <c r="AG971" s="1"/>
    </row>
    <row r="972" spans="33:33" ht="12.75" customHeight="1">
      <c r="AG972" s="1"/>
    </row>
    <row r="973" spans="33:33" ht="12.75" customHeight="1">
      <c r="AG973" s="1"/>
    </row>
    <row r="974" spans="33:33" ht="12.75" customHeight="1">
      <c r="AG974" s="1"/>
    </row>
    <row r="975" spans="33:33" ht="12.75" customHeight="1">
      <c r="AG975" s="1"/>
    </row>
    <row r="976" spans="33:33" ht="12.75" customHeight="1">
      <c r="AG976" s="1"/>
    </row>
    <row r="977" spans="33:33" ht="12.75" customHeight="1">
      <c r="AG977" s="1"/>
    </row>
    <row r="978" spans="33:33" ht="12.75" customHeight="1">
      <c r="AG978" s="1"/>
    </row>
    <row r="979" spans="33:33" ht="12.75" customHeight="1">
      <c r="AG979" s="1"/>
    </row>
    <row r="980" spans="33:33" ht="12.75" customHeight="1">
      <c r="AG980" s="1"/>
    </row>
    <row r="981" spans="33:33" ht="12.75" customHeight="1">
      <c r="AG981" s="1"/>
    </row>
    <row r="982" spans="33:33" ht="12.75" customHeight="1">
      <c r="AG982" s="1"/>
    </row>
    <row r="983" spans="33:33" ht="12.75" customHeight="1">
      <c r="AG983" s="1"/>
    </row>
    <row r="984" spans="33:33" ht="12.75" customHeight="1">
      <c r="AG984" s="1"/>
    </row>
    <row r="985" spans="33:33" ht="12.75" customHeight="1">
      <c r="AG985" s="1"/>
    </row>
    <row r="986" spans="33:33" ht="12.75" customHeight="1">
      <c r="AG986" s="1"/>
    </row>
    <row r="987" spans="33:33" ht="12.75" customHeight="1">
      <c r="AG987" s="1"/>
    </row>
    <row r="988" spans="33:33" ht="12.75" customHeight="1">
      <c r="AG988" s="1"/>
    </row>
    <row r="989" spans="33:33" ht="12.75" customHeight="1">
      <c r="AG989" s="1"/>
    </row>
    <row r="990" spans="33:33" ht="12.75" customHeight="1">
      <c r="AG990" s="1"/>
    </row>
    <row r="991" spans="33:33" ht="12.75" customHeight="1">
      <c r="AG991" s="1"/>
    </row>
    <row r="992" spans="33:33" ht="12.75" customHeight="1">
      <c r="AG992" s="1"/>
    </row>
    <row r="993" spans="33:33" ht="12.75" customHeight="1">
      <c r="AG993" s="1"/>
    </row>
    <row r="994" spans="33:33" ht="12.75" customHeight="1">
      <c r="AG994" s="1"/>
    </row>
    <row r="995" spans="33:33" ht="12.75" customHeight="1">
      <c r="AG995" s="1"/>
    </row>
    <row r="996" spans="33:33" ht="12.75" customHeight="1">
      <c r="AG996" s="1"/>
    </row>
    <row r="997" spans="33:33" ht="12.75" customHeight="1">
      <c r="AG997" s="1"/>
    </row>
    <row r="998" spans="33:33" ht="12.75" customHeight="1">
      <c r="AG998" s="1"/>
    </row>
    <row r="999" spans="33:33" ht="12.75" customHeight="1">
      <c r="AG999" s="1"/>
    </row>
    <row r="1000" spans="33:33" ht="12.75" customHeight="1">
      <c r="AG1000" s="1"/>
    </row>
    <row r="1001" spans="33:33" ht="12.75" customHeight="1">
      <c r="AG1001" s="1"/>
    </row>
    <row r="1002" spans="33:33" ht="12.75" customHeight="1">
      <c r="AG1002" s="1"/>
    </row>
    <row r="1003" spans="33:33" ht="12.75" customHeight="1">
      <c r="AG1003" s="1"/>
    </row>
    <row r="1004" spans="33:33" ht="12.75" customHeight="1">
      <c r="AG1004" s="1"/>
    </row>
    <row r="1005" spans="33:33" ht="12.75" customHeight="1">
      <c r="AG1005" s="1"/>
    </row>
    <row r="1006" spans="33:33" ht="12.75" customHeight="1">
      <c r="AG1006" s="1"/>
    </row>
    <row r="1007" spans="33:33" ht="12.75" customHeight="1">
      <c r="AG1007" s="1"/>
    </row>
    <row r="1008" spans="33:33" ht="12.75" customHeight="1">
      <c r="AG1008" s="1"/>
    </row>
    <row r="1009" spans="33:33" ht="12.75" customHeight="1">
      <c r="AG1009" s="1"/>
    </row>
    <row r="1010" spans="33:33" ht="12.75" customHeight="1">
      <c r="AG1010" s="1"/>
    </row>
    <row r="1011" spans="33:33" ht="12.75" customHeight="1">
      <c r="AG1011" s="1"/>
    </row>
    <row r="1012" spans="33:33" ht="12.75" customHeight="1">
      <c r="AG1012" s="1"/>
    </row>
    <row r="1013" spans="33:33" ht="12.75" customHeight="1">
      <c r="AG1013" s="1"/>
    </row>
    <row r="1014" spans="33:33" ht="12.75" customHeight="1">
      <c r="AG1014" s="1"/>
    </row>
    <row r="1015" spans="33:33" ht="12.75" customHeight="1">
      <c r="AG1015" s="1"/>
    </row>
    <row r="1016" spans="33:33" ht="12.75" customHeight="1">
      <c r="AG1016" s="1"/>
    </row>
    <row r="1017" spans="33:33" ht="12.75" customHeight="1">
      <c r="AG1017" s="1"/>
    </row>
    <row r="1018" spans="33:33" ht="12.75" customHeight="1">
      <c r="AG1018" s="1"/>
    </row>
    <row r="1019" spans="33:33" ht="12.75" customHeight="1">
      <c r="AG1019" s="1"/>
    </row>
    <row r="1020" spans="33:33" ht="12.75" customHeight="1">
      <c r="AG1020" s="1"/>
    </row>
    <row r="1021" spans="33:33" ht="12.75" customHeight="1">
      <c r="AG1021" s="1"/>
    </row>
    <row r="1022" spans="33:33" ht="12.75" customHeight="1">
      <c r="AG1022" s="1"/>
    </row>
    <row r="1023" spans="33:33" ht="12.75" customHeight="1">
      <c r="AG1023" s="1"/>
    </row>
    <row r="1024" spans="33:33" ht="12.75" customHeight="1">
      <c r="AG1024" s="1"/>
    </row>
    <row r="1025" spans="33:33" ht="12.75" customHeight="1">
      <c r="AG1025" s="1"/>
    </row>
    <row r="1026" spans="33:33" ht="12.75" customHeight="1">
      <c r="AG1026" s="1"/>
    </row>
    <row r="1027" spans="33:33" ht="12.75" customHeight="1">
      <c r="AG1027" s="1"/>
    </row>
    <row r="1028" spans="33:33" ht="12.75" customHeight="1">
      <c r="AG1028" s="1"/>
    </row>
    <row r="1029" spans="33:33" ht="12.75" customHeight="1">
      <c r="AG1029" s="1"/>
    </row>
    <row r="1030" spans="33:33" ht="12.75" customHeight="1">
      <c r="AG1030" s="1"/>
    </row>
    <row r="1031" spans="33:33" ht="12.75" customHeight="1">
      <c r="AG1031" s="1"/>
    </row>
    <row r="1032" spans="33:33" ht="12.75" customHeight="1">
      <c r="AG1032" s="1"/>
    </row>
    <row r="1033" spans="33:33" ht="12.75" customHeight="1">
      <c r="AG1033" s="1"/>
    </row>
    <row r="1034" spans="33:33" ht="12.75" customHeight="1">
      <c r="AG1034" s="1"/>
    </row>
    <row r="1035" spans="33:33" ht="12.75" customHeight="1">
      <c r="AG1035" s="1"/>
    </row>
    <row r="1036" spans="33:33" ht="12.75" customHeight="1">
      <c r="AG1036" s="1"/>
    </row>
    <row r="1037" spans="33:33" ht="12.75" customHeight="1">
      <c r="AG1037" s="1"/>
    </row>
    <row r="1038" spans="33:33" ht="12.75" customHeight="1">
      <c r="AG1038" s="1"/>
    </row>
    <row r="1039" spans="33:33" ht="12.75" customHeight="1">
      <c r="AG1039" s="1"/>
    </row>
    <row r="1040" spans="33:33" ht="12.75" customHeight="1">
      <c r="AG1040" s="1"/>
    </row>
    <row r="1041" spans="33:33" ht="12.75" customHeight="1">
      <c r="AG1041" s="1"/>
    </row>
    <row r="1042" spans="33:33" ht="12.75" customHeight="1">
      <c r="AG1042" s="1"/>
    </row>
    <row r="1043" spans="33:33" ht="12.75" customHeight="1">
      <c r="AG1043" s="1"/>
    </row>
    <row r="1044" spans="33:33" ht="12.75" customHeight="1">
      <c r="AG1044" s="1"/>
    </row>
    <row r="1045" spans="33:33" ht="12.75" customHeight="1">
      <c r="AG1045" s="1"/>
    </row>
    <row r="1046" spans="33:33" ht="12.75" customHeight="1">
      <c r="AG1046" s="1"/>
    </row>
    <row r="1047" spans="33:33" ht="12.75" customHeight="1">
      <c r="AG1047" s="1"/>
    </row>
    <row r="1048" spans="33:33" ht="12.75" customHeight="1">
      <c r="AG1048" s="1"/>
    </row>
    <row r="1049" spans="33:33" ht="12.75" customHeight="1">
      <c r="AG1049" s="1"/>
    </row>
    <row r="1050" spans="33:33" ht="12.75" customHeight="1">
      <c r="AG1050" s="1"/>
    </row>
    <row r="1051" spans="33:33" ht="12.75" customHeight="1">
      <c r="AG1051" s="1"/>
    </row>
    <row r="1052" spans="33:33" ht="12.75" customHeight="1">
      <c r="AG1052" s="1"/>
    </row>
    <row r="1053" spans="33:33" ht="12.75" customHeight="1">
      <c r="AG1053" s="1"/>
    </row>
    <row r="1054" spans="33:33" ht="12.75" customHeight="1">
      <c r="AG1054" s="1"/>
    </row>
    <row r="1055" spans="33:33" ht="12.75" customHeight="1">
      <c r="AG1055" s="1"/>
    </row>
    <row r="1056" spans="33:33" ht="12.75" customHeight="1">
      <c r="AG1056" s="1"/>
    </row>
    <row r="1057" spans="33:33" ht="12.75" customHeight="1">
      <c r="AG1057" s="1"/>
    </row>
    <row r="1058" spans="33:33" ht="12.75" customHeight="1">
      <c r="AG1058" s="1"/>
    </row>
    <row r="1059" spans="33:33" ht="12.75" customHeight="1">
      <c r="AG1059" s="1"/>
    </row>
    <row r="1060" spans="33:33" ht="12.75" customHeight="1">
      <c r="AG1060" s="1"/>
    </row>
    <row r="1061" spans="33:33" ht="12.75" customHeight="1">
      <c r="AG1061" s="1"/>
    </row>
    <row r="1062" spans="33:33" ht="12.75" customHeight="1">
      <c r="AG1062" s="1"/>
    </row>
    <row r="1063" spans="33:33" ht="12.75" customHeight="1">
      <c r="AG1063" s="1"/>
    </row>
    <row r="1064" spans="33:33" ht="12.75" customHeight="1">
      <c r="AG1064" s="1"/>
    </row>
    <row r="1065" spans="33:33" ht="12.75" customHeight="1">
      <c r="AG1065" s="1"/>
    </row>
    <row r="1066" spans="33:33" ht="12.75" customHeight="1">
      <c r="AG1066" s="1"/>
    </row>
    <row r="1067" spans="33:33" ht="12.75" customHeight="1">
      <c r="AG1067" s="1"/>
    </row>
    <row r="1068" spans="33:33" ht="12.75" customHeight="1">
      <c r="AG1068" s="1"/>
    </row>
    <row r="1069" spans="33:33" ht="12.75" customHeight="1">
      <c r="AG1069" s="1"/>
    </row>
    <row r="1070" spans="33:33" ht="12.75" customHeight="1">
      <c r="AG1070" s="1"/>
    </row>
    <row r="1071" spans="33:33" ht="12.75" customHeight="1">
      <c r="AG1071" s="1"/>
    </row>
    <row r="1072" spans="33:33" ht="12.75" customHeight="1">
      <c r="AG1072" s="1"/>
    </row>
    <row r="1073" spans="33:33" ht="12.75" customHeight="1">
      <c r="AG1073" s="1"/>
    </row>
    <row r="1074" spans="33:33" ht="12.75" customHeight="1">
      <c r="AG1074" s="1"/>
    </row>
    <row r="1075" spans="33:33" ht="12.75" customHeight="1">
      <c r="AG1075" s="1"/>
    </row>
    <row r="1076" spans="33:33" ht="12.75" customHeight="1">
      <c r="AG1076" s="1"/>
    </row>
    <row r="1077" spans="33:33" ht="12.75" customHeight="1">
      <c r="AG1077" s="1"/>
    </row>
    <row r="1078" spans="33:33" ht="12.75" customHeight="1">
      <c r="AG1078" s="1"/>
    </row>
    <row r="1079" spans="33:33" ht="12.75" customHeight="1">
      <c r="AG1079" s="1"/>
    </row>
    <row r="1080" spans="33:33" ht="12.75" customHeight="1">
      <c r="AG1080" s="1"/>
    </row>
    <row r="1081" spans="33:33" ht="12.75" customHeight="1">
      <c r="AG1081" s="1"/>
    </row>
    <row r="1082" spans="33:33" ht="12.75" customHeight="1">
      <c r="AG1082" s="1"/>
    </row>
    <row r="1083" spans="33:33" ht="12.75" customHeight="1">
      <c r="AG1083" s="1"/>
    </row>
    <row r="1084" spans="33:33" ht="12.75" customHeight="1">
      <c r="AG1084" s="1"/>
    </row>
    <row r="1085" spans="33:33" ht="12.75" customHeight="1">
      <c r="AG1085" s="1"/>
    </row>
    <row r="1086" spans="33:33" ht="12.75" customHeight="1">
      <c r="AG1086" s="1"/>
    </row>
    <row r="1087" spans="33:33" ht="12.75" customHeight="1">
      <c r="AG1087" s="1"/>
    </row>
    <row r="1088" spans="33:33" ht="12.75" customHeight="1">
      <c r="AG1088" s="1"/>
    </row>
    <row r="1089" spans="33:33" ht="12.75" customHeight="1">
      <c r="AG1089" s="1"/>
    </row>
    <row r="1090" spans="33:33" ht="12.75" customHeight="1">
      <c r="AG1090" s="1"/>
    </row>
    <row r="1091" spans="33:33" ht="12.75" customHeight="1">
      <c r="AG1091" s="1"/>
    </row>
    <row r="1092" spans="33:33" ht="12.75" customHeight="1">
      <c r="AG1092" s="1"/>
    </row>
    <row r="1093" spans="33:33" ht="12.75" customHeight="1">
      <c r="AG1093" s="1"/>
    </row>
    <row r="1094" spans="33:33" ht="12.75" customHeight="1">
      <c r="AG1094" s="1"/>
    </row>
    <row r="1095" spans="33:33" ht="12.75" customHeight="1">
      <c r="AG1095" s="1"/>
    </row>
    <row r="1096" spans="33:33" ht="12.75" customHeight="1">
      <c r="AG1096" s="1"/>
    </row>
    <row r="1097" spans="33:33" ht="12.75" customHeight="1">
      <c r="AG1097" s="1"/>
    </row>
    <row r="1098" spans="33:33" ht="12.75" customHeight="1">
      <c r="AG1098" s="1"/>
    </row>
    <row r="1099" spans="33:33" ht="12.75" customHeight="1">
      <c r="AG1099" s="1"/>
    </row>
    <row r="1100" spans="33:33" ht="12.75" customHeight="1">
      <c r="AG1100" s="1"/>
    </row>
    <row r="1101" spans="33:33" ht="12.75" customHeight="1">
      <c r="AG1101" s="1"/>
    </row>
    <row r="1102" spans="33:33" ht="12.75" customHeight="1">
      <c r="AG1102" s="1"/>
    </row>
    <row r="1103" spans="33:33" ht="12.75" customHeight="1">
      <c r="AG1103" s="1"/>
    </row>
    <row r="1104" spans="33:33" ht="12.75" customHeight="1">
      <c r="AG1104" s="1"/>
    </row>
    <row r="1105" spans="33:33" ht="12.75" customHeight="1">
      <c r="AG1105" s="1"/>
    </row>
    <row r="1106" spans="33:33" ht="12.75" customHeight="1">
      <c r="AG1106" s="1"/>
    </row>
    <row r="1107" spans="33:33" ht="12.75" customHeight="1">
      <c r="AG1107" s="1"/>
    </row>
    <row r="1108" spans="33:33" ht="12.75" customHeight="1">
      <c r="AG1108" s="1"/>
    </row>
    <row r="1109" spans="33:33" ht="12.75" customHeight="1">
      <c r="AG1109" s="1"/>
    </row>
    <row r="1110" spans="33:33" ht="12.75" customHeight="1">
      <c r="AG1110" s="1"/>
    </row>
    <row r="1111" spans="33:33" ht="12.75" customHeight="1">
      <c r="AG1111" s="1"/>
    </row>
    <row r="1112" spans="33:33" ht="12.75" customHeight="1">
      <c r="AG1112" s="1"/>
    </row>
    <row r="1113" spans="33:33" ht="12.75" customHeight="1">
      <c r="AG1113" s="1"/>
    </row>
    <row r="1114" spans="33:33" ht="12.75" customHeight="1">
      <c r="AG1114" s="1"/>
    </row>
    <row r="1115" spans="33:33" ht="12.75" customHeight="1">
      <c r="AG1115" s="1"/>
    </row>
    <row r="1116" spans="33:33" ht="12.75" customHeight="1">
      <c r="AG1116" s="1"/>
    </row>
    <row r="1117" spans="33:33" ht="12.75" customHeight="1">
      <c r="AG1117" s="1"/>
    </row>
    <row r="1118" spans="33:33" ht="12.75" customHeight="1">
      <c r="AG1118" s="1"/>
    </row>
    <row r="1119" spans="33:33" ht="12.75" customHeight="1">
      <c r="AG1119" s="1"/>
    </row>
    <row r="1120" spans="33:33" ht="12.75" customHeight="1">
      <c r="AG1120" s="1"/>
    </row>
    <row r="1121" spans="33:33" ht="12.75" customHeight="1">
      <c r="AG1121" s="1"/>
    </row>
    <row r="1122" spans="33:33" ht="12.75" customHeight="1">
      <c r="AG1122" s="1"/>
    </row>
    <row r="1123" spans="33:33" ht="12.75" customHeight="1">
      <c r="AG1123" s="1"/>
    </row>
    <row r="1124" spans="33:33" ht="12.75" customHeight="1">
      <c r="AG1124" s="1"/>
    </row>
    <row r="1125" spans="33:33" ht="12.75" customHeight="1">
      <c r="AG1125" s="1"/>
    </row>
    <row r="1126" spans="33:33" ht="12.75" customHeight="1">
      <c r="AG1126" s="1"/>
    </row>
    <row r="1127" spans="33:33" ht="12.75" customHeight="1">
      <c r="AG1127" s="1"/>
    </row>
    <row r="1128" spans="33:33" ht="12.75" customHeight="1">
      <c r="AG1128" s="1"/>
    </row>
    <row r="1129" spans="33:33" ht="12.75" customHeight="1">
      <c r="AG1129" s="1"/>
    </row>
    <row r="1130" spans="33:33" ht="12.75" customHeight="1">
      <c r="AG1130" s="1"/>
    </row>
    <row r="1131" spans="33:33" ht="12.75" customHeight="1">
      <c r="AG1131" s="1"/>
    </row>
    <row r="1132" spans="33:33" ht="12.75" customHeight="1">
      <c r="AG1132" s="1"/>
    </row>
    <row r="1133" spans="33:33" ht="12.75" customHeight="1">
      <c r="AG1133" s="1"/>
    </row>
    <row r="1134" spans="33:33" ht="12.75" customHeight="1">
      <c r="AG1134" s="1"/>
    </row>
    <row r="1135" spans="33:33" ht="12.75" customHeight="1">
      <c r="AG1135" s="1"/>
    </row>
    <row r="1136" spans="33:33" ht="12.75" customHeight="1">
      <c r="AG1136" s="1"/>
    </row>
    <row r="1137" spans="33:33" ht="12.75" customHeight="1">
      <c r="AG1137" s="1"/>
    </row>
    <row r="1138" spans="33:33" ht="12.75" customHeight="1">
      <c r="AG1138" s="1"/>
    </row>
    <row r="1139" spans="33:33" ht="12.75" customHeight="1">
      <c r="AG1139" s="1"/>
    </row>
    <row r="1140" spans="33:33" ht="12.75" customHeight="1">
      <c r="AG1140" s="1"/>
    </row>
    <row r="1141" spans="33:33" ht="12.75" customHeight="1">
      <c r="AG1141" s="1"/>
    </row>
    <row r="1142" spans="33:33" ht="12.75" customHeight="1">
      <c r="AG1142" s="1"/>
    </row>
    <row r="1143" spans="33:33" ht="12.75" customHeight="1">
      <c r="AG1143" s="1"/>
    </row>
    <row r="1144" spans="33:33" ht="12.75" customHeight="1">
      <c r="AG1144" s="1"/>
    </row>
    <row r="1145" spans="33:33" ht="12.75" customHeight="1">
      <c r="AG1145" s="1"/>
    </row>
    <row r="1146" spans="33:33" ht="12.75" customHeight="1">
      <c r="AG1146" s="1"/>
    </row>
    <row r="1147" spans="33:33" ht="12.75" customHeight="1">
      <c r="AG1147" s="1"/>
    </row>
    <row r="1148" spans="33:33" ht="12.75" customHeight="1">
      <c r="AG1148" s="1"/>
    </row>
    <row r="1149" spans="33:33" ht="12.75" customHeight="1">
      <c r="AG1149" s="1"/>
    </row>
    <row r="1150" spans="33:33" ht="12.75" customHeight="1">
      <c r="AG1150" s="1"/>
    </row>
    <row r="1151" spans="33:33" ht="12.75" customHeight="1">
      <c r="AG1151" s="1"/>
    </row>
    <row r="1152" spans="33:33" ht="12.75" customHeight="1">
      <c r="AG1152" s="1"/>
    </row>
    <row r="1153" spans="33:33" ht="12.75" customHeight="1">
      <c r="AG1153" s="1"/>
    </row>
    <row r="1154" spans="33:33" ht="12.75" customHeight="1">
      <c r="AG1154" s="1"/>
    </row>
    <row r="1155" spans="33:33" ht="12.75" customHeight="1">
      <c r="AG1155" s="1"/>
    </row>
    <row r="1156" spans="33:33" ht="12.75" customHeight="1">
      <c r="AG1156" s="1"/>
    </row>
    <row r="1157" spans="33:33" ht="12.75" customHeight="1">
      <c r="AG1157" s="1"/>
    </row>
    <row r="1158" spans="33:33" ht="12.75" customHeight="1">
      <c r="AG1158" s="1"/>
    </row>
    <row r="1159" spans="33:33" ht="12.75" customHeight="1">
      <c r="AG1159" s="1"/>
    </row>
    <row r="1160" spans="33:33" ht="12.75" customHeight="1">
      <c r="AG1160" s="1"/>
    </row>
    <row r="1161" spans="33:33" ht="12.75" customHeight="1">
      <c r="AG1161" s="1"/>
    </row>
    <row r="1162" spans="33:33" ht="12.75" customHeight="1">
      <c r="AG1162" s="1"/>
    </row>
    <row r="1163" spans="33:33" ht="12.75" customHeight="1">
      <c r="AG1163" s="1"/>
    </row>
    <row r="1164" spans="33:33" ht="12.75" customHeight="1">
      <c r="AG1164" s="1"/>
    </row>
    <row r="1165" spans="33:33" ht="12.75" customHeight="1">
      <c r="AG1165" s="1"/>
    </row>
    <row r="1166" spans="33:33" ht="12.75" customHeight="1">
      <c r="AG1166" s="1"/>
    </row>
    <row r="1167" spans="33:33" ht="12.75" customHeight="1">
      <c r="AG1167" s="1"/>
    </row>
    <row r="1168" spans="33:33" ht="12.75" customHeight="1">
      <c r="AG1168" s="1"/>
    </row>
    <row r="1169" spans="33:33" ht="12.75" customHeight="1">
      <c r="AG1169" s="1"/>
    </row>
    <row r="1170" spans="33:33" ht="12.75" customHeight="1">
      <c r="AG1170" s="1"/>
    </row>
    <row r="1171" spans="33:33" ht="12.75" customHeight="1">
      <c r="AG1171" s="1"/>
    </row>
    <row r="1172" spans="33:33" ht="12.75" customHeight="1">
      <c r="AG1172" s="1"/>
    </row>
    <row r="1173" spans="33:33" ht="12.75" customHeight="1">
      <c r="AG1173" s="1"/>
    </row>
    <row r="1174" spans="33:33" ht="12.75" customHeight="1">
      <c r="AG1174" s="1"/>
    </row>
    <row r="1175" spans="33:33" ht="12.75" customHeight="1">
      <c r="AG1175" s="1"/>
    </row>
    <row r="1176" spans="33:33" ht="12.75" customHeight="1">
      <c r="AG1176" s="1"/>
    </row>
    <row r="1177" spans="33:33" ht="12.75" customHeight="1">
      <c r="AG1177" s="1"/>
    </row>
    <row r="1178" spans="33:33" ht="12.75" customHeight="1">
      <c r="AG1178" s="1"/>
    </row>
    <row r="1179" spans="33:33" ht="12.75" customHeight="1">
      <c r="AG1179" s="1"/>
    </row>
    <row r="1180" spans="33:33" ht="12.75" customHeight="1">
      <c r="AG1180" s="1"/>
    </row>
    <row r="1181" spans="33:33" ht="12.75" customHeight="1">
      <c r="AG1181" s="1"/>
    </row>
    <row r="1182" spans="33:33" ht="12.75" customHeight="1">
      <c r="AG1182" s="1"/>
    </row>
    <row r="1183" spans="33:33" ht="12.75" customHeight="1">
      <c r="AG1183" s="1"/>
    </row>
    <row r="1184" spans="33:33" ht="12.75" customHeight="1">
      <c r="AG1184" s="1"/>
    </row>
    <row r="1185" spans="33:33" ht="12.75" customHeight="1">
      <c r="AG1185" s="1"/>
    </row>
    <row r="1186" spans="33:33" ht="12.75" customHeight="1">
      <c r="AG1186" s="1"/>
    </row>
    <row r="1187" spans="33:33" ht="12.75" customHeight="1">
      <c r="AG1187" s="1"/>
    </row>
    <row r="1188" spans="33:33" ht="12.75" customHeight="1">
      <c r="AG1188" s="1"/>
    </row>
    <row r="1189" spans="33:33" ht="12.75" customHeight="1">
      <c r="AG1189" s="1"/>
    </row>
    <row r="1190" spans="33:33" ht="12.75" customHeight="1">
      <c r="AG1190" s="1"/>
    </row>
    <row r="1191" spans="33:33" ht="12.75" customHeight="1">
      <c r="AG1191" s="1"/>
    </row>
    <row r="1192" spans="33:33" ht="12.75" customHeight="1">
      <c r="AG1192" s="1"/>
    </row>
    <row r="1193" spans="33:33" ht="12.75" customHeight="1">
      <c r="AG1193" s="1"/>
    </row>
    <row r="1194" spans="33:33" ht="12.75" customHeight="1">
      <c r="AG1194" s="1"/>
    </row>
    <row r="1195" spans="33:33" ht="12.75" customHeight="1">
      <c r="AG1195" s="1"/>
    </row>
    <row r="1196" spans="33:33" ht="12.75" customHeight="1">
      <c r="AG1196" s="1"/>
    </row>
    <row r="1197" spans="33:33" ht="12.75" customHeight="1">
      <c r="AG1197" s="1"/>
    </row>
    <row r="1198" spans="33:33" ht="12.75" customHeight="1">
      <c r="AG1198" s="1"/>
    </row>
    <row r="1199" spans="33:33" ht="12.75" customHeight="1">
      <c r="AG1199" s="1"/>
    </row>
    <row r="1200" spans="33:33" ht="12.75" customHeight="1">
      <c r="AG1200" s="1"/>
    </row>
    <row r="1201" spans="33:33" ht="12.75" customHeight="1">
      <c r="AG1201" s="1"/>
    </row>
    <row r="1202" spans="33:33" ht="12.75" customHeight="1">
      <c r="AG1202" s="1"/>
    </row>
    <row r="1203" spans="33:33" ht="12.75" customHeight="1">
      <c r="AG1203" s="1"/>
    </row>
    <row r="1204" spans="33:33" ht="12.75" customHeight="1">
      <c r="AG1204" s="1"/>
    </row>
    <row r="1205" spans="33:33" ht="12.75" customHeight="1">
      <c r="AG1205" s="1"/>
    </row>
    <row r="1206" spans="33:33" ht="12.75" customHeight="1">
      <c r="AG1206" s="1"/>
    </row>
    <row r="1207" spans="33:33" ht="12.75" customHeight="1">
      <c r="AG1207" s="1"/>
    </row>
    <row r="1208" spans="33:33" ht="12.75" customHeight="1">
      <c r="AG1208" s="1"/>
    </row>
    <row r="1209" spans="33:33" ht="12.75" customHeight="1">
      <c r="AG1209" s="1"/>
    </row>
    <row r="1210" spans="33:33" ht="12.75" customHeight="1">
      <c r="AG1210" s="1"/>
    </row>
    <row r="1211" spans="33:33" ht="12.75" customHeight="1">
      <c r="AG1211" s="1"/>
    </row>
    <row r="1212" spans="33:33" ht="12.75" customHeight="1">
      <c r="AG1212" s="1"/>
    </row>
    <row r="1213" spans="33:33" ht="12.75" customHeight="1">
      <c r="AG1213" s="1"/>
    </row>
    <row r="1214" spans="33:33" ht="12.75" customHeight="1">
      <c r="AG1214" s="1"/>
    </row>
    <row r="1215" spans="33:33" ht="12.75" customHeight="1">
      <c r="AG1215" s="1"/>
    </row>
    <row r="1216" spans="33:33" ht="12.75" customHeight="1">
      <c r="AG1216" s="1"/>
    </row>
    <row r="1217" spans="33:33" ht="12.75" customHeight="1">
      <c r="AG1217" s="1"/>
    </row>
    <row r="1218" spans="33:33" ht="12.75" customHeight="1">
      <c r="AG1218" s="1"/>
    </row>
    <row r="1219" spans="33:33" ht="12.75" customHeight="1">
      <c r="AG1219" s="1"/>
    </row>
    <row r="1220" spans="33:33" ht="12.75" customHeight="1">
      <c r="AG1220" s="1"/>
    </row>
    <row r="1221" spans="33:33" ht="12.75" customHeight="1">
      <c r="AG1221" s="1"/>
    </row>
    <row r="1222" spans="33:33" ht="12.75" customHeight="1">
      <c r="AG1222" s="1"/>
    </row>
    <row r="1223" spans="33:33" ht="12.75" customHeight="1">
      <c r="AG1223" s="1"/>
    </row>
    <row r="1224" spans="33:33" ht="12.75" customHeight="1">
      <c r="AG1224" s="1"/>
    </row>
    <row r="1225" spans="33:33" ht="12.75" customHeight="1">
      <c r="AG1225" s="1"/>
    </row>
    <row r="1226" spans="33:33" ht="12.75" customHeight="1">
      <c r="AG1226" s="1"/>
    </row>
    <row r="1227" spans="33:33" ht="12.75" customHeight="1">
      <c r="AG1227" s="1"/>
    </row>
    <row r="1228" spans="33:33" ht="12.75" customHeight="1">
      <c r="AG1228" s="1"/>
    </row>
    <row r="1229" spans="33:33" ht="12.75" customHeight="1">
      <c r="AG1229" s="1"/>
    </row>
    <row r="1230" spans="33:33" ht="12.75" customHeight="1">
      <c r="AG1230" s="1"/>
    </row>
    <row r="1231" spans="33:33" ht="12.75" customHeight="1">
      <c r="AG1231" s="1"/>
    </row>
    <row r="1232" spans="33:33" ht="12.75" customHeight="1">
      <c r="AG1232" s="1"/>
    </row>
    <row r="1233" spans="33:33" ht="12.75" customHeight="1">
      <c r="AG1233" s="1"/>
    </row>
    <row r="1234" spans="33:33" ht="12.75" customHeight="1">
      <c r="AG1234" s="1"/>
    </row>
    <row r="1235" spans="33:33" ht="12.75" customHeight="1">
      <c r="AG1235" s="1"/>
    </row>
    <row r="1236" spans="33:33" ht="12.75" customHeight="1">
      <c r="AG1236" s="1"/>
    </row>
    <row r="1237" spans="33:33" ht="12.75" customHeight="1">
      <c r="AG1237" s="1"/>
    </row>
    <row r="1238" spans="33:33" ht="12.75" customHeight="1">
      <c r="AG1238" s="1"/>
    </row>
    <row r="1239" spans="33:33" ht="12.75" customHeight="1">
      <c r="AG1239" s="1"/>
    </row>
    <row r="1240" spans="33:33" ht="12.75" customHeight="1">
      <c r="AG1240" s="1"/>
    </row>
    <row r="1241" spans="33:33" ht="12.75" customHeight="1">
      <c r="AG1241" s="1"/>
    </row>
    <row r="1242" spans="33:33" ht="12.75" customHeight="1">
      <c r="AG1242" s="1"/>
    </row>
    <row r="1243" spans="33:33" ht="12.75" customHeight="1">
      <c r="AG1243" s="1"/>
    </row>
    <row r="1244" spans="33:33" ht="12.75" customHeight="1">
      <c r="AG1244" s="1"/>
    </row>
    <row r="1245" spans="33:33" ht="12.75" customHeight="1">
      <c r="AG1245" s="1"/>
    </row>
    <row r="1246" spans="33:33" ht="12.75" customHeight="1">
      <c r="AG1246" s="1"/>
    </row>
    <row r="1247" spans="33:33" ht="12.75" customHeight="1">
      <c r="AG1247" s="1"/>
    </row>
    <row r="1248" spans="33:33" ht="12.75" customHeight="1">
      <c r="AG1248" s="1"/>
    </row>
    <row r="1249" spans="33:33" ht="12.75" customHeight="1">
      <c r="AG1249" s="1"/>
    </row>
    <row r="1250" spans="33:33" ht="12.75" customHeight="1">
      <c r="AG1250" s="1"/>
    </row>
    <row r="1251" spans="33:33" ht="12.75" customHeight="1">
      <c r="AG1251" s="1"/>
    </row>
    <row r="1252" spans="33:33" ht="12.75" customHeight="1">
      <c r="AG1252" s="1"/>
    </row>
    <row r="1253" spans="33:33" ht="12.75" customHeight="1">
      <c r="AG1253" s="1"/>
    </row>
    <row r="1254" spans="33:33" ht="12.75" customHeight="1">
      <c r="AG1254" s="1"/>
    </row>
    <row r="1255" spans="33:33" ht="12.75" customHeight="1">
      <c r="AG1255" s="1"/>
    </row>
    <row r="1256" spans="33:33" ht="12.75" customHeight="1">
      <c r="AG1256" s="1"/>
    </row>
    <row r="1257" spans="33:33" ht="12.75" customHeight="1">
      <c r="AG1257" s="1"/>
    </row>
    <row r="1258" spans="33:33" ht="12.75" customHeight="1">
      <c r="AG1258" s="1"/>
    </row>
    <row r="1259" spans="33:33" ht="12.75" customHeight="1">
      <c r="AG1259" s="1"/>
    </row>
    <row r="1260" spans="33:33" ht="12.75" customHeight="1">
      <c r="AG1260" s="1"/>
    </row>
    <row r="1261" spans="33:33" ht="12.75" customHeight="1">
      <c r="AG1261" s="1"/>
    </row>
    <row r="1262" spans="33:33" ht="12.75" customHeight="1">
      <c r="AG1262" s="1"/>
    </row>
    <row r="1263" spans="33:33" ht="12.75" customHeight="1">
      <c r="AG1263" s="1"/>
    </row>
    <row r="1264" spans="33:33" ht="12.75" customHeight="1">
      <c r="AG1264" s="1"/>
    </row>
    <row r="1265" spans="33:33" ht="12.75" customHeight="1">
      <c r="AG1265" s="1"/>
    </row>
    <row r="1266" spans="33:33" ht="12.75" customHeight="1">
      <c r="AG1266" s="1"/>
    </row>
    <row r="1267" spans="33:33" ht="12.75" customHeight="1">
      <c r="AG1267" s="1"/>
    </row>
    <row r="1268" spans="33:33" ht="12.75" customHeight="1">
      <c r="AG1268" s="1"/>
    </row>
    <row r="1269" spans="33:33" ht="12.75" customHeight="1">
      <c r="AG1269" s="1"/>
    </row>
    <row r="1270" spans="33:33" ht="12.75" customHeight="1">
      <c r="AG1270" s="1"/>
    </row>
    <row r="1271" spans="33:33" ht="12.75" customHeight="1">
      <c r="AG1271" s="1"/>
    </row>
    <row r="1272" spans="33:33" ht="12.75" customHeight="1">
      <c r="AG1272" s="1"/>
    </row>
    <row r="1273" spans="33:33" ht="12.75" customHeight="1">
      <c r="AG1273" s="1"/>
    </row>
    <row r="1274" spans="33:33" ht="12.75" customHeight="1">
      <c r="AG1274" s="1"/>
    </row>
    <row r="1275" spans="33:33" ht="12.75" customHeight="1">
      <c r="AG1275" s="1"/>
    </row>
    <row r="1276" spans="33:33" ht="12.75" customHeight="1">
      <c r="AG1276" s="1"/>
    </row>
    <row r="1277" spans="33:33" ht="12.75" customHeight="1">
      <c r="AG1277" s="1"/>
    </row>
    <row r="1278" spans="33:33" ht="12.75" customHeight="1">
      <c r="AG1278" s="1"/>
    </row>
    <row r="1279" spans="33:33" ht="12.75" customHeight="1">
      <c r="AG1279" s="1"/>
    </row>
    <row r="1280" spans="33:33" ht="12.75" customHeight="1">
      <c r="AG1280" s="1"/>
    </row>
    <row r="1281" spans="33:33" ht="12.75" customHeight="1">
      <c r="AG1281" s="1"/>
    </row>
    <row r="1282" spans="33:33" ht="12.75" customHeight="1">
      <c r="AG1282" s="1"/>
    </row>
    <row r="1283" spans="33:33" ht="12.75" customHeight="1">
      <c r="AG1283" s="1"/>
    </row>
    <row r="1284" spans="33:33" ht="12.75" customHeight="1">
      <c r="AG1284" s="1"/>
    </row>
    <row r="1285" spans="33:33" ht="12.75" customHeight="1">
      <c r="AG1285" s="1"/>
    </row>
    <row r="1286" spans="33:33" ht="12.75" customHeight="1">
      <c r="AG1286" s="1"/>
    </row>
    <row r="1287" spans="33:33" ht="12.75" customHeight="1">
      <c r="AG1287" s="1"/>
    </row>
    <row r="1288" spans="33:33" ht="12.75" customHeight="1">
      <c r="AG1288" s="1"/>
    </row>
    <row r="1289" spans="33:33" ht="12.75" customHeight="1">
      <c r="AG1289" s="1"/>
    </row>
    <row r="1290" spans="33:33" ht="12.75" customHeight="1">
      <c r="AG1290" s="1"/>
    </row>
    <row r="1291" spans="33:33" ht="12.75" customHeight="1">
      <c r="AG1291" s="1"/>
    </row>
    <row r="1292" spans="33:33" ht="12.75" customHeight="1">
      <c r="AG1292" s="1"/>
    </row>
    <row r="1293" spans="33:33" ht="12.75" customHeight="1">
      <c r="AG1293" s="1"/>
    </row>
    <row r="1294" spans="33:33" ht="12.75" customHeight="1">
      <c r="AG1294" s="1"/>
    </row>
    <row r="1295" spans="33:33" ht="12.75" customHeight="1">
      <c r="AG1295" s="1"/>
    </row>
    <row r="1296" spans="33:33" ht="12.75" customHeight="1">
      <c r="AG1296" s="1"/>
    </row>
    <row r="1297" spans="33:33" ht="12.75" customHeight="1">
      <c r="AG1297" s="1"/>
    </row>
    <row r="1298" spans="33:33" ht="12.75" customHeight="1">
      <c r="AG1298" s="1"/>
    </row>
    <row r="1299" spans="33:33" ht="12.75" customHeight="1">
      <c r="AG1299" s="1"/>
    </row>
    <row r="1300" spans="33:33" ht="12.75" customHeight="1">
      <c r="AG1300" s="1"/>
    </row>
    <row r="1301" spans="33:33" ht="12.75" customHeight="1">
      <c r="AG1301" s="1"/>
    </row>
    <row r="1302" spans="33:33" ht="12.75" customHeight="1">
      <c r="AG1302" s="1"/>
    </row>
    <row r="1303" spans="33:33" ht="12.75" customHeight="1">
      <c r="AG1303" s="1"/>
    </row>
    <row r="1304" spans="33:33" ht="12.75" customHeight="1">
      <c r="AG1304" s="1"/>
    </row>
    <row r="1305" spans="33:33" ht="12.75" customHeight="1">
      <c r="AG1305" s="1"/>
    </row>
    <row r="1306" spans="33:33" ht="12.75" customHeight="1">
      <c r="AG1306" s="1"/>
    </row>
    <row r="1307" spans="33:33" ht="12.75" customHeight="1">
      <c r="AG1307" s="1"/>
    </row>
    <row r="1308" spans="33:33" ht="12.75" customHeight="1">
      <c r="AG1308" s="1"/>
    </row>
    <row r="1309" spans="33:33" ht="12.75" customHeight="1">
      <c r="AG1309" s="1"/>
    </row>
    <row r="1310" spans="33:33" ht="12.75" customHeight="1">
      <c r="AG1310" s="1"/>
    </row>
    <row r="1311" spans="33:33" ht="12.75" customHeight="1">
      <c r="AG1311" s="1"/>
    </row>
    <row r="1312" spans="33:33" ht="12.75" customHeight="1">
      <c r="AG1312" s="1"/>
    </row>
    <row r="1313" spans="33:33" ht="12.75" customHeight="1">
      <c r="AG1313" s="1"/>
    </row>
    <row r="1314" spans="33:33" ht="12.75" customHeight="1">
      <c r="AG1314" s="1"/>
    </row>
    <row r="1315" spans="33:33" ht="12.75" customHeight="1">
      <c r="AG1315" s="1"/>
    </row>
    <row r="1316" spans="33:33" ht="12.75" customHeight="1">
      <c r="AG1316" s="1"/>
    </row>
    <row r="1317" spans="33:33" ht="12.75" customHeight="1">
      <c r="AG1317" s="1"/>
    </row>
    <row r="1318" spans="33:33" ht="12.75" customHeight="1">
      <c r="AG1318" s="1"/>
    </row>
    <row r="1319" spans="33:33" ht="12.75" customHeight="1">
      <c r="AG1319" s="1"/>
    </row>
    <row r="1320" spans="33:33" ht="12.75" customHeight="1">
      <c r="AG1320" s="1"/>
    </row>
    <row r="1321" spans="33:33" ht="12.75" customHeight="1">
      <c r="AG1321" s="1"/>
    </row>
    <row r="1322" spans="33:33" ht="12.75" customHeight="1">
      <c r="AG1322" s="1"/>
    </row>
    <row r="1323" spans="33:33" ht="12.75" customHeight="1">
      <c r="AG1323" s="1"/>
    </row>
    <row r="1324" spans="33:33" ht="12.75" customHeight="1">
      <c r="AG1324" s="1"/>
    </row>
    <row r="1325" spans="33:33" ht="12.75" customHeight="1">
      <c r="AG1325" s="1"/>
    </row>
    <row r="1326" spans="33:33" ht="12.75" customHeight="1">
      <c r="AG1326" s="1"/>
    </row>
    <row r="1327" spans="33:33" ht="12.75" customHeight="1">
      <c r="AG1327" s="1"/>
    </row>
    <row r="1328" spans="33:33" ht="12.75" customHeight="1">
      <c r="AG1328" s="1"/>
    </row>
    <row r="1329" spans="33:33" ht="12.75" customHeight="1">
      <c r="AG1329" s="1"/>
    </row>
    <row r="1330" spans="33:33" ht="12.75" customHeight="1">
      <c r="AG1330" s="1"/>
    </row>
    <row r="1331" spans="33:33" ht="12.75" customHeight="1">
      <c r="AG1331" s="1"/>
    </row>
    <row r="1332" spans="33:33" ht="12.75" customHeight="1">
      <c r="AG1332" s="1"/>
    </row>
    <row r="1333" spans="33:33" ht="12.75" customHeight="1">
      <c r="AG1333" s="1"/>
    </row>
    <row r="1334" spans="33:33" ht="12.75" customHeight="1">
      <c r="AG1334" s="1"/>
    </row>
    <row r="1335" spans="33:33" ht="12.75" customHeight="1">
      <c r="AG1335" s="1"/>
    </row>
    <row r="1336" spans="33:33" ht="12.75" customHeight="1">
      <c r="AG1336" s="1"/>
    </row>
    <row r="1337" spans="33:33" ht="12.75" customHeight="1">
      <c r="AG1337" s="1"/>
    </row>
    <row r="1338" spans="33:33" ht="12.75" customHeight="1">
      <c r="AG1338" s="1"/>
    </row>
    <row r="1339" spans="33:33" ht="12.75" customHeight="1">
      <c r="AG1339" s="1"/>
    </row>
    <row r="1340" spans="33:33" ht="12.75" customHeight="1">
      <c r="AG1340" s="1"/>
    </row>
    <row r="1341" spans="33:33" ht="12.75" customHeight="1">
      <c r="AG1341" s="1"/>
    </row>
    <row r="1342" spans="33:33" ht="12.75" customHeight="1">
      <c r="AG1342" s="1"/>
    </row>
    <row r="1343" spans="33:33" ht="12.75" customHeight="1">
      <c r="AG1343" s="1"/>
    </row>
    <row r="1344" spans="33:33" ht="12.75" customHeight="1">
      <c r="AG1344" s="1"/>
    </row>
    <row r="1345" spans="33:33" ht="12.75" customHeight="1">
      <c r="AG1345" s="1"/>
    </row>
    <row r="1346" spans="33:33" ht="12.75" customHeight="1">
      <c r="AG1346" s="1"/>
    </row>
    <row r="1347" spans="33:33" ht="12.75" customHeight="1">
      <c r="AG1347" s="1"/>
    </row>
    <row r="1348" spans="33:33" ht="12.75" customHeight="1">
      <c r="AG1348" s="1"/>
    </row>
    <row r="1349" spans="33:33" ht="12.75" customHeight="1">
      <c r="AG1349" s="1"/>
    </row>
    <row r="1350" spans="33:33" ht="12.75" customHeight="1">
      <c r="AG1350" s="1"/>
    </row>
    <row r="1351" spans="33:33" ht="12.75" customHeight="1">
      <c r="AG1351" s="1"/>
    </row>
    <row r="1352" spans="33:33" ht="12.75" customHeight="1">
      <c r="AG1352" s="1"/>
    </row>
    <row r="1353" spans="33:33" ht="12.75" customHeight="1">
      <c r="AG1353" s="1"/>
    </row>
    <row r="1354" spans="33:33" ht="12.75" customHeight="1">
      <c r="AG1354" s="1"/>
    </row>
    <row r="1355" spans="33:33" ht="12.75" customHeight="1">
      <c r="AG1355" s="1"/>
    </row>
    <row r="1356" spans="33:33" ht="12.75" customHeight="1">
      <c r="AG1356" s="1"/>
    </row>
    <row r="1357" spans="33:33" ht="12.75" customHeight="1">
      <c r="AG1357" s="1"/>
    </row>
    <row r="1358" spans="33:33" ht="12.75" customHeight="1">
      <c r="AG1358" s="1"/>
    </row>
    <row r="1359" spans="33:33" ht="12.75" customHeight="1">
      <c r="AG1359" s="1"/>
    </row>
    <row r="1360" spans="33:33" ht="12.75" customHeight="1">
      <c r="AG1360" s="1"/>
    </row>
    <row r="1361" spans="33:33" ht="12.75" customHeight="1">
      <c r="AG1361" s="1"/>
    </row>
    <row r="1362" spans="33:33" ht="12.75" customHeight="1">
      <c r="AG1362" s="1"/>
    </row>
    <row r="1363" spans="33:33" ht="12.75" customHeight="1">
      <c r="AG1363" s="1"/>
    </row>
    <row r="1364" spans="33:33" ht="12.75" customHeight="1">
      <c r="AG1364" s="1"/>
    </row>
    <row r="1365" spans="33:33" ht="12.75" customHeight="1">
      <c r="AG1365" s="1"/>
    </row>
    <row r="1366" spans="33:33" ht="12.75" customHeight="1">
      <c r="AG1366" s="1"/>
    </row>
    <row r="1367" spans="33:33" ht="12.75" customHeight="1">
      <c r="AG1367" s="1"/>
    </row>
    <row r="1368" spans="33:33" ht="12.75" customHeight="1">
      <c r="AG1368" s="1"/>
    </row>
    <row r="1369" spans="33:33" ht="12.75" customHeight="1">
      <c r="AG1369" s="1"/>
    </row>
    <row r="1370" spans="33:33" ht="12.75" customHeight="1">
      <c r="AG1370" s="1"/>
    </row>
    <row r="1371" spans="33:33" ht="12.75" customHeight="1">
      <c r="AG1371" s="1"/>
    </row>
    <row r="1372" spans="33:33" ht="12.75" customHeight="1">
      <c r="AG1372" s="1"/>
    </row>
    <row r="1373" spans="33:33" ht="12.75" customHeight="1">
      <c r="AG1373" s="1"/>
    </row>
    <row r="1374" spans="33:33" ht="12.75" customHeight="1">
      <c r="AG1374" s="1"/>
    </row>
    <row r="1375" spans="33:33" ht="12.75" customHeight="1">
      <c r="AG1375" s="1"/>
    </row>
    <row r="1376" spans="33:33" ht="12.75" customHeight="1">
      <c r="AG1376" s="1"/>
    </row>
    <row r="1377" spans="33:33" ht="12.75" customHeight="1">
      <c r="AG1377" s="1"/>
    </row>
    <row r="1378" spans="33:33" ht="12.75" customHeight="1">
      <c r="AG1378" s="1"/>
    </row>
    <row r="1379" spans="33:33" ht="12.75" customHeight="1">
      <c r="AG1379" s="1"/>
    </row>
    <row r="1380" spans="33:33" ht="12.75" customHeight="1">
      <c r="AG1380" s="1"/>
    </row>
    <row r="1381" spans="33:33" ht="12.75" customHeight="1">
      <c r="AG1381" s="1"/>
    </row>
    <row r="1382" spans="33:33" ht="12.75" customHeight="1">
      <c r="AG1382" s="1"/>
    </row>
    <row r="1383" spans="33:33" ht="12.75" customHeight="1">
      <c r="AG1383" s="1"/>
    </row>
    <row r="1384" spans="33:33" ht="12.75" customHeight="1">
      <c r="AG1384" s="1"/>
    </row>
    <row r="1385" spans="33:33" ht="12.75" customHeight="1">
      <c r="AG1385" s="1"/>
    </row>
    <row r="1386" spans="33:33" ht="12.75" customHeight="1">
      <c r="AG1386" s="1"/>
    </row>
    <row r="1387" spans="33:33" ht="12.75" customHeight="1">
      <c r="AG1387" s="1"/>
    </row>
    <row r="1388" spans="33:33" ht="12.75" customHeight="1">
      <c r="AG1388" s="1"/>
    </row>
    <row r="1389" spans="33:33" ht="12.75" customHeight="1">
      <c r="AG1389" s="1"/>
    </row>
    <row r="1390" spans="33:33" ht="12.75" customHeight="1">
      <c r="AG1390" s="1"/>
    </row>
    <row r="1391" spans="33:33" ht="12.75" customHeight="1">
      <c r="AG1391" s="1"/>
    </row>
    <row r="1392" spans="33:33" ht="12.75" customHeight="1">
      <c r="AG1392" s="1"/>
    </row>
    <row r="1393" spans="33:33" ht="12.75" customHeight="1">
      <c r="AG1393" s="1"/>
    </row>
    <row r="1394" spans="33:33" ht="12.75" customHeight="1">
      <c r="AG1394" s="1"/>
    </row>
    <row r="1395" spans="33:33" ht="12.75" customHeight="1">
      <c r="AG1395" s="1"/>
    </row>
    <row r="1396" spans="33:33" ht="12.75" customHeight="1">
      <c r="AG1396" s="1"/>
    </row>
    <row r="1397" spans="33:33" ht="12.75" customHeight="1">
      <c r="AG1397" s="1"/>
    </row>
    <row r="1398" spans="33:33" ht="12.75" customHeight="1">
      <c r="AG1398" s="1"/>
    </row>
    <row r="1399" spans="33:33" ht="12.75" customHeight="1">
      <c r="AG1399" s="1"/>
    </row>
    <row r="1400" spans="33:33" ht="12.75" customHeight="1">
      <c r="AG1400" s="1"/>
    </row>
    <row r="1401" spans="33:33" ht="12.75" customHeight="1">
      <c r="AG1401" s="1"/>
    </row>
    <row r="1402" spans="33:33" ht="12.75" customHeight="1">
      <c r="AG1402" s="1"/>
    </row>
    <row r="1403" spans="33:33" ht="12.75" customHeight="1">
      <c r="AG1403" s="1"/>
    </row>
    <row r="1404" spans="33:33" ht="12.75" customHeight="1">
      <c r="AG1404" s="1"/>
    </row>
    <row r="1405" spans="33:33" ht="12.75" customHeight="1">
      <c r="AG1405" s="1"/>
    </row>
    <row r="1406" spans="33:33" ht="12.75" customHeight="1">
      <c r="AG1406" s="1"/>
    </row>
    <row r="1407" spans="33:33" ht="12.75" customHeight="1">
      <c r="AG1407" s="1"/>
    </row>
    <row r="1408" spans="33:33" ht="12.75" customHeight="1">
      <c r="AG1408" s="1"/>
    </row>
    <row r="1409" spans="33:33" ht="12.75" customHeight="1">
      <c r="AG1409" s="1"/>
    </row>
    <row r="1410" spans="33:33" ht="12.75" customHeight="1">
      <c r="AG1410" s="1"/>
    </row>
    <row r="1411" spans="33:33" ht="12.75" customHeight="1">
      <c r="AG1411" s="1"/>
    </row>
    <row r="1412" spans="33:33" ht="12.75" customHeight="1">
      <c r="AG1412" s="1"/>
    </row>
    <row r="1413" spans="33:33" ht="12.75" customHeight="1">
      <c r="AG1413" s="1"/>
    </row>
    <row r="1414" spans="33:33" ht="12.75" customHeight="1">
      <c r="AG1414" s="1"/>
    </row>
    <row r="1415" spans="33:33" ht="12.75" customHeight="1">
      <c r="AG1415" s="1"/>
    </row>
    <row r="1416" spans="33:33" ht="12.75" customHeight="1">
      <c r="AG1416" s="1"/>
    </row>
    <row r="1417" spans="33:33" ht="12.75" customHeight="1">
      <c r="AG1417" s="1"/>
    </row>
    <row r="1418" spans="33:33" ht="12.75" customHeight="1">
      <c r="AG1418" s="1"/>
    </row>
    <row r="1419" spans="33:33" ht="12.75" customHeight="1">
      <c r="AG1419" s="1"/>
    </row>
    <row r="1420" spans="33:33" ht="12.75" customHeight="1">
      <c r="AG1420" s="1"/>
    </row>
    <row r="1421" spans="33:33" ht="12.75" customHeight="1">
      <c r="AG1421" s="1"/>
    </row>
    <row r="1422" spans="33:33" ht="12.75" customHeight="1">
      <c r="AG1422" s="1"/>
    </row>
    <row r="1423" spans="33:33" ht="12.75" customHeight="1">
      <c r="AG1423" s="1"/>
    </row>
    <row r="1424" spans="33:33" ht="12.75" customHeight="1">
      <c r="AG1424" s="1"/>
    </row>
    <row r="1425" spans="33:33" ht="12.75" customHeight="1">
      <c r="AG1425" s="1"/>
    </row>
    <row r="1426" spans="33:33" ht="12.75" customHeight="1">
      <c r="AG1426" s="1"/>
    </row>
    <row r="1427" spans="33:33" ht="12.75" customHeight="1">
      <c r="AG1427" s="1"/>
    </row>
    <row r="1428" spans="33:33" ht="12.75" customHeight="1">
      <c r="AG1428" s="1"/>
    </row>
    <row r="1429" spans="33:33" ht="12.75" customHeight="1">
      <c r="AG1429" s="1"/>
    </row>
    <row r="1430" spans="33:33" ht="12.75" customHeight="1">
      <c r="AG1430" s="1"/>
    </row>
    <row r="1431" spans="33:33" ht="12.75" customHeight="1">
      <c r="AG1431" s="1"/>
    </row>
    <row r="1432" spans="33:33" ht="12.75" customHeight="1">
      <c r="AG1432" s="1"/>
    </row>
    <row r="1433" spans="33:33" ht="12.75" customHeight="1">
      <c r="AG1433" s="1"/>
    </row>
    <row r="1434" spans="33:33" ht="12.75" customHeight="1">
      <c r="AG1434" s="1"/>
    </row>
    <row r="1435" spans="33:33" ht="12.75" customHeight="1">
      <c r="AG1435" s="1"/>
    </row>
    <row r="1436" spans="33:33" ht="12.75" customHeight="1">
      <c r="AG1436" s="1"/>
    </row>
    <row r="1437" spans="33:33" ht="12.75" customHeight="1">
      <c r="AG1437" s="1"/>
    </row>
    <row r="1438" spans="33:33" ht="12.75" customHeight="1">
      <c r="AG1438" s="1"/>
    </row>
    <row r="1439" spans="33:33" ht="12.75" customHeight="1">
      <c r="AG1439" s="1"/>
    </row>
    <row r="1440" spans="33:33" ht="12.75" customHeight="1">
      <c r="AG1440" s="1"/>
    </row>
    <row r="1441" spans="33:33" ht="12.75" customHeight="1">
      <c r="AG1441" s="1"/>
    </row>
    <row r="1442" spans="33:33" ht="12.75" customHeight="1">
      <c r="AG1442" s="1"/>
    </row>
    <row r="1443" spans="33:33" ht="12.75" customHeight="1">
      <c r="AG1443" s="1"/>
    </row>
    <row r="1444" spans="33:33" ht="12.75" customHeight="1">
      <c r="AG1444" s="1"/>
    </row>
    <row r="1445" spans="33:33" ht="12.75" customHeight="1">
      <c r="AG1445" s="1"/>
    </row>
    <row r="1446" spans="33:33" ht="12.75" customHeight="1">
      <c r="AG1446" s="1"/>
    </row>
    <row r="1447" spans="33:33" ht="12.75" customHeight="1">
      <c r="AG1447" s="1"/>
    </row>
    <row r="1448" spans="33:33" ht="12.75" customHeight="1">
      <c r="AG1448" s="1"/>
    </row>
    <row r="1449" spans="33:33" ht="12.75" customHeight="1">
      <c r="AG1449" s="1"/>
    </row>
    <row r="1450" spans="33:33" ht="12.75" customHeight="1">
      <c r="AG1450" s="1"/>
    </row>
    <row r="1451" spans="33:33" ht="12.75" customHeight="1">
      <c r="AG1451" s="1"/>
    </row>
    <row r="1452" spans="33:33" ht="12.75" customHeight="1">
      <c r="AG1452" s="1"/>
    </row>
    <row r="1453" spans="33:33" ht="12.75" customHeight="1">
      <c r="AG1453" s="1"/>
    </row>
    <row r="1454" spans="33:33" ht="12.75" customHeight="1">
      <c r="AG1454" s="1"/>
    </row>
    <row r="1455" spans="33:33" ht="12.75" customHeight="1">
      <c r="AG1455" s="1"/>
    </row>
    <row r="1456" spans="33:33" ht="12.75" customHeight="1">
      <c r="AG1456" s="1"/>
    </row>
    <row r="1457" spans="33:33" ht="12.75" customHeight="1">
      <c r="AG1457" s="1"/>
    </row>
    <row r="1458" spans="33:33" ht="12.75" customHeight="1">
      <c r="AG1458" s="1"/>
    </row>
    <row r="1459" spans="33:33" ht="12.75" customHeight="1">
      <c r="AG1459" s="1"/>
    </row>
    <row r="1460" spans="33:33" ht="12.75" customHeight="1">
      <c r="AG1460" s="1"/>
    </row>
    <row r="1461" spans="33:33" ht="12.75" customHeight="1">
      <c r="AG1461" s="1"/>
    </row>
    <row r="1462" spans="33:33" ht="12.75" customHeight="1">
      <c r="AG1462" s="1"/>
    </row>
    <row r="1463" spans="33:33" ht="12.75" customHeight="1">
      <c r="AG1463" s="1"/>
    </row>
    <row r="1464" spans="33:33" ht="12.75" customHeight="1">
      <c r="AG1464" s="1"/>
    </row>
    <row r="1465" spans="33:33" ht="12.75" customHeight="1">
      <c r="AG1465" s="1"/>
    </row>
    <row r="1466" spans="33:33" ht="12.75" customHeight="1">
      <c r="AG1466" s="1"/>
    </row>
    <row r="1467" spans="33:33" ht="12.75" customHeight="1">
      <c r="AG1467" s="1"/>
    </row>
    <row r="1468" spans="33:33" ht="12.75" customHeight="1">
      <c r="AG1468" s="1"/>
    </row>
    <row r="1469" spans="33:33" ht="12.75" customHeight="1">
      <c r="AG1469" s="1"/>
    </row>
    <row r="1470" spans="33:33" ht="12.75" customHeight="1">
      <c r="AG1470" s="1"/>
    </row>
    <row r="1471" spans="33:33" ht="12.75" customHeight="1">
      <c r="AG1471" s="1"/>
    </row>
    <row r="1472" spans="33:33" ht="12.75" customHeight="1">
      <c r="AG1472" s="1"/>
    </row>
    <row r="1473" spans="33:33" ht="12.75" customHeight="1">
      <c r="AG1473" s="1"/>
    </row>
    <row r="1474" spans="33:33" ht="12.75" customHeight="1">
      <c r="AG1474" s="1"/>
    </row>
    <row r="1475" spans="33:33" ht="12.75" customHeight="1">
      <c r="AG1475" s="1"/>
    </row>
    <row r="1476" spans="33:33" ht="12.75" customHeight="1">
      <c r="AG1476" s="1"/>
    </row>
    <row r="1477" spans="33:33" ht="12.75" customHeight="1">
      <c r="AG1477" s="1"/>
    </row>
    <row r="1478" spans="33:33" ht="12.75" customHeight="1">
      <c r="AG1478" s="1"/>
    </row>
    <row r="1479" spans="33:33" ht="12.75" customHeight="1">
      <c r="AG1479" s="1"/>
    </row>
    <row r="1480" spans="33:33" ht="12.75" customHeight="1">
      <c r="AG1480" s="1"/>
    </row>
    <row r="1481" spans="33:33" ht="12.75" customHeight="1">
      <c r="AG1481" s="1"/>
    </row>
    <row r="1482" spans="33:33" ht="12.75" customHeight="1">
      <c r="AG1482" s="1"/>
    </row>
    <row r="1483" spans="33:33" ht="12.75" customHeight="1">
      <c r="AG1483" s="1"/>
    </row>
    <row r="1484" spans="33:33" ht="12.75" customHeight="1">
      <c r="AG1484" s="1"/>
    </row>
    <row r="1485" spans="33:33" ht="12.75" customHeight="1">
      <c r="AG1485" s="1"/>
    </row>
    <row r="1486" spans="33:33" ht="12.75" customHeight="1">
      <c r="AG1486" s="1"/>
    </row>
    <row r="1487" spans="33:33" ht="12.75" customHeight="1">
      <c r="AG1487" s="1"/>
    </row>
    <row r="1488" spans="33:33" ht="12.75" customHeight="1">
      <c r="AG1488" s="1"/>
    </row>
    <row r="1489" spans="33:33" ht="12.75" customHeight="1">
      <c r="AG1489" s="1"/>
    </row>
    <row r="1490" spans="33:33" ht="12.75" customHeight="1">
      <c r="AG1490" s="1"/>
    </row>
    <row r="1491" spans="33:33" ht="12.75" customHeight="1">
      <c r="AG1491" s="1"/>
    </row>
    <row r="1492" spans="33:33" ht="12.75" customHeight="1">
      <c r="AG1492" s="1"/>
    </row>
    <row r="1493" spans="33:33" ht="12.75" customHeight="1">
      <c r="AG1493" s="1"/>
    </row>
    <row r="1494" spans="33:33" ht="12.75" customHeight="1">
      <c r="AG1494" s="1"/>
    </row>
    <row r="1495" spans="33:33" ht="12.75" customHeight="1">
      <c r="AG1495" s="1"/>
    </row>
    <row r="1496" spans="33:33" ht="12.75" customHeight="1">
      <c r="AG1496" s="1"/>
    </row>
    <row r="1497" spans="33:33" ht="12.75" customHeight="1">
      <c r="AG1497" s="1"/>
    </row>
    <row r="1498" spans="33:33" ht="12.75" customHeight="1">
      <c r="AG1498" s="1"/>
    </row>
    <row r="1499" spans="33:33" ht="12.75" customHeight="1">
      <c r="AG1499" s="1"/>
    </row>
    <row r="1500" spans="33:33" ht="12.75" customHeight="1">
      <c r="AG1500" s="1"/>
    </row>
    <row r="1501" spans="33:33" ht="12.75" customHeight="1">
      <c r="AG1501" s="1"/>
    </row>
    <row r="1502" spans="33:33" ht="12.75" customHeight="1">
      <c r="AG1502" s="1"/>
    </row>
    <row r="1503" spans="33:33" ht="12.75" customHeight="1">
      <c r="AG1503" s="1"/>
    </row>
    <row r="1504" spans="33:33" ht="12.75" customHeight="1">
      <c r="AG1504" s="1"/>
    </row>
    <row r="1505" spans="33:33" ht="12.75" customHeight="1">
      <c r="AG1505" s="1"/>
    </row>
    <row r="1506" spans="33:33" ht="12.75" customHeight="1">
      <c r="AG1506" s="1"/>
    </row>
    <row r="1507" spans="33:33" ht="12.75" customHeight="1">
      <c r="AG1507" s="1"/>
    </row>
    <row r="1508" spans="33:33" ht="12.75" customHeight="1">
      <c r="AG1508" s="1"/>
    </row>
    <row r="1509" spans="33:33" ht="12.75" customHeight="1">
      <c r="AG1509" s="1"/>
    </row>
    <row r="1510" spans="33:33" ht="12.75" customHeight="1">
      <c r="AG1510" s="1"/>
    </row>
    <row r="1511" spans="33:33" ht="12.75" customHeight="1">
      <c r="AG1511" s="1"/>
    </row>
    <row r="1512" spans="33:33" ht="12.75" customHeight="1">
      <c r="AG1512" s="1"/>
    </row>
    <row r="1513" spans="33:33" ht="12.75" customHeight="1">
      <c r="AG1513" s="1"/>
    </row>
    <row r="1514" spans="33:33" ht="12.75" customHeight="1">
      <c r="AG1514" s="1"/>
    </row>
    <row r="1515" spans="33:33" ht="12.75" customHeight="1">
      <c r="AG1515" s="1"/>
    </row>
    <row r="1516" spans="33:33" ht="12.75" customHeight="1">
      <c r="AG1516" s="1"/>
    </row>
    <row r="1517" spans="33:33" ht="12.75" customHeight="1">
      <c r="AG1517" s="1"/>
    </row>
    <row r="1518" spans="33:33" ht="12.75" customHeight="1">
      <c r="AG1518" s="1"/>
    </row>
    <row r="1519" spans="33:33" ht="12.75" customHeight="1">
      <c r="AG1519" s="1"/>
    </row>
    <row r="1520" spans="33:33" ht="12.75" customHeight="1">
      <c r="AG1520" s="1"/>
    </row>
    <row r="1521" spans="33:33" ht="12.75" customHeight="1">
      <c r="AG1521" s="1"/>
    </row>
    <row r="1522" spans="33:33" ht="12.75" customHeight="1">
      <c r="AG1522" s="1"/>
    </row>
    <row r="1523" spans="33:33" ht="12.75" customHeight="1">
      <c r="AG1523" s="1"/>
    </row>
    <row r="1524" spans="33:33" ht="12.75" customHeight="1">
      <c r="AG1524" s="1"/>
    </row>
    <row r="1525" spans="33:33" ht="12.75" customHeight="1">
      <c r="AG1525" s="1"/>
    </row>
    <row r="1526" spans="33:33" ht="12.75" customHeight="1">
      <c r="AG1526" s="1"/>
    </row>
    <row r="1527" spans="33:33" ht="12.75" customHeight="1">
      <c r="AG1527" s="1"/>
    </row>
    <row r="1528" spans="33:33" ht="12.75" customHeight="1">
      <c r="AG1528" s="1"/>
    </row>
    <row r="1529" spans="33:33" ht="12.75" customHeight="1">
      <c r="AG1529" s="1"/>
    </row>
    <row r="1530" spans="33:33" ht="12.75" customHeight="1">
      <c r="AG1530" s="1"/>
    </row>
    <row r="1531" spans="33:33" ht="12.75" customHeight="1">
      <c r="AG1531" s="1"/>
    </row>
    <row r="1532" spans="33:33" ht="12.75" customHeight="1">
      <c r="AG1532" s="1"/>
    </row>
    <row r="1533" spans="33:33" ht="12.75" customHeight="1">
      <c r="AG1533" s="1"/>
    </row>
    <row r="1534" spans="33:33" ht="12.75" customHeight="1">
      <c r="AG1534" s="1"/>
    </row>
    <row r="1535" spans="33:33" ht="12.75" customHeight="1">
      <c r="AG1535" s="1"/>
    </row>
    <row r="1536" spans="33:33" ht="12.75" customHeight="1">
      <c r="AG1536" s="1"/>
    </row>
    <row r="1537" spans="33:33" ht="12.75" customHeight="1">
      <c r="AG1537" s="1"/>
    </row>
    <row r="1538" spans="33:33" ht="12.75" customHeight="1">
      <c r="AG1538" s="1"/>
    </row>
    <row r="1539" spans="33:33" ht="12.75" customHeight="1">
      <c r="AG1539" s="1"/>
    </row>
    <row r="1540" spans="33:33" ht="12.75" customHeight="1">
      <c r="AG1540" s="1"/>
    </row>
    <row r="1541" spans="33:33" ht="12.75" customHeight="1">
      <c r="AG1541" s="1"/>
    </row>
    <row r="1542" spans="33:33" ht="12.75" customHeight="1">
      <c r="AG1542" s="1"/>
    </row>
    <row r="1543" spans="33:33" ht="12.75" customHeight="1">
      <c r="AG1543" s="1"/>
    </row>
    <row r="1544" spans="33:33" ht="12.75" customHeight="1">
      <c r="AG1544" s="1"/>
    </row>
    <row r="1545" spans="33:33" ht="12.75" customHeight="1">
      <c r="AG1545" s="1"/>
    </row>
    <row r="1546" spans="33:33" ht="12.75" customHeight="1">
      <c r="AG1546" s="1"/>
    </row>
    <row r="1547" spans="33:33" ht="12.75" customHeight="1">
      <c r="AG1547" s="1"/>
    </row>
    <row r="1548" spans="33:33" ht="12.75" customHeight="1">
      <c r="AG1548" s="1"/>
    </row>
    <row r="1549" spans="33:33" ht="12.75" customHeight="1">
      <c r="AG1549" s="1"/>
    </row>
    <row r="1550" spans="33:33" ht="12.75" customHeight="1">
      <c r="AG1550" s="1"/>
    </row>
    <row r="1551" spans="33:33" ht="12.75" customHeight="1">
      <c r="AG1551" s="1"/>
    </row>
    <row r="1552" spans="33:33" ht="12.75" customHeight="1">
      <c r="AG1552" s="1"/>
    </row>
    <row r="1553" spans="33:33" ht="12.75" customHeight="1">
      <c r="AG1553" s="1"/>
    </row>
    <row r="1554" spans="33:33" ht="12.75" customHeight="1">
      <c r="AG1554" s="1"/>
    </row>
    <row r="1555" spans="33:33" ht="12.75" customHeight="1">
      <c r="AG1555" s="1"/>
    </row>
    <row r="1556" spans="33:33" ht="12.75" customHeight="1">
      <c r="AG1556" s="1"/>
    </row>
    <row r="1557" spans="33:33" ht="12.75" customHeight="1">
      <c r="AG1557" s="1"/>
    </row>
    <row r="1558" spans="33:33" ht="12.75" customHeight="1">
      <c r="AG1558" s="1"/>
    </row>
    <row r="1559" spans="33:33" ht="12.75" customHeight="1">
      <c r="AG1559" s="1"/>
    </row>
    <row r="1560" spans="33:33" ht="12.75" customHeight="1">
      <c r="AG1560" s="1"/>
    </row>
    <row r="1561" spans="33:33" ht="12.75" customHeight="1">
      <c r="AG1561" s="1"/>
    </row>
    <row r="1562" spans="33:33" ht="12.75" customHeight="1">
      <c r="AG1562" s="1"/>
    </row>
    <row r="1563" spans="33:33" ht="12.75" customHeight="1">
      <c r="AG1563" s="1"/>
    </row>
    <row r="1564" spans="33:33" ht="12.75" customHeight="1">
      <c r="AG1564" s="1"/>
    </row>
    <row r="1565" spans="33:33" ht="12.75" customHeight="1">
      <c r="AG1565" s="1"/>
    </row>
    <row r="1566" spans="33:33" ht="12.75" customHeight="1">
      <c r="AG1566" s="1"/>
    </row>
    <row r="1567" spans="33:33" ht="12.75" customHeight="1">
      <c r="AG1567" s="1"/>
    </row>
    <row r="1568" spans="33:33" ht="12.75" customHeight="1">
      <c r="AG1568" s="1"/>
    </row>
    <row r="1569" spans="33:33" ht="12.75" customHeight="1">
      <c r="AG1569" s="1"/>
    </row>
    <row r="1570" spans="33:33" ht="12.75" customHeight="1">
      <c r="AG1570" s="1"/>
    </row>
    <row r="1571" spans="33:33" ht="12.75" customHeight="1">
      <c r="AG1571" s="1"/>
    </row>
    <row r="1572" spans="33:33" ht="12.75" customHeight="1">
      <c r="AG1572" s="1"/>
    </row>
    <row r="1573" spans="33:33" ht="12.75" customHeight="1">
      <c r="AG1573" s="1"/>
    </row>
    <row r="1574" spans="33:33" ht="12.75" customHeight="1">
      <c r="AG1574" s="1"/>
    </row>
    <row r="1575" spans="33:33" ht="12.75" customHeight="1">
      <c r="AG1575" s="1"/>
    </row>
    <row r="1576" spans="33:33" ht="12.75" customHeight="1">
      <c r="AG1576" s="1"/>
    </row>
    <row r="1577" spans="33:33" ht="12.75" customHeight="1">
      <c r="AG1577" s="1"/>
    </row>
    <row r="1578" spans="33:33" ht="12.75" customHeight="1">
      <c r="AG1578" s="1"/>
    </row>
    <row r="1579" spans="33:33" ht="12.75" customHeight="1">
      <c r="AG1579" s="1"/>
    </row>
    <row r="1580" spans="33:33" ht="12.75" customHeight="1">
      <c r="AG1580" s="1"/>
    </row>
    <row r="1581" spans="33:33" ht="12.75" customHeight="1">
      <c r="AG1581" s="1"/>
    </row>
    <row r="1582" spans="33:33" ht="12.75" customHeight="1">
      <c r="AG1582" s="1"/>
    </row>
    <row r="1583" spans="33:33" ht="12.75" customHeight="1">
      <c r="AG1583" s="1"/>
    </row>
    <row r="1584" spans="33:33" ht="12.75" customHeight="1">
      <c r="AG1584" s="1"/>
    </row>
    <row r="1585" spans="33:33" ht="12.75" customHeight="1">
      <c r="AG1585" s="1"/>
    </row>
    <row r="1586" spans="33:33" ht="12.75" customHeight="1">
      <c r="AG1586" s="1"/>
    </row>
    <row r="1587" spans="33:33" ht="12.75" customHeight="1">
      <c r="AG1587" s="1"/>
    </row>
    <row r="1588" spans="33:33" ht="12.75" customHeight="1">
      <c r="AG1588" s="1"/>
    </row>
    <row r="1589" spans="33:33" ht="12.75" customHeight="1">
      <c r="AG1589" s="1"/>
    </row>
    <row r="1590" spans="33:33" ht="12.75" customHeight="1">
      <c r="AG1590" s="1"/>
    </row>
    <row r="1591" spans="33:33" ht="12.75" customHeight="1">
      <c r="AG1591" s="1"/>
    </row>
    <row r="1592" spans="33:33" ht="12.75" customHeight="1">
      <c r="AG1592" s="1"/>
    </row>
    <row r="1593" spans="33:33" ht="12.75" customHeight="1">
      <c r="AG1593" s="1"/>
    </row>
    <row r="1594" spans="33:33" ht="12.75" customHeight="1">
      <c r="AG1594" s="1"/>
    </row>
    <row r="1595" spans="33:33" ht="12.75" customHeight="1">
      <c r="AG1595" s="1"/>
    </row>
    <row r="1596" spans="33:33" ht="12.75" customHeight="1">
      <c r="AG1596" s="1"/>
    </row>
    <row r="1597" spans="33:33" ht="12.75" customHeight="1">
      <c r="AG1597" s="1"/>
    </row>
    <row r="1598" spans="33:33" ht="12.75" customHeight="1">
      <c r="AG1598" s="1"/>
    </row>
    <row r="1599" spans="33:33" ht="12.75" customHeight="1">
      <c r="AG1599" s="1"/>
    </row>
    <row r="1600" spans="33:33" ht="12.75" customHeight="1">
      <c r="AG1600" s="1"/>
    </row>
    <row r="1601" spans="33:33" ht="12.75" customHeight="1">
      <c r="AG1601" s="1"/>
    </row>
    <row r="1602" spans="33:33" ht="12.75" customHeight="1">
      <c r="AG1602" s="1"/>
    </row>
    <row r="1603" spans="33:33" ht="12.75" customHeight="1">
      <c r="AG1603" s="1"/>
    </row>
    <row r="1604" spans="33:33" ht="12.75" customHeight="1">
      <c r="AG1604" s="1"/>
    </row>
    <row r="1605" spans="33:33" ht="12.75" customHeight="1">
      <c r="AG1605" s="1"/>
    </row>
    <row r="1606" spans="33:33" ht="12.75" customHeight="1">
      <c r="AG1606" s="1"/>
    </row>
    <row r="1607" spans="33:33" ht="12.75" customHeight="1">
      <c r="AG1607" s="1"/>
    </row>
    <row r="1608" spans="33:33" ht="12.75" customHeight="1">
      <c r="AG1608" s="1"/>
    </row>
    <row r="1609" spans="33:33" ht="12.75" customHeight="1">
      <c r="AG1609" s="1"/>
    </row>
    <row r="1610" spans="33:33" ht="12.75" customHeight="1">
      <c r="AG1610" s="1"/>
    </row>
    <row r="1611" spans="33:33" ht="12.75" customHeight="1">
      <c r="AG1611" s="1"/>
    </row>
    <row r="1612" spans="33:33" ht="12.75" customHeight="1">
      <c r="AG1612" s="1"/>
    </row>
    <row r="1613" spans="33:33" ht="12.75" customHeight="1">
      <c r="AG1613" s="1"/>
    </row>
    <row r="1614" spans="33:33" ht="12.75" customHeight="1">
      <c r="AG1614" s="1"/>
    </row>
    <row r="1615" spans="33:33" ht="12.75" customHeight="1">
      <c r="AG1615" s="1"/>
    </row>
    <row r="1616" spans="33:33" ht="12.75" customHeight="1">
      <c r="AG1616" s="1"/>
    </row>
    <row r="1617" spans="33:33" ht="12.75" customHeight="1">
      <c r="AG1617" s="1"/>
    </row>
    <row r="1618" spans="33:33" ht="12.75" customHeight="1">
      <c r="AG1618" s="1"/>
    </row>
    <row r="1619" spans="33:33" ht="12.75" customHeight="1">
      <c r="AG1619" s="1"/>
    </row>
    <row r="1620" spans="33:33" ht="12.75" customHeight="1">
      <c r="AG1620" s="1"/>
    </row>
    <row r="1621" spans="33:33" ht="12.75" customHeight="1">
      <c r="AG1621" s="1"/>
    </row>
    <row r="1622" spans="33:33" ht="12.75" customHeight="1">
      <c r="AG1622" s="1"/>
    </row>
    <row r="1623" spans="33:33" ht="12.75" customHeight="1">
      <c r="AG1623" s="1"/>
    </row>
    <row r="1624" spans="33:33" ht="12.75" customHeight="1">
      <c r="AG1624" s="1"/>
    </row>
    <row r="1625" spans="33:33" ht="12.75" customHeight="1">
      <c r="AG1625" s="1"/>
    </row>
    <row r="1626" spans="33:33" ht="12.75" customHeight="1">
      <c r="AG1626" s="1"/>
    </row>
    <row r="1627" spans="33:33" ht="12.75" customHeight="1">
      <c r="AG1627" s="1"/>
    </row>
    <row r="1628" spans="33:33" ht="12.75" customHeight="1">
      <c r="AG1628" s="1"/>
    </row>
    <row r="1629" spans="33:33" ht="12.75" customHeight="1">
      <c r="AG1629" s="1"/>
    </row>
    <row r="1630" spans="33:33" ht="12.75" customHeight="1">
      <c r="AG1630" s="1"/>
    </row>
    <row r="1631" spans="33:33" ht="12.75" customHeight="1">
      <c r="AG1631" s="1"/>
    </row>
    <row r="1632" spans="33:33" ht="12.75" customHeight="1">
      <c r="AG1632" s="1"/>
    </row>
    <row r="1633" spans="33:33" ht="12.75" customHeight="1">
      <c r="AG1633" s="1"/>
    </row>
    <row r="1634" spans="33:33" ht="12.75" customHeight="1">
      <c r="AG1634" s="1"/>
    </row>
    <row r="1635" spans="33:33" ht="12.75" customHeight="1">
      <c r="AG1635" s="1"/>
    </row>
    <row r="1636" spans="33:33" ht="12.75" customHeight="1">
      <c r="AG1636" s="1"/>
    </row>
    <row r="1637" spans="33:33" ht="12.75" customHeight="1">
      <c r="AG1637" s="1"/>
    </row>
    <row r="1638" spans="33:33" ht="12.75" customHeight="1">
      <c r="AG1638" s="1"/>
    </row>
    <row r="1639" spans="33:33" ht="12.75" customHeight="1">
      <c r="AG1639" s="1"/>
    </row>
    <row r="1640" spans="33:33" ht="12.75" customHeight="1">
      <c r="AG1640" s="1"/>
    </row>
    <row r="1641" spans="33:33" ht="12.75" customHeight="1">
      <c r="AG1641" s="1"/>
    </row>
    <row r="1642" spans="33:33" ht="12.75" customHeight="1">
      <c r="AG1642" s="1"/>
    </row>
    <row r="1643" spans="33:33" ht="12.75" customHeight="1">
      <c r="AG1643" s="1"/>
    </row>
    <row r="1644" spans="33:33" ht="12.75" customHeight="1">
      <c r="AG1644" s="1"/>
    </row>
    <row r="1645" spans="33:33" ht="12.75" customHeight="1">
      <c r="AG1645" s="1"/>
    </row>
    <row r="1646" spans="33:33" ht="12.75" customHeight="1">
      <c r="AG1646" s="1"/>
    </row>
    <row r="1647" spans="33:33" ht="12.75" customHeight="1">
      <c r="AG1647" s="1"/>
    </row>
    <row r="1648" spans="33:33" ht="12.75" customHeight="1">
      <c r="AG1648" s="1"/>
    </row>
    <row r="1649" spans="33:33" ht="12.75" customHeight="1">
      <c r="AG1649" s="1"/>
    </row>
    <row r="1650" spans="33:33" ht="12.75" customHeight="1">
      <c r="AG1650" s="1"/>
    </row>
    <row r="1651" spans="33:33" ht="12.75" customHeight="1">
      <c r="AG1651" s="1"/>
    </row>
    <row r="1652" spans="33:33" ht="12.75" customHeight="1">
      <c r="AG1652" s="1"/>
    </row>
    <row r="1653" spans="33:33" ht="12.75" customHeight="1">
      <c r="AG1653" s="1"/>
    </row>
    <row r="1654" spans="33:33" ht="12.75" customHeight="1">
      <c r="AG1654" s="1"/>
    </row>
    <row r="1655" spans="33:33" ht="12.75" customHeight="1">
      <c r="AG1655" s="1"/>
    </row>
    <row r="1656" spans="33:33" ht="12.75" customHeight="1">
      <c r="AG1656" s="1"/>
    </row>
    <row r="1657" spans="33:33" ht="12.75" customHeight="1">
      <c r="AG1657" s="1"/>
    </row>
    <row r="1658" spans="33:33" ht="12.75" customHeight="1">
      <c r="AG1658" s="1"/>
    </row>
    <row r="1659" spans="33:33" ht="12.75" customHeight="1">
      <c r="AG1659" s="1"/>
    </row>
    <row r="1660" spans="33:33" ht="12.75" customHeight="1">
      <c r="AG1660" s="1"/>
    </row>
    <row r="1661" spans="33:33" ht="12.75" customHeight="1">
      <c r="AG1661" s="1"/>
    </row>
    <row r="1662" spans="33:33" ht="12.75" customHeight="1">
      <c r="AG1662" s="1"/>
    </row>
    <row r="1663" spans="33:33" ht="12.75" customHeight="1">
      <c r="AG1663" s="1"/>
    </row>
    <row r="1664" spans="33:33" ht="12.75" customHeight="1">
      <c r="AG1664" s="1"/>
    </row>
    <row r="1665" spans="33:33" ht="12.75" customHeight="1">
      <c r="AG1665" s="1"/>
    </row>
    <row r="1666" spans="33:33" ht="12.75" customHeight="1">
      <c r="AG1666" s="1"/>
    </row>
    <row r="1667" spans="33:33" ht="12.75" customHeight="1">
      <c r="AG1667" s="1"/>
    </row>
    <row r="1668" spans="33:33" ht="12.75" customHeight="1">
      <c r="AG1668" s="1"/>
    </row>
    <row r="1669" spans="33:33" ht="12.75" customHeight="1">
      <c r="AG1669" s="1"/>
    </row>
    <row r="1670" spans="33:33" ht="12.75" customHeight="1">
      <c r="AG1670" s="1"/>
    </row>
    <row r="1671" spans="33:33" ht="12.75" customHeight="1">
      <c r="AG1671" s="1"/>
    </row>
    <row r="1672" spans="33:33" ht="12.75" customHeight="1">
      <c r="AG1672" s="1"/>
    </row>
    <row r="1673" spans="33:33" ht="12.75" customHeight="1">
      <c r="AG1673" s="1"/>
    </row>
    <row r="1674" spans="33:33" ht="12.75" customHeight="1">
      <c r="AG1674" s="1"/>
    </row>
    <row r="1675" spans="33:33" ht="12.75" customHeight="1">
      <c r="AG1675" s="1"/>
    </row>
    <row r="1676" spans="33:33" ht="12.75" customHeight="1">
      <c r="AG1676" s="1"/>
    </row>
    <row r="1677" spans="33:33" ht="12.75" customHeight="1">
      <c r="AG1677" s="1"/>
    </row>
    <row r="1678" spans="33:33" ht="12.75" customHeight="1">
      <c r="AG1678" s="1"/>
    </row>
    <row r="1679" spans="33:33" ht="12.75" customHeight="1">
      <c r="AG1679" s="1"/>
    </row>
    <row r="1680" spans="33:33" ht="12.75" customHeight="1">
      <c r="AG1680" s="1"/>
    </row>
    <row r="1681" spans="33:33" ht="12.75" customHeight="1">
      <c r="AG1681" s="1"/>
    </row>
    <row r="1682" spans="33:33" ht="12.75" customHeight="1">
      <c r="AG1682" s="1"/>
    </row>
    <row r="1683" spans="33:33" ht="12.75" customHeight="1">
      <c r="AG1683" s="1"/>
    </row>
    <row r="1684" spans="33:33" ht="12.75" customHeight="1">
      <c r="AG1684" s="1"/>
    </row>
    <row r="1685" spans="33:33" ht="12.75" customHeight="1">
      <c r="AG1685" s="1"/>
    </row>
    <row r="1686" spans="33:33" ht="12.75" customHeight="1">
      <c r="AG1686" s="1"/>
    </row>
    <row r="1687" spans="33:33" ht="12.75" customHeight="1">
      <c r="AG1687" s="1"/>
    </row>
    <row r="1688" spans="33:33" ht="12.75" customHeight="1">
      <c r="AG1688" s="1"/>
    </row>
    <row r="1689" spans="33:33" ht="12.75" customHeight="1">
      <c r="AG1689" s="1"/>
    </row>
    <row r="1690" spans="33:33" ht="12.75" customHeight="1">
      <c r="AG1690" s="1"/>
    </row>
    <row r="1691" spans="33:33" ht="12.75" customHeight="1">
      <c r="AG1691" s="1"/>
    </row>
    <row r="1692" spans="33:33" ht="12.75" customHeight="1">
      <c r="AG1692" s="1"/>
    </row>
    <row r="1693" spans="33:33" ht="12.75" customHeight="1">
      <c r="AG1693" s="1"/>
    </row>
    <row r="1694" spans="33:33" ht="12.75" customHeight="1">
      <c r="AG1694" s="1"/>
    </row>
    <row r="1695" spans="33:33" ht="12.75" customHeight="1">
      <c r="AG1695" s="1"/>
    </row>
    <row r="1696" spans="33:33" ht="12.75" customHeight="1">
      <c r="AG1696" s="1"/>
    </row>
    <row r="1697" spans="33:33" ht="12.75" customHeight="1">
      <c r="AG1697" s="1"/>
    </row>
    <row r="1698" spans="33:33" ht="12.75" customHeight="1">
      <c r="AG1698" s="1"/>
    </row>
    <row r="1699" spans="33:33" ht="12.75" customHeight="1">
      <c r="AG1699" s="1"/>
    </row>
    <row r="1700" spans="33:33" ht="12.75" customHeight="1">
      <c r="AG1700" s="1"/>
    </row>
    <row r="1701" spans="33:33" ht="12.75" customHeight="1">
      <c r="AG1701" s="1"/>
    </row>
    <row r="1702" spans="33:33" ht="12.75" customHeight="1">
      <c r="AG1702" s="1"/>
    </row>
    <row r="1703" spans="33:33" ht="12.75" customHeight="1">
      <c r="AG1703" s="1"/>
    </row>
    <row r="1704" spans="33:33" ht="12.75" customHeight="1">
      <c r="AG1704" s="1"/>
    </row>
    <row r="1705" spans="33:33" ht="12.75" customHeight="1">
      <c r="AG1705" s="1"/>
    </row>
    <row r="1706" spans="33:33" ht="12.75" customHeight="1">
      <c r="AG1706" s="1"/>
    </row>
    <row r="1707" spans="33:33" ht="12.75" customHeight="1">
      <c r="AG1707" s="1"/>
    </row>
    <row r="1708" spans="33:33" ht="12.75" customHeight="1">
      <c r="AG1708" s="1"/>
    </row>
    <row r="1709" spans="33:33" ht="12.75" customHeight="1">
      <c r="AG1709" s="1"/>
    </row>
    <row r="1710" spans="33:33" ht="12.75" customHeight="1">
      <c r="AG1710" s="1"/>
    </row>
    <row r="1711" spans="33:33" ht="12.75" customHeight="1">
      <c r="AG1711" s="1"/>
    </row>
    <row r="1712" spans="33:33" ht="12.75" customHeight="1">
      <c r="AG1712" s="1"/>
    </row>
    <row r="1713" spans="33:33" ht="12.75" customHeight="1">
      <c r="AG1713" s="1"/>
    </row>
    <row r="1714" spans="33:33" ht="12.75" customHeight="1">
      <c r="AG1714" s="1"/>
    </row>
    <row r="1715" spans="33:33" ht="12.75" customHeight="1">
      <c r="AG1715" s="1"/>
    </row>
    <row r="1716" spans="33:33" ht="12.75" customHeight="1">
      <c r="AG1716" s="1"/>
    </row>
    <row r="1717" spans="33:33" ht="12.75" customHeight="1">
      <c r="AG1717" s="1"/>
    </row>
    <row r="1718" spans="33:33" ht="12.75" customHeight="1">
      <c r="AG1718" s="1"/>
    </row>
    <row r="1719" spans="33:33" ht="12.75" customHeight="1">
      <c r="AG1719" s="1"/>
    </row>
    <row r="1720" spans="33:33" ht="12.75" customHeight="1">
      <c r="AG1720" s="1"/>
    </row>
    <row r="1721" spans="33:33" ht="12.75" customHeight="1">
      <c r="AG1721" s="1"/>
    </row>
    <row r="1722" spans="33:33" ht="12.75" customHeight="1">
      <c r="AG1722" s="1"/>
    </row>
    <row r="1723" spans="33:33" ht="12.75" customHeight="1">
      <c r="AG1723" s="1"/>
    </row>
    <row r="1724" spans="33:33" ht="12.75" customHeight="1">
      <c r="AG1724" s="1"/>
    </row>
    <row r="1725" spans="33:33" ht="12.75" customHeight="1">
      <c r="AG1725" s="1"/>
    </row>
    <row r="1726" spans="33:33" ht="12.75" customHeight="1">
      <c r="AG1726" s="1"/>
    </row>
    <row r="1727" spans="33:33" ht="12.75" customHeight="1">
      <c r="AG1727" s="1"/>
    </row>
    <row r="1728" spans="33:33" ht="12.75" customHeight="1">
      <c r="AG1728" s="1"/>
    </row>
    <row r="1729" spans="33:33" ht="12.75" customHeight="1">
      <c r="AG1729" s="1"/>
    </row>
    <row r="1730" spans="33:33" ht="12.75" customHeight="1">
      <c r="AG1730" s="1"/>
    </row>
    <row r="1731" spans="33:33" ht="12.75" customHeight="1">
      <c r="AG1731" s="1"/>
    </row>
    <row r="1732" spans="33:33" ht="12.75" customHeight="1">
      <c r="AG1732" s="1"/>
    </row>
    <row r="1733" spans="33:33" ht="12.75" customHeight="1">
      <c r="AG1733" s="1"/>
    </row>
    <row r="1734" spans="33:33" ht="12.75" customHeight="1">
      <c r="AG1734" s="1"/>
    </row>
    <row r="1735" spans="33:33" ht="12.75" customHeight="1">
      <c r="AG1735" s="1"/>
    </row>
    <row r="1736" spans="33:33" ht="12.75" customHeight="1">
      <c r="AG1736" s="1"/>
    </row>
    <row r="1737" spans="33:33" ht="12.75" customHeight="1">
      <c r="AG1737" s="1"/>
    </row>
    <row r="1738" spans="33:33" ht="12.75" customHeight="1">
      <c r="AG1738" s="1"/>
    </row>
    <row r="1739" spans="33:33" ht="12.75" customHeight="1">
      <c r="AG1739" s="1"/>
    </row>
    <row r="1740" spans="33:33" ht="12.75" customHeight="1">
      <c r="AG1740" s="1"/>
    </row>
    <row r="1741" spans="33:33" ht="12.75" customHeight="1">
      <c r="AG1741" s="1"/>
    </row>
    <row r="1742" spans="33:33" ht="12.75" customHeight="1">
      <c r="AG1742" s="1"/>
    </row>
    <row r="1743" spans="33:33" ht="12.75" customHeight="1">
      <c r="AG1743" s="1"/>
    </row>
    <row r="1744" spans="33:33" ht="12.75" customHeight="1">
      <c r="AG1744" s="1"/>
    </row>
    <row r="1745" spans="33:33" ht="12.75" customHeight="1">
      <c r="AG1745" s="1"/>
    </row>
    <row r="1746" spans="33:33" ht="12.75" customHeight="1">
      <c r="AG1746" s="1"/>
    </row>
    <row r="1747" spans="33:33" ht="12.75" customHeight="1">
      <c r="AG1747" s="1"/>
    </row>
    <row r="1748" spans="33:33" ht="12.75" customHeight="1">
      <c r="AG1748" s="1"/>
    </row>
  </sheetData>
  <mergeCells count="5">
    <mergeCell ref="AL5:AQ5"/>
    <mergeCell ref="B205:B210"/>
    <mergeCell ref="Y205:AA210"/>
    <mergeCell ref="AC205:AF210"/>
    <mergeCell ref="AF5:AH5"/>
  </mergeCells>
  <phoneticPr fontId="66" type="noConversion"/>
  <conditionalFormatting sqref="C7:AH111 C143:AB143 C144:AH202">
    <cfRule type="cellIs" dxfId="242" priority="1" operator="equal">
      <formula>0</formula>
    </cfRule>
  </conditionalFormatting>
  <conditionalFormatting sqref="C114:AH142 AC143:AH143">
    <cfRule type="cellIs" dxfId="241" priority="2" operator="equal">
      <formula>0</formula>
    </cfRule>
  </conditionalFormatting>
  <dataValidations count="2">
    <dataValidation type="decimal" allowBlank="1" showInputMessage="1" showErrorMessage="1" sqref="C7:AH111 C114:AH202" xr:uid="{DD2F624A-E1DA-4147-BD47-01C830760BD7}">
      <formula1>0</formula1>
      <formula2>10000</formula2>
    </dataValidation>
    <dataValidation type="list" allowBlank="1" showInputMessage="1" showErrorMessage="1" errorTitle="Please enter values manually" sqref="AL52 AL54:AQ111 AM53:AQ53 AL7:AQ51 AL114:AQ202" xr:uid="{CB36A06F-6A52-4DEE-990F-A99611D82733}">
      <formula1>"1"</formula1>
    </dataValidation>
  </dataValidations>
  <pageMargins left="0.7" right="0.7" top="0.75" bottom="0.75" header="0.3" footer="0.3"/>
  <pageSetup paperSize="9" orientation="portrait" horizontalDpi="300" verticalDpi="300" r:id="rId1"/>
  <headerFooter>
    <oddHeader>&amp;C&amp;"Calibri"&amp;12&amp;KC00000 OFFICIAL&amp;1#_x000D_</oddHeader>
    <oddFooter>&amp;C_x000D_&amp;1#&amp;"Calibri"&amp;12&amp;KC00000 OFFICIAL</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F4635-1243-4D9E-9567-6B3FDA2CBF7E}">
  <sheetPr>
    <tabColor rgb="FF1B9590"/>
  </sheetPr>
  <dimension ref="A1:Q146"/>
  <sheetViews>
    <sheetView zoomScale="80" zoomScaleNormal="80" zoomScaleSheetLayoutView="70" workbookViewId="0"/>
  </sheetViews>
  <sheetFormatPr defaultColWidth="9.140625" defaultRowHeight="12.75"/>
  <cols>
    <col min="1" max="1" width="42.5703125" style="15" customWidth="1"/>
    <col min="2" max="2" width="60.5703125" style="767" customWidth="1"/>
    <col min="3" max="14" width="17.42578125" style="39" customWidth="1"/>
    <col min="15" max="15" width="96.140625" style="15" customWidth="1"/>
    <col min="16" max="16" width="44.85546875" style="15" customWidth="1"/>
    <col min="17" max="17" width="77.28515625" style="15" customWidth="1"/>
    <col min="18" max="16384" width="9.140625" style="15"/>
  </cols>
  <sheetData>
    <row r="1" spans="1:17" ht="42" customHeight="1">
      <c r="A1" s="711" t="s">
        <v>2109</v>
      </c>
      <c r="B1" s="764"/>
      <c r="C1" s="712"/>
      <c r="D1" s="712"/>
      <c r="E1" s="712"/>
      <c r="F1" s="712"/>
      <c r="G1" s="712"/>
      <c r="H1" s="712"/>
      <c r="I1" s="712"/>
      <c r="J1" s="712"/>
      <c r="K1" s="712"/>
      <c r="L1" s="712"/>
      <c r="M1" s="712"/>
      <c r="N1" s="712"/>
      <c r="O1" s="712"/>
      <c r="P1" s="712"/>
      <c r="Q1" s="712"/>
    </row>
    <row r="2" spans="1:17" s="22" customFormat="1" ht="17.25" customHeight="1">
      <c r="A2" s="16"/>
      <c r="B2" s="765"/>
      <c r="C2" s="17"/>
      <c r="D2" s="18"/>
      <c r="E2" s="18"/>
      <c r="F2" s="18"/>
      <c r="G2" s="18" t="s">
        <v>2110</v>
      </c>
      <c r="H2" s="18"/>
      <c r="I2" s="18"/>
      <c r="J2" s="18"/>
      <c r="K2" s="18"/>
      <c r="L2" s="18"/>
      <c r="M2" s="18"/>
      <c r="N2" s="19"/>
      <c r="O2" s="20"/>
      <c r="P2" s="21"/>
      <c r="Q2" s="21"/>
    </row>
    <row r="3" spans="1:17" ht="17.25" customHeight="1">
      <c r="A3" s="23"/>
      <c r="B3" s="766"/>
      <c r="C3" s="1031" t="s">
        <v>2111</v>
      </c>
      <c r="D3" s="1032"/>
      <c r="E3" s="1031" t="s">
        <v>2112</v>
      </c>
      <c r="F3" s="1033"/>
      <c r="G3" s="1033"/>
      <c r="H3" s="1032"/>
      <c r="I3" s="1034" t="s">
        <v>2113</v>
      </c>
      <c r="J3" s="1035"/>
      <c r="K3" s="1035"/>
      <c r="L3" s="1036"/>
      <c r="M3" s="25"/>
      <c r="N3" s="26"/>
      <c r="O3" s="24"/>
      <c r="P3" s="27"/>
      <c r="Q3" s="27"/>
    </row>
    <row r="4" spans="1:17" ht="76.5" customHeight="1">
      <c r="A4" s="28" t="s">
        <v>2114</v>
      </c>
      <c r="B4" s="31" t="s">
        <v>2115</v>
      </c>
      <c r="C4" s="29" t="s">
        <v>2116</v>
      </c>
      <c r="D4" s="29" t="s">
        <v>2117</v>
      </c>
      <c r="E4" s="29" t="s">
        <v>2118</v>
      </c>
      <c r="F4" s="29" t="s">
        <v>2119</v>
      </c>
      <c r="G4" s="29" t="s">
        <v>2120</v>
      </c>
      <c r="H4" s="30" t="s">
        <v>2121</v>
      </c>
      <c r="I4" s="30" t="s">
        <v>2122</v>
      </c>
      <c r="J4" s="29" t="s">
        <v>2123</v>
      </c>
      <c r="K4" s="29" t="s">
        <v>2124</v>
      </c>
      <c r="L4" s="29" t="s">
        <v>2125</v>
      </c>
      <c r="M4" s="29" t="s">
        <v>249</v>
      </c>
      <c r="N4" s="29" t="s">
        <v>2126</v>
      </c>
      <c r="O4" s="31" t="s">
        <v>2127</v>
      </c>
      <c r="P4" s="28" t="s">
        <v>2128</v>
      </c>
      <c r="Q4" s="32" t="s">
        <v>227</v>
      </c>
    </row>
    <row r="5" spans="1:17" ht="12.75" customHeight="1">
      <c r="A5" s="952" t="s">
        <v>231</v>
      </c>
      <c r="B5" s="953" t="s">
        <v>2129</v>
      </c>
      <c r="C5" s="43">
        <v>1</v>
      </c>
      <c r="D5" s="33"/>
      <c r="E5" s="33">
        <v>1</v>
      </c>
      <c r="F5" s="33">
        <v>1</v>
      </c>
      <c r="G5" s="33">
        <v>1</v>
      </c>
      <c r="H5" s="33">
        <v>1</v>
      </c>
      <c r="I5" s="33"/>
      <c r="J5" s="33"/>
      <c r="K5" s="33"/>
      <c r="L5" s="33">
        <v>1</v>
      </c>
      <c r="M5" s="33">
        <v>0</v>
      </c>
      <c r="N5" s="33">
        <f>SUM(KTandC[[#This Row],[Strategic coordination and direction setting]:[Other]])</f>
        <v>6</v>
      </c>
      <c r="O5" s="717" t="s">
        <v>2130</v>
      </c>
      <c r="P5" s="717" t="s">
        <v>1776</v>
      </c>
      <c r="Q5" s="717" t="s">
        <v>1776</v>
      </c>
    </row>
    <row r="6" spans="1:17" ht="12.75" customHeight="1">
      <c r="A6" s="930" t="s">
        <v>231</v>
      </c>
      <c r="B6" s="954" t="s">
        <v>2131</v>
      </c>
      <c r="C6" s="33"/>
      <c r="D6" s="33"/>
      <c r="E6" s="33"/>
      <c r="F6" s="33">
        <v>1</v>
      </c>
      <c r="G6" s="33"/>
      <c r="H6" s="33">
        <v>1</v>
      </c>
      <c r="I6" s="33">
        <v>1</v>
      </c>
      <c r="J6" s="33">
        <v>1</v>
      </c>
      <c r="K6" s="33">
        <v>1</v>
      </c>
      <c r="L6" s="33" t="s">
        <v>1776</v>
      </c>
      <c r="M6" s="33" t="s">
        <v>1776</v>
      </c>
      <c r="N6" s="33">
        <f>SUM(KTandC[[#This Row],[Strategic coordination and direction setting]:[Other]])</f>
        <v>5</v>
      </c>
      <c r="O6" s="717" t="s">
        <v>2132</v>
      </c>
      <c r="P6" s="717" t="s">
        <v>238</v>
      </c>
      <c r="Q6" s="717" t="s">
        <v>238</v>
      </c>
    </row>
    <row r="7" spans="1:17" ht="12.75" customHeight="1">
      <c r="A7" s="930" t="s">
        <v>231</v>
      </c>
      <c r="B7" s="954" t="s">
        <v>2133</v>
      </c>
      <c r="C7" s="33">
        <v>1</v>
      </c>
      <c r="D7" s="33"/>
      <c r="E7" s="33">
        <v>1</v>
      </c>
      <c r="F7" s="33"/>
      <c r="G7" s="33">
        <v>1</v>
      </c>
      <c r="H7" s="33">
        <v>1</v>
      </c>
      <c r="I7" s="33">
        <v>1</v>
      </c>
      <c r="J7" s="33"/>
      <c r="K7" s="33"/>
      <c r="L7" s="33"/>
      <c r="M7" s="33"/>
      <c r="N7" s="33">
        <f>SUM(KTandC[[#This Row],[Strategic coordination and direction setting]:[Other]])</f>
        <v>5</v>
      </c>
      <c r="O7" s="717" t="s">
        <v>2134</v>
      </c>
      <c r="P7" s="717" t="s">
        <v>1776</v>
      </c>
      <c r="Q7" s="717" t="s">
        <v>1776</v>
      </c>
    </row>
    <row r="8" spans="1:17" ht="12.75" customHeight="1">
      <c r="A8" s="930" t="s">
        <v>231</v>
      </c>
      <c r="B8" s="954" t="s">
        <v>2135</v>
      </c>
      <c r="C8" s="33">
        <v>1</v>
      </c>
      <c r="D8" s="33"/>
      <c r="E8" s="33"/>
      <c r="F8" s="33"/>
      <c r="G8" s="33">
        <v>1</v>
      </c>
      <c r="H8" s="33">
        <v>1</v>
      </c>
      <c r="I8" s="33">
        <v>1</v>
      </c>
      <c r="J8" s="33">
        <v>1</v>
      </c>
      <c r="K8" s="33">
        <v>1</v>
      </c>
      <c r="L8" s="33"/>
      <c r="M8" s="33"/>
      <c r="N8" s="33">
        <f>SUM(KTandC[[#This Row],[Strategic coordination and direction setting]:[Other]])</f>
        <v>6</v>
      </c>
      <c r="O8" s="717" t="s">
        <v>2136</v>
      </c>
      <c r="P8" s="717" t="s">
        <v>1776</v>
      </c>
      <c r="Q8" s="717" t="s">
        <v>1776</v>
      </c>
    </row>
    <row r="9" spans="1:17" ht="12.75" customHeight="1">
      <c r="A9" s="930" t="s">
        <v>231</v>
      </c>
      <c r="B9" s="954" t="s">
        <v>2137</v>
      </c>
      <c r="C9" s="33">
        <v>1</v>
      </c>
      <c r="D9" s="33"/>
      <c r="E9" s="33">
        <v>1</v>
      </c>
      <c r="F9" s="33"/>
      <c r="G9" s="33">
        <v>1</v>
      </c>
      <c r="H9" s="33">
        <v>1</v>
      </c>
      <c r="I9" s="33"/>
      <c r="J9" s="33"/>
      <c r="K9" s="33"/>
      <c r="L9" s="33">
        <v>1</v>
      </c>
      <c r="M9" s="33"/>
      <c r="N9" s="33">
        <f>SUM(KTandC[[#This Row],[Strategic coordination and direction setting]:[Other]])</f>
        <v>5</v>
      </c>
      <c r="O9" s="717" t="s">
        <v>2138</v>
      </c>
      <c r="P9" s="717"/>
      <c r="Q9" s="717"/>
    </row>
    <row r="10" spans="1:17" ht="12.75" customHeight="1">
      <c r="A10" s="930" t="s">
        <v>231</v>
      </c>
      <c r="B10" s="955" t="s">
        <v>2139</v>
      </c>
      <c r="C10" s="33">
        <v>1</v>
      </c>
      <c r="D10" s="33"/>
      <c r="E10" s="33">
        <v>1</v>
      </c>
      <c r="F10" s="33"/>
      <c r="G10" s="33">
        <v>1</v>
      </c>
      <c r="H10" s="33">
        <v>1</v>
      </c>
      <c r="I10" s="33">
        <v>1</v>
      </c>
      <c r="J10" s="33"/>
      <c r="K10" s="33"/>
      <c r="L10" s="33">
        <v>1</v>
      </c>
      <c r="M10" s="33"/>
      <c r="N10" s="33">
        <f>SUM(KTandC[[#This Row],[Strategic coordination and direction setting]:[Other]])</f>
        <v>6</v>
      </c>
      <c r="O10" s="34" t="s">
        <v>2140</v>
      </c>
      <c r="P10" s="717"/>
      <c r="Q10" s="717"/>
    </row>
    <row r="11" spans="1:17" ht="12.75" customHeight="1">
      <c r="A11" s="930" t="s">
        <v>231</v>
      </c>
      <c r="B11" s="955" t="s">
        <v>2141</v>
      </c>
      <c r="C11" s="33">
        <v>1</v>
      </c>
      <c r="D11" s="33"/>
      <c r="E11" s="33">
        <v>1</v>
      </c>
      <c r="F11" s="33"/>
      <c r="G11" s="33">
        <v>1</v>
      </c>
      <c r="H11" s="33">
        <v>1</v>
      </c>
      <c r="I11" s="33">
        <v>1</v>
      </c>
      <c r="J11" s="33"/>
      <c r="K11" s="33"/>
      <c r="L11" s="33">
        <v>1</v>
      </c>
      <c r="M11" s="33"/>
      <c r="N11" s="33">
        <f>SUM(KTandC[[#This Row],[Strategic coordination and direction setting]:[Other]])</f>
        <v>6</v>
      </c>
      <c r="O11" s="34" t="s">
        <v>2142</v>
      </c>
      <c r="P11" s="717"/>
      <c r="Q11" s="717"/>
    </row>
    <row r="12" spans="1:17" ht="12.75" customHeight="1">
      <c r="A12" s="930" t="s">
        <v>231</v>
      </c>
      <c r="B12" s="955" t="s">
        <v>2143</v>
      </c>
      <c r="C12" s="33">
        <v>1</v>
      </c>
      <c r="D12" s="33"/>
      <c r="E12" s="33">
        <v>1</v>
      </c>
      <c r="F12" s="33"/>
      <c r="G12" s="33">
        <v>1</v>
      </c>
      <c r="H12" s="33">
        <v>1</v>
      </c>
      <c r="I12" s="33">
        <v>1</v>
      </c>
      <c r="J12" s="33"/>
      <c r="K12" s="33"/>
      <c r="L12" s="33">
        <v>1</v>
      </c>
      <c r="M12" s="33"/>
      <c r="N12" s="33">
        <f>SUM(KTandC[[#This Row],[Strategic coordination and direction setting]:[Other]])</f>
        <v>6</v>
      </c>
      <c r="O12" s="717" t="s">
        <v>2144</v>
      </c>
      <c r="P12" s="717"/>
      <c r="Q12" s="717"/>
    </row>
    <row r="13" spans="1:17" ht="12.75" customHeight="1">
      <c r="A13" s="930" t="s">
        <v>231</v>
      </c>
      <c r="B13" s="955" t="s">
        <v>2145</v>
      </c>
      <c r="C13" s="33">
        <v>1</v>
      </c>
      <c r="D13" s="33"/>
      <c r="E13" s="33">
        <v>1</v>
      </c>
      <c r="F13" s="33"/>
      <c r="G13" s="33">
        <v>1</v>
      </c>
      <c r="H13" s="33">
        <v>1</v>
      </c>
      <c r="I13" s="33">
        <v>1</v>
      </c>
      <c r="J13" s="33"/>
      <c r="K13" s="33"/>
      <c r="L13" s="33">
        <v>1</v>
      </c>
      <c r="M13" s="33"/>
      <c r="N13" s="33">
        <f>SUM(KTandC[[#This Row],[Strategic coordination and direction setting]:[Other]])</f>
        <v>6</v>
      </c>
      <c r="O13" s="34" t="s">
        <v>2146</v>
      </c>
      <c r="P13" s="717"/>
      <c r="Q13" s="717"/>
    </row>
    <row r="14" spans="1:17" ht="12.75" customHeight="1">
      <c r="A14" s="930" t="s">
        <v>231</v>
      </c>
      <c r="B14" s="954" t="s">
        <v>2147</v>
      </c>
      <c r="C14" s="33">
        <v>1</v>
      </c>
      <c r="D14" s="33"/>
      <c r="E14" s="33">
        <v>1</v>
      </c>
      <c r="F14" s="33"/>
      <c r="G14" s="33">
        <v>1</v>
      </c>
      <c r="H14" s="33">
        <v>1</v>
      </c>
      <c r="I14" s="33">
        <v>1</v>
      </c>
      <c r="J14" s="33"/>
      <c r="K14" s="33">
        <v>1</v>
      </c>
      <c r="L14" s="33">
        <v>1</v>
      </c>
      <c r="M14" s="33"/>
      <c r="N14" s="33">
        <f>SUM(KTandC[[#This Row],[Strategic coordination and direction setting]:[Other]])</f>
        <v>7</v>
      </c>
      <c r="O14" s="717" t="s">
        <v>2148</v>
      </c>
      <c r="P14" s="717"/>
      <c r="Q14" s="717"/>
    </row>
    <row r="15" spans="1:17" ht="12.75" customHeight="1">
      <c r="A15" s="930" t="s">
        <v>231</v>
      </c>
      <c r="B15" s="955" t="s">
        <v>2149</v>
      </c>
      <c r="C15" s="33">
        <v>1</v>
      </c>
      <c r="D15" s="33"/>
      <c r="E15" s="33">
        <v>1</v>
      </c>
      <c r="F15" s="33"/>
      <c r="G15" s="33">
        <v>1</v>
      </c>
      <c r="H15" s="33">
        <v>1</v>
      </c>
      <c r="I15" s="33">
        <v>1</v>
      </c>
      <c r="J15" s="33"/>
      <c r="K15" s="33"/>
      <c r="L15" s="33">
        <v>1</v>
      </c>
      <c r="M15" s="33"/>
      <c r="N15" s="33">
        <f>SUM(KTandC[[#This Row],[Strategic coordination and direction setting]:[Other]])</f>
        <v>6</v>
      </c>
      <c r="O15" s="34" t="s">
        <v>2150</v>
      </c>
      <c r="P15" s="717"/>
      <c r="Q15" s="717"/>
    </row>
    <row r="16" spans="1:17" ht="12.75" customHeight="1">
      <c r="A16" s="930" t="s">
        <v>231</v>
      </c>
      <c r="B16" s="955" t="s">
        <v>2151</v>
      </c>
      <c r="C16" s="33">
        <v>1</v>
      </c>
      <c r="D16" s="33"/>
      <c r="E16" s="33">
        <v>1</v>
      </c>
      <c r="F16" s="33"/>
      <c r="G16" s="33">
        <v>1</v>
      </c>
      <c r="H16" s="33">
        <v>1</v>
      </c>
      <c r="I16" s="33">
        <v>1</v>
      </c>
      <c r="J16" s="33"/>
      <c r="K16" s="33"/>
      <c r="L16" s="33">
        <v>1</v>
      </c>
      <c r="M16" s="33"/>
      <c r="N16" s="33">
        <f>SUM(KTandC[[#This Row],[Strategic coordination and direction setting]:[Other]])</f>
        <v>6</v>
      </c>
      <c r="O16" s="34" t="s">
        <v>2152</v>
      </c>
      <c r="P16" s="717"/>
      <c r="Q16" s="717"/>
    </row>
    <row r="17" spans="1:17" ht="12.75" customHeight="1">
      <c r="A17" s="930" t="s">
        <v>231</v>
      </c>
      <c r="B17" s="954" t="s">
        <v>2153</v>
      </c>
      <c r="C17" s="33">
        <v>1</v>
      </c>
      <c r="D17" s="33"/>
      <c r="E17" s="33">
        <v>1</v>
      </c>
      <c r="F17" s="33"/>
      <c r="G17" s="33">
        <v>1</v>
      </c>
      <c r="H17" s="33">
        <v>1</v>
      </c>
      <c r="I17" s="33">
        <v>1</v>
      </c>
      <c r="J17" s="33"/>
      <c r="K17" s="33"/>
      <c r="L17" s="33">
        <v>1</v>
      </c>
      <c r="M17" s="33"/>
      <c r="N17" s="33">
        <f>SUM(KTandC[[#This Row],[Strategic coordination and direction setting]:[Other]])</f>
        <v>6</v>
      </c>
      <c r="O17" s="717" t="s">
        <v>2154</v>
      </c>
      <c r="P17" s="717"/>
      <c r="Q17" s="717"/>
    </row>
    <row r="18" spans="1:17" ht="12.75" customHeight="1">
      <c r="A18" s="930" t="s">
        <v>231</v>
      </c>
      <c r="B18" s="954" t="s">
        <v>2155</v>
      </c>
      <c r="C18" s="33">
        <v>1</v>
      </c>
      <c r="D18" s="33"/>
      <c r="E18" s="33">
        <v>1</v>
      </c>
      <c r="F18" s="33"/>
      <c r="G18" s="33">
        <v>1</v>
      </c>
      <c r="H18" s="33">
        <v>1</v>
      </c>
      <c r="I18" s="33">
        <v>1</v>
      </c>
      <c r="J18" s="33"/>
      <c r="K18" s="33">
        <v>1</v>
      </c>
      <c r="L18" s="33">
        <v>1</v>
      </c>
      <c r="M18" s="33"/>
      <c r="N18" s="33">
        <f>SUM(KTandC[[#This Row],[Strategic coordination and direction setting]:[Other]])</f>
        <v>7</v>
      </c>
      <c r="O18" s="717" t="s">
        <v>2156</v>
      </c>
      <c r="P18" s="717"/>
      <c r="Q18" s="717"/>
    </row>
    <row r="19" spans="1:17" ht="12.75" customHeight="1">
      <c r="A19" s="930" t="s">
        <v>231</v>
      </c>
      <c r="B19" s="954" t="s">
        <v>2157</v>
      </c>
      <c r="C19" s="33">
        <v>1</v>
      </c>
      <c r="D19" s="33"/>
      <c r="E19" s="33">
        <v>1</v>
      </c>
      <c r="F19" s="33">
        <v>1</v>
      </c>
      <c r="G19" s="33">
        <v>1</v>
      </c>
      <c r="H19" s="33">
        <v>1</v>
      </c>
      <c r="I19" s="33">
        <v>1</v>
      </c>
      <c r="J19" s="33"/>
      <c r="K19" s="33"/>
      <c r="L19" s="33"/>
      <c r="M19" s="33"/>
      <c r="N19" s="33">
        <f>SUM(KTandC[[#This Row],[Strategic coordination and direction setting]:[Other]])</f>
        <v>6</v>
      </c>
      <c r="O19" s="717" t="s">
        <v>2158</v>
      </c>
      <c r="P19" s="717" t="s">
        <v>1776</v>
      </c>
      <c r="Q19" s="717" t="s">
        <v>1776</v>
      </c>
    </row>
    <row r="20" spans="1:17" ht="12.75" customHeight="1">
      <c r="A20" s="930" t="s">
        <v>231</v>
      </c>
      <c r="B20" s="955" t="s">
        <v>2159</v>
      </c>
      <c r="C20" s="33">
        <v>1</v>
      </c>
      <c r="D20" s="33"/>
      <c r="E20" s="33">
        <v>1</v>
      </c>
      <c r="F20" s="33"/>
      <c r="G20" s="33"/>
      <c r="H20" s="33"/>
      <c r="I20" s="33">
        <v>1</v>
      </c>
      <c r="J20" s="33"/>
      <c r="K20" s="33"/>
      <c r="L20" s="33">
        <v>1</v>
      </c>
      <c r="M20" s="33"/>
      <c r="N20" s="33">
        <f>SUM(KTandC[[#This Row],[Strategic coordination and direction setting]:[Other]])</f>
        <v>4</v>
      </c>
      <c r="O20" s="34" t="s">
        <v>2160</v>
      </c>
      <c r="P20" s="717"/>
      <c r="Q20" s="717"/>
    </row>
    <row r="21" spans="1:17" ht="12.75" customHeight="1">
      <c r="A21" s="930" t="s">
        <v>231</v>
      </c>
      <c r="B21" s="955" t="s">
        <v>2161</v>
      </c>
      <c r="C21" s="33">
        <v>1</v>
      </c>
      <c r="D21" s="33"/>
      <c r="E21" s="33">
        <v>1</v>
      </c>
      <c r="F21" s="33"/>
      <c r="G21" s="33"/>
      <c r="H21" s="33"/>
      <c r="I21" s="33">
        <v>1</v>
      </c>
      <c r="J21" s="33"/>
      <c r="K21" s="33"/>
      <c r="L21" s="33">
        <v>1</v>
      </c>
      <c r="M21" s="33"/>
      <c r="N21" s="33">
        <f>SUM(KTandC[[#This Row],[Strategic coordination and direction setting]:[Other]])</f>
        <v>4</v>
      </c>
      <c r="O21" s="34" t="s">
        <v>2162</v>
      </c>
      <c r="P21" s="717"/>
      <c r="Q21" s="717"/>
    </row>
    <row r="22" spans="1:17" ht="12.75" customHeight="1">
      <c r="A22" s="930" t="s">
        <v>231</v>
      </c>
      <c r="B22" s="954" t="s">
        <v>2163</v>
      </c>
      <c r="C22" s="33">
        <v>1</v>
      </c>
      <c r="D22" s="33"/>
      <c r="E22" s="33"/>
      <c r="F22" s="33">
        <v>1</v>
      </c>
      <c r="G22" s="33">
        <v>1</v>
      </c>
      <c r="H22" s="33">
        <v>1</v>
      </c>
      <c r="I22" s="33"/>
      <c r="J22" s="33"/>
      <c r="K22" s="33"/>
      <c r="L22" s="33"/>
      <c r="M22" s="33"/>
      <c r="N22" s="33">
        <f>SUM(KTandC[[#This Row],[Strategic coordination and direction setting]:[Other]])</f>
        <v>4</v>
      </c>
      <c r="O22" s="717" t="s">
        <v>2164</v>
      </c>
      <c r="P22" s="717"/>
      <c r="Q22" s="717"/>
    </row>
    <row r="23" spans="1:17" ht="12.75" customHeight="1">
      <c r="A23" s="930" t="s">
        <v>231</v>
      </c>
      <c r="B23" s="954" t="s">
        <v>2165</v>
      </c>
      <c r="C23" s="33">
        <v>1</v>
      </c>
      <c r="D23" s="33"/>
      <c r="E23" s="33">
        <v>1</v>
      </c>
      <c r="F23" s="33">
        <v>1</v>
      </c>
      <c r="G23" s="33"/>
      <c r="H23" s="33"/>
      <c r="I23" s="33"/>
      <c r="J23" s="33"/>
      <c r="K23" s="33"/>
      <c r="L23" s="33"/>
      <c r="M23" s="33">
        <v>1</v>
      </c>
      <c r="N23" s="33">
        <f>SUM(KTandC[[#This Row],[Strategic coordination and direction setting]:[Other]])</f>
        <v>4</v>
      </c>
      <c r="O23" s="717" t="s">
        <v>2166</v>
      </c>
      <c r="P23" s="717"/>
      <c r="Q23" s="717"/>
    </row>
    <row r="24" spans="1:17" ht="12.75" customHeight="1">
      <c r="A24" s="930" t="s">
        <v>231</v>
      </c>
      <c r="B24" s="954" t="s">
        <v>2167</v>
      </c>
      <c r="C24" s="33"/>
      <c r="D24" s="33"/>
      <c r="E24" s="33"/>
      <c r="F24" s="33"/>
      <c r="G24" s="33">
        <v>1</v>
      </c>
      <c r="H24" s="33">
        <v>1</v>
      </c>
      <c r="I24" s="33"/>
      <c r="J24" s="33"/>
      <c r="K24" s="33"/>
      <c r="L24" s="33"/>
      <c r="M24" s="33"/>
      <c r="N24" s="33">
        <f>SUM(KTandC[[#This Row],[Strategic coordination and direction setting]:[Other]])</f>
        <v>2</v>
      </c>
      <c r="O24" s="717" t="s">
        <v>2168</v>
      </c>
      <c r="P24" s="717" t="s">
        <v>1776</v>
      </c>
      <c r="Q24" s="717" t="s">
        <v>2169</v>
      </c>
    </row>
    <row r="25" spans="1:17" ht="12.75" customHeight="1">
      <c r="A25" s="930" t="s">
        <v>821</v>
      </c>
      <c r="B25" s="954" t="s">
        <v>2170</v>
      </c>
      <c r="C25" s="33"/>
      <c r="D25" s="33"/>
      <c r="E25" s="33"/>
      <c r="F25" s="33"/>
      <c r="G25" s="33"/>
      <c r="H25" s="33"/>
      <c r="I25" s="33"/>
      <c r="J25" s="33"/>
      <c r="K25" s="33"/>
      <c r="L25" s="33"/>
      <c r="M25" s="33">
        <v>1</v>
      </c>
      <c r="N25" s="33">
        <f>SUM(KTandC[[#This Row],[Strategic coordination and direction setting]:[Other]])</f>
        <v>1</v>
      </c>
      <c r="O25" s="717" t="s">
        <v>2171</v>
      </c>
      <c r="P25" s="717" t="s">
        <v>1776</v>
      </c>
      <c r="Q25" s="717" t="s">
        <v>1776</v>
      </c>
    </row>
    <row r="26" spans="1:17" ht="12.75" customHeight="1">
      <c r="A26" s="930" t="s">
        <v>2172</v>
      </c>
      <c r="B26" s="954" t="s">
        <v>2173</v>
      </c>
      <c r="C26" s="33"/>
      <c r="D26" s="33"/>
      <c r="E26" s="33"/>
      <c r="F26" s="33">
        <v>1</v>
      </c>
      <c r="G26" s="33">
        <v>1</v>
      </c>
      <c r="H26" s="33">
        <v>1</v>
      </c>
      <c r="I26" s="33">
        <v>1</v>
      </c>
      <c r="J26" s="33"/>
      <c r="K26" s="33"/>
      <c r="L26" s="33"/>
      <c r="M26" s="33"/>
      <c r="N26" s="33">
        <f>SUM(KTandC[[#This Row],[Strategic coordination and direction setting]:[Other]])</f>
        <v>4</v>
      </c>
      <c r="O26" s="717" t="s">
        <v>2174</v>
      </c>
      <c r="P26" s="717" t="s">
        <v>2175</v>
      </c>
      <c r="Q26" s="717" t="s">
        <v>1776</v>
      </c>
    </row>
    <row r="27" spans="1:17" ht="12.75" customHeight="1">
      <c r="A27" s="930" t="s">
        <v>2172</v>
      </c>
      <c r="B27" s="954" t="s">
        <v>2176</v>
      </c>
      <c r="C27" s="33"/>
      <c r="D27" s="33"/>
      <c r="E27" s="33"/>
      <c r="F27" s="33">
        <v>1</v>
      </c>
      <c r="G27" s="33">
        <v>1</v>
      </c>
      <c r="H27" s="33">
        <v>1</v>
      </c>
      <c r="I27" s="33">
        <v>1</v>
      </c>
      <c r="J27" s="33"/>
      <c r="K27" s="33"/>
      <c r="L27" s="33"/>
      <c r="M27" s="33"/>
      <c r="N27" s="33">
        <f>SUM(KTandC[[#This Row],[Strategic coordination and direction setting]:[Other]])</f>
        <v>4</v>
      </c>
      <c r="O27" s="717" t="s">
        <v>2177</v>
      </c>
      <c r="P27" s="717" t="s">
        <v>2175</v>
      </c>
      <c r="Q27" s="717" t="s">
        <v>1776</v>
      </c>
    </row>
    <row r="28" spans="1:17" ht="12.75" customHeight="1">
      <c r="A28" s="930" t="s">
        <v>2172</v>
      </c>
      <c r="B28" s="954" t="s">
        <v>2178</v>
      </c>
      <c r="C28" s="33"/>
      <c r="D28" s="33"/>
      <c r="E28" s="33"/>
      <c r="F28" s="33"/>
      <c r="G28" s="33">
        <v>1</v>
      </c>
      <c r="H28" s="33"/>
      <c r="I28" s="33"/>
      <c r="J28" s="33"/>
      <c r="K28" s="33"/>
      <c r="L28" s="33"/>
      <c r="M28" s="33"/>
      <c r="N28" s="33">
        <f>SUM(KTandC[[#This Row],[Strategic coordination and direction setting]:[Other]])</f>
        <v>1</v>
      </c>
      <c r="O28" s="717" t="s">
        <v>2179</v>
      </c>
      <c r="P28" s="717" t="s">
        <v>2180</v>
      </c>
      <c r="Q28" s="717" t="s">
        <v>1776</v>
      </c>
    </row>
    <row r="29" spans="1:17" ht="12.75" customHeight="1">
      <c r="A29" s="930" t="s">
        <v>2172</v>
      </c>
      <c r="B29" s="954" t="s">
        <v>2181</v>
      </c>
      <c r="C29" s="33"/>
      <c r="D29" s="33"/>
      <c r="E29" s="33"/>
      <c r="F29" s="33">
        <v>1</v>
      </c>
      <c r="G29" s="33">
        <v>1</v>
      </c>
      <c r="H29" s="33">
        <v>1</v>
      </c>
      <c r="I29" s="33">
        <v>1</v>
      </c>
      <c r="J29" s="33"/>
      <c r="K29" s="33"/>
      <c r="L29" s="33"/>
      <c r="M29" s="33"/>
      <c r="N29" s="33">
        <f>SUM(KTandC[[#This Row],[Strategic coordination and direction setting]:[Other]])</f>
        <v>4</v>
      </c>
      <c r="O29" s="717" t="s">
        <v>2182</v>
      </c>
      <c r="P29" s="717" t="s">
        <v>2175</v>
      </c>
      <c r="Q29" s="717" t="s">
        <v>1776</v>
      </c>
    </row>
    <row r="30" spans="1:17" ht="12.75" customHeight="1">
      <c r="A30" s="930" t="s">
        <v>2172</v>
      </c>
      <c r="B30" s="954" t="s">
        <v>2183</v>
      </c>
      <c r="C30" s="33"/>
      <c r="D30" s="33"/>
      <c r="E30" s="33"/>
      <c r="F30" s="33">
        <v>1</v>
      </c>
      <c r="G30" s="33">
        <v>1</v>
      </c>
      <c r="H30" s="33">
        <v>1</v>
      </c>
      <c r="I30" s="33"/>
      <c r="J30" s="33"/>
      <c r="K30" s="33">
        <v>1</v>
      </c>
      <c r="L30" s="33"/>
      <c r="M30" s="33"/>
      <c r="N30" s="33">
        <f>SUM(KTandC[[#This Row],[Strategic coordination and direction setting]:[Other]])</f>
        <v>4</v>
      </c>
      <c r="O30" s="717" t="s">
        <v>2184</v>
      </c>
      <c r="P30" s="717" t="s">
        <v>2175</v>
      </c>
      <c r="Q30" s="717"/>
    </row>
    <row r="31" spans="1:17" ht="12.75" customHeight="1">
      <c r="A31" s="930" t="s">
        <v>2172</v>
      </c>
      <c r="B31" s="954" t="s">
        <v>2185</v>
      </c>
      <c r="C31" s="33"/>
      <c r="D31" s="33"/>
      <c r="E31" s="33">
        <v>1</v>
      </c>
      <c r="F31" s="33">
        <v>1</v>
      </c>
      <c r="G31" s="33">
        <v>1</v>
      </c>
      <c r="H31" s="33">
        <v>1</v>
      </c>
      <c r="I31" s="33"/>
      <c r="J31" s="33"/>
      <c r="K31" s="33"/>
      <c r="L31" s="33"/>
      <c r="M31" s="33"/>
      <c r="N31" s="33">
        <f>SUM(KTandC[[#This Row],[Strategic coordination and direction setting]:[Other]])</f>
        <v>4</v>
      </c>
      <c r="O31" s="717" t="s">
        <v>2186</v>
      </c>
      <c r="P31" s="717" t="s">
        <v>2175</v>
      </c>
      <c r="Q31" s="717" t="s">
        <v>1776</v>
      </c>
    </row>
    <row r="32" spans="1:17" ht="12.75" customHeight="1">
      <c r="A32" s="930" t="s">
        <v>2172</v>
      </c>
      <c r="B32" s="954" t="s">
        <v>2187</v>
      </c>
      <c r="C32" s="33"/>
      <c r="D32" s="33"/>
      <c r="E32" s="33"/>
      <c r="F32" s="33">
        <v>1</v>
      </c>
      <c r="G32" s="33">
        <v>1</v>
      </c>
      <c r="H32" s="33">
        <v>1</v>
      </c>
      <c r="I32" s="33">
        <v>1</v>
      </c>
      <c r="J32" s="33"/>
      <c r="K32" s="33"/>
      <c r="L32" s="33"/>
      <c r="M32" s="33"/>
      <c r="N32" s="33">
        <f>SUM(KTandC[[#This Row],[Strategic coordination and direction setting]:[Other]])</f>
        <v>4</v>
      </c>
      <c r="O32" s="717" t="s">
        <v>2188</v>
      </c>
      <c r="P32" s="717" t="s">
        <v>2175</v>
      </c>
      <c r="Q32" s="717" t="s">
        <v>1776</v>
      </c>
    </row>
    <row r="33" spans="1:17" ht="12.75" customHeight="1">
      <c r="A33" s="930" t="s">
        <v>387</v>
      </c>
      <c r="B33" s="954" t="s">
        <v>1668</v>
      </c>
      <c r="C33" s="33"/>
      <c r="D33" s="33"/>
      <c r="E33" s="33"/>
      <c r="F33" s="33"/>
      <c r="G33" s="33"/>
      <c r="H33" s="33"/>
      <c r="I33" s="33">
        <v>1</v>
      </c>
      <c r="J33" s="33">
        <v>1</v>
      </c>
      <c r="K33" s="33"/>
      <c r="L33" s="33"/>
      <c r="M33" s="33"/>
      <c r="N33" s="33">
        <f>SUM(KTandC[[#This Row],[Strategic coordination and direction setting]:[Other]])</f>
        <v>2</v>
      </c>
      <c r="O33" s="949" t="s">
        <v>2189</v>
      </c>
      <c r="P33" s="717" t="s">
        <v>2190</v>
      </c>
      <c r="Q33" s="951" t="s">
        <v>2191</v>
      </c>
    </row>
    <row r="34" spans="1:17" ht="12.75" customHeight="1">
      <c r="A34" s="930" t="s">
        <v>387</v>
      </c>
      <c r="B34" s="954" t="s">
        <v>396</v>
      </c>
      <c r="C34" s="33">
        <v>1</v>
      </c>
      <c r="D34" s="33"/>
      <c r="E34" s="33">
        <v>1</v>
      </c>
      <c r="F34" s="33">
        <v>1</v>
      </c>
      <c r="G34" s="33">
        <v>1</v>
      </c>
      <c r="H34" s="33">
        <v>1</v>
      </c>
      <c r="I34" s="33"/>
      <c r="J34" s="33"/>
      <c r="K34" s="33"/>
      <c r="L34" s="33"/>
      <c r="M34" s="33"/>
      <c r="N34" s="33">
        <f>SUM(KTandC[[#This Row],[Strategic coordination and direction setting]:[Other]])</f>
        <v>5</v>
      </c>
      <c r="O34" s="717" t="s">
        <v>2192</v>
      </c>
      <c r="P34" s="717" t="s">
        <v>2193</v>
      </c>
      <c r="Q34" s="717" t="s">
        <v>1776</v>
      </c>
    </row>
    <row r="35" spans="1:17" ht="12.75" customHeight="1">
      <c r="A35" s="930" t="s">
        <v>387</v>
      </c>
      <c r="B35" s="954" t="s">
        <v>2194</v>
      </c>
      <c r="C35" s="33"/>
      <c r="D35" s="33"/>
      <c r="E35" s="33">
        <v>1</v>
      </c>
      <c r="F35" s="33"/>
      <c r="G35" s="33"/>
      <c r="H35" s="33"/>
      <c r="I35" s="33">
        <v>1</v>
      </c>
      <c r="J35" s="33">
        <v>1</v>
      </c>
      <c r="K35" s="33">
        <v>1</v>
      </c>
      <c r="L35" s="33"/>
      <c r="M35" s="33"/>
      <c r="N35" s="33">
        <f>SUM(KTandC[[#This Row],[Strategic coordination and direction setting]:[Other]])</f>
        <v>4</v>
      </c>
      <c r="O35" s="717" t="s">
        <v>2195</v>
      </c>
      <c r="P35" s="717" t="s">
        <v>1776</v>
      </c>
      <c r="Q35" s="717" t="s">
        <v>2196</v>
      </c>
    </row>
    <row r="36" spans="1:17" ht="12.75" customHeight="1">
      <c r="A36" s="930" t="s">
        <v>387</v>
      </c>
      <c r="B36" s="954" t="s">
        <v>2197</v>
      </c>
      <c r="C36" s="33"/>
      <c r="D36" s="33"/>
      <c r="E36" s="33"/>
      <c r="F36" s="33"/>
      <c r="G36" s="33"/>
      <c r="H36" s="33"/>
      <c r="I36" s="33">
        <v>1</v>
      </c>
      <c r="J36" s="33">
        <v>1</v>
      </c>
      <c r="K36" s="33">
        <v>1</v>
      </c>
      <c r="L36" s="33">
        <v>1</v>
      </c>
      <c r="M36" s="33"/>
      <c r="N36" s="33">
        <f>SUM(KTandC[[#This Row],[Strategic coordination and direction setting]:[Other]])</f>
        <v>4</v>
      </c>
      <c r="O36" s="717" t="s">
        <v>2198</v>
      </c>
      <c r="P36" s="717" t="s">
        <v>1776</v>
      </c>
      <c r="Q36" s="717" t="s">
        <v>1776</v>
      </c>
    </row>
    <row r="37" spans="1:17" ht="12.75" customHeight="1">
      <c r="A37" s="930" t="s">
        <v>387</v>
      </c>
      <c r="B37" s="954" t="s">
        <v>1700</v>
      </c>
      <c r="C37" s="33"/>
      <c r="D37" s="33"/>
      <c r="E37" s="33"/>
      <c r="F37" s="33"/>
      <c r="G37" s="33"/>
      <c r="H37" s="33"/>
      <c r="I37" s="33"/>
      <c r="J37" s="33">
        <v>1</v>
      </c>
      <c r="K37" s="33"/>
      <c r="L37" s="33">
        <v>1</v>
      </c>
      <c r="M37" s="33"/>
      <c r="N37" s="33">
        <f>SUM(KTandC[[#This Row],[Strategic coordination and direction setting]:[Other]])</f>
        <v>2</v>
      </c>
      <c r="O37" s="717" t="s">
        <v>2199</v>
      </c>
      <c r="P37" s="717"/>
      <c r="Q37" s="717"/>
    </row>
    <row r="38" spans="1:17" ht="12.75" customHeight="1">
      <c r="A38" s="930" t="s">
        <v>387</v>
      </c>
      <c r="B38" s="954" t="s">
        <v>2200</v>
      </c>
      <c r="C38" s="33">
        <v>1</v>
      </c>
      <c r="D38" s="33"/>
      <c r="E38" s="33">
        <v>1</v>
      </c>
      <c r="F38" s="33">
        <v>1</v>
      </c>
      <c r="G38" s="33"/>
      <c r="H38" s="33"/>
      <c r="I38" s="33"/>
      <c r="J38" s="33"/>
      <c r="K38" s="33"/>
      <c r="L38" s="33"/>
      <c r="M38" s="33"/>
      <c r="N38" s="33">
        <f>SUM(KTandC[[#This Row],[Strategic coordination and direction setting]:[Other]])</f>
        <v>3</v>
      </c>
      <c r="O38" s="34" t="s">
        <v>2201</v>
      </c>
      <c r="P38" s="717"/>
      <c r="Q38" s="717"/>
    </row>
    <row r="39" spans="1:17" ht="12.75" customHeight="1">
      <c r="A39" s="930" t="s">
        <v>387</v>
      </c>
      <c r="B39" s="954" t="s">
        <v>2202</v>
      </c>
      <c r="C39" s="33"/>
      <c r="D39" s="33"/>
      <c r="E39" s="33">
        <v>1</v>
      </c>
      <c r="F39" s="33"/>
      <c r="G39" s="33"/>
      <c r="H39" s="33"/>
      <c r="I39" s="33">
        <v>1</v>
      </c>
      <c r="J39" s="33">
        <v>1</v>
      </c>
      <c r="K39" s="33"/>
      <c r="L39" s="33"/>
      <c r="M39" s="33"/>
      <c r="N39" s="33">
        <f>SUM(KTandC[[#This Row],[Strategic coordination and direction setting]:[Other]])</f>
        <v>3</v>
      </c>
      <c r="O39" s="717" t="s">
        <v>2203</v>
      </c>
      <c r="P39" s="717"/>
      <c r="Q39" s="717"/>
    </row>
    <row r="40" spans="1:17" ht="12.75" customHeight="1">
      <c r="A40" s="930" t="s">
        <v>387</v>
      </c>
      <c r="B40" s="954" t="s">
        <v>2204</v>
      </c>
      <c r="C40" s="33"/>
      <c r="D40" s="33"/>
      <c r="E40" s="33"/>
      <c r="F40" s="33"/>
      <c r="G40" s="33"/>
      <c r="H40" s="33"/>
      <c r="I40" s="33">
        <v>1</v>
      </c>
      <c r="J40" s="33"/>
      <c r="K40" s="33"/>
      <c r="L40" s="33"/>
      <c r="M40" s="33"/>
      <c r="N40" s="33">
        <f>SUM(KTandC[[#This Row],[Strategic coordination and direction setting]:[Other]])</f>
        <v>1</v>
      </c>
      <c r="O40" s="717" t="s">
        <v>2205</v>
      </c>
      <c r="P40" s="717" t="s">
        <v>1776</v>
      </c>
      <c r="Q40" s="717" t="s">
        <v>1776</v>
      </c>
    </row>
    <row r="41" spans="1:17" ht="12.75" customHeight="1">
      <c r="A41" s="930" t="s">
        <v>2206</v>
      </c>
      <c r="B41" s="954" t="s">
        <v>2207</v>
      </c>
      <c r="C41" s="33"/>
      <c r="D41" s="33"/>
      <c r="E41" s="33">
        <v>1</v>
      </c>
      <c r="F41" s="33">
        <v>1</v>
      </c>
      <c r="G41" s="33"/>
      <c r="H41" s="33">
        <v>1</v>
      </c>
      <c r="I41" s="33"/>
      <c r="J41" s="33"/>
      <c r="K41" s="33"/>
      <c r="L41" s="33"/>
      <c r="M41" s="33"/>
      <c r="N41" s="33">
        <f>SUM(KTandC[[#This Row],[Strategic coordination and direction setting]:[Other]])</f>
        <v>3</v>
      </c>
      <c r="O41" s="717" t="s">
        <v>2208</v>
      </c>
      <c r="P41" s="717" t="s">
        <v>2209</v>
      </c>
      <c r="Q41" s="717"/>
    </row>
    <row r="42" spans="1:17" ht="12.75" customHeight="1">
      <c r="A42" s="930" t="s">
        <v>2206</v>
      </c>
      <c r="B42" s="954" t="s">
        <v>2210</v>
      </c>
      <c r="C42" s="33"/>
      <c r="D42" s="33"/>
      <c r="E42" s="33">
        <v>1</v>
      </c>
      <c r="F42" s="33">
        <v>1</v>
      </c>
      <c r="G42" s="33"/>
      <c r="H42" s="33">
        <v>1</v>
      </c>
      <c r="I42" s="33"/>
      <c r="J42" s="33"/>
      <c r="K42" s="33"/>
      <c r="L42" s="33"/>
      <c r="M42" s="33"/>
      <c r="N42" s="33">
        <f>SUM(KTandC[[#This Row],[Strategic coordination and direction setting]:[Other]])</f>
        <v>3</v>
      </c>
      <c r="O42" s="717" t="s">
        <v>2211</v>
      </c>
      <c r="P42" s="717" t="s">
        <v>2209</v>
      </c>
      <c r="Q42" s="717"/>
    </row>
    <row r="43" spans="1:17" ht="12.75" customHeight="1">
      <c r="A43" s="956" t="s">
        <v>2206</v>
      </c>
      <c r="B43" s="957" t="s">
        <v>2212</v>
      </c>
      <c r="C43" s="33"/>
      <c r="D43" s="33"/>
      <c r="E43" s="33"/>
      <c r="F43" s="33">
        <v>1</v>
      </c>
      <c r="G43" s="33"/>
      <c r="H43" s="33"/>
      <c r="I43" s="33"/>
      <c r="J43" s="33"/>
      <c r="K43" s="33"/>
      <c r="L43" s="33"/>
      <c r="M43" s="33">
        <v>1</v>
      </c>
      <c r="N43" s="33">
        <f>SUM(KTandC[[#This Row],[Strategic coordination and direction setting]:[Other]])</f>
        <v>2</v>
      </c>
      <c r="O43" s="34" t="s">
        <v>2213</v>
      </c>
      <c r="P43" s="717" t="s">
        <v>2214</v>
      </c>
      <c r="Q43" s="34" t="s">
        <v>2215</v>
      </c>
    </row>
    <row r="44" spans="1:17" ht="12.75" customHeight="1">
      <c r="A44" s="930" t="s">
        <v>2206</v>
      </c>
      <c r="B44" s="954" t="s">
        <v>2216</v>
      </c>
      <c r="C44" s="33">
        <v>1</v>
      </c>
      <c r="D44" s="33"/>
      <c r="E44" s="33"/>
      <c r="F44" s="33"/>
      <c r="G44" s="33"/>
      <c r="H44" s="33">
        <v>1</v>
      </c>
      <c r="I44" s="33"/>
      <c r="J44" s="33"/>
      <c r="K44" s="33"/>
      <c r="L44" s="33"/>
      <c r="M44" s="33">
        <v>1</v>
      </c>
      <c r="N44" s="33">
        <f>SUM(KTandC[[#This Row],[Strategic coordination and direction setting]:[Other]])</f>
        <v>3</v>
      </c>
      <c r="O44" s="717" t="s">
        <v>2217</v>
      </c>
      <c r="P44" s="717" t="s">
        <v>2214</v>
      </c>
      <c r="Q44" s="717"/>
    </row>
    <row r="45" spans="1:17" ht="12.75" customHeight="1">
      <c r="A45" s="930" t="s">
        <v>2206</v>
      </c>
      <c r="B45" s="954" t="s">
        <v>2218</v>
      </c>
      <c r="C45" s="33"/>
      <c r="D45" s="33"/>
      <c r="E45" s="33">
        <v>1</v>
      </c>
      <c r="F45" s="33">
        <v>1</v>
      </c>
      <c r="G45" s="33">
        <v>1</v>
      </c>
      <c r="H45" s="33">
        <v>1</v>
      </c>
      <c r="I45" s="33">
        <v>1</v>
      </c>
      <c r="J45" s="33"/>
      <c r="K45" s="33"/>
      <c r="L45" s="33"/>
      <c r="M45" s="33"/>
      <c r="N45" s="33">
        <f>SUM(KTandC[[#This Row],[Strategic coordination and direction setting]:[Other]])</f>
        <v>5</v>
      </c>
      <c r="O45" s="717" t="s">
        <v>2219</v>
      </c>
      <c r="P45" s="717" t="s">
        <v>2220</v>
      </c>
      <c r="Q45" s="717"/>
    </row>
    <row r="46" spans="1:17" ht="12.75" customHeight="1">
      <c r="A46" s="930" t="s">
        <v>2206</v>
      </c>
      <c r="B46" s="954" t="s">
        <v>2221</v>
      </c>
      <c r="C46" s="33"/>
      <c r="D46" s="33"/>
      <c r="E46" s="33"/>
      <c r="F46" s="33">
        <v>1</v>
      </c>
      <c r="G46" s="33">
        <v>1</v>
      </c>
      <c r="H46" s="33">
        <v>1</v>
      </c>
      <c r="I46" s="33"/>
      <c r="J46" s="33"/>
      <c r="K46" s="33"/>
      <c r="L46" s="33"/>
      <c r="M46" s="33"/>
      <c r="N46" s="33">
        <f>SUM(KTandC[[#This Row],[Strategic coordination and direction setting]:[Other]])</f>
        <v>3</v>
      </c>
      <c r="O46" s="717" t="s">
        <v>2222</v>
      </c>
      <c r="P46" s="717" t="s">
        <v>2214</v>
      </c>
      <c r="Q46" s="717"/>
    </row>
    <row r="47" spans="1:17" ht="12.75" customHeight="1">
      <c r="A47" s="930" t="s">
        <v>2206</v>
      </c>
      <c r="B47" s="954" t="s">
        <v>2223</v>
      </c>
      <c r="C47" s="33"/>
      <c r="D47" s="33"/>
      <c r="E47" s="33"/>
      <c r="F47" s="33"/>
      <c r="G47" s="33">
        <v>1</v>
      </c>
      <c r="H47" s="33">
        <v>1</v>
      </c>
      <c r="I47" s="33">
        <v>1</v>
      </c>
      <c r="J47" s="33"/>
      <c r="K47" s="33">
        <v>1</v>
      </c>
      <c r="L47" s="33"/>
      <c r="M47" s="33"/>
      <c r="N47" s="33">
        <f>SUM(KTandC[[#This Row],[Strategic coordination and direction setting]:[Other]])</f>
        <v>4</v>
      </c>
      <c r="O47" s="717" t="s">
        <v>2224</v>
      </c>
      <c r="P47" s="717" t="s">
        <v>2225</v>
      </c>
      <c r="Q47" s="717"/>
    </row>
    <row r="48" spans="1:17" ht="12.75" customHeight="1">
      <c r="A48" s="930" t="s">
        <v>2206</v>
      </c>
      <c r="B48" s="954" t="s">
        <v>2226</v>
      </c>
      <c r="C48" s="33"/>
      <c r="D48" s="33"/>
      <c r="E48" s="33"/>
      <c r="F48" s="33"/>
      <c r="G48" s="33"/>
      <c r="H48" s="33"/>
      <c r="I48" s="33"/>
      <c r="J48" s="33">
        <v>1</v>
      </c>
      <c r="K48" s="33"/>
      <c r="L48" s="33"/>
      <c r="M48" s="33"/>
      <c r="N48" s="33">
        <f>SUM(KTandC[[#This Row],[Strategic coordination and direction setting]:[Other]])</f>
        <v>1</v>
      </c>
      <c r="O48" s="717" t="s">
        <v>2227</v>
      </c>
      <c r="P48" s="717" t="s">
        <v>2214</v>
      </c>
      <c r="Q48" s="950"/>
    </row>
    <row r="49" spans="1:17" ht="12.75" customHeight="1">
      <c r="A49" s="930" t="s">
        <v>2206</v>
      </c>
      <c r="B49" s="954" t="s">
        <v>2228</v>
      </c>
      <c r="C49" s="33"/>
      <c r="D49" s="33"/>
      <c r="E49" s="33"/>
      <c r="F49" s="33"/>
      <c r="G49" s="33"/>
      <c r="H49" s="33"/>
      <c r="I49" s="33"/>
      <c r="J49" s="33"/>
      <c r="K49" s="33"/>
      <c r="L49" s="33"/>
      <c r="M49" s="33">
        <v>1</v>
      </c>
      <c r="N49" s="33">
        <f>SUM(KTandC[[#This Row],[Strategic coordination and direction setting]:[Other]])</f>
        <v>1</v>
      </c>
      <c r="O49" s="717" t="s">
        <v>2229</v>
      </c>
      <c r="P49" s="717" t="s">
        <v>2214</v>
      </c>
      <c r="Q49" s="717" t="s">
        <v>2230</v>
      </c>
    </row>
    <row r="50" spans="1:17" ht="12.75" customHeight="1">
      <c r="A50" s="930" t="s">
        <v>2206</v>
      </c>
      <c r="B50" s="954" t="s">
        <v>2231</v>
      </c>
      <c r="C50" s="33"/>
      <c r="D50" s="33"/>
      <c r="E50" s="33"/>
      <c r="F50" s="33"/>
      <c r="G50" s="33">
        <v>1</v>
      </c>
      <c r="H50" s="33">
        <v>1</v>
      </c>
      <c r="I50" s="33">
        <v>1</v>
      </c>
      <c r="J50" s="33"/>
      <c r="K50" s="33">
        <v>1</v>
      </c>
      <c r="L50" s="33"/>
      <c r="M50" s="33"/>
      <c r="N50" s="33">
        <f>SUM(KTandC[[#This Row],[Strategic coordination and direction setting]:[Other]])</f>
        <v>4</v>
      </c>
      <c r="O50" s="717" t="s">
        <v>2232</v>
      </c>
      <c r="P50" s="717" t="s">
        <v>2214</v>
      </c>
      <c r="Q50" s="717"/>
    </row>
    <row r="51" spans="1:17" ht="12.75" customHeight="1">
      <c r="A51" s="930" t="s">
        <v>2206</v>
      </c>
      <c r="B51" s="954" t="s">
        <v>2233</v>
      </c>
      <c r="C51" s="33"/>
      <c r="D51" s="33"/>
      <c r="E51" s="33"/>
      <c r="F51" s="33">
        <v>1</v>
      </c>
      <c r="G51" s="33">
        <v>1</v>
      </c>
      <c r="H51" s="33">
        <v>1</v>
      </c>
      <c r="I51" s="33"/>
      <c r="J51" s="33"/>
      <c r="K51" s="33"/>
      <c r="L51" s="33"/>
      <c r="M51" s="33"/>
      <c r="N51" s="33">
        <f>SUM(KTandC[[#This Row],[Strategic coordination and direction setting]:[Other]])</f>
        <v>3</v>
      </c>
      <c r="O51" s="717" t="s">
        <v>2234</v>
      </c>
      <c r="P51" s="717" t="s">
        <v>2214</v>
      </c>
      <c r="Q51" s="717"/>
    </row>
    <row r="52" spans="1:17" ht="12.75" customHeight="1">
      <c r="A52" s="930" t="s">
        <v>2235</v>
      </c>
      <c r="B52" s="848" t="s">
        <v>567</v>
      </c>
      <c r="C52" s="33"/>
      <c r="D52" s="33"/>
      <c r="E52" s="33"/>
      <c r="F52" s="33"/>
      <c r="G52" s="33">
        <v>1</v>
      </c>
      <c r="H52" s="33">
        <v>1</v>
      </c>
      <c r="I52" s="33">
        <v>1</v>
      </c>
      <c r="J52" s="33">
        <v>1</v>
      </c>
      <c r="K52" s="33">
        <v>1</v>
      </c>
      <c r="L52" s="33"/>
      <c r="M52" s="33"/>
      <c r="N52" s="33">
        <f>SUM(KTandC[[#This Row],[Strategic coordination and direction setting]:[Other]])</f>
        <v>5</v>
      </c>
      <c r="O52" s="717" t="s">
        <v>2236</v>
      </c>
      <c r="P52" s="717" t="s">
        <v>2237</v>
      </c>
      <c r="Q52" s="717" t="s">
        <v>2238</v>
      </c>
    </row>
    <row r="53" spans="1:17" ht="12.75" customHeight="1">
      <c r="A53" s="930" t="s">
        <v>2235</v>
      </c>
      <c r="B53" s="954" t="s">
        <v>2239</v>
      </c>
      <c r="C53" s="33"/>
      <c r="D53" s="33"/>
      <c r="E53" s="33"/>
      <c r="F53" s="33"/>
      <c r="G53" s="33">
        <v>1</v>
      </c>
      <c r="H53" s="33">
        <v>1</v>
      </c>
      <c r="I53" s="33"/>
      <c r="J53" s="33"/>
      <c r="K53" s="33">
        <v>1</v>
      </c>
      <c r="L53" s="33"/>
      <c r="M53" s="33"/>
      <c r="N53" s="33">
        <f>SUM(KTandC[[#This Row],[Strategic coordination and direction setting]:[Other]])</f>
        <v>3</v>
      </c>
      <c r="O53" s="717" t="s">
        <v>2240</v>
      </c>
      <c r="P53" s="717" t="s">
        <v>2237</v>
      </c>
      <c r="Q53" s="717" t="s">
        <v>2238</v>
      </c>
    </row>
    <row r="54" spans="1:17" ht="12.75" customHeight="1">
      <c r="A54" s="930" t="s">
        <v>2241</v>
      </c>
      <c r="B54" s="954" t="s">
        <v>2242</v>
      </c>
      <c r="C54" s="33"/>
      <c r="D54" s="33"/>
      <c r="E54" s="33"/>
      <c r="F54" s="33"/>
      <c r="G54" s="33">
        <v>1</v>
      </c>
      <c r="H54" s="33">
        <v>1</v>
      </c>
      <c r="I54" s="33"/>
      <c r="J54" s="33"/>
      <c r="K54" s="33"/>
      <c r="L54" s="33"/>
      <c r="M54" s="33">
        <v>1</v>
      </c>
      <c r="N54" s="33">
        <f>SUM(KTandC[[#This Row],[Strategic coordination and direction setting]:[Other]])</f>
        <v>3</v>
      </c>
      <c r="O54" s="717" t="s">
        <v>2243</v>
      </c>
      <c r="P54" s="717" t="s">
        <v>2244</v>
      </c>
      <c r="Q54" s="717" t="s">
        <v>2245</v>
      </c>
    </row>
    <row r="55" spans="1:17" ht="12.75" customHeight="1">
      <c r="A55" s="930" t="s">
        <v>2241</v>
      </c>
      <c r="B55" s="954" t="s">
        <v>2246</v>
      </c>
      <c r="C55" s="33"/>
      <c r="D55" s="33"/>
      <c r="E55" s="33"/>
      <c r="F55" s="33"/>
      <c r="G55" s="33">
        <v>1</v>
      </c>
      <c r="H55" s="33"/>
      <c r="I55" s="33">
        <v>1</v>
      </c>
      <c r="J55" s="33"/>
      <c r="K55" s="33">
        <v>1</v>
      </c>
      <c r="L55" s="33"/>
      <c r="M55" s="33"/>
      <c r="N55" s="33">
        <f>SUM(KTandC[[#This Row],[Strategic coordination and direction setting]:[Other]])</f>
        <v>3</v>
      </c>
      <c r="O55" s="717" t="s">
        <v>2243</v>
      </c>
      <c r="P55" s="717" t="s">
        <v>2244</v>
      </c>
      <c r="Q55" s="717" t="s">
        <v>2245</v>
      </c>
    </row>
    <row r="56" spans="1:17" ht="12.75" customHeight="1">
      <c r="A56" s="930" t="s">
        <v>2241</v>
      </c>
      <c r="B56" s="954" t="s">
        <v>2247</v>
      </c>
      <c r="C56" s="33"/>
      <c r="D56" s="33"/>
      <c r="E56" s="33"/>
      <c r="F56" s="33"/>
      <c r="G56" s="33">
        <v>1</v>
      </c>
      <c r="H56" s="33"/>
      <c r="I56" s="33"/>
      <c r="J56" s="33"/>
      <c r="K56" s="33"/>
      <c r="L56" s="33"/>
      <c r="M56" s="33"/>
      <c r="N56" s="33">
        <f>SUM(KTandC[[#This Row],[Strategic coordination and direction setting]:[Other]])</f>
        <v>1</v>
      </c>
      <c r="O56" s="717" t="s">
        <v>2248</v>
      </c>
      <c r="P56" s="717" t="s">
        <v>2244</v>
      </c>
      <c r="Q56" s="717" t="s">
        <v>2245</v>
      </c>
    </row>
    <row r="57" spans="1:17" ht="12.75" customHeight="1">
      <c r="A57" s="930" t="s">
        <v>658</v>
      </c>
      <c r="B57" s="954" t="s">
        <v>659</v>
      </c>
      <c r="C57" s="33">
        <v>1</v>
      </c>
      <c r="D57" s="33">
        <v>1</v>
      </c>
      <c r="E57" s="33"/>
      <c r="F57" s="33">
        <v>1</v>
      </c>
      <c r="G57" s="33">
        <v>1</v>
      </c>
      <c r="H57" s="33">
        <v>1</v>
      </c>
      <c r="I57" s="33"/>
      <c r="J57" s="33"/>
      <c r="K57" s="33"/>
      <c r="L57" s="33"/>
      <c r="M57" s="33"/>
      <c r="N57" s="33">
        <f>SUM(KTandC[[#This Row],[Strategic coordination and direction setting]:[Other]])</f>
        <v>5</v>
      </c>
      <c r="O57" s="717" t="s">
        <v>2249</v>
      </c>
      <c r="P57" s="717" t="s">
        <v>1776</v>
      </c>
      <c r="Q57" s="717" t="s">
        <v>1776</v>
      </c>
    </row>
    <row r="58" spans="1:17" ht="12.75" customHeight="1">
      <c r="A58" s="930" t="s">
        <v>658</v>
      </c>
      <c r="B58" s="954" t="s">
        <v>2250</v>
      </c>
      <c r="C58" s="33"/>
      <c r="D58" s="33"/>
      <c r="E58" s="33"/>
      <c r="F58" s="33">
        <v>1</v>
      </c>
      <c r="G58" s="33">
        <v>1</v>
      </c>
      <c r="H58" s="33">
        <v>1</v>
      </c>
      <c r="I58" s="33"/>
      <c r="J58" s="33"/>
      <c r="K58" s="33"/>
      <c r="L58" s="33"/>
      <c r="M58" s="33"/>
      <c r="N58" s="33">
        <f>SUM(KTandC[[#This Row],[Strategic coordination and direction setting]:[Other]])</f>
        <v>3</v>
      </c>
      <c r="O58" s="717" t="s">
        <v>2251</v>
      </c>
      <c r="P58" s="717" t="s">
        <v>1776</v>
      </c>
      <c r="Q58" s="717" t="s">
        <v>1776</v>
      </c>
    </row>
    <row r="59" spans="1:17" ht="12.75" customHeight="1">
      <c r="A59" s="930" t="s">
        <v>658</v>
      </c>
      <c r="B59" s="954" t="s">
        <v>2252</v>
      </c>
      <c r="C59" s="33">
        <v>1</v>
      </c>
      <c r="D59" s="33">
        <v>1</v>
      </c>
      <c r="E59" s="33">
        <v>1</v>
      </c>
      <c r="F59" s="33">
        <v>1</v>
      </c>
      <c r="G59" s="33">
        <v>1</v>
      </c>
      <c r="H59" s="33">
        <v>1</v>
      </c>
      <c r="I59" s="33">
        <v>1</v>
      </c>
      <c r="J59" s="33">
        <v>1</v>
      </c>
      <c r="K59" s="33">
        <v>1</v>
      </c>
      <c r="L59" s="33">
        <v>1</v>
      </c>
      <c r="M59" s="33"/>
      <c r="N59" s="33">
        <f>SUM(KTandC[[#This Row],[Strategic coordination and direction setting]:[Other]])</f>
        <v>10</v>
      </c>
      <c r="O59" s="717" t="s">
        <v>2253</v>
      </c>
      <c r="P59" s="717"/>
      <c r="Q59" s="717"/>
    </row>
    <row r="60" spans="1:17" ht="12.75" customHeight="1">
      <c r="A60" s="930" t="s">
        <v>658</v>
      </c>
      <c r="B60" s="954" t="s">
        <v>730</v>
      </c>
      <c r="C60" s="33"/>
      <c r="D60" s="33"/>
      <c r="E60" s="33">
        <v>1</v>
      </c>
      <c r="F60" s="33">
        <v>1</v>
      </c>
      <c r="G60" s="33">
        <v>1</v>
      </c>
      <c r="H60" s="33">
        <v>1</v>
      </c>
      <c r="I60" s="33">
        <v>1</v>
      </c>
      <c r="J60" s="33"/>
      <c r="K60" s="33"/>
      <c r="L60" s="33"/>
      <c r="M60" s="33"/>
      <c r="N60" s="33">
        <f>SUM(KTandC[[#This Row],[Strategic coordination and direction setting]:[Other]])</f>
        <v>5</v>
      </c>
      <c r="O60" s="717" t="s">
        <v>2254</v>
      </c>
      <c r="P60" s="717"/>
      <c r="Q60" s="717"/>
    </row>
    <row r="61" spans="1:17" ht="12.75" customHeight="1">
      <c r="A61" s="930" t="s">
        <v>658</v>
      </c>
      <c r="B61" s="954" t="s">
        <v>2255</v>
      </c>
      <c r="C61" s="33">
        <v>1</v>
      </c>
      <c r="D61" s="33">
        <v>1</v>
      </c>
      <c r="E61" s="33">
        <v>1</v>
      </c>
      <c r="F61" s="33"/>
      <c r="G61" s="33">
        <v>1</v>
      </c>
      <c r="H61" s="33">
        <v>1</v>
      </c>
      <c r="I61" s="33">
        <v>1</v>
      </c>
      <c r="J61" s="33"/>
      <c r="K61" s="33">
        <v>1</v>
      </c>
      <c r="L61" s="33"/>
      <c r="M61" s="33"/>
      <c r="N61" s="33">
        <f>SUM(KTandC[[#This Row],[Strategic coordination and direction setting]:[Other]])</f>
        <v>7</v>
      </c>
      <c r="O61" s="35" t="s">
        <v>2256</v>
      </c>
      <c r="P61" s="716" t="s">
        <v>1776</v>
      </c>
      <c r="Q61" s="718" t="s">
        <v>2257</v>
      </c>
    </row>
    <row r="62" spans="1:17" ht="12.75" customHeight="1">
      <c r="A62" s="930" t="s">
        <v>658</v>
      </c>
      <c r="B62" s="954" t="s">
        <v>784</v>
      </c>
      <c r="C62" s="33"/>
      <c r="D62" s="33"/>
      <c r="E62" s="33"/>
      <c r="F62" s="33"/>
      <c r="G62" s="33">
        <v>1</v>
      </c>
      <c r="H62" s="33"/>
      <c r="I62" s="33"/>
      <c r="J62" s="33"/>
      <c r="K62" s="33"/>
      <c r="L62" s="33"/>
      <c r="M62" s="33">
        <v>1</v>
      </c>
      <c r="N62" s="33">
        <f>SUM(KTandC[[#This Row],[Strategic coordination and direction setting]:[Other]])</f>
        <v>2</v>
      </c>
      <c r="O62" s="35" t="s">
        <v>2258</v>
      </c>
      <c r="P62" s="717" t="s">
        <v>1776</v>
      </c>
      <c r="Q62" s="717" t="s">
        <v>1776</v>
      </c>
    </row>
    <row r="63" spans="1:17" ht="12.75" customHeight="1">
      <c r="A63" s="930" t="s">
        <v>658</v>
      </c>
      <c r="B63" s="954" t="s">
        <v>788</v>
      </c>
      <c r="C63" s="33"/>
      <c r="D63" s="33"/>
      <c r="E63" s="33"/>
      <c r="F63" s="33">
        <v>1</v>
      </c>
      <c r="G63" s="33">
        <v>1</v>
      </c>
      <c r="H63" s="33"/>
      <c r="I63" s="33"/>
      <c r="J63" s="33"/>
      <c r="K63" s="33"/>
      <c r="L63" s="33"/>
      <c r="M63" s="33"/>
      <c r="N63" s="33">
        <f>SUM(KTandC[[#This Row],[Strategic coordination and direction setting]:[Other]])</f>
        <v>2</v>
      </c>
      <c r="O63" s="35" t="s">
        <v>2259</v>
      </c>
      <c r="P63" s="717" t="s">
        <v>1776</v>
      </c>
      <c r="Q63" s="717" t="s">
        <v>1776</v>
      </c>
    </row>
    <row r="64" spans="1:17" ht="12.75" customHeight="1">
      <c r="A64" s="930" t="s">
        <v>658</v>
      </c>
      <c r="B64" s="954" t="s">
        <v>799</v>
      </c>
      <c r="C64" s="33"/>
      <c r="D64" s="33"/>
      <c r="E64" s="33"/>
      <c r="F64" s="33">
        <v>1</v>
      </c>
      <c r="G64" s="33">
        <v>1</v>
      </c>
      <c r="H64" s="33">
        <v>1</v>
      </c>
      <c r="I64" s="33">
        <v>1</v>
      </c>
      <c r="J64" s="33"/>
      <c r="K64" s="33"/>
      <c r="L64" s="33"/>
      <c r="M64" s="33"/>
      <c r="N64" s="33">
        <f>SUM(KTandC[[#This Row],[Strategic coordination and direction setting]:[Other]])</f>
        <v>4</v>
      </c>
      <c r="O64" s="35" t="s">
        <v>2260</v>
      </c>
      <c r="P64" s="717"/>
      <c r="Q64" s="717"/>
    </row>
    <row r="65" spans="1:17" ht="12.75" customHeight="1">
      <c r="A65" s="930" t="s">
        <v>658</v>
      </c>
      <c r="B65" s="954" t="s">
        <v>816</v>
      </c>
      <c r="C65" s="33">
        <v>1</v>
      </c>
      <c r="D65" s="33">
        <v>1</v>
      </c>
      <c r="E65" s="33">
        <v>1</v>
      </c>
      <c r="F65" s="33">
        <v>1</v>
      </c>
      <c r="G65" s="33">
        <v>1</v>
      </c>
      <c r="H65" s="33">
        <v>1</v>
      </c>
      <c r="I65" s="33">
        <v>1</v>
      </c>
      <c r="J65" s="33">
        <v>1</v>
      </c>
      <c r="K65" s="33">
        <v>1</v>
      </c>
      <c r="L65" s="33">
        <v>1</v>
      </c>
      <c r="M65" s="33"/>
      <c r="N65" s="33">
        <f>SUM(KTandC[[#This Row],[Strategic coordination and direction setting]:[Other]])</f>
        <v>10</v>
      </c>
      <c r="O65" s="35" t="s">
        <v>2261</v>
      </c>
      <c r="P65" s="717"/>
      <c r="Q65" s="717"/>
    </row>
    <row r="66" spans="1:17" ht="12.75" customHeight="1">
      <c r="A66" s="930" t="s">
        <v>1798</v>
      </c>
      <c r="B66" s="954" t="s">
        <v>1799</v>
      </c>
      <c r="C66" s="33"/>
      <c r="D66" s="33"/>
      <c r="E66" s="33"/>
      <c r="F66" s="33"/>
      <c r="G66" s="33"/>
      <c r="H66" s="33">
        <v>1</v>
      </c>
      <c r="I66" s="33">
        <v>1</v>
      </c>
      <c r="J66" s="33"/>
      <c r="K66" s="33">
        <v>1</v>
      </c>
      <c r="L66" s="33"/>
      <c r="M66" s="33"/>
      <c r="N66" s="33">
        <f>SUM(KTandC[[#This Row],[Strategic coordination and direction setting]:[Other]])</f>
        <v>3</v>
      </c>
      <c r="O66" s="35" t="s">
        <v>2262</v>
      </c>
      <c r="P66" s="717" t="s">
        <v>1776</v>
      </c>
      <c r="Q66" s="717" t="s">
        <v>1776</v>
      </c>
    </row>
    <row r="67" spans="1:17" ht="12.75" customHeight="1">
      <c r="A67" s="930" t="s">
        <v>1215</v>
      </c>
      <c r="B67" s="954" t="s">
        <v>2263</v>
      </c>
      <c r="C67" s="33">
        <v>1</v>
      </c>
      <c r="D67" s="33"/>
      <c r="E67" s="33"/>
      <c r="F67" s="33"/>
      <c r="G67" s="33"/>
      <c r="H67" s="33"/>
      <c r="I67" s="33">
        <v>1</v>
      </c>
      <c r="J67" s="33"/>
      <c r="K67" s="33"/>
      <c r="L67" s="33"/>
      <c r="M67" s="33"/>
      <c r="N67" s="33">
        <f>SUM(KTandC[[#This Row],[Strategic coordination and direction setting]:[Other]])</f>
        <v>2</v>
      </c>
      <c r="O67" s="35" t="s">
        <v>2264</v>
      </c>
      <c r="P67" s="717" t="s">
        <v>2265</v>
      </c>
      <c r="Q67" s="717" t="s">
        <v>2266</v>
      </c>
    </row>
    <row r="68" spans="1:17" ht="12.75" customHeight="1">
      <c r="A68" s="930" t="s">
        <v>1215</v>
      </c>
      <c r="B68" s="958" t="s">
        <v>2267</v>
      </c>
      <c r="C68" s="33">
        <v>1</v>
      </c>
      <c r="D68" s="33"/>
      <c r="E68" s="33"/>
      <c r="F68" s="33"/>
      <c r="G68" s="33"/>
      <c r="H68" s="33"/>
      <c r="I68" s="33">
        <v>1</v>
      </c>
      <c r="J68" s="33">
        <v>1</v>
      </c>
      <c r="K68" s="33">
        <v>1</v>
      </c>
      <c r="L68" s="33"/>
      <c r="M68" s="33"/>
      <c r="N68" s="33">
        <f>SUM(KTandC[[#This Row],[Strategic coordination and direction setting]:[Other]])</f>
        <v>4</v>
      </c>
      <c r="O68" s="717" t="s">
        <v>2268</v>
      </c>
      <c r="P68" s="717" t="s">
        <v>2265</v>
      </c>
      <c r="Q68" s="717" t="s">
        <v>2266</v>
      </c>
    </row>
    <row r="69" spans="1:17" ht="12.75" customHeight="1">
      <c r="A69" s="930" t="s">
        <v>1215</v>
      </c>
      <c r="B69" s="958" t="s">
        <v>2269</v>
      </c>
      <c r="C69" s="33">
        <v>1</v>
      </c>
      <c r="D69" s="33"/>
      <c r="E69" s="33">
        <v>1</v>
      </c>
      <c r="F69" s="33">
        <v>1</v>
      </c>
      <c r="G69" s="33"/>
      <c r="H69" s="33"/>
      <c r="I69" s="33">
        <v>1</v>
      </c>
      <c r="J69" s="33">
        <v>1</v>
      </c>
      <c r="K69" s="33">
        <v>1</v>
      </c>
      <c r="L69" s="33">
        <v>1</v>
      </c>
      <c r="M69" s="33"/>
      <c r="N69" s="33">
        <f>SUM(KTandC[[#This Row],[Strategic coordination and direction setting]:[Other]])</f>
        <v>7</v>
      </c>
      <c r="O69" s="717" t="s">
        <v>2270</v>
      </c>
      <c r="P69" s="717" t="s">
        <v>2265</v>
      </c>
      <c r="Q69" s="717"/>
    </row>
    <row r="70" spans="1:17" ht="12.75" customHeight="1">
      <c r="A70" s="930" t="s">
        <v>1215</v>
      </c>
      <c r="B70" s="954" t="s">
        <v>2271</v>
      </c>
      <c r="C70" s="33">
        <v>1</v>
      </c>
      <c r="D70" s="33"/>
      <c r="E70" s="33"/>
      <c r="F70" s="33"/>
      <c r="G70" s="33"/>
      <c r="H70" s="33"/>
      <c r="I70" s="33">
        <v>1</v>
      </c>
      <c r="J70" s="33"/>
      <c r="K70" s="33"/>
      <c r="L70" s="33"/>
      <c r="M70" s="33"/>
      <c r="N70" s="33">
        <f>SUM(KTandC[[#This Row],[Strategic coordination and direction setting]:[Other]])</f>
        <v>2</v>
      </c>
      <c r="O70" s="35" t="s">
        <v>2272</v>
      </c>
      <c r="P70" s="717" t="s">
        <v>2265</v>
      </c>
      <c r="Q70" s="717" t="s">
        <v>1776</v>
      </c>
    </row>
    <row r="71" spans="1:17" ht="12.75" customHeight="1">
      <c r="A71" s="930" t="s">
        <v>1215</v>
      </c>
      <c r="B71" s="954" t="s">
        <v>2273</v>
      </c>
      <c r="C71" s="33">
        <v>1</v>
      </c>
      <c r="D71" s="33"/>
      <c r="E71" s="33"/>
      <c r="F71" s="33"/>
      <c r="G71" s="33"/>
      <c r="H71" s="33"/>
      <c r="I71" s="33">
        <v>1</v>
      </c>
      <c r="J71" s="33">
        <v>1</v>
      </c>
      <c r="K71" s="33">
        <v>1</v>
      </c>
      <c r="L71" s="33">
        <v>1</v>
      </c>
      <c r="M71" s="33"/>
      <c r="N71" s="33">
        <f>SUM(KTandC[[#This Row],[Strategic coordination and direction setting]:[Other]])</f>
        <v>5</v>
      </c>
      <c r="O71" s="35" t="s">
        <v>2274</v>
      </c>
      <c r="P71" s="717" t="s">
        <v>2265</v>
      </c>
      <c r="Q71" s="717" t="s">
        <v>1776</v>
      </c>
    </row>
    <row r="72" spans="1:17" ht="12.75" customHeight="1">
      <c r="A72" s="930" t="s">
        <v>1215</v>
      </c>
      <c r="B72" s="954" t="s">
        <v>2275</v>
      </c>
      <c r="C72" s="33">
        <v>1</v>
      </c>
      <c r="D72" s="33"/>
      <c r="E72" s="33"/>
      <c r="F72" s="33"/>
      <c r="G72" s="33"/>
      <c r="H72" s="33"/>
      <c r="I72" s="33">
        <v>1</v>
      </c>
      <c r="J72" s="33">
        <v>1</v>
      </c>
      <c r="K72" s="33">
        <v>1</v>
      </c>
      <c r="L72" s="33">
        <v>1</v>
      </c>
      <c r="M72" s="33"/>
      <c r="N72" s="33">
        <f>SUM(KTandC[[#This Row],[Strategic coordination and direction setting]:[Other]])</f>
        <v>5</v>
      </c>
      <c r="O72" s="35" t="s">
        <v>2276</v>
      </c>
      <c r="P72" s="717" t="s">
        <v>2265</v>
      </c>
      <c r="Q72" s="717" t="s">
        <v>2266</v>
      </c>
    </row>
    <row r="73" spans="1:17" ht="12.75" customHeight="1">
      <c r="A73" s="930" t="s">
        <v>1215</v>
      </c>
      <c r="B73" s="958" t="s">
        <v>2277</v>
      </c>
      <c r="C73" s="33">
        <v>1</v>
      </c>
      <c r="D73" s="33"/>
      <c r="E73" s="33"/>
      <c r="F73" s="33"/>
      <c r="G73" s="33"/>
      <c r="H73" s="33"/>
      <c r="I73" s="33">
        <v>1</v>
      </c>
      <c r="J73" s="33">
        <v>1</v>
      </c>
      <c r="K73" s="33">
        <v>1</v>
      </c>
      <c r="L73" s="33"/>
      <c r="M73" s="33"/>
      <c r="N73" s="33">
        <f>SUM(KTandC[[#This Row],[Strategic coordination and direction setting]:[Other]])</f>
        <v>4</v>
      </c>
      <c r="O73" s="717" t="s">
        <v>2278</v>
      </c>
      <c r="P73" s="717" t="s">
        <v>2265</v>
      </c>
      <c r="Q73" s="717"/>
    </row>
    <row r="74" spans="1:17" ht="12.75" customHeight="1">
      <c r="A74" s="930" t="s">
        <v>1215</v>
      </c>
      <c r="B74" s="954" t="s">
        <v>2279</v>
      </c>
      <c r="C74" s="33">
        <v>1</v>
      </c>
      <c r="D74" s="33"/>
      <c r="E74" s="33"/>
      <c r="F74" s="33"/>
      <c r="G74" s="33"/>
      <c r="H74" s="33"/>
      <c r="I74" s="33">
        <v>1</v>
      </c>
      <c r="J74" s="33">
        <v>1</v>
      </c>
      <c r="K74" s="33">
        <v>1</v>
      </c>
      <c r="L74" s="33"/>
      <c r="M74" s="33"/>
      <c r="N74" s="33">
        <f>SUM(KTandC[[#This Row],[Strategic coordination and direction setting]:[Other]])</f>
        <v>4</v>
      </c>
      <c r="O74" s="717" t="s">
        <v>2280</v>
      </c>
      <c r="P74" s="717" t="s">
        <v>2265</v>
      </c>
      <c r="Q74" s="717"/>
    </row>
    <row r="75" spans="1:17" ht="12.75" customHeight="1">
      <c r="A75" s="930" t="s">
        <v>1215</v>
      </c>
      <c r="B75" s="954" t="s">
        <v>2281</v>
      </c>
      <c r="C75" s="33">
        <v>1</v>
      </c>
      <c r="D75" s="33"/>
      <c r="E75" s="33"/>
      <c r="F75" s="33"/>
      <c r="G75" s="33"/>
      <c r="H75" s="33"/>
      <c r="I75" s="33">
        <v>1</v>
      </c>
      <c r="J75" s="33">
        <v>1</v>
      </c>
      <c r="K75" s="33">
        <v>1</v>
      </c>
      <c r="L75" s="33"/>
      <c r="M75" s="33"/>
      <c r="N75" s="33">
        <f>SUM(KTandC[[#This Row],[Strategic coordination and direction setting]:[Other]])</f>
        <v>4</v>
      </c>
      <c r="O75" s="717" t="s">
        <v>2282</v>
      </c>
      <c r="P75" s="717" t="s">
        <v>2265</v>
      </c>
      <c r="Q75" s="717" t="s">
        <v>2266</v>
      </c>
    </row>
    <row r="76" spans="1:17" ht="12.75" customHeight="1">
      <c r="A76" s="930" t="s">
        <v>1215</v>
      </c>
      <c r="B76" s="954" t="s">
        <v>2283</v>
      </c>
      <c r="C76" s="33">
        <v>1</v>
      </c>
      <c r="D76" s="33"/>
      <c r="E76" s="33"/>
      <c r="F76" s="33"/>
      <c r="G76" s="33"/>
      <c r="H76" s="33"/>
      <c r="I76" s="33">
        <v>1</v>
      </c>
      <c r="J76" s="33">
        <v>1</v>
      </c>
      <c r="K76" s="33">
        <v>1</v>
      </c>
      <c r="L76" s="33">
        <v>1</v>
      </c>
      <c r="M76" s="33"/>
      <c r="N76" s="33">
        <f>SUM(KTandC[[#This Row],[Strategic coordination and direction setting]:[Other]])</f>
        <v>5</v>
      </c>
      <c r="O76" s="717" t="s">
        <v>2284</v>
      </c>
      <c r="P76" s="717" t="s">
        <v>2265</v>
      </c>
      <c r="Q76" s="717" t="s">
        <v>2266</v>
      </c>
    </row>
    <row r="77" spans="1:17" ht="12.75" customHeight="1">
      <c r="A77" s="930" t="s">
        <v>1215</v>
      </c>
      <c r="B77" s="958" t="s">
        <v>2285</v>
      </c>
      <c r="C77" s="33">
        <v>1</v>
      </c>
      <c r="D77" s="33"/>
      <c r="E77" s="33">
        <v>1</v>
      </c>
      <c r="F77" s="33">
        <v>1</v>
      </c>
      <c r="G77" s="33"/>
      <c r="H77" s="33"/>
      <c r="I77" s="33">
        <v>1</v>
      </c>
      <c r="J77" s="33">
        <v>1</v>
      </c>
      <c r="K77" s="33">
        <v>1</v>
      </c>
      <c r="L77" s="33">
        <v>1</v>
      </c>
      <c r="M77" s="33"/>
      <c r="N77" s="33">
        <f>SUM(KTandC[[#This Row],[Strategic coordination and direction setting]:[Other]])</f>
        <v>7</v>
      </c>
      <c r="O77" s="717" t="s">
        <v>2286</v>
      </c>
      <c r="P77" s="717" t="s">
        <v>2265</v>
      </c>
      <c r="Q77" s="717"/>
    </row>
    <row r="78" spans="1:17" ht="12.75" customHeight="1">
      <c r="A78" s="930" t="s">
        <v>1215</v>
      </c>
      <c r="B78" s="954" t="s">
        <v>2287</v>
      </c>
      <c r="C78" s="33">
        <v>1</v>
      </c>
      <c r="D78" s="33"/>
      <c r="E78" s="33"/>
      <c r="F78" s="33"/>
      <c r="G78" s="33"/>
      <c r="H78" s="33"/>
      <c r="I78" s="33">
        <v>1</v>
      </c>
      <c r="J78" s="33">
        <v>1</v>
      </c>
      <c r="K78" s="33">
        <v>1</v>
      </c>
      <c r="L78" s="33"/>
      <c r="M78" s="33"/>
      <c r="N78" s="33">
        <f>SUM(KTandC[[#This Row],[Strategic coordination and direction setting]:[Other]])</f>
        <v>4</v>
      </c>
      <c r="O78" s="717" t="s">
        <v>2284</v>
      </c>
      <c r="P78" s="717" t="s">
        <v>2265</v>
      </c>
      <c r="Q78" s="717"/>
    </row>
    <row r="79" spans="1:17" ht="12.75" customHeight="1">
      <c r="A79" s="930" t="s">
        <v>1215</v>
      </c>
      <c r="B79" s="954" t="s">
        <v>2288</v>
      </c>
      <c r="C79" s="33">
        <v>1</v>
      </c>
      <c r="D79" s="33"/>
      <c r="E79" s="33"/>
      <c r="F79" s="33"/>
      <c r="G79" s="33"/>
      <c r="H79" s="33"/>
      <c r="I79" s="33">
        <v>1</v>
      </c>
      <c r="J79" s="33">
        <v>1</v>
      </c>
      <c r="K79" s="33">
        <v>1</v>
      </c>
      <c r="L79" s="33">
        <v>1</v>
      </c>
      <c r="M79" s="33"/>
      <c r="N79" s="33">
        <f>SUM(KTandC[[#This Row],[Strategic coordination and direction setting]:[Other]])</f>
        <v>5</v>
      </c>
      <c r="O79" s="717" t="s">
        <v>2289</v>
      </c>
      <c r="P79" s="717" t="s">
        <v>2265</v>
      </c>
      <c r="Q79" s="717"/>
    </row>
    <row r="80" spans="1:17" ht="12.75" customHeight="1">
      <c r="A80" s="930" t="s">
        <v>2290</v>
      </c>
      <c r="B80" s="954" t="s">
        <v>2291</v>
      </c>
      <c r="C80" s="33">
        <v>1</v>
      </c>
      <c r="D80" s="33"/>
      <c r="E80" s="33">
        <v>1</v>
      </c>
      <c r="F80" s="33">
        <v>1</v>
      </c>
      <c r="G80" s="33">
        <v>1</v>
      </c>
      <c r="H80" s="33">
        <v>1</v>
      </c>
      <c r="I80" s="33"/>
      <c r="J80" s="33"/>
      <c r="K80" s="33"/>
      <c r="L80" s="33"/>
      <c r="M80" s="33"/>
      <c r="N80" s="33">
        <f>SUM(KTandC[[#This Row],[Strategic coordination and direction setting]:[Other]])</f>
        <v>5</v>
      </c>
      <c r="O80" s="717" t="s">
        <v>1776</v>
      </c>
      <c r="P80" s="717" t="s">
        <v>1776</v>
      </c>
      <c r="Q80" s="717"/>
    </row>
    <row r="81" spans="1:17" ht="12.75" customHeight="1">
      <c r="A81" s="930" t="s">
        <v>2290</v>
      </c>
      <c r="B81" s="954" t="s">
        <v>2292</v>
      </c>
      <c r="C81" s="33">
        <v>1</v>
      </c>
      <c r="D81" s="33">
        <v>1</v>
      </c>
      <c r="E81" s="33">
        <v>1</v>
      </c>
      <c r="F81" s="33">
        <v>1</v>
      </c>
      <c r="G81" s="33">
        <v>1</v>
      </c>
      <c r="H81" s="33">
        <v>1</v>
      </c>
      <c r="I81" s="33"/>
      <c r="J81" s="33"/>
      <c r="K81" s="33"/>
      <c r="L81" s="33"/>
      <c r="M81" s="33"/>
      <c r="N81" s="33">
        <f>SUM(KTandC[[#This Row],[Strategic coordination and direction setting]:[Other]])</f>
        <v>6</v>
      </c>
      <c r="O81" s="717" t="s">
        <v>2293</v>
      </c>
      <c r="P81" s="717" t="s">
        <v>1776</v>
      </c>
      <c r="Q81" s="717" t="s">
        <v>2294</v>
      </c>
    </row>
    <row r="82" spans="1:17" ht="12.75" customHeight="1">
      <c r="A82" s="930" t="s">
        <v>832</v>
      </c>
      <c r="B82" s="954" t="s">
        <v>2295</v>
      </c>
      <c r="C82" s="33"/>
      <c r="D82" s="33"/>
      <c r="E82" s="33">
        <v>1</v>
      </c>
      <c r="F82" s="33">
        <v>1</v>
      </c>
      <c r="G82" s="33">
        <v>1</v>
      </c>
      <c r="H82" s="33">
        <v>1</v>
      </c>
      <c r="I82" s="33">
        <v>1</v>
      </c>
      <c r="J82" s="33"/>
      <c r="K82" s="33"/>
      <c r="L82" s="33"/>
      <c r="M82" s="33"/>
      <c r="N82" s="33">
        <f>SUM(KTandC[[#This Row],[Strategic coordination and direction setting]:[Other]])</f>
        <v>5</v>
      </c>
      <c r="O82" s="717" t="s">
        <v>2296</v>
      </c>
      <c r="P82" s="717" t="s">
        <v>1776</v>
      </c>
      <c r="Q82" s="717" t="s">
        <v>2297</v>
      </c>
    </row>
    <row r="83" spans="1:17" ht="12.75" customHeight="1">
      <c r="A83" s="930" t="s">
        <v>832</v>
      </c>
      <c r="B83" s="954" t="s">
        <v>2298</v>
      </c>
      <c r="C83" s="33">
        <v>1</v>
      </c>
      <c r="D83" s="33"/>
      <c r="E83" s="33">
        <v>1</v>
      </c>
      <c r="F83" s="33"/>
      <c r="G83" s="33"/>
      <c r="H83" s="33"/>
      <c r="I83" s="33">
        <v>1</v>
      </c>
      <c r="J83" s="33"/>
      <c r="K83" s="33"/>
      <c r="L83" s="33"/>
      <c r="M83" s="33"/>
      <c r="N83" s="33">
        <f>SUM(KTandC[[#This Row],[Strategic coordination and direction setting]:[Other]])</f>
        <v>3</v>
      </c>
      <c r="O83" s="717" t="s">
        <v>2299</v>
      </c>
      <c r="P83" s="717"/>
      <c r="Q83" s="717"/>
    </row>
    <row r="84" spans="1:17" ht="12.75" customHeight="1">
      <c r="A84" s="930" t="s">
        <v>832</v>
      </c>
      <c r="B84" s="954" t="s">
        <v>2300</v>
      </c>
      <c r="C84" s="33"/>
      <c r="D84" s="33"/>
      <c r="E84" s="33"/>
      <c r="F84" s="33"/>
      <c r="G84" s="33">
        <v>1</v>
      </c>
      <c r="H84" s="33">
        <v>1</v>
      </c>
      <c r="I84" s="33">
        <v>1</v>
      </c>
      <c r="J84" s="33"/>
      <c r="K84" s="33">
        <v>1</v>
      </c>
      <c r="L84" s="33"/>
      <c r="M84" s="33"/>
      <c r="N84" s="33">
        <f>SUM(KTandC[[#This Row],[Strategic coordination and direction setting]:[Other]])</f>
        <v>4</v>
      </c>
      <c r="O84" s="717" t="s">
        <v>2301</v>
      </c>
      <c r="P84" s="717" t="s">
        <v>1776</v>
      </c>
      <c r="Q84" s="717" t="s">
        <v>2302</v>
      </c>
    </row>
    <row r="85" spans="1:17" ht="12.75" customHeight="1">
      <c r="A85" s="930" t="s">
        <v>832</v>
      </c>
      <c r="B85" s="954" t="s">
        <v>980</v>
      </c>
      <c r="C85" s="33">
        <v>1</v>
      </c>
      <c r="D85" s="33"/>
      <c r="E85" s="33">
        <v>1</v>
      </c>
      <c r="F85" s="33"/>
      <c r="G85" s="33">
        <v>1</v>
      </c>
      <c r="H85" s="33">
        <v>1</v>
      </c>
      <c r="I85" s="33">
        <v>1</v>
      </c>
      <c r="J85" s="33">
        <v>1</v>
      </c>
      <c r="K85" s="33">
        <v>1</v>
      </c>
      <c r="L85" s="33"/>
      <c r="M85" s="33"/>
      <c r="N85" s="33">
        <f>SUM(KTandC[[#This Row],[Strategic coordination and direction setting]:[Other]])</f>
        <v>7</v>
      </c>
      <c r="O85" s="717" t="s">
        <v>2303</v>
      </c>
      <c r="P85" s="717"/>
      <c r="Q85" s="717"/>
    </row>
    <row r="86" spans="1:17" ht="12.75" customHeight="1">
      <c r="A86" s="930" t="s">
        <v>832</v>
      </c>
      <c r="B86" s="954" t="s">
        <v>2304</v>
      </c>
      <c r="C86" s="33">
        <v>1</v>
      </c>
      <c r="D86" s="33"/>
      <c r="E86" s="33">
        <v>1</v>
      </c>
      <c r="F86" s="33"/>
      <c r="G86" s="33">
        <v>1</v>
      </c>
      <c r="H86" s="33">
        <v>1</v>
      </c>
      <c r="I86" s="33">
        <v>1</v>
      </c>
      <c r="J86" s="33">
        <v>1</v>
      </c>
      <c r="K86" s="33">
        <v>1</v>
      </c>
      <c r="L86" s="33"/>
      <c r="M86" s="33"/>
      <c r="N86" s="33">
        <f>SUM(KTandC[[#This Row],[Strategic coordination and direction setting]:[Other]])</f>
        <v>7</v>
      </c>
      <c r="O86" s="717" t="s">
        <v>2305</v>
      </c>
      <c r="P86" s="717" t="s">
        <v>1776</v>
      </c>
      <c r="Q86" s="717" t="s">
        <v>1776</v>
      </c>
    </row>
    <row r="87" spans="1:17" ht="12.75" customHeight="1">
      <c r="A87" s="930" t="s">
        <v>832</v>
      </c>
      <c r="B87" s="954" t="s">
        <v>2306</v>
      </c>
      <c r="C87" s="33">
        <v>1</v>
      </c>
      <c r="D87" s="33"/>
      <c r="E87" s="33"/>
      <c r="F87" s="33">
        <v>1</v>
      </c>
      <c r="G87" s="33">
        <v>1</v>
      </c>
      <c r="H87" s="33">
        <v>1</v>
      </c>
      <c r="I87" s="33"/>
      <c r="J87" s="33"/>
      <c r="K87" s="33"/>
      <c r="L87" s="33"/>
      <c r="M87" s="33"/>
      <c r="N87" s="33">
        <f>SUM(KTandC[[#This Row],[Strategic coordination and direction setting]:[Other]])</f>
        <v>4</v>
      </c>
      <c r="O87" s="717" t="s">
        <v>2307</v>
      </c>
      <c r="P87" s="717" t="s">
        <v>1776</v>
      </c>
      <c r="Q87" s="717" t="s">
        <v>2308</v>
      </c>
    </row>
    <row r="88" spans="1:17" ht="12.75" customHeight="1">
      <c r="A88" s="930" t="s">
        <v>832</v>
      </c>
      <c r="B88" s="954" t="s">
        <v>2306</v>
      </c>
      <c r="C88" s="33"/>
      <c r="D88" s="33">
        <v>1</v>
      </c>
      <c r="E88" s="33">
        <v>1</v>
      </c>
      <c r="F88" s="33"/>
      <c r="G88" s="33"/>
      <c r="H88" s="33"/>
      <c r="I88" s="33"/>
      <c r="J88" s="33"/>
      <c r="K88" s="33"/>
      <c r="L88" s="33"/>
      <c r="M88" s="33"/>
      <c r="N88" s="33">
        <f>SUM(KTandC[[#This Row],[Strategic coordination and direction setting]:[Other]])</f>
        <v>2</v>
      </c>
      <c r="O88" s="717" t="s">
        <v>2309</v>
      </c>
      <c r="P88" s="717" t="s">
        <v>1776</v>
      </c>
      <c r="Q88" s="717" t="s">
        <v>1776</v>
      </c>
    </row>
    <row r="89" spans="1:17" ht="12.75" customHeight="1">
      <c r="A89" s="930" t="s">
        <v>1095</v>
      </c>
      <c r="B89" s="954" t="s">
        <v>2310</v>
      </c>
      <c r="C89" s="33">
        <v>1</v>
      </c>
      <c r="D89" s="33"/>
      <c r="E89" s="33"/>
      <c r="F89" s="33">
        <v>1</v>
      </c>
      <c r="G89" s="33">
        <v>1</v>
      </c>
      <c r="H89" s="33"/>
      <c r="I89" s="33">
        <v>1</v>
      </c>
      <c r="J89" s="33"/>
      <c r="K89" s="33"/>
      <c r="L89" s="33"/>
      <c r="M89" s="33"/>
      <c r="N89" s="33">
        <f>SUM(KTandC[[#This Row],[Strategic coordination and direction setting]:[Other]])</f>
        <v>4</v>
      </c>
      <c r="O89" s="717" t="s">
        <v>2311</v>
      </c>
      <c r="P89" s="717" t="s">
        <v>2312</v>
      </c>
      <c r="Q89" s="717" t="s">
        <v>2313</v>
      </c>
    </row>
    <row r="90" spans="1:17" ht="12.75" customHeight="1">
      <c r="A90" s="959" t="s">
        <v>1119</v>
      </c>
      <c r="B90" s="955" t="s">
        <v>2314</v>
      </c>
      <c r="C90" s="33"/>
      <c r="D90" s="33"/>
      <c r="E90" s="33"/>
      <c r="F90" s="33"/>
      <c r="G90" s="33">
        <v>1</v>
      </c>
      <c r="H90" s="33">
        <v>1</v>
      </c>
      <c r="I90" s="33"/>
      <c r="J90" s="33"/>
      <c r="K90" s="33">
        <v>1</v>
      </c>
      <c r="L90" s="33"/>
      <c r="M90" s="33"/>
      <c r="N90" s="33">
        <f>SUM(KTandC[[#This Row],[Strategic coordination and direction setting]:[Other]])</f>
        <v>3</v>
      </c>
      <c r="O90" s="34" t="s">
        <v>2315</v>
      </c>
      <c r="P90" s="34" t="s">
        <v>1776</v>
      </c>
      <c r="Q90" s="34" t="s">
        <v>1776</v>
      </c>
    </row>
    <row r="91" spans="1:17" ht="12.75" customHeight="1">
      <c r="A91" s="959" t="s">
        <v>1119</v>
      </c>
      <c r="B91" s="955" t="s">
        <v>1129</v>
      </c>
      <c r="C91" s="33"/>
      <c r="D91" s="33">
        <v>1</v>
      </c>
      <c r="E91" s="33"/>
      <c r="F91" s="33"/>
      <c r="G91" s="33">
        <v>1</v>
      </c>
      <c r="H91" s="33">
        <v>1</v>
      </c>
      <c r="I91" s="33"/>
      <c r="J91" s="33"/>
      <c r="K91" s="33">
        <v>1</v>
      </c>
      <c r="L91" s="33"/>
      <c r="M91" s="33"/>
      <c r="N91" s="33">
        <f>SUM(KTandC[[#This Row],[Strategic coordination and direction setting]:[Other]])</f>
        <v>4</v>
      </c>
      <c r="O91" s="34" t="s">
        <v>2316</v>
      </c>
      <c r="P91" s="34" t="s">
        <v>1776</v>
      </c>
      <c r="Q91" s="34" t="s">
        <v>1776</v>
      </c>
    </row>
    <row r="92" spans="1:17" ht="12.75" customHeight="1">
      <c r="A92" s="930" t="s">
        <v>1119</v>
      </c>
      <c r="B92" s="954" t="s">
        <v>2317</v>
      </c>
      <c r="C92" s="33">
        <v>1</v>
      </c>
      <c r="D92" s="33"/>
      <c r="E92" s="33"/>
      <c r="F92" s="33"/>
      <c r="G92" s="33"/>
      <c r="H92" s="33"/>
      <c r="I92" s="33"/>
      <c r="J92" s="33"/>
      <c r="K92" s="33"/>
      <c r="L92" s="33"/>
      <c r="M92" s="33"/>
      <c r="N92" s="33">
        <f>SUM(KTandC[[#This Row],[Strategic coordination and direction setting]:[Other]])</f>
        <v>1</v>
      </c>
      <c r="O92" s="717" t="s">
        <v>2318</v>
      </c>
      <c r="P92" s="717"/>
      <c r="Q92" s="717"/>
    </row>
    <row r="93" spans="1:17" ht="12.75" customHeight="1">
      <c r="A93" s="930" t="s">
        <v>1119</v>
      </c>
      <c r="B93" s="954" t="s">
        <v>2319</v>
      </c>
      <c r="C93" s="33"/>
      <c r="D93" s="33"/>
      <c r="E93" s="33"/>
      <c r="F93" s="33">
        <v>1</v>
      </c>
      <c r="G93" s="33">
        <v>1</v>
      </c>
      <c r="H93" s="33"/>
      <c r="I93" s="33"/>
      <c r="J93" s="33"/>
      <c r="K93" s="33"/>
      <c r="L93" s="33"/>
      <c r="M93" s="33"/>
      <c r="N93" s="33">
        <f>SUM(KTandC[[#This Row],[Strategic coordination and direction setting]:[Other]])</f>
        <v>2</v>
      </c>
      <c r="O93" s="717" t="s">
        <v>1135</v>
      </c>
      <c r="P93" s="717" t="s">
        <v>1776</v>
      </c>
      <c r="Q93" s="717" t="s">
        <v>1776</v>
      </c>
    </row>
    <row r="94" spans="1:17" ht="12.75" customHeight="1">
      <c r="A94" s="930" t="s">
        <v>1119</v>
      </c>
      <c r="B94" s="954" t="s">
        <v>2320</v>
      </c>
      <c r="C94" s="33"/>
      <c r="D94" s="33"/>
      <c r="E94" s="33"/>
      <c r="F94" s="33">
        <v>1</v>
      </c>
      <c r="G94" s="33">
        <v>1</v>
      </c>
      <c r="H94" s="33">
        <v>1</v>
      </c>
      <c r="I94" s="33"/>
      <c r="J94" s="33"/>
      <c r="K94" s="33"/>
      <c r="L94" s="33"/>
      <c r="M94" s="33"/>
      <c r="N94" s="33">
        <f>SUM(KTandC[[#This Row],[Strategic coordination and direction setting]:[Other]])</f>
        <v>3</v>
      </c>
      <c r="O94" s="717" t="s">
        <v>2321</v>
      </c>
      <c r="P94" s="717" t="s">
        <v>2322</v>
      </c>
      <c r="Q94" s="717" t="s">
        <v>2323</v>
      </c>
    </row>
    <row r="95" spans="1:17" ht="12.75" customHeight="1">
      <c r="A95" s="930" t="s">
        <v>1119</v>
      </c>
      <c r="B95" s="954" t="s">
        <v>2324</v>
      </c>
      <c r="C95" s="33"/>
      <c r="D95" s="33"/>
      <c r="E95" s="33"/>
      <c r="F95" s="33">
        <v>1</v>
      </c>
      <c r="G95" s="33">
        <v>1</v>
      </c>
      <c r="H95" s="33">
        <v>1</v>
      </c>
      <c r="I95" s="33"/>
      <c r="J95" s="33"/>
      <c r="K95" s="33"/>
      <c r="L95" s="33"/>
      <c r="M95" s="33"/>
      <c r="N95" s="33">
        <f>SUM(KTandC[[#This Row],[Strategic coordination and direction setting]:[Other]])</f>
        <v>3</v>
      </c>
      <c r="O95" s="717" t="s">
        <v>2325</v>
      </c>
      <c r="P95" s="717" t="s">
        <v>2322</v>
      </c>
      <c r="Q95" s="717" t="s">
        <v>2323</v>
      </c>
    </row>
    <row r="96" spans="1:17" ht="12.75" customHeight="1">
      <c r="A96" s="930" t="s">
        <v>1119</v>
      </c>
      <c r="B96" s="954" t="s">
        <v>1881</v>
      </c>
      <c r="C96" s="33">
        <v>1</v>
      </c>
      <c r="D96" s="33"/>
      <c r="E96" s="33"/>
      <c r="F96" s="33"/>
      <c r="G96" s="33">
        <v>1</v>
      </c>
      <c r="H96" s="33">
        <v>1</v>
      </c>
      <c r="I96" s="33">
        <v>1</v>
      </c>
      <c r="J96" s="33">
        <v>1</v>
      </c>
      <c r="K96" s="33">
        <v>1</v>
      </c>
      <c r="L96" s="33">
        <v>1</v>
      </c>
      <c r="M96" s="33"/>
      <c r="N96" s="33">
        <f>SUM(KTandC[[#This Row],[Strategic coordination and direction setting]:[Other]])</f>
        <v>7</v>
      </c>
      <c r="O96" s="717" t="s">
        <v>2326</v>
      </c>
      <c r="P96" s="717"/>
      <c r="Q96" s="717"/>
    </row>
    <row r="97" spans="1:17" ht="12.75" customHeight="1">
      <c r="A97" s="930" t="s">
        <v>1119</v>
      </c>
      <c r="B97" s="954" t="s">
        <v>1883</v>
      </c>
      <c r="C97" s="33"/>
      <c r="D97" s="33"/>
      <c r="E97" s="33"/>
      <c r="F97" s="33">
        <v>1</v>
      </c>
      <c r="G97" s="33">
        <v>1</v>
      </c>
      <c r="H97" s="33"/>
      <c r="I97" s="33"/>
      <c r="J97" s="33"/>
      <c r="K97" s="33"/>
      <c r="L97" s="33"/>
      <c r="M97" s="33"/>
      <c r="N97" s="33">
        <f>SUM(KTandC[[#This Row],[Strategic coordination and direction setting]:[Other]])</f>
        <v>2</v>
      </c>
      <c r="O97" s="717"/>
      <c r="P97" s="717"/>
      <c r="Q97" s="717"/>
    </row>
    <row r="98" spans="1:17" ht="12.75" customHeight="1">
      <c r="A98" s="930" t="s">
        <v>1119</v>
      </c>
      <c r="B98" s="954" t="s">
        <v>2327</v>
      </c>
      <c r="C98" s="33"/>
      <c r="D98" s="33"/>
      <c r="E98" s="33"/>
      <c r="F98" s="33"/>
      <c r="G98" s="33"/>
      <c r="H98" s="33"/>
      <c r="I98" s="33">
        <v>1</v>
      </c>
      <c r="J98" s="33"/>
      <c r="K98" s="33">
        <v>1</v>
      </c>
      <c r="L98" s="33"/>
      <c r="M98" s="33"/>
      <c r="N98" s="33">
        <f>SUM(KTandC[[#This Row],[Strategic coordination and direction setting]:[Other]])</f>
        <v>2</v>
      </c>
      <c r="O98" s="717" t="s">
        <v>2328</v>
      </c>
      <c r="P98" s="717" t="s">
        <v>1776</v>
      </c>
      <c r="Q98" s="717" t="s">
        <v>1776</v>
      </c>
    </row>
    <row r="99" spans="1:17" ht="12.75" customHeight="1">
      <c r="A99" s="930" t="s">
        <v>1119</v>
      </c>
      <c r="B99" s="954" t="s">
        <v>1889</v>
      </c>
      <c r="C99" s="33"/>
      <c r="D99" s="33"/>
      <c r="E99" s="33"/>
      <c r="F99" s="33"/>
      <c r="G99" s="33"/>
      <c r="H99" s="33"/>
      <c r="I99" s="33">
        <v>1</v>
      </c>
      <c r="J99" s="33"/>
      <c r="K99" s="33"/>
      <c r="L99" s="33"/>
      <c r="M99" s="33"/>
      <c r="N99" s="33">
        <f>SUM(KTandC[[#This Row],[Strategic coordination and direction setting]:[Other]])</f>
        <v>1</v>
      </c>
      <c r="O99" s="717" t="s">
        <v>2329</v>
      </c>
      <c r="P99" s="717"/>
      <c r="Q99" s="717"/>
    </row>
    <row r="100" spans="1:17" ht="12.75" customHeight="1">
      <c r="A100" s="930" t="s">
        <v>1119</v>
      </c>
      <c r="B100" s="954" t="s">
        <v>1893</v>
      </c>
      <c r="C100" s="33"/>
      <c r="D100" s="33"/>
      <c r="E100" s="33"/>
      <c r="F100" s="33">
        <v>1</v>
      </c>
      <c r="G100" s="33"/>
      <c r="H100" s="33"/>
      <c r="I100" s="33"/>
      <c r="J100" s="33"/>
      <c r="K100" s="33"/>
      <c r="L100" s="33"/>
      <c r="M100" s="33"/>
      <c r="N100" s="33">
        <f>SUM(KTandC[[#This Row],[Strategic coordination and direction setting]:[Other]])</f>
        <v>1</v>
      </c>
      <c r="O100" s="717" t="s">
        <v>2330</v>
      </c>
      <c r="P100" s="717"/>
      <c r="Q100" s="717"/>
    </row>
    <row r="101" spans="1:17" ht="12.75" customHeight="1">
      <c r="A101" s="930" t="s">
        <v>1119</v>
      </c>
      <c r="B101" s="954" t="s">
        <v>1895</v>
      </c>
      <c r="C101" s="33"/>
      <c r="D101" s="33"/>
      <c r="E101" s="33"/>
      <c r="F101" s="33"/>
      <c r="G101" s="33"/>
      <c r="H101" s="33">
        <v>1</v>
      </c>
      <c r="I101" s="33">
        <v>1</v>
      </c>
      <c r="J101" s="33"/>
      <c r="K101" s="33">
        <v>1</v>
      </c>
      <c r="L101" s="33">
        <v>1</v>
      </c>
      <c r="M101" s="33"/>
      <c r="N101" s="33">
        <f>SUM(KTandC[[#This Row],[Strategic coordination and direction setting]:[Other]])</f>
        <v>4</v>
      </c>
      <c r="O101" s="717" t="s">
        <v>2262</v>
      </c>
      <c r="P101" s="717" t="s">
        <v>1776</v>
      </c>
      <c r="Q101" s="717" t="s">
        <v>1776</v>
      </c>
    </row>
    <row r="102" spans="1:17" ht="12.75" customHeight="1">
      <c r="A102" s="930" t="s">
        <v>1119</v>
      </c>
      <c r="B102" s="954" t="s">
        <v>1900</v>
      </c>
      <c r="C102" s="33"/>
      <c r="D102" s="33"/>
      <c r="E102" s="33"/>
      <c r="F102" s="33"/>
      <c r="G102" s="33"/>
      <c r="H102" s="33"/>
      <c r="I102" s="33">
        <v>1</v>
      </c>
      <c r="J102" s="33"/>
      <c r="K102" s="33">
        <v>1</v>
      </c>
      <c r="L102" s="33"/>
      <c r="M102" s="33"/>
      <c r="N102" s="33">
        <f>SUM(KTandC[[#This Row],[Strategic coordination and direction setting]:[Other]])</f>
        <v>2</v>
      </c>
      <c r="O102" s="717" t="s">
        <v>2331</v>
      </c>
      <c r="P102" s="717" t="s">
        <v>1776</v>
      </c>
      <c r="Q102" s="717" t="s">
        <v>1776</v>
      </c>
    </row>
    <row r="103" spans="1:17" ht="12.75" customHeight="1">
      <c r="A103" s="930" t="s">
        <v>1119</v>
      </c>
      <c r="B103" s="954" t="s">
        <v>1198</v>
      </c>
      <c r="C103" s="33"/>
      <c r="D103" s="33"/>
      <c r="E103" s="33"/>
      <c r="F103" s="33">
        <v>1</v>
      </c>
      <c r="G103" s="33">
        <v>1</v>
      </c>
      <c r="H103" s="33">
        <v>1</v>
      </c>
      <c r="I103" s="33">
        <v>1</v>
      </c>
      <c r="J103" s="33"/>
      <c r="K103" s="33"/>
      <c r="L103" s="33">
        <v>1</v>
      </c>
      <c r="M103" s="33">
        <v>1</v>
      </c>
      <c r="N103" s="33">
        <f>SUM(KTandC[[#This Row],[Strategic coordination and direction setting]:[Other]])</f>
        <v>6</v>
      </c>
      <c r="O103" s="717" t="s">
        <v>2332</v>
      </c>
      <c r="P103" s="717" t="s">
        <v>1776</v>
      </c>
      <c r="Q103" s="717" t="s">
        <v>2333</v>
      </c>
    </row>
    <row r="104" spans="1:17" ht="12.75" customHeight="1">
      <c r="A104" s="930" t="s">
        <v>1119</v>
      </c>
      <c r="B104" s="954" t="s">
        <v>1202</v>
      </c>
      <c r="C104" s="33">
        <v>1</v>
      </c>
      <c r="D104" s="33"/>
      <c r="E104" s="33"/>
      <c r="F104" s="33"/>
      <c r="G104" s="33">
        <v>1</v>
      </c>
      <c r="H104" s="33">
        <v>1</v>
      </c>
      <c r="I104" s="33">
        <v>1</v>
      </c>
      <c r="J104" s="33"/>
      <c r="K104" s="33">
        <v>1</v>
      </c>
      <c r="L104" s="33">
        <v>1</v>
      </c>
      <c r="M104" s="33"/>
      <c r="N104" s="33">
        <f>SUM(KTandC[[#This Row],[Strategic coordination and direction setting]:[Other]])</f>
        <v>6</v>
      </c>
      <c r="O104" s="717" t="s">
        <v>2334</v>
      </c>
      <c r="P104" s="717"/>
      <c r="Q104" s="717"/>
    </row>
    <row r="105" spans="1:17" ht="12.75" customHeight="1">
      <c r="A105" s="930" t="s">
        <v>1119</v>
      </c>
      <c r="B105" s="954" t="s">
        <v>2335</v>
      </c>
      <c r="C105" s="33">
        <v>1</v>
      </c>
      <c r="D105" s="33"/>
      <c r="E105" s="33"/>
      <c r="F105" s="33"/>
      <c r="G105" s="33">
        <v>1</v>
      </c>
      <c r="H105" s="33">
        <v>1</v>
      </c>
      <c r="I105" s="33"/>
      <c r="J105" s="33"/>
      <c r="K105" s="33"/>
      <c r="L105" s="33"/>
      <c r="M105" s="33"/>
      <c r="N105" s="33">
        <f>SUM(KTandC[[#This Row],[Strategic coordination and direction setting]:[Other]])</f>
        <v>3</v>
      </c>
      <c r="O105" s="717" t="s">
        <v>2336</v>
      </c>
      <c r="P105" s="717" t="s">
        <v>2337</v>
      </c>
      <c r="Q105" s="717" t="s">
        <v>1776</v>
      </c>
    </row>
    <row r="106" spans="1:17" ht="12.75" customHeight="1">
      <c r="A106" s="930" t="s">
        <v>1119</v>
      </c>
      <c r="B106" s="954" t="s">
        <v>2338</v>
      </c>
      <c r="C106" s="33"/>
      <c r="D106" s="33"/>
      <c r="E106" s="33"/>
      <c r="F106" s="33"/>
      <c r="G106" s="33"/>
      <c r="H106" s="33"/>
      <c r="I106" s="33">
        <v>1</v>
      </c>
      <c r="J106" s="33"/>
      <c r="K106" s="33">
        <v>1</v>
      </c>
      <c r="L106" s="33"/>
      <c r="M106" s="33"/>
      <c r="N106" s="33">
        <f>SUM(KTandC[[#This Row],[Strategic coordination and direction setting]:[Other]])</f>
        <v>2</v>
      </c>
      <c r="O106" s="717" t="s">
        <v>2328</v>
      </c>
      <c r="P106" s="717" t="s">
        <v>1776</v>
      </c>
      <c r="Q106" s="717" t="s">
        <v>1776</v>
      </c>
    </row>
    <row r="107" spans="1:17" ht="12.75" customHeight="1">
      <c r="A107" s="930" t="s">
        <v>1119</v>
      </c>
      <c r="B107" s="954" t="s">
        <v>2339</v>
      </c>
      <c r="C107" s="33"/>
      <c r="D107" s="33"/>
      <c r="E107" s="33"/>
      <c r="F107" s="33">
        <v>1</v>
      </c>
      <c r="G107" s="33">
        <v>1</v>
      </c>
      <c r="H107" s="33">
        <v>1</v>
      </c>
      <c r="I107" s="33"/>
      <c r="J107" s="33"/>
      <c r="K107" s="33"/>
      <c r="L107" s="33"/>
      <c r="M107" s="33"/>
      <c r="N107" s="33">
        <f>SUM(KTandC[[#This Row],[Strategic coordination and direction setting]:[Other]])</f>
        <v>3</v>
      </c>
      <c r="O107" s="717" t="s">
        <v>2340</v>
      </c>
      <c r="P107" s="717" t="s">
        <v>2341</v>
      </c>
      <c r="Q107" s="717" t="s">
        <v>2342</v>
      </c>
    </row>
    <row r="108" spans="1:17" ht="12.75" customHeight="1">
      <c r="A108" s="930" t="s">
        <v>1119</v>
      </c>
      <c r="B108" s="954" t="s">
        <v>2343</v>
      </c>
      <c r="C108" s="33"/>
      <c r="D108" s="33"/>
      <c r="E108" s="33"/>
      <c r="F108" s="33"/>
      <c r="G108" s="33">
        <v>1</v>
      </c>
      <c r="H108" s="33"/>
      <c r="I108" s="33">
        <v>1</v>
      </c>
      <c r="J108" s="33"/>
      <c r="K108" s="33">
        <v>1</v>
      </c>
      <c r="L108" s="33">
        <v>1</v>
      </c>
      <c r="M108" s="33"/>
      <c r="N108" s="33">
        <f>SUM(KTandC[[#This Row],[Strategic coordination and direction setting]:[Other]])</f>
        <v>4</v>
      </c>
      <c r="O108" s="717" t="s">
        <v>2344</v>
      </c>
      <c r="P108" s="717" t="s">
        <v>2345</v>
      </c>
      <c r="Q108" s="717"/>
    </row>
    <row r="109" spans="1:17" ht="12.75" customHeight="1">
      <c r="A109" s="930" t="s">
        <v>1119</v>
      </c>
      <c r="B109" s="954" t="s">
        <v>2346</v>
      </c>
      <c r="C109" s="33"/>
      <c r="D109" s="33"/>
      <c r="E109" s="33"/>
      <c r="F109" s="33"/>
      <c r="G109" s="33"/>
      <c r="H109" s="33"/>
      <c r="I109" s="33">
        <v>1</v>
      </c>
      <c r="J109" s="33"/>
      <c r="K109" s="33"/>
      <c r="L109" s="33">
        <v>1</v>
      </c>
      <c r="M109" s="33"/>
      <c r="N109" s="33">
        <f>SUM(KTandC[[#This Row],[Strategic coordination and direction setting]:[Other]])</f>
        <v>2</v>
      </c>
      <c r="O109" s="717" t="s">
        <v>2347</v>
      </c>
      <c r="P109" s="717" t="s">
        <v>2345</v>
      </c>
      <c r="Q109" s="717"/>
    </row>
    <row r="110" spans="1:17" ht="12.75" customHeight="1">
      <c r="A110" s="930" t="s">
        <v>1119</v>
      </c>
      <c r="B110" s="954" t="s">
        <v>2348</v>
      </c>
      <c r="C110" s="33"/>
      <c r="D110" s="33"/>
      <c r="E110" s="33"/>
      <c r="F110" s="33"/>
      <c r="G110" s="33"/>
      <c r="H110" s="33"/>
      <c r="I110" s="33">
        <v>1</v>
      </c>
      <c r="J110" s="33">
        <v>1</v>
      </c>
      <c r="K110" s="33">
        <v>1</v>
      </c>
      <c r="L110" s="33">
        <v>1</v>
      </c>
      <c r="M110" s="33"/>
      <c r="N110" s="33">
        <f>SUM(KTandC[[#This Row],[Strategic coordination and direction setting]:[Other]])</f>
        <v>4</v>
      </c>
      <c r="O110" s="717" t="s">
        <v>2349</v>
      </c>
      <c r="P110" s="717" t="s">
        <v>2345</v>
      </c>
      <c r="Q110" s="717"/>
    </row>
    <row r="111" spans="1:17" ht="12.75" customHeight="1">
      <c r="A111" s="930" t="s">
        <v>1119</v>
      </c>
      <c r="B111" s="954" t="s">
        <v>2350</v>
      </c>
      <c r="C111" s="33"/>
      <c r="D111" s="33"/>
      <c r="E111" s="33"/>
      <c r="F111" s="33"/>
      <c r="G111" s="33"/>
      <c r="H111" s="33">
        <v>1</v>
      </c>
      <c r="I111" s="33">
        <v>1</v>
      </c>
      <c r="J111" s="33"/>
      <c r="K111" s="33"/>
      <c r="L111" s="33"/>
      <c r="M111" s="33"/>
      <c r="N111" s="33">
        <f>SUM(KTandC[[#This Row],[Strategic coordination and direction setting]:[Other]])</f>
        <v>2</v>
      </c>
      <c r="O111" s="717" t="s">
        <v>2351</v>
      </c>
      <c r="P111" s="717" t="s">
        <v>2345</v>
      </c>
      <c r="Q111" s="717"/>
    </row>
    <row r="112" spans="1:17" ht="12.75" customHeight="1">
      <c r="A112" s="930" t="s">
        <v>1119</v>
      </c>
      <c r="B112" s="954" t="s">
        <v>2352</v>
      </c>
      <c r="C112" s="33">
        <v>1</v>
      </c>
      <c r="D112" s="33"/>
      <c r="E112" s="33">
        <v>1</v>
      </c>
      <c r="F112" s="33">
        <v>1</v>
      </c>
      <c r="G112" s="33">
        <v>1</v>
      </c>
      <c r="H112" s="33">
        <v>1</v>
      </c>
      <c r="I112" s="33"/>
      <c r="J112" s="33"/>
      <c r="K112" s="33"/>
      <c r="L112" s="33"/>
      <c r="M112" s="33"/>
      <c r="N112" s="33">
        <f>SUM(KTandC[[#This Row],[Strategic coordination and direction setting]:[Other]])</f>
        <v>5</v>
      </c>
      <c r="O112" s="717" t="s">
        <v>2353</v>
      </c>
      <c r="P112" s="717" t="s">
        <v>2322</v>
      </c>
      <c r="Q112" s="717" t="s">
        <v>2354</v>
      </c>
    </row>
    <row r="113" spans="1:17" ht="12.75" customHeight="1">
      <c r="A113" s="930" t="s">
        <v>1119</v>
      </c>
      <c r="B113" s="954" t="s">
        <v>1228</v>
      </c>
      <c r="C113" s="33"/>
      <c r="D113" s="33"/>
      <c r="E113" s="33">
        <v>1</v>
      </c>
      <c r="F113" s="33">
        <v>1</v>
      </c>
      <c r="G113" s="33">
        <v>1</v>
      </c>
      <c r="H113" s="33">
        <v>1</v>
      </c>
      <c r="I113" s="33">
        <v>1</v>
      </c>
      <c r="J113" s="33"/>
      <c r="K113" s="33"/>
      <c r="L113" s="33"/>
      <c r="M113" s="33"/>
      <c r="N113" s="33">
        <f>SUM(KTandC[[#This Row],[Strategic coordination and direction setting]:[Other]])</f>
        <v>5</v>
      </c>
      <c r="O113" s="717" t="s">
        <v>2355</v>
      </c>
      <c r="P113" s="717" t="s">
        <v>1776</v>
      </c>
      <c r="Q113" s="717" t="s">
        <v>2356</v>
      </c>
    </row>
    <row r="114" spans="1:17" ht="12.75" customHeight="1">
      <c r="A114" s="930" t="s">
        <v>1119</v>
      </c>
      <c r="B114" s="954" t="s">
        <v>2357</v>
      </c>
      <c r="C114" s="33">
        <v>1</v>
      </c>
      <c r="D114" s="33">
        <v>1</v>
      </c>
      <c r="E114" s="33">
        <v>1</v>
      </c>
      <c r="F114" s="33">
        <v>1</v>
      </c>
      <c r="G114" s="33">
        <v>1</v>
      </c>
      <c r="H114" s="33">
        <v>1</v>
      </c>
      <c r="I114" s="33">
        <v>1</v>
      </c>
      <c r="J114" s="33">
        <v>1</v>
      </c>
      <c r="K114" s="33">
        <v>1</v>
      </c>
      <c r="L114" s="33">
        <v>1</v>
      </c>
      <c r="M114" s="33"/>
      <c r="N114" s="33">
        <f>SUM(KTandC[[#This Row],[Strategic coordination and direction setting]:[Other]])</f>
        <v>10</v>
      </c>
      <c r="O114" s="717" t="s">
        <v>2358</v>
      </c>
      <c r="P114" s="717" t="s">
        <v>1776</v>
      </c>
      <c r="Q114" s="717" t="s">
        <v>2359</v>
      </c>
    </row>
    <row r="115" spans="1:17" ht="12.75" customHeight="1">
      <c r="A115" s="930" t="s">
        <v>1119</v>
      </c>
      <c r="B115" s="954" t="s">
        <v>1949</v>
      </c>
      <c r="C115" s="33"/>
      <c r="D115" s="33"/>
      <c r="E115" s="33"/>
      <c r="F115" s="33"/>
      <c r="G115" s="33"/>
      <c r="H115" s="33"/>
      <c r="I115" s="33">
        <v>1</v>
      </c>
      <c r="J115" s="33"/>
      <c r="K115" s="33">
        <v>1</v>
      </c>
      <c r="L115" s="33">
        <v>1</v>
      </c>
      <c r="M115" s="33"/>
      <c r="N115" s="33">
        <f>SUM(KTandC[[#This Row],[Strategic coordination and direction setting]:[Other]])</f>
        <v>3</v>
      </c>
      <c r="O115" s="717" t="s">
        <v>2360</v>
      </c>
      <c r="P115" s="717"/>
      <c r="Q115" s="717"/>
    </row>
    <row r="116" spans="1:17" ht="12.75" customHeight="1">
      <c r="A116" s="930" t="s">
        <v>1119</v>
      </c>
      <c r="B116" s="954" t="s">
        <v>2361</v>
      </c>
      <c r="C116" s="33">
        <v>1</v>
      </c>
      <c r="D116" s="33"/>
      <c r="E116" s="33"/>
      <c r="F116" s="33"/>
      <c r="G116" s="33"/>
      <c r="H116" s="33"/>
      <c r="I116" s="33"/>
      <c r="J116" s="33"/>
      <c r="K116" s="33"/>
      <c r="L116" s="33"/>
      <c r="M116" s="33"/>
      <c r="N116" s="33">
        <f>SUM(KTandC[[#This Row],[Strategic coordination and direction setting]:[Other]])</f>
        <v>1</v>
      </c>
      <c r="O116" s="717" t="s">
        <v>2362</v>
      </c>
      <c r="P116" s="717" t="s">
        <v>1776</v>
      </c>
      <c r="Q116" s="717" t="s">
        <v>1776</v>
      </c>
    </row>
    <row r="117" spans="1:17" ht="12.75" customHeight="1">
      <c r="A117" s="930" t="s">
        <v>1119</v>
      </c>
      <c r="B117" s="954" t="s">
        <v>1953</v>
      </c>
      <c r="C117" s="33"/>
      <c r="D117" s="33"/>
      <c r="E117" s="33"/>
      <c r="F117" s="33"/>
      <c r="G117" s="33"/>
      <c r="H117" s="33"/>
      <c r="I117" s="33">
        <v>1</v>
      </c>
      <c r="J117" s="33"/>
      <c r="K117" s="33">
        <v>1</v>
      </c>
      <c r="L117" s="33"/>
      <c r="M117" s="33"/>
      <c r="N117" s="33">
        <f>SUM(KTandC[[#This Row],[Strategic coordination and direction setting]:[Other]])</f>
        <v>2</v>
      </c>
      <c r="O117" s="717" t="s">
        <v>2363</v>
      </c>
      <c r="P117" s="717" t="s">
        <v>1776</v>
      </c>
      <c r="Q117" s="717" t="s">
        <v>1776</v>
      </c>
    </row>
    <row r="118" spans="1:17" ht="12.75" customHeight="1">
      <c r="A118" s="930" t="s">
        <v>1119</v>
      </c>
      <c r="B118" s="954" t="s">
        <v>1959</v>
      </c>
      <c r="C118" s="33">
        <v>1</v>
      </c>
      <c r="D118" s="33"/>
      <c r="E118" s="33"/>
      <c r="F118" s="33">
        <v>1</v>
      </c>
      <c r="G118" s="33"/>
      <c r="H118" s="33">
        <v>1</v>
      </c>
      <c r="I118" s="33"/>
      <c r="J118" s="33"/>
      <c r="K118" s="33"/>
      <c r="L118" s="33"/>
      <c r="M118" s="33">
        <v>1</v>
      </c>
      <c r="N118" s="33">
        <f>SUM(KTandC[[#This Row],[Strategic coordination and direction setting]:[Other]])</f>
        <v>4</v>
      </c>
      <c r="O118" s="717" t="s">
        <v>2364</v>
      </c>
      <c r="P118" s="717" t="s">
        <v>2365</v>
      </c>
      <c r="Q118" s="717" t="s">
        <v>2366</v>
      </c>
    </row>
    <row r="119" spans="1:17" ht="12.75" customHeight="1">
      <c r="A119" s="930" t="s">
        <v>1119</v>
      </c>
      <c r="B119" s="954" t="s">
        <v>2367</v>
      </c>
      <c r="C119" s="33">
        <v>1</v>
      </c>
      <c r="D119" s="33"/>
      <c r="E119" s="33"/>
      <c r="F119" s="33"/>
      <c r="G119" s="33">
        <v>1</v>
      </c>
      <c r="H119" s="33">
        <v>1</v>
      </c>
      <c r="I119" s="33"/>
      <c r="J119" s="33"/>
      <c r="K119" s="33"/>
      <c r="L119" s="33"/>
      <c r="M119" s="33"/>
      <c r="N119" s="33">
        <f>SUM(KTandC[[#This Row],[Strategic coordination and direction setting]:[Other]])</f>
        <v>3</v>
      </c>
      <c r="O119" s="717" t="s">
        <v>2368</v>
      </c>
      <c r="P119" s="717" t="s">
        <v>2369</v>
      </c>
      <c r="Q119" s="717" t="s">
        <v>2370</v>
      </c>
    </row>
    <row r="120" spans="1:17" ht="12.75" customHeight="1">
      <c r="A120" s="930" t="s">
        <v>1119</v>
      </c>
      <c r="B120" s="954" t="s">
        <v>2371</v>
      </c>
      <c r="C120" s="33">
        <v>1</v>
      </c>
      <c r="D120" s="33"/>
      <c r="E120" s="33">
        <v>1</v>
      </c>
      <c r="F120" s="33">
        <v>1</v>
      </c>
      <c r="G120" s="33">
        <v>1</v>
      </c>
      <c r="H120" s="33">
        <v>1</v>
      </c>
      <c r="I120" s="33">
        <v>1</v>
      </c>
      <c r="J120" s="33"/>
      <c r="K120" s="33">
        <v>1</v>
      </c>
      <c r="L120" s="33">
        <v>1</v>
      </c>
      <c r="M120" s="33">
        <v>1</v>
      </c>
      <c r="N120" s="33">
        <f>SUM(KTandC[[#This Row],[Strategic coordination and direction setting]:[Other]])</f>
        <v>9</v>
      </c>
      <c r="O120" s="717" t="s">
        <v>2372</v>
      </c>
      <c r="P120" s="717" t="s">
        <v>1776</v>
      </c>
      <c r="Q120" s="717" t="s">
        <v>1776</v>
      </c>
    </row>
    <row r="121" spans="1:17" ht="12.75" customHeight="1">
      <c r="A121" s="930" t="s">
        <v>1119</v>
      </c>
      <c r="B121" s="954" t="s">
        <v>2373</v>
      </c>
      <c r="C121" s="33">
        <v>1</v>
      </c>
      <c r="D121" s="33">
        <v>1</v>
      </c>
      <c r="E121" s="33">
        <v>1</v>
      </c>
      <c r="F121" s="33"/>
      <c r="G121" s="33">
        <v>1</v>
      </c>
      <c r="H121" s="33">
        <v>1</v>
      </c>
      <c r="I121" s="33">
        <v>1</v>
      </c>
      <c r="J121" s="33">
        <v>1</v>
      </c>
      <c r="K121" s="33">
        <v>1</v>
      </c>
      <c r="L121" s="33">
        <v>1</v>
      </c>
      <c r="M121" s="33"/>
      <c r="N121" s="33">
        <f>SUM(KTandC[[#This Row],[Strategic coordination and direction setting]:[Other]])</f>
        <v>9</v>
      </c>
      <c r="O121" s="717" t="s">
        <v>2374</v>
      </c>
      <c r="P121" s="717" t="s">
        <v>1776</v>
      </c>
      <c r="Q121" s="717" t="s">
        <v>1776</v>
      </c>
    </row>
    <row r="122" spans="1:17" ht="12.75" customHeight="1">
      <c r="A122" s="930" t="s">
        <v>1119</v>
      </c>
      <c r="B122" s="954" t="s">
        <v>2375</v>
      </c>
      <c r="C122" s="33"/>
      <c r="D122" s="33"/>
      <c r="E122" s="33"/>
      <c r="F122" s="33"/>
      <c r="G122" s="33"/>
      <c r="H122" s="33"/>
      <c r="I122" s="33">
        <v>1</v>
      </c>
      <c r="J122" s="33"/>
      <c r="K122" s="33">
        <v>1</v>
      </c>
      <c r="L122" s="33"/>
      <c r="M122" s="33"/>
      <c r="N122" s="33">
        <f>SUM(KTandC[[#This Row],[Strategic coordination and direction setting]:[Other]])</f>
        <v>2</v>
      </c>
      <c r="O122" s="717" t="s">
        <v>2376</v>
      </c>
      <c r="P122" s="717" t="s">
        <v>1776</v>
      </c>
      <c r="Q122" s="717" t="s">
        <v>1776</v>
      </c>
    </row>
    <row r="123" spans="1:17" ht="12.75" customHeight="1">
      <c r="A123" s="930" t="s">
        <v>1119</v>
      </c>
      <c r="B123" s="954" t="s">
        <v>2377</v>
      </c>
      <c r="C123" s="33">
        <v>1</v>
      </c>
      <c r="D123" s="33"/>
      <c r="E123" s="33"/>
      <c r="F123" s="33"/>
      <c r="G123" s="33">
        <v>1</v>
      </c>
      <c r="H123" s="33">
        <v>1</v>
      </c>
      <c r="I123" s="33">
        <v>1</v>
      </c>
      <c r="J123" s="33">
        <v>1</v>
      </c>
      <c r="K123" s="33">
        <v>1</v>
      </c>
      <c r="L123" s="33">
        <v>1</v>
      </c>
      <c r="M123" s="33"/>
      <c r="N123" s="33">
        <f>SUM(KTandC[[#This Row],[Strategic coordination and direction setting]:[Other]])</f>
        <v>7</v>
      </c>
      <c r="O123" s="717" t="s">
        <v>2378</v>
      </c>
      <c r="P123" s="717"/>
      <c r="Q123" s="717"/>
    </row>
    <row r="124" spans="1:17" ht="12.75" customHeight="1">
      <c r="A124" s="930" t="s">
        <v>1119</v>
      </c>
      <c r="B124" s="954" t="s">
        <v>2379</v>
      </c>
      <c r="C124" s="33">
        <v>1</v>
      </c>
      <c r="D124" s="33"/>
      <c r="E124" s="33"/>
      <c r="F124" s="33"/>
      <c r="G124" s="33"/>
      <c r="H124" s="33"/>
      <c r="I124" s="33"/>
      <c r="J124" s="33"/>
      <c r="K124" s="33"/>
      <c r="L124" s="33"/>
      <c r="M124" s="33"/>
      <c r="N124" s="33">
        <f>SUM(KTandC[[#This Row],[Strategic coordination and direction setting]:[Other]])</f>
        <v>1</v>
      </c>
      <c r="O124" s="717" t="s">
        <v>2380</v>
      </c>
      <c r="P124" s="717" t="s">
        <v>2369</v>
      </c>
      <c r="Q124" s="717" t="s">
        <v>2381</v>
      </c>
    </row>
    <row r="125" spans="1:17" ht="12.75" customHeight="1">
      <c r="A125" s="930" t="s">
        <v>1119</v>
      </c>
      <c r="B125" s="954" t="s">
        <v>2103</v>
      </c>
      <c r="C125" s="33"/>
      <c r="D125" s="33"/>
      <c r="E125" s="33"/>
      <c r="F125" s="33"/>
      <c r="G125" s="33"/>
      <c r="H125" s="33"/>
      <c r="I125" s="33">
        <v>1</v>
      </c>
      <c r="J125" s="33"/>
      <c r="K125" s="33">
        <v>1</v>
      </c>
      <c r="L125" s="33"/>
      <c r="M125" s="33"/>
      <c r="N125" s="33">
        <f>SUM(KTandC[[#This Row],[Strategic coordination and direction setting]:[Other]])</f>
        <v>2</v>
      </c>
      <c r="O125" s="717" t="s">
        <v>2328</v>
      </c>
      <c r="P125" s="717" t="s">
        <v>1776</v>
      </c>
      <c r="Q125" s="717" t="s">
        <v>1776</v>
      </c>
    </row>
    <row r="126" spans="1:17" ht="12.75" customHeight="1">
      <c r="A126" s="930" t="s">
        <v>1119</v>
      </c>
      <c r="B126" s="954" t="s">
        <v>2382</v>
      </c>
      <c r="C126" s="33"/>
      <c r="D126" s="33"/>
      <c r="E126" s="33"/>
      <c r="F126" s="33"/>
      <c r="G126" s="33"/>
      <c r="H126" s="33"/>
      <c r="I126" s="33">
        <v>1</v>
      </c>
      <c r="J126" s="33"/>
      <c r="K126" s="33"/>
      <c r="L126" s="33"/>
      <c r="M126" s="33"/>
      <c r="N126" s="33">
        <f>SUM(KTandC[[#This Row],[Strategic coordination and direction setting]:[Other]])</f>
        <v>1</v>
      </c>
      <c r="O126" s="717" t="s">
        <v>2383</v>
      </c>
      <c r="P126" s="717" t="s">
        <v>1776</v>
      </c>
      <c r="Q126" s="717" t="s">
        <v>1776</v>
      </c>
    </row>
    <row r="127" spans="1:17" ht="12.75" customHeight="1">
      <c r="A127" s="930" t="s">
        <v>1119</v>
      </c>
      <c r="B127" s="954" t="s">
        <v>2384</v>
      </c>
      <c r="C127" s="33"/>
      <c r="D127" s="33"/>
      <c r="E127" s="33"/>
      <c r="F127" s="33"/>
      <c r="G127" s="33"/>
      <c r="H127" s="33"/>
      <c r="I127" s="33">
        <v>1</v>
      </c>
      <c r="J127" s="33"/>
      <c r="K127" s="33"/>
      <c r="L127" s="33"/>
      <c r="M127" s="33"/>
      <c r="N127" s="33">
        <f>SUM(KTandC[[#This Row],[Strategic coordination and direction setting]:[Other]])</f>
        <v>1</v>
      </c>
      <c r="O127" s="717" t="s">
        <v>2328</v>
      </c>
      <c r="P127" s="717" t="s">
        <v>1776</v>
      </c>
      <c r="Q127" s="717" t="s">
        <v>1776</v>
      </c>
    </row>
    <row r="128" spans="1:17" ht="12.75" customHeight="1">
      <c r="A128" s="930" t="s">
        <v>1119</v>
      </c>
      <c r="B128" s="954" t="s">
        <v>2385</v>
      </c>
      <c r="C128" s="33"/>
      <c r="D128" s="33"/>
      <c r="E128" s="33"/>
      <c r="F128" s="33">
        <v>1</v>
      </c>
      <c r="G128" s="33"/>
      <c r="H128" s="33"/>
      <c r="I128" s="33"/>
      <c r="J128" s="33">
        <v>1</v>
      </c>
      <c r="K128" s="33">
        <v>1</v>
      </c>
      <c r="L128" s="33"/>
      <c r="M128" s="33"/>
      <c r="N128" s="33">
        <f>SUM(KTandC[[#This Row],[Strategic coordination and direction setting]:[Other]])</f>
        <v>3</v>
      </c>
      <c r="O128" s="717" t="s">
        <v>2386</v>
      </c>
      <c r="P128" s="717" t="s">
        <v>2369</v>
      </c>
      <c r="Q128" s="717" t="s">
        <v>1776</v>
      </c>
    </row>
    <row r="129" spans="1:17" ht="12.75" customHeight="1">
      <c r="A129" s="930" t="s">
        <v>1119</v>
      </c>
      <c r="B129" s="954" t="s">
        <v>2387</v>
      </c>
      <c r="C129" s="33">
        <v>1</v>
      </c>
      <c r="D129" s="33"/>
      <c r="E129" s="33"/>
      <c r="F129" s="33"/>
      <c r="G129" s="33"/>
      <c r="H129" s="33"/>
      <c r="I129" s="33"/>
      <c r="J129" s="33"/>
      <c r="K129" s="33"/>
      <c r="L129" s="33"/>
      <c r="M129" s="33"/>
      <c r="N129" s="33">
        <f>SUM(KTandC[[#This Row],[Strategic coordination and direction setting]:[Other]])</f>
        <v>1</v>
      </c>
      <c r="O129" s="717" t="s">
        <v>2388</v>
      </c>
      <c r="P129" s="717" t="s">
        <v>2337</v>
      </c>
      <c r="Q129" s="717" t="s">
        <v>2389</v>
      </c>
    </row>
    <row r="130" spans="1:17" ht="12.75" customHeight="1">
      <c r="A130" s="930" t="s">
        <v>1119</v>
      </c>
      <c r="B130" s="954" t="s">
        <v>2390</v>
      </c>
      <c r="C130" s="33">
        <v>1</v>
      </c>
      <c r="D130" s="33"/>
      <c r="E130" s="33"/>
      <c r="F130" s="33"/>
      <c r="G130" s="33">
        <v>1</v>
      </c>
      <c r="H130" s="33">
        <v>1</v>
      </c>
      <c r="I130" s="33"/>
      <c r="J130" s="33"/>
      <c r="K130" s="33"/>
      <c r="L130" s="33"/>
      <c r="M130" s="33"/>
      <c r="N130" s="33">
        <f>SUM(KTandC[[#This Row],[Strategic coordination and direction setting]:[Other]])</f>
        <v>3</v>
      </c>
      <c r="O130" s="717" t="s">
        <v>2336</v>
      </c>
      <c r="P130" s="717" t="s">
        <v>2337</v>
      </c>
      <c r="Q130" s="34" t="s">
        <v>2391</v>
      </c>
    </row>
    <row r="131" spans="1:17" ht="12.75" customHeight="1">
      <c r="A131" s="930" t="s">
        <v>962</v>
      </c>
      <c r="B131" s="954" t="s">
        <v>2392</v>
      </c>
      <c r="C131" s="33"/>
      <c r="D131" s="33"/>
      <c r="E131" s="33"/>
      <c r="F131" s="33"/>
      <c r="G131" s="33">
        <v>1</v>
      </c>
      <c r="H131" s="33"/>
      <c r="I131" s="33"/>
      <c r="J131" s="33"/>
      <c r="K131" s="33"/>
      <c r="L131" s="33"/>
      <c r="M131" s="33"/>
      <c r="N131" s="33">
        <f>SUM(KTandC[[#This Row],[Strategic coordination and direction setting]:[Other]])</f>
        <v>1</v>
      </c>
      <c r="O131" s="717" t="s">
        <v>2393</v>
      </c>
      <c r="P131" s="717" t="s">
        <v>1776</v>
      </c>
      <c r="Q131" s="717" t="s">
        <v>1776</v>
      </c>
    </row>
    <row r="132" spans="1:17" ht="12.75" customHeight="1">
      <c r="A132" s="930" t="s">
        <v>962</v>
      </c>
      <c r="B132" s="954" t="s">
        <v>2394</v>
      </c>
      <c r="C132" s="33"/>
      <c r="D132" s="33"/>
      <c r="E132" s="33"/>
      <c r="F132" s="33"/>
      <c r="G132" s="33">
        <v>1</v>
      </c>
      <c r="H132" s="33">
        <v>1</v>
      </c>
      <c r="I132" s="33">
        <v>1</v>
      </c>
      <c r="J132" s="33"/>
      <c r="K132" s="33"/>
      <c r="L132" s="33"/>
      <c r="M132" s="33">
        <v>1</v>
      </c>
      <c r="N132" s="33">
        <f>SUM(KTandC[[#This Row],[Strategic coordination and direction setting]:[Other]])</f>
        <v>4</v>
      </c>
      <c r="O132" s="717" t="s">
        <v>2395</v>
      </c>
      <c r="P132" s="717" t="s">
        <v>2396</v>
      </c>
      <c r="Q132" s="717" t="s">
        <v>238</v>
      </c>
    </row>
    <row r="133" spans="1:17" ht="12.75" customHeight="1">
      <c r="A133" s="930" t="s">
        <v>962</v>
      </c>
      <c r="B133" s="954" t="s">
        <v>2397</v>
      </c>
      <c r="C133" s="33"/>
      <c r="D133" s="33"/>
      <c r="E133" s="33"/>
      <c r="F133" s="33"/>
      <c r="G133" s="33">
        <v>1</v>
      </c>
      <c r="H133" s="33">
        <v>1</v>
      </c>
      <c r="I133" s="33"/>
      <c r="J133" s="33"/>
      <c r="K133" s="33"/>
      <c r="L133" s="33"/>
      <c r="M133" s="33"/>
      <c r="N133" s="33">
        <f>SUM(KTandC[[#This Row],[Strategic coordination and direction setting]:[Other]])</f>
        <v>2</v>
      </c>
      <c r="O133" s="717" t="s">
        <v>2398</v>
      </c>
      <c r="P133" s="717" t="s">
        <v>1776</v>
      </c>
      <c r="Q133" s="717" t="s">
        <v>1776</v>
      </c>
    </row>
    <row r="134" spans="1:17" ht="12.75" customHeight="1">
      <c r="A134" s="930" t="s">
        <v>962</v>
      </c>
      <c r="B134" s="954" t="s">
        <v>2399</v>
      </c>
      <c r="C134" s="33"/>
      <c r="D134" s="33">
        <v>1</v>
      </c>
      <c r="E134" s="33"/>
      <c r="F134" s="33"/>
      <c r="G134" s="33"/>
      <c r="H134" s="33"/>
      <c r="I134" s="33"/>
      <c r="J134" s="33"/>
      <c r="K134" s="33"/>
      <c r="L134" s="33"/>
      <c r="M134" s="33"/>
      <c r="N134" s="33">
        <f>SUM(KTandC[[#This Row],[Strategic coordination and direction setting]:[Other]])</f>
        <v>1</v>
      </c>
      <c r="O134" s="717" t="s">
        <v>2400</v>
      </c>
      <c r="P134" s="717" t="s">
        <v>1776</v>
      </c>
      <c r="Q134" s="717" t="s">
        <v>1776</v>
      </c>
    </row>
    <row r="135" spans="1:17" ht="12.75" customHeight="1">
      <c r="A135" s="930" t="s">
        <v>962</v>
      </c>
      <c r="B135" s="954" t="s">
        <v>2401</v>
      </c>
      <c r="C135" s="33"/>
      <c r="D135" s="33"/>
      <c r="E135" s="33"/>
      <c r="F135" s="33"/>
      <c r="G135" s="33">
        <v>1</v>
      </c>
      <c r="H135" s="33"/>
      <c r="I135" s="33"/>
      <c r="J135" s="33"/>
      <c r="K135" s="33"/>
      <c r="L135" s="33"/>
      <c r="M135" s="33">
        <v>1</v>
      </c>
      <c r="N135" s="33">
        <f>SUM(KTandC[[#This Row],[Strategic coordination and direction setting]:[Other]])</f>
        <v>2</v>
      </c>
      <c r="O135" s="719" t="s">
        <v>2402</v>
      </c>
      <c r="P135" s="717" t="s">
        <v>1776</v>
      </c>
      <c r="Q135" s="717" t="s">
        <v>1776</v>
      </c>
    </row>
    <row r="136" spans="1:17" ht="12.75" customHeight="1">
      <c r="A136" s="930" t="s">
        <v>962</v>
      </c>
      <c r="B136" s="954" t="s">
        <v>2403</v>
      </c>
      <c r="C136" s="33"/>
      <c r="D136" s="33">
        <v>1</v>
      </c>
      <c r="E136" s="33">
        <v>1</v>
      </c>
      <c r="F136" s="33"/>
      <c r="G136" s="33"/>
      <c r="H136" s="33"/>
      <c r="I136" s="33"/>
      <c r="J136" s="33"/>
      <c r="K136" s="33"/>
      <c r="L136" s="33"/>
      <c r="M136" s="33"/>
      <c r="N136" s="33">
        <f>SUM(KTandC[[#This Row],[Strategic coordination and direction setting]:[Other]])</f>
        <v>2</v>
      </c>
      <c r="O136" s="719" t="s">
        <v>2404</v>
      </c>
      <c r="P136" s="717" t="s">
        <v>1776</v>
      </c>
      <c r="Q136" s="717" t="s">
        <v>1776</v>
      </c>
    </row>
    <row r="137" spans="1:17" ht="12.75" customHeight="1">
      <c r="A137" s="930" t="s">
        <v>962</v>
      </c>
      <c r="B137" s="954" t="s">
        <v>2405</v>
      </c>
      <c r="C137" s="33"/>
      <c r="D137" s="33"/>
      <c r="E137" s="33"/>
      <c r="F137" s="33"/>
      <c r="G137" s="33">
        <v>1</v>
      </c>
      <c r="H137" s="33"/>
      <c r="I137" s="33"/>
      <c r="J137" s="33"/>
      <c r="K137" s="33"/>
      <c r="L137" s="33"/>
      <c r="M137" s="33">
        <v>1</v>
      </c>
      <c r="N137" s="33">
        <f>SUM(KTandC[[#This Row],[Strategic coordination and direction setting]:[Other]])</f>
        <v>2</v>
      </c>
      <c r="O137" s="719" t="s">
        <v>2406</v>
      </c>
      <c r="P137" s="717" t="s">
        <v>1776</v>
      </c>
      <c r="Q137" s="717" t="s">
        <v>1776</v>
      </c>
    </row>
    <row r="138" spans="1:17" ht="12.75" customHeight="1">
      <c r="A138" s="930" t="s">
        <v>962</v>
      </c>
      <c r="B138" s="954" t="s">
        <v>2407</v>
      </c>
      <c r="C138" s="33">
        <v>1</v>
      </c>
      <c r="D138" s="33"/>
      <c r="E138" s="33"/>
      <c r="F138" s="33"/>
      <c r="G138" s="33">
        <v>1</v>
      </c>
      <c r="H138" s="33">
        <v>1</v>
      </c>
      <c r="I138" s="33"/>
      <c r="J138" s="33"/>
      <c r="K138" s="33"/>
      <c r="L138" s="33"/>
      <c r="M138" s="33"/>
      <c r="N138" s="33">
        <f>SUM(KTandC[[#This Row],[Strategic coordination and direction setting]:[Other]])</f>
        <v>3</v>
      </c>
      <c r="O138" s="719" t="s">
        <v>2408</v>
      </c>
      <c r="P138" s="717" t="s">
        <v>1776</v>
      </c>
      <c r="Q138" s="717" t="s">
        <v>1776</v>
      </c>
    </row>
    <row r="139" spans="1:17" ht="12.75" customHeight="1">
      <c r="A139" s="930" t="s">
        <v>962</v>
      </c>
      <c r="B139" s="954" t="s">
        <v>2409</v>
      </c>
      <c r="C139" s="33"/>
      <c r="D139" s="33"/>
      <c r="E139" s="33"/>
      <c r="F139" s="33"/>
      <c r="G139" s="33">
        <v>1</v>
      </c>
      <c r="H139" s="33"/>
      <c r="I139" s="33"/>
      <c r="J139" s="33"/>
      <c r="K139" s="33"/>
      <c r="L139" s="33"/>
      <c r="M139" s="33">
        <v>1</v>
      </c>
      <c r="N139" s="33">
        <f>SUM(KTandC[[#This Row],[Strategic coordination and direction setting]:[Other]])</f>
        <v>2</v>
      </c>
      <c r="O139" s="719" t="s">
        <v>2410</v>
      </c>
      <c r="P139" s="717" t="s">
        <v>1776</v>
      </c>
      <c r="Q139" s="717" t="s">
        <v>1776</v>
      </c>
    </row>
    <row r="140" spans="1:17" ht="12.75" customHeight="1">
      <c r="A140" s="930" t="s">
        <v>1401</v>
      </c>
      <c r="B140" s="954" t="s">
        <v>2411</v>
      </c>
      <c r="C140" s="33"/>
      <c r="D140" s="33"/>
      <c r="E140" s="33"/>
      <c r="F140" s="33">
        <v>1</v>
      </c>
      <c r="G140" s="33"/>
      <c r="H140" s="33"/>
      <c r="I140" s="33"/>
      <c r="J140" s="33"/>
      <c r="K140" s="33"/>
      <c r="L140" s="33"/>
      <c r="M140" s="33"/>
      <c r="N140" s="33">
        <f>SUM(KTandC[[#This Row],[Strategic coordination and direction setting]:[Other]])</f>
        <v>1</v>
      </c>
      <c r="O140" s="719" t="s">
        <v>2412</v>
      </c>
      <c r="P140" s="717" t="s">
        <v>1776</v>
      </c>
      <c r="Q140" s="717" t="s">
        <v>1776</v>
      </c>
    </row>
    <row r="141" spans="1:17" ht="12.75" customHeight="1">
      <c r="A141" s="930" t="s">
        <v>1401</v>
      </c>
      <c r="B141" s="954" t="s">
        <v>1466</v>
      </c>
      <c r="C141" s="33">
        <v>1</v>
      </c>
      <c r="D141" s="33"/>
      <c r="E141" s="33">
        <v>1</v>
      </c>
      <c r="F141" s="33">
        <v>1</v>
      </c>
      <c r="G141" s="33">
        <v>1</v>
      </c>
      <c r="H141" s="33">
        <v>1</v>
      </c>
      <c r="I141" s="33">
        <v>1</v>
      </c>
      <c r="J141" s="33"/>
      <c r="K141" s="33"/>
      <c r="L141" s="33"/>
      <c r="M141" s="33"/>
      <c r="N141" s="33">
        <f>SUM(KTandC[[#This Row],[Strategic coordination and direction setting]:[Other]])</f>
        <v>6</v>
      </c>
      <c r="O141" s="719" t="s">
        <v>2413</v>
      </c>
      <c r="P141" s="717" t="s">
        <v>1776</v>
      </c>
      <c r="Q141" s="717" t="s">
        <v>1776</v>
      </c>
    </row>
    <row r="142" spans="1:17" ht="12.75" customHeight="1">
      <c r="A142" s="930" t="s">
        <v>1401</v>
      </c>
      <c r="B142" s="954" t="s">
        <v>1511</v>
      </c>
      <c r="C142" s="33">
        <v>1</v>
      </c>
      <c r="D142" s="33"/>
      <c r="E142" s="33">
        <v>1</v>
      </c>
      <c r="F142" s="33">
        <v>1</v>
      </c>
      <c r="G142" s="33">
        <v>1</v>
      </c>
      <c r="H142" s="33">
        <v>1</v>
      </c>
      <c r="I142" s="33"/>
      <c r="J142" s="33"/>
      <c r="K142" s="33"/>
      <c r="L142" s="33"/>
      <c r="M142" s="33">
        <v>1</v>
      </c>
      <c r="N142" s="33">
        <f>SUM(KTandC[[#This Row],[Strategic coordination and direction setting]:[Other]])</f>
        <v>6</v>
      </c>
      <c r="O142" s="719" t="s">
        <v>1512</v>
      </c>
      <c r="P142" s="717"/>
      <c r="Q142" s="717"/>
    </row>
    <row r="143" spans="1:17" ht="12.75" customHeight="1">
      <c r="A143" s="960" t="s">
        <v>1401</v>
      </c>
      <c r="B143" s="961" t="s">
        <v>2414</v>
      </c>
      <c r="C143" s="33">
        <v>1</v>
      </c>
      <c r="D143" s="33"/>
      <c r="E143" s="33">
        <v>1</v>
      </c>
      <c r="F143" s="33">
        <v>1</v>
      </c>
      <c r="G143" s="33">
        <v>1</v>
      </c>
      <c r="H143" s="33">
        <v>1</v>
      </c>
      <c r="I143" s="33">
        <v>1</v>
      </c>
      <c r="J143" s="33"/>
      <c r="K143" s="33"/>
      <c r="L143" s="33"/>
      <c r="M143" s="33"/>
      <c r="N143" s="33">
        <f>SUM(KTandC[[#This Row],[Strategic coordination and direction setting]:[Other]])</f>
        <v>6</v>
      </c>
      <c r="O143" s="717" t="s">
        <v>2415</v>
      </c>
      <c r="P143" s="717" t="s">
        <v>1776</v>
      </c>
      <c r="Q143" s="717" t="s">
        <v>1776</v>
      </c>
    </row>
    <row r="144" spans="1:17" ht="15" customHeight="1" thickBot="1">
      <c r="A144" s="36"/>
      <c r="B144" s="768" t="s">
        <v>1622</v>
      </c>
      <c r="C144" s="37">
        <f>SUM(C5:C143)</f>
        <v>64</v>
      </c>
      <c r="D144" s="37">
        <f t="shared" ref="D144:N144" si="0">SUM(D5:D143)</f>
        <v>11</v>
      </c>
      <c r="E144" s="37">
        <f t="shared" si="0"/>
        <v>46</v>
      </c>
      <c r="F144" s="37">
        <f t="shared" si="0"/>
        <v>50</v>
      </c>
      <c r="G144" s="37">
        <f t="shared" si="0"/>
        <v>81</v>
      </c>
      <c r="H144" s="37">
        <f t="shared" si="0"/>
        <v>76</v>
      </c>
      <c r="I144" s="37">
        <f t="shared" si="0"/>
        <v>80</v>
      </c>
      <c r="J144" s="37">
        <f t="shared" si="0"/>
        <v>30</v>
      </c>
      <c r="K144" s="37">
        <f t="shared" si="0"/>
        <v>49</v>
      </c>
      <c r="L144" s="37">
        <f t="shared" si="0"/>
        <v>35</v>
      </c>
      <c r="M144" s="37">
        <f t="shared" si="0"/>
        <v>15</v>
      </c>
      <c r="N144" s="37">
        <f t="shared" si="0"/>
        <v>537</v>
      </c>
      <c r="O144" s="38"/>
      <c r="P144" s="38"/>
      <c r="Q144" s="38"/>
    </row>
    <row r="145" spans="13:13" ht="13.5" thickTop="1"/>
    <row r="146" spans="13:13">
      <c r="M146" s="533"/>
    </row>
  </sheetData>
  <mergeCells count="3">
    <mergeCell ref="C3:D3"/>
    <mergeCell ref="E3:H3"/>
    <mergeCell ref="I3:L3"/>
  </mergeCells>
  <conditionalFormatting sqref="B52">
    <cfRule type="cellIs" dxfId="240" priority="1" operator="equal">
      <formula>0</formula>
    </cfRule>
  </conditionalFormatting>
  <conditionalFormatting sqref="C5">
    <cfRule type="cellIs" dxfId="239" priority="3" operator="equal">
      <formula>1</formula>
    </cfRule>
  </conditionalFormatting>
  <conditionalFormatting sqref="C5:M143">
    <cfRule type="cellIs" dxfId="238" priority="2" operator="equal">
      <formula>1</formula>
    </cfRule>
    <cfRule type="cellIs" dxfId="237" priority="4" operator="equal">
      <formula>0</formula>
    </cfRule>
    <cfRule type="cellIs" dxfId="236" priority="5" operator="equal">
      <formula>1</formula>
    </cfRule>
  </conditionalFormatting>
  <hyperlinks>
    <hyperlink ref="Q33" r:id="rId1" xr:uid="{D9A90E9B-F908-4789-B1A2-6627364648C0}"/>
  </hyperlinks>
  <pageMargins left="0.7" right="0.7" top="0.75" bottom="0.75" header="0.3" footer="0.3"/>
  <pageSetup paperSize="9" orientation="portrait" horizontalDpi="300" verticalDpi="300" r:id="rId2"/>
  <headerFooter>
    <oddHeader>&amp;C&amp;"Calibri"&amp;12&amp;KC00000 OFFICIAL&amp;1#_x000D_</oddHeader>
    <oddFooter>&amp;C_x000D_&amp;1#&amp;"Calibri"&amp;12&amp;KC00000 OFFICIAL</oddFooter>
  </headerFooter>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45639-544B-4350-9E41-11880009519C}">
  <sheetPr>
    <tabColor rgb="FF1B9590"/>
  </sheetPr>
  <dimension ref="A1:E1321"/>
  <sheetViews>
    <sheetView zoomScale="80" zoomScaleNormal="80" workbookViewId="0"/>
  </sheetViews>
  <sheetFormatPr defaultColWidth="9.140625" defaultRowHeight="15"/>
  <cols>
    <col min="1" max="1" width="42.5703125" style="40" customWidth="1"/>
    <col min="2" max="2" width="81.140625" style="40" customWidth="1"/>
    <col min="3" max="5" width="29.7109375" style="40" customWidth="1"/>
    <col min="6" max="16384" width="9.140625" style="40"/>
  </cols>
  <sheetData>
    <row r="1" spans="1:5" s="710" customFormat="1" ht="42" customHeight="1">
      <c r="A1" s="708" t="s">
        <v>2416</v>
      </c>
      <c r="B1" s="709"/>
      <c r="C1" s="709"/>
      <c r="D1" s="709"/>
      <c r="E1" s="709"/>
    </row>
    <row r="2" spans="1:5" ht="18.600000000000001" customHeight="1">
      <c r="A2" s="44" t="s">
        <v>2417</v>
      </c>
    </row>
    <row r="3" spans="1:5" ht="13.5" customHeight="1">
      <c r="A3" s="45"/>
      <c r="B3" s="45"/>
      <c r="C3" s="46">
        <f>SUM(C5:C1321)</f>
        <v>67</v>
      </c>
      <c r="D3" s="46">
        <f>SUM(D5:D1321)</f>
        <v>118</v>
      </c>
      <c r="E3" s="46">
        <f>SUM(E5:E1321)</f>
        <v>154</v>
      </c>
    </row>
    <row r="4" spans="1:5" ht="81.75" customHeight="1">
      <c r="A4" s="41" t="s">
        <v>205</v>
      </c>
      <c r="B4" s="41" t="s">
        <v>37</v>
      </c>
      <c r="C4" s="47" t="s">
        <v>2418</v>
      </c>
      <c r="D4" s="47" t="s">
        <v>2419</v>
      </c>
      <c r="E4" s="48" t="s">
        <v>2420</v>
      </c>
    </row>
    <row r="5" spans="1:5" ht="12.75" customHeight="1">
      <c r="A5" s="962" t="s">
        <v>231</v>
      </c>
      <c r="B5" s="42" t="s">
        <v>2421</v>
      </c>
      <c r="C5" s="42">
        <v>0</v>
      </c>
      <c r="D5" s="42">
        <v>0</v>
      </c>
      <c r="E5" s="42">
        <v>0</v>
      </c>
    </row>
    <row r="6" spans="1:5" ht="12.75" customHeight="1">
      <c r="A6" s="962" t="s">
        <v>231</v>
      </c>
      <c r="B6" s="42" t="s">
        <v>2422</v>
      </c>
      <c r="C6" s="42">
        <v>0</v>
      </c>
      <c r="D6" s="42">
        <v>0</v>
      </c>
      <c r="E6" s="42">
        <v>0</v>
      </c>
    </row>
    <row r="7" spans="1:5" ht="12.75" customHeight="1">
      <c r="A7" s="962" t="s">
        <v>231</v>
      </c>
      <c r="B7" s="42" t="s">
        <v>2423</v>
      </c>
      <c r="C7" s="42">
        <v>0</v>
      </c>
      <c r="D7" s="42">
        <v>0</v>
      </c>
      <c r="E7" s="42">
        <v>0</v>
      </c>
    </row>
    <row r="8" spans="1:5" ht="12.75" customHeight="1">
      <c r="A8" s="962" t="s">
        <v>231</v>
      </c>
      <c r="B8" s="42" t="s">
        <v>2424</v>
      </c>
      <c r="C8" s="42">
        <v>0</v>
      </c>
      <c r="D8" s="42">
        <v>0</v>
      </c>
      <c r="E8" s="42">
        <v>0</v>
      </c>
    </row>
    <row r="9" spans="1:5" ht="12.75" customHeight="1">
      <c r="A9" s="962" t="s">
        <v>231</v>
      </c>
      <c r="B9" s="42" t="s">
        <v>2425</v>
      </c>
      <c r="C9" s="42">
        <v>0</v>
      </c>
      <c r="D9" s="42">
        <v>0</v>
      </c>
      <c r="E9" s="42">
        <v>0</v>
      </c>
    </row>
    <row r="10" spans="1:5" ht="12.75" customHeight="1">
      <c r="A10" s="962" t="s">
        <v>231</v>
      </c>
      <c r="B10" s="42" t="s">
        <v>2426</v>
      </c>
      <c r="C10" s="42">
        <v>0</v>
      </c>
      <c r="D10" s="42">
        <v>0</v>
      </c>
      <c r="E10" s="42">
        <v>0</v>
      </c>
    </row>
    <row r="11" spans="1:5" ht="12.75" customHeight="1">
      <c r="A11" s="962" t="s">
        <v>231</v>
      </c>
      <c r="B11" s="42" t="s">
        <v>2427</v>
      </c>
      <c r="C11" s="42">
        <v>0</v>
      </c>
      <c r="D11" s="42">
        <v>0</v>
      </c>
      <c r="E11" s="42">
        <v>0</v>
      </c>
    </row>
    <row r="12" spans="1:5" ht="12.75" customHeight="1">
      <c r="A12" s="962" t="s">
        <v>231</v>
      </c>
      <c r="B12" s="42" t="s">
        <v>2428</v>
      </c>
      <c r="C12" s="42">
        <v>1</v>
      </c>
      <c r="D12" s="42">
        <v>1</v>
      </c>
      <c r="E12" s="42">
        <v>1</v>
      </c>
    </row>
    <row r="13" spans="1:5" ht="12.75" customHeight="1">
      <c r="A13" s="962" t="s">
        <v>231</v>
      </c>
      <c r="B13" s="42" t="s">
        <v>257</v>
      </c>
      <c r="C13" s="42">
        <v>0</v>
      </c>
      <c r="D13" s="42">
        <v>0</v>
      </c>
      <c r="E13" s="42">
        <v>0</v>
      </c>
    </row>
    <row r="14" spans="1:5" ht="12.75" customHeight="1">
      <c r="A14" s="962" t="s">
        <v>231</v>
      </c>
      <c r="B14" s="42" t="s">
        <v>2429</v>
      </c>
      <c r="C14" s="42">
        <v>0</v>
      </c>
      <c r="D14" s="42">
        <v>0</v>
      </c>
      <c r="E14" s="42">
        <v>0</v>
      </c>
    </row>
    <row r="15" spans="1:5" ht="12.75" customHeight="1">
      <c r="A15" s="962" t="s">
        <v>231</v>
      </c>
      <c r="B15" s="42" t="s">
        <v>2430</v>
      </c>
      <c r="C15" s="42">
        <v>0</v>
      </c>
      <c r="D15" s="42">
        <v>0</v>
      </c>
      <c r="E15" s="42">
        <v>0</v>
      </c>
    </row>
    <row r="16" spans="1:5" ht="12.75" customHeight="1">
      <c r="A16" s="962" t="s">
        <v>231</v>
      </c>
      <c r="B16" s="42" t="s">
        <v>2431</v>
      </c>
      <c r="C16" s="42">
        <v>0</v>
      </c>
      <c r="D16" s="42">
        <v>0</v>
      </c>
      <c r="E16" s="42">
        <v>0</v>
      </c>
    </row>
    <row r="17" spans="1:5" ht="12.75" customHeight="1">
      <c r="A17" s="962" t="s">
        <v>231</v>
      </c>
      <c r="B17" s="42" t="s">
        <v>2432</v>
      </c>
      <c r="C17" s="42">
        <v>0</v>
      </c>
      <c r="D17" s="42">
        <v>0</v>
      </c>
      <c r="E17" s="42">
        <v>0</v>
      </c>
    </row>
    <row r="18" spans="1:5" ht="12.75" customHeight="1">
      <c r="A18" s="962" t="s">
        <v>231</v>
      </c>
      <c r="B18" s="42" t="s">
        <v>2433</v>
      </c>
      <c r="C18" s="42">
        <v>1</v>
      </c>
      <c r="D18" s="42">
        <v>1</v>
      </c>
      <c r="E18" s="42">
        <v>1</v>
      </c>
    </row>
    <row r="19" spans="1:5" ht="12.75" customHeight="1">
      <c r="A19" s="962" t="s">
        <v>231</v>
      </c>
      <c r="B19" s="42" t="s">
        <v>259</v>
      </c>
      <c r="C19" s="42">
        <v>0</v>
      </c>
      <c r="D19" s="42">
        <v>0</v>
      </c>
      <c r="E19" s="42">
        <v>0</v>
      </c>
    </row>
    <row r="20" spans="1:5" ht="12.75" customHeight="1">
      <c r="A20" s="962" t="s">
        <v>231</v>
      </c>
      <c r="B20" s="42" t="s">
        <v>266</v>
      </c>
      <c r="C20" s="42">
        <v>0</v>
      </c>
      <c r="D20" s="42">
        <v>0</v>
      </c>
      <c r="E20" s="42">
        <v>0</v>
      </c>
    </row>
    <row r="21" spans="1:5" ht="12.75" customHeight="1">
      <c r="A21" s="962" t="s">
        <v>231</v>
      </c>
      <c r="B21" s="42" t="s">
        <v>2434</v>
      </c>
      <c r="C21" s="42">
        <v>0</v>
      </c>
      <c r="D21" s="42">
        <v>0</v>
      </c>
      <c r="E21" s="42">
        <v>0</v>
      </c>
    </row>
    <row r="22" spans="1:5" ht="12.75" customHeight="1">
      <c r="A22" s="962" t="s">
        <v>231</v>
      </c>
      <c r="B22" s="42" t="s">
        <v>2435</v>
      </c>
      <c r="C22" s="42">
        <v>0</v>
      </c>
      <c r="D22" s="42">
        <v>0</v>
      </c>
      <c r="E22" s="42">
        <v>0</v>
      </c>
    </row>
    <row r="23" spans="1:5" ht="12.75" customHeight="1">
      <c r="A23" s="962" t="s">
        <v>231</v>
      </c>
      <c r="B23" s="42" t="s">
        <v>2436</v>
      </c>
      <c r="C23" s="42">
        <v>0</v>
      </c>
      <c r="D23" s="42">
        <v>0</v>
      </c>
      <c r="E23" s="42">
        <v>0</v>
      </c>
    </row>
    <row r="24" spans="1:5" ht="12.75" customHeight="1">
      <c r="A24" s="962" t="s">
        <v>231</v>
      </c>
      <c r="B24" s="42" t="s">
        <v>284</v>
      </c>
      <c r="C24" s="42">
        <v>0</v>
      </c>
      <c r="D24" s="42">
        <v>0</v>
      </c>
      <c r="E24" s="42">
        <v>0</v>
      </c>
    </row>
    <row r="25" spans="1:5" ht="12.75" customHeight="1">
      <c r="A25" s="962" t="s">
        <v>231</v>
      </c>
      <c r="B25" s="42" t="s">
        <v>2437</v>
      </c>
      <c r="C25" s="42">
        <v>0</v>
      </c>
      <c r="D25" s="42">
        <v>0</v>
      </c>
      <c r="E25" s="42">
        <v>0</v>
      </c>
    </row>
    <row r="26" spans="1:5" ht="12.75" customHeight="1">
      <c r="A26" s="962" t="s">
        <v>231</v>
      </c>
      <c r="B26" s="42" t="s">
        <v>287</v>
      </c>
      <c r="C26" s="42">
        <v>0</v>
      </c>
      <c r="D26" s="42">
        <v>0</v>
      </c>
      <c r="E26" s="42">
        <v>0</v>
      </c>
    </row>
    <row r="27" spans="1:5" ht="12.75" customHeight="1">
      <c r="A27" s="962" t="s">
        <v>231</v>
      </c>
      <c r="B27" s="42" t="s">
        <v>2438</v>
      </c>
      <c r="C27" s="42">
        <v>0</v>
      </c>
      <c r="D27" s="42">
        <v>0</v>
      </c>
      <c r="E27" s="42">
        <v>0</v>
      </c>
    </row>
    <row r="28" spans="1:5" ht="12.75" customHeight="1">
      <c r="A28" s="962" t="s">
        <v>231</v>
      </c>
      <c r="B28" s="42" t="s">
        <v>2439</v>
      </c>
      <c r="C28" s="42">
        <v>0</v>
      </c>
      <c r="D28" s="42">
        <v>0</v>
      </c>
      <c r="E28" s="42">
        <v>0</v>
      </c>
    </row>
    <row r="29" spans="1:5" ht="12.75" customHeight="1">
      <c r="A29" s="962" t="s">
        <v>231</v>
      </c>
      <c r="B29" s="42" t="s">
        <v>2440</v>
      </c>
      <c r="C29" s="42">
        <v>0</v>
      </c>
      <c r="D29" s="42">
        <v>0</v>
      </c>
      <c r="E29" s="42">
        <v>0</v>
      </c>
    </row>
    <row r="30" spans="1:5" ht="12.75" customHeight="1">
      <c r="A30" s="962" t="s">
        <v>231</v>
      </c>
      <c r="B30" s="42" t="s">
        <v>2441</v>
      </c>
      <c r="C30" s="42">
        <v>0</v>
      </c>
      <c r="D30" s="42">
        <v>1</v>
      </c>
      <c r="E30" s="42">
        <v>1</v>
      </c>
    </row>
    <row r="31" spans="1:5" ht="12.75" customHeight="1">
      <c r="A31" s="962" t="s">
        <v>231</v>
      </c>
      <c r="B31" s="42" t="s">
        <v>2442</v>
      </c>
      <c r="C31" s="42">
        <v>0</v>
      </c>
      <c r="D31" s="42">
        <v>0</v>
      </c>
      <c r="E31" s="42">
        <v>0</v>
      </c>
    </row>
    <row r="32" spans="1:5" ht="12.75" customHeight="1">
      <c r="A32" s="962" t="s">
        <v>231</v>
      </c>
      <c r="B32" s="42" t="s">
        <v>2443</v>
      </c>
      <c r="C32" s="42">
        <v>0</v>
      </c>
      <c r="D32" s="42">
        <v>0</v>
      </c>
      <c r="E32" s="42">
        <v>0</v>
      </c>
    </row>
    <row r="33" spans="1:5" ht="12.75" customHeight="1">
      <c r="A33" s="962" t="s">
        <v>231</v>
      </c>
      <c r="B33" s="42" t="s">
        <v>2444</v>
      </c>
      <c r="C33" s="42">
        <v>0</v>
      </c>
      <c r="D33" s="42">
        <v>0</v>
      </c>
      <c r="E33" s="42">
        <v>0</v>
      </c>
    </row>
    <row r="34" spans="1:5" ht="12.75" customHeight="1">
      <c r="A34" s="962" t="s">
        <v>231</v>
      </c>
      <c r="B34" s="42" t="s">
        <v>291</v>
      </c>
      <c r="C34" s="42">
        <v>1</v>
      </c>
      <c r="D34" s="42">
        <v>1</v>
      </c>
      <c r="E34" s="42">
        <v>1</v>
      </c>
    </row>
    <row r="35" spans="1:5" ht="12.75" customHeight="1">
      <c r="A35" s="962" t="s">
        <v>231</v>
      </c>
      <c r="B35" s="42" t="s">
        <v>2445</v>
      </c>
      <c r="C35" s="42">
        <v>0</v>
      </c>
      <c r="D35" s="42">
        <v>0</v>
      </c>
      <c r="E35" s="42">
        <v>0</v>
      </c>
    </row>
    <row r="36" spans="1:5" ht="12.75" customHeight="1">
      <c r="A36" s="962" t="s">
        <v>231</v>
      </c>
      <c r="B36" s="42" t="s">
        <v>2446</v>
      </c>
      <c r="C36" s="42">
        <v>0</v>
      </c>
      <c r="D36" s="42">
        <v>0</v>
      </c>
      <c r="E36" s="42">
        <v>0</v>
      </c>
    </row>
    <row r="37" spans="1:5" ht="12.75" customHeight="1">
      <c r="A37" s="962" t="s">
        <v>231</v>
      </c>
      <c r="B37" s="42" t="s">
        <v>2447</v>
      </c>
      <c r="C37" s="42">
        <v>0</v>
      </c>
      <c r="D37" s="42">
        <v>0</v>
      </c>
      <c r="E37" s="42">
        <v>0</v>
      </c>
    </row>
    <row r="38" spans="1:5" ht="12.75" customHeight="1">
      <c r="A38" s="962" t="s">
        <v>231</v>
      </c>
      <c r="B38" s="42" t="s">
        <v>295</v>
      </c>
      <c r="C38" s="42">
        <v>1</v>
      </c>
      <c r="D38" s="42">
        <v>1</v>
      </c>
      <c r="E38" s="42">
        <v>1</v>
      </c>
    </row>
    <row r="39" spans="1:5" ht="12.75" customHeight="1">
      <c r="A39" s="962" t="s">
        <v>231</v>
      </c>
      <c r="B39" s="42" t="s">
        <v>2448</v>
      </c>
      <c r="C39" s="42">
        <v>0</v>
      </c>
      <c r="D39" s="42">
        <v>0</v>
      </c>
      <c r="E39" s="42">
        <v>0</v>
      </c>
    </row>
    <row r="40" spans="1:5" ht="12.75" customHeight="1">
      <c r="A40" s="962" t="s">
        <v>231</v>
      </c>
      <c r="B40" s="42" t="s">
        <v>2449</v>
      </c>
      <c r="C40" s="42">
        <v>0</v>
      </c>
      <c r="D40" s="42">
        <v>0</v>
      </c>
      <c r="E40" s="42">
        <v>0</v>
      </c>
    </row>
    <row r="41" spans="1:5" ht="12.75" customHeight="1">
      <c r="A41" s="962" t="s">
        <v>231</v>
      </c>
      <c r="B41" s="42" t="s">
        <v>2450</v>
      </c>
      <c r="C41" s="42">
        <v>0</v>
      </c>
      <c r="D41" s="42">
        <v>0</v>
      </c>
      <c r="E41" s="42">
        <v>0</v>
      </c>
    </row>
    <row r="42" spans="1:5" ht="12.75" customHeight="1">
      <c r="A42" s="962" t="s">
        <v>231</v>
      </c>
      <c r="B42" s="42" t="s">
        <v>303</v>
      </c>
      <c r="C42" s="42">
        <v>0</v>
      </c>
      <c r="D42" s="42">
        <v>0</v>
      </c>
      <c r="E42" s="42">
        <v>0</v>
      </c>
    </row>
    <row r="43" spans="1:5" ht="12.75" customHeight="1">
      <c r="A43" s="962" t="s">
        <v>231</v>
      </c>
      <c r="B43" s="42" t="s">
        <v>2451</v>
      </c>
      <c r="C43" s="42">
        <v>0</v>
      </c>
      <c r="D43" s="42">
        <v>0</v>
      </c>
      <c r="E43" s="42">
        <v>0</v>
      </c>
    </row>
    <row r="44" spans="1:5" ht="12.75" customHeight="1">
      <c r="A44" s="962" t="s">
        <v>231</v>
      </c>
      <c r="B44" s="42" t="s">
        <v>2452</v>
      </c>
      <c r="C44" s="42">
        <v>0</v>
      </c>
      <c r="D44" s="42">
        <v>0</v>
      </c>
      <c r="E44" s="42">
        <v>0</v>
      </c>
    </row>
    <row r="45" spans="1:5" ht="12.75" customHeight="1">
      <c r="A45" s="962" t="s">
        <v>231</v>
      </c>
      <c r="B45" s="42" t="s">
        <v>2453</v>
      </c>
      <c r="C45" s="42">
        <v>0</v>
      </c>
      <c r="D45" s="42">
        <v>0</v>
      </c>
      <c r="E45" s="42">
        <v>0</v>
      </c>
    </row>
    <row r="46" spans="1:5" ht="12.75" customHeight="1">
      <c r="A46" s="962" t="s">
        <v>231</v>
      </c>
      <c r="B46" s="42" t="s">
        <v>305</v>
      </c>
      <c r="C46" s="42">
        <v>1</v>
      </c>
      <c r="D46" s="42">
        <v>1</v>
      </c>
      <c r="E46" s="42">
        <v>1</v>
      </c>
    </row>
    <row r="47" spans="1:5" ht="12.75" customHeight="1">
      <c r="A47" s="962" t="s">
        <v>231</v>
      </c>
      <c r="B47" s="42" t="s">
        <v>2454</v>
      </c>
      <c r="C47" s="42">
        <v>0</v>
      </c>
      <c r="D47" s="42">
        <v>0</v>
      </c>
      <c r="E47" s="42">
        <v>0</v>
      </c>
    </row>
    <row r="48" spans="1:5" ht="12.75" customHeight="1">
      <c r="A48" s="962" t="s">
        <v>231</v>
      </c>
      <c r="B48" s="42" t="s">
        <v>2455</v>
      </c>
      <c r="C48" s="42">
        <v>0</v>
      </c>
      <c r="D48" s="42">
        <v>0</v>
      </c>
      <c r="E48" s="42">
        <v>0</v>
      </c>
    </row>
    <row r="49" spans="1:5" ht="12.75" customHeight="1">
      <c r="A49" s="962" t="s">
        <v>231</v>
      </c>
      <c r="B49" s="40" t="s">
        <v>2456</v>
      </c>
      <c r="C49" s="42">
        <v>0</v>
      </c>
      <c r="D49" s="42">
        <v>0</v>
      </c>
      <c r="E49" s="42">
        <v>0</v>
      </c>
    </row>
    <row r="50" spans="1:5" ht="12.75" customHeight="1">
      <c r="A50" s="962" t="s">
        <v>231</v>
      </c>
      <c r="B50" s="42" t="s">
        <v>2457</v>
      </c>
      <c r="C50" s="42">
        <v>0</v>
      </c>
      <c r="D50" s="42">
        <v>0</v>
      </c>
      <c r="E50" s="42">
        <v>0</v>
      </c>
    </row>
    <row r="51" spans="1:5" ht="12.75" customHeight="1">
      <c r="A51" s="962" t="s">
        <v>231</v>
      </c>
      <c r="B51" s="42" t="s">
        <v>2458</v>
      </c>
      <c r="C51" s="42">
        <v>0</v>
      </c>
      <c r="D51" s="42">
        <v>0</v>
      </c>
      <c r="E51" s="42">
        <v>0</v>
      </c>
    </row>
    <row r="52" spans="1:5" ht="12.75" customHeight="1">
      <c r="A52" s="962" t="s">
        <v>231</v>
      </c>
      <c r="B52" s="42" t="s">
        <v>310</v>
      </c>
      <c r="C52" s="42">
        <v>0</v>
      </c>
      <c r="D52" s="42">
        <v>0</v>
      </c>
      <c r="E52" s="42">
        <v>0</v>
      </c>
    </row>
    <row r="53" spans="1:5" ht="12.75" customHeight="1">
      <c r="A53" s="962" t="s">
        <v>231</v>
      </c>
      <c r="B53" s="42" t="s">
        <v>2459</v>
      </c>
      <c r="C53" s="42">
        <v>0</v>
      </c>
      <c r="D53" s="42">
        <v>0</v>
      </c>
      <c r="E53" s="42">
        <v>0</v>
      </c>
    </row>
    <row r="54" spans="1:5" ht="12.75" customHeight="1">
      <c r="A54" s="962" t="s">
        <v>231</v>
      </c>
      <c r="B54" s="42" t="s">
        <v>2460</v>
      </c>
      <c r="C54" s="42">
        <v>0</v>
      </c>
      <c r="D54" s="42">
        <v>0</v>
      </c>
      <c r="E54" s="42">
        <v>0</v>
      </c>
    </row>
    <row r="55" spans="1:5" ht="12.75" customHeight="1">
      <c r="A55" s="962" t="s">
        <v>231</v>
      </c>
      <c r="B55" s="42" t="s">
        <v>2461</v>
      </c>
      <c r="C55" s="42">
        <v>0</v>
      </c>
      <c r="D55" s="42">
        <v>0</v>
      </c>
      <c r="E55" s="42">
        <v>0</v>
      </c>
    </row>
    <row r="56" spans="1:5" ht="12.75" customHeight="1">
      <c r="A56" s="962" t="s">
        <v>231</v>
      </c>
      <c r="B56" s="42" t="s">
        <v>2462</v>
      </c>
      <c r="C56" s="42">
        <v>0</v>
      </c>
      <c r="D56" s="42">
        <v>0</v>
      </c>
      <c r="E56" s="42">
        <v>0</v>
      </c>
    </row>
    <row r="57" spans="1:5" ht="12.75" customHeight="1">
      <c r="A57" s="962" t="s">
        <v>231</v>
      </c>
      <c r="B57" s="42" t="s">
        <v>2463</v>
      </c>
      <c r="C57" s="42">
        <v>0</v>
      </c>
      <c r="D57" s="42">
        <v>0</v>
      </c>
      <c r="E57" s="42">
        <v>0</v>
      </c>
    </row>
    <row r="58" spans="1:5" ht="12.75" customHeight="1">
      <c r="A58" s="962" t="s">
        <v>231</v>
      </c>
      <c r="B58" s="42" t="s">
        <v>2464</v>
      </c>
      <c r="C58" s="42">
        <v>0</v>
      </c>
      <c r="D58" s="42">
        <v>0</v>
      </c>
      <c r="E58" s="42">
        <v>0</v>
      </c>
    </row>
    <row r="59" spans="1:5" ht="12.75" customHeight="1">
      <c r="A59" s="962" t="s">
        <v>231</v>
      </c>
      <c r="B59" s="42" t="s">
        <v>2465</v>
      </c>
      <c r="C59" s="42">
        <v>0</v>
      </c>
      <c r="D59" s="42">
        <v>0</v>
      </c>
      <c r="E59" s="42">
        <v>0</v>
      </c>
    </row>
    <row r="60" spans="1:5" ht="12.75" customHeight="1">
      <c r="A60" s="962" t="s">
        <v>231</v>
      </c>
      <c r="B60" s="42" t="s">
        <v>2466</v>
      </c>
      <c r="C60" s="42">
        <v>0</v>
      </c>
      <c r="D60" s="42">
        <v>0</v>
      </c>
      <c r="E60" s="42">
        <v>0</v>
      </c>
    </row>
    <row r="61" spans="1:5" ht="12.75" customHeight="1">
      <c r="A61" s="962" t="s">
        <v>231</v>
      </c>
      <c r="B61" s="42" t="s">
        <v>2467</v>
      </c>
      <c r="C61" s="42">
        <v>0</v>
      </c>
      <c r="D61" s="42">
        <v>0</v>
      </c>
      <c r="E61" s="42">
        <v>0</v>
      </c>
    </row>
    <row r="62" spans="1:5" ht="12.75" customHeight="1">
      <c r="A62" s="962" t="s">
        <v>231</v>
      </c>
      <c r="B62" s="42" t="s">
        <v>2468</v>
      </c>
      <c r="C62" s="42">
        <v>0</v>
      </c>
      <c r="D62" s="42">
        <v>0</v>
      </c>
      <c r="E62" s="42">
        <v>0</v>
      </c>
    </row>
    <row r="63" spans="1:5" ht="12.75" customHeight="1">
      <c r="A63" s="962" t="s">
        <v>231</v>
      </c>
      <c r="B63" s="42" t="s">
        <v>2469</v>
      </c>
      <c r="C63" s="42">
        <v>0</v>
      </c>
      <c r="D63" s="42">
        <v>0</v>
      </c>
      <c r="E63" s="42">
        <v>0</v>
      </c>
    </row>
    <row r="64" spans="1:5" ht="12.75" customHeight="1">
      <c r="A64" s="962" t="s">
        <v>231</v>
      </c>
      <c r="B64" s="42" t="s">
        <v>2470</v>
      </c>
      <c r="C64" s="42">
        <v>0</v>
      </c>
      <c r="D64" s="42">
        <v>0</v>
      </c>
      <c r="E64" s="42">
        <v>0</v>
      </c>
    </row>
    <row r="65" spans="1:5" ht="12.75" customHeight="1">
      <c r="A65" s="962" t="s">
        <v>231</v>
      </c>
      <c r="B65" s="42" t="s">
        <v>2471</v>
      </c>
      <c r="C65" s="42">
        <v>0</v>
      </c>
      <c r="D65" s="42">
        <v>0</v>
      </c>
      <c r="E65" s="42">
        <v>0</v>
      </c>
    </row>
    <row r="66" spans="1:5" ht="12.75" customHeight="1">
      <c r="A66" s="962" t="s">
        <v>231</v>
      </c>
      <c r="B66" s="42" t="s">
        <v>2472</v>
      </c>
      <c r="C66" s="42">
        <v>0</v>
      </c>
      <c r="D66" s="42">
        <v>1</v>
      </c>
      <c r="E66" s="42">
        <v>1</v>
      </c>
    </row>
    <row r="67" spans="1:5" ht="12.75" customHeight="1">
      <c r="A67" s="962" t="s">
        <v>231</v>
      </c>
      <c r="B67" s="42" t="s">
        <v>2473</v>
      </c>
      <c r="C67" s="42">
        <v>0</v>
      </c>
      <c r="D67" s="42">
        <v>0</v>
      </c>
      <c r="E67" s="42">
        <v>0</v>
      </c>
    </row>
    <row r="68" spans="1:5" ht="12.75" customHeight="1">
      <c r="A68" s="962" t="s">
        <v>231</v>
      </c>
      <c r="B68" s="42" t="s">
        <v>2474</v>
      </c>
      <c r="C68" s="42">
        <v>0</v>
      </c>
      <c r="D68" s="42">
        <v>0</v>
      </c>
      <c r="E68" s="42">
        <v>0</v>
      </c>
    </row>
    <row r="69" spans="1:5" ht="12.75" customHeight="1">
      <c r="A69" s="962" t="s">
        <v>231</v>
      </c>
      <c r="B69" s="42" t="s">
        <v>2475</v>
      </c>
      <c r="C69" s="42">
        <v>0</v>
      </c>
      <c r="D69" s="42">
        <v>0</v>
      </c>
      <c r="E69" s="42">
        <v>0</v>
      </c>
    </row>
    <row r="70" spans="1:5" ht="12.75" customHeight="1">
      <c r="A70" s="962" t="s">
        <v>231</v>
      </c>
      <c r="B70" s="42" t="s">
        <v>2476</v>
      </c>
      <c r="C70" s="42">
        <v>0</v>
      </c>
      <c r="D70" s="42">
        <v>0</v>
      </c>
      <c r="E70" s="42">
        <v>0</v>
      </c>
    </row>
    <row r="71" spans="1:5" ht="12.75" customHeight="1">
      <c r="A71" s="962" t="s">
        <v>231</v>
      </c>
      <c r="B71" s="42" t="s">
        <v>2477</v>
      </c>
      <c r="C71" s="42">
        <v>0</v>
      </c>
      <c r="D71" s="42">
        <v>0</v>
      </c>
      <c r="E71" s="42">
        <v>0</v>
      </c>
    </row>
    <row r="72" spans="1:5" ht="12.75" customHeight="1">
      <c r="A72" s="962" t="s">
        <v>231</v>
      </c>
      <c r="B72" s="42" t="s">
        <v>2478</v>
      </c>
      <c r="C72" s="42">
        <v>0</v>
      </c>
      <c r="D72" s="42">
        <v>0</v>
      </c>
      <c r="E72" s="42">
        <v>0</v>
      </c>
    </row>
    <row r="73" spans="1:5" ht="12.75" customHeight="1">
      <c r="A73" s="962" t="s">
        <v>231</v>
      </c>
      <c r="B73" s="42" t="s">
        <v>2479</v>
      </c>
      <c r="C73" s="42">
        <v>0</v>
      </c>
      <c r="D73" s="42">
        <v>0</v>
      </c>
      <c r="E73" s="42">
        <v>0</v>
      </c>
    </row>
    <row r="74" spans="1:5" ht="12.75" customHeight="1">
      <c r="A74" s="962" t="s">
        <v>231</v>
      </c>
      <c r="B74" s="42" t="s">
        <v>2480</v>
      </c>
      <c r="C74" s="42">
        <v>0</v>
      </c>
      <c r="D74" s="42">
        <v>0</v>
      </c>
      <c r="E74" s="42">
        <v>0</v>
      </c>
    </row>
    <row r="75" spans="1:5" ht="12.75" customHeight="1">
      <c r="A75" s="962" t="s">
        <v>231</v>
      </c>
      <c r="B75" s="42" t="s">
        <v>2481</v>
      </c>
      <c r="C75" s="42">
        <v>0</v>
      </c>
      <c r="D75" s="42">
        <v>0</v>
      </c>
      <c r="E75" s="42">
        <v>0</v>
      </c>
    </row>
    <row r="76" spans="1:5" ht="12.75" customHeight="1">
      <c r="A76" s="962" t="s">
        <v>231</v>
      </c>
      <c r="B76" s="42" t="s">
        <v>2482</v>
      </c>
      <c r="C76" s="42">
        <v>0</v>
      </c>
      <c r="D76" s="42">
        <v>0</v>
      </c>
      <c r="E76" s="42">
        <v>0</v>
      </c>
    </row>
    <row r="77" spans="1:5" ht="12.75" customHeight="1">
      <c r="A77" s="962" t="s">
        <v>231</v>
      </c>
      <c r="B77" s="42" t="s">
        <v>2483</v>
      </c>
      <c r="C77" s="42">
        <v>0</v>
      </c>
      <c r="D77" s="42">
        <v>0</v>
      </c>
      <c r="E77" s="42">
        <v>0</v>
      </c>
    </row>
    <row r="78" spans="1:5" ht="12.75" customHeight="1">
      <c r="A78" s="962" t="s">
        <v>231</v>
      </c>
      <c r="B78" s="42" t="s">
        <v>2484</v>
      </c>
      <c r="C78" s="42">
        <v>0</v>
      </c>
      <c r="D78" s="42">
        <v>0</v>
      </c>
      <c r="E78" s="42">
        <v>0</v>
      </c>
    </row>
    <row r="79" spans="1:5" ht="12.75" customHeight="1">
      <c r="A79" s="962" t="s">
        <v>231</v>
      </c>
      <c r="B79" s="42" t="s">
        <v>2485</v>
      </c>
      <c r="C79" s="42">
        <v>0</v>
      </c>
      <c r="D79" s="42">
        <v>0</v>
      </c>
      <c r="E79" s="42">
        <v>0</v>
      </c>
    </row>
    <row r="80" spans="1:5" ht="12.75" customHeight="1">
      <c r="A80" s="962" t="s">
        <v>231</v>
      </c>
      <c r="B80" s="42" t="s">
        <v>2486</v>
      </c>
      <c r="C80" s="42">
        <v>0</v>
      </c>
      <c r="D80" s="42">
        <v>0</v>
      </c>
      <c r="E80" s="42">
        <v>0</v>
      </c>
    </row>
    <row r="81" spans="1:5" ht="12.75" customHeight="1">
      <c r="A81" s="962" t="s">
        <v>231</v>
      </c>
      <c r="B81" s="42" t="s">
        <v>2487</v>
      </c>
      <c r="C81" s="42">
        <v>0</v>
      </c>
      <c r="D81" s="42">
        <v>1</v>
      </c>
      <c r="E81" s="42">
        <v>1</v>
      </c>
    </row>
    <row r="82" spans="1:5" ht="12.75" customHeight="1">
      <c r="A82" s="962" t="s">
        <v>231</v>
      </c>
      <c r="B82" s="42" t="s">
        <v>2488</v>
      </c>
      <c r="C82" s="42">
        <v>0</v>
      </c>
      <c r="D82" s="42">
        <v>1</v>
      </c>
      <c r="E82" s="42">
        <v>1</v>
      </c>
    </row>
    <row r="83" spans="1:5" ht="12.75" customHeight="1">
      <c r="A83" s="962" t="s">
        <v>231</v>
      </c>
      <c r="B83" s="42" t="s">
        <v>2489</v>
      </c>
      <c r="C83" s="42">
        <v>0</v>
      </c>
      <c r="D83" s="42">
        <v>1</v>
      </c>
      <c r="E83" s="42">
        <v>1</v>
      </c>
    </row>
    <row r="84" spans="1:5" ht="12.75" customHeight="1">
      <c r="A84" s="962" t="s">
        <v>231</v>
      </c>
      <c r="B84" s="42" t="s">
        <v>349</v>
      </c>
      <c r="C84" s="42">
        <v>1</v>
      </c>
      <c r="D84" s="42">
        <v>1</v>
      </c>
      <c r="E84" s="42">
        <v>1</v>
      </c>
    </row>
    <row r="85" spans="1:5" ht="12.75" customHeight="1">
      <c r="A85" s="962" t="s">
        <v>231</v>
      </c>
      <c r="B85" s="42" t="s">
        <v>2490</v>
      </c>
      <c r="C85" s="42">
        <v>1</v>
      </c>
      <c r="D85" s="42">
        <v>1</v>
      </c>
      <c r="E85" s="42">
        <v>1</v>
      </c>
    </row>
    <row r="86" spans="1:5" ht="12.75" customHeight="1">
      <c r="A86" s="962" t="s">
        <v>231</v>
      </c>
      <c r="B86" s="42" t="s">
        <v>2491</v>
      </c>
      <c r="C86" s="42">
        <v>0</v>
      </c>
      <c r="D86" s="42">
        <v>0</v>
      </c>
      <c r="E86" s="42">
        <v>0</v>
      </c>
    </row>
    <row r="87" spans="1:5" ht="12.75" customHeight="1">
      <c r="A87" s="962" t="s">
        <v>231</v>
      </c>
      <c r="B87" s="42" t="s">
        <v>2492</v>
      </c>
      <c r="C87" s="42">
        <v>0</v>
      </c>
      <c r="D87" s="42">
        <v>0</v>
      </c>
      <c r="E87" s="42">
        <v>0</v>
      </c>
    </row>
    <row r="88" spans="1:5" ht="12.75" customHeight="1">
      <c r="A88" s="962" t="s">
        <v>231</v>
      </c>
      <c r="B88" s="42" t="s">
        <v>2493</v>
      </c>
      <c r="C88" s="42">
        <v>0</v>
      </c>
      <c r="D88" s="42">
        <v>0</v>
      </c>
      <c r="E88" s="42">
        <v>0</v>
      </c>
    </row>
    <row r="89" spans="1:5" ht="12.75" customHeight="1">
      <c r="A89" s="962" t="s">
        <v>231</v>
      </c>
      <c r="B89" s="42" t="s">
        <v>352</v>
      </c>
      <c r="C89" s="42">
        <v>1</v>
      </c>
      <c r="D89" s="42">
        <v>1</v>
      </c>
      <c r="E89" s="42">
        <v>1</v>
      </c>
    </row>
    <row r="90" spans="1:5" ht="12.75" customHeight="1">
      <c r="A90" s="962" t="s">
        <v>231</v>
      </c>
      <c r="B90" s="42" t="s">
        <v>2494</v>
      </c>
      <c r="C90" s="42">
        <v>0</v>
      </c>
      <c r="D90" s="42">
        <v>0</v>
      </c>
      <c r="E90" s="42">
        <v>0</v>
      </c>
    </row>
    <row r="91" spans="1:5" ht="12.75" customHeight="1">
      <c r="A91" s="962" t="s">
        <v>360</v>
      </c>
      <c r="B91" s="42" t="s">
        <v>2495</v>
      </c>
      <c r="C91" s="42">
        <v>0</v>
      </c>
      <c r="D91" s="42">
        <v>0</v>
      </c>
      <c r="E91" s="42">
        <v>0</v>
      </c>
    </row>
    <row r="92" spans="1:5" ht="12.75" customHeight="1">
      <c r="A92" s="962" t="s">
        <v>360</v>
      </c>
      <c r="B92" s="42" t="s">
        <v>2496</v>
      </c>
      <c r="C92" s="42">
        <v>0</v>
      </c>
      <c r="D92" s="42">
        <v>0</v>
      </c>
      <c r="E92" s="42">
        <v>0</v>
      </c>
    </row>
    <row r="93" spans="1:5" ht="12.75" customHeight="1">
      <c r="A93" s="962" t="s">
        <v>360</v>
      </c>
      <c r="B93" s="42" t="s">
        <v>2497</v>
      </c>
      <c r="C93" s="42">
        <v>0</v>
      </c>
      <c r="D93" s="42">
        <v>0</v>
      </c>
      <c r="E93" s="42">
        <v>0</v>
      </c>
    </row>
    <row r="94" spans="1:5" ht="12.75" customHeight="1">
      <c r="A94" s="962" t="s">
        <v>360</v>
      </c>
      <c r="B94" s="42" t="s">
        <v>2498</v>
      </c>
      <c r="C94" s="42">
        <v>0</v>
      </c>
      <c r="D94" s="42">
        <v>0</v>
      </c>
      <c r="E94" s="42">
        <v>0</v>
      </c>
    </row>
    <row r="95" spans="1:5" ht="12.75" customHeight="1">
      <c r="A95" s="962" t="s">
        <v>360</v>
      </c>
      <c r="B95" s="42" t="s">
        <v>2499</v>
      </c>
      <c r="C95" s="42">
        <v>0</v>
      </c>
      <c r="D95" s="42">
        <v>0</v>
      </c>
      <c r="E95" s="42">
        <v>0</v>
      </c>
    </row>
    <row r="96" spans="1:5" ht="12.75" customHeight="1">
      <c r="A96" s="962" t="s">
        <v>360</v>
      </c>
      <c r="B96" s="42" t="s">
        <v>2500</v>
      </c>
      <c r="C96" s="42">
        <v>0</v>
      </c>
      <c r="D96" s="42">
        <v>0</v>
      </c>
      <c r="E96" s="42">
        <v>0</v>
      </c>
    </row>
    <row r="97" spans="1:5" ht="12.75" customHeight="1">
      <c r="A97" s="962" t="s">
        <v>360</v>
      </c>
      <c r="B97" s="42" t="s">
        <v>2501</v>
      </c>
      <c r="C97" s="42">
        <v>0</v>
      </c>
      <c r="D97" s="42">
        <v>0</v>
      </c>
      <c r="E97" s="42">
        <v>0</v>
      </c>
    </row>
    <row r="98" spans="1:5" ht="12.75" customHeight="1">
      <c r="A98" s="962" t="s">
        <v>360</v>
      </c>
      <c r="B98" s="42" t="s">
        <v>2502</v>
      </c>
      <c r="C98" s="42">
        <v>0</v>
      </c>
      <c r="D98" s="42">
        <v>0</v>
      </c>
      <c r="E98" s="42">
        <v>0</v>
      </c>
    </row>
    <row r="99" spans="1:5" ht="12.75" customHeight="1">
      <c r="A99" s="962" t="s">
        <v>360</v>
      </c>
      <c r="B99" s="42" t="s">
        <v>2503</v>
      </c>
      <c r="C99" s="42">
        <v>0</v>
      </c>
      <c r="D99" s="42">
        <v>0</v>
      </c>
      <c r="E99" s="42">
        <v>0</v>
      </c>
    </row>
    <row r="100" spans="1:5" ht="12.75" customHeight="1">
      <c r="A100" s="962" t="s">
        <v>360</v>
      </c>
      <c r="B100" s="42" t="s">
        <v>2504</v>
      </c>
      <c r="C100" s="42">
        <v>0</v>
      </c>
      <c r="D100" s="42">
        <v>0</v>
      </c>
      <c r="E100" s="42">
        <v>0</v>
      </c>
    </row>
    <row r="101" spans="1:5" ht="12.75" customHeight="1">
      <c r="A101" s="962" t="s">
        <v>360</v>
      </c>
      <c r="B101" s="42" t="s">
        <v>2505</v>
      </c>
      <c r="C101" s="42">
        <v>0</v>
      </c>
      <c r="D101" s="42">
        <v>0</v>
      </c>
      <c r="E101" s="42">
        <v>0</v>
      </c>
    </row>
    <row r="102" spans="1:5" ht="12.75" customHeight="1">
      <c r="A102" s="962" t="s">
        <v>360</v>
      </c>
      <c r="B102" s="42" t="s">
        <v>2505</v>
      </c>
      <c r="C102" s="42">
        <v>0</v>
      </c>
      <c r="D102" s="42">
        <v>0</v>
      </c>
      <c r="E102" s="42">
        <v>0</v>
      </c>
    </row>
    <row r="103" spans="1:5" ht="12.75" customHeight="1">
      <c r="A103" s="962" t="s">
        <v>360</v>
      </c>
      <c r="B103" s="42" t="s">
        <v>2506</v>
      </c>
      <c r="C103" s="42">
        <v>1</v>
      </c>
      <c r="D103" s="42">
        <v>1</v>
      </c>
      <c r="E103" s="42">
        <v>1</v>
      </c>
    </row>
    <row r="104" spans="1:5" ht="12.75" customHeight="1">
      <c r="A104" s="962" t="s">
        <v>360</v>
      </c>
      <c r="B104" s="42" t="s">
        <v>2507</v>
      </c>
      <c r="C104" s="42">
        <v>0</v>
      </c>
      <c r="D104" s="42">
        <v>0</v>
      </c>
      <c r="E104" s="42">
        <v>0</v>
      </c>
    </row>
    <row r="105" spans="1:5" ht="12.75" customHeight="1">
      <c r="A105" s="962" t="s">
        <v>360</v>
      </c>
      <c r="B105" s="42" t="s">
        <v>2508</v>
      </c>
      <c r="C105" s="42">
        <v>0</v>
      </c>
      <c r="D105" s="42">
        <v>0</v>
      </c>
      <c r="E105" s="42">
        <v>0</v>
      </c>
    </row>
    <row r="106" spans="1:5" ht="12.75" customHeight="1">
      <c r="A106" s="962" t="s">
        <v>360</v>
      </c>
      <c r="B106" s="42" t="s">
        <v>2509</v>
      </c>
      <c r="C106" s="42">
        <v>0</v>
      </c>
      <c r="D106" s="42">
        <v>0</v>
      </c>
      <c r="E106" s="42">
        <v>0</v>
      </c>
    </row>
    <row r="107" spans="1:5" ht="12.75" customHeight="1">
      <c r="A107" s="962" t="s">
        <v>360</v>
      </c>
      <c r="B107" s="42" t="s">
        <v>2510</v>
      </c>
      <c r="C107" s="42">
        <v>0</v>
      </c>
      <c r="D107" s="42">
        <v>0</v>
      </c>
      <c r="E107" s="42">
        <v>0</v>
      </c>
    </row>
    <row r="108" spans="1:5" ht="12.75" customHeight="1">
      <c r="A108" s="962" t="s">
        <v>360</v>
      </c>
      <c r="B108" s="42" t="s">
        <v>2511</v>
      </c>
      <c r="C108" s="42">
        <v>0</v>
      </c>
      <c r="D108" s="42">
        <v>0</v>
      </c>
      <c r="E108" s="42">
        <v>0</v>
      </c>
    </row>
    <row r="109" spans="1:5" ht="12.75" customHeight="1">
      <c r="A109" s="962" t="s">
        <v>360</v>
      </c>
      <c r="B109" s="42" t="s">
        <v>2512</v>
      </c>
      <c r="C109" s="42">
        <v>0</v>
      </c>
      <c r="D109" s="42">
        <v>0</v>
      </c>
      <c r="E109" s="42">
        <v>0</v>
      </c>
    </row>
    <row r="110" spans="1:5" ht="12.75" customHeight="1">
      <c r="A110" s="962" t="s">
        <v>360</v>
      </c>
      <c r="B110" s="42" t="s">
        <v>2513</v>
      </c>
      <c r="C110" s="42">
        <v>0</v>
      </c>
      <c r="D110" s="42">
        <v>0</v>
      </c>
      <c r="E110" s="42">
        <v>0</v>
      </c>
    </row>
    <row r="111" spans="1:5" ht="12.75" customHeight="1">
      <c r="A111" s="962" t="s">
        <v>360</v>
      </c>
      <c r="B111" s="42" t="s">
        <v>2514</v>
      </c>
      <c r="C111" s="42">
        <v>0</v>
      </c>
      <c r="D111" s="42">
        <v>0</v>
      </c>
      <c r="E111" s="42">
        <v>0</v>
      </c>
    </row>
    <row r="112" spans="1:5" ht="12.75" customHeight="1">
      <c r="A112" s="962" t="s">
        <v>360</v>
      </c>
      <c r="B112" s="42" t="s">
        <v>2515</v>
      </c>
      <c r="C112" s="42">
        <v>0</v>
      </c>
      <c r="D112" s="42">
        <v>0</v>
      </c>
      <c r="E112" s="42">
        <v>0</v>
      </c>
    </row>
    <row r="113" spans="1:5" ht="12.75" customHeight="1">
      <c r="A113" s="962" t="s">
        <v>360</v>
      </c>
      <c r="B113" s="42" t="s">
        <v>2516</v>
      </c>
      <c r="C113" s="42">
        <v>0</v>
      </c>
      <c r="D113" s="42">
        <v>0</v>
      </c>
      <c r="E113" s="42">
        <v>0</v>
      </c>
    </row>
    <row r="114" spans="1:5" ht="12.75" customHeight="1">
      <c r="A114" s="962" t="s">
        <v>360</v>
      </c>
      <c r="B114" s="42" t="s">
        <v>2517</v>
      </c>
      <c r="C114" s="42">
        <v>0</v>
      </c>
      <c r="D114" s="42">
        <v>0</v>
      </c>
      <c r="E114" s="42">
        <v>0</v>
      </c>
    </row>
    <row r="115" spans="1:5" ht="12.75" customHeight="1">
      <c r="A115" s="962" t="s">
        <v>360</v>
      </c>
      <c r="B115" s="42" t="s">
        <v>2518</v>
      </c>
      <c r="C115" s="42">
        <v>0</v>
      </c>
      <c r="D115" s="42">
        <v>0</v>
      </c>
      <c r="E115" s="42">
        <v>0</v>
      </c>
    </row>
    <row r="116" spans="1:5" ht="12.75" customHeight="1">
      <c r="A116" s="962" t="s">
        <v>360</v>
      </c>
      <c r="B116" s="42" t="s">
        <v>2519</v>
      </c>
      <c r="C116" s="42">
        <v>0</v>
      </c>
      <c r="D116" s="42">
        <v>0</v>
      </c>
      <c r="E116" s="42">
        <v>0</v>
      </c>
    </row>
    <row r="117" spans="1:5" ht="12.75" customHeight="1">
      <c r="A117" s="962" t="s">
        <v>360</v>
      </c>
      <c r="B117" s="42" t="s">
        <v>2520</v>
      </c>
      <c r="C117" s="42">
        <v>0</v>
      </c>
      <c r="D117" s="42">
        <v>0</v>
      </c>
      <c r="E117" s="42">
        <v>0</v>
      </c>
    </row>
    <row r="118" spans="1:5" ht="12.75" customHeight="1">
      <c r="A118" s="962" t="s">
        <v>360</v>
      </c>
      <c r="B118" s="42" t="s">
        <v>2521</v>
      </c>
      <c r="C118" s="42">
        <v>0</v>
      </c>
      <c r="D118" s="42">
        <v>0</v>
      </c>
      <c r="E118" s="42">
        <v>0</v>
      </c>
    </row>
    <row r="119" spans="1:5" ht="12.75" customHeight="1">
      <c r="A119" s="962" t="s">
        <v>360</v>
      </c>
      <c r="B119" s="42" t="s">
        <v>2522</v>
      </c>
      <c r="C119" s="42">
        <v>0</v>
      </c>
      <c r="D119" s="42">
        <v>0</v>
      </c>
      <c r="E119" s="42">
        <v>0</v>
      </c>
    </row>
    <row r="120" spans="1:5" ht="12.75" customHeight="1">
      <c r="A120" s="962" t="s">
        <v>360</v>
      </c>
      <c r="B120" s="42" t="s">
        <v>2523</v>
      </c>
      <c r="C120" s="42">
        <v>0</v>
      </c>
      <c r="D120" s="42">
        <v>0</v>
      </c>
      <c r="E120" s="42">
        <v>0</v>
      </c>
    </row>
    <row r="121" spans="1:5" ht="12.75" customHeight="1">
      <c r="A121" s="962" t="s">
        <v>360</v>
      </c>
      <c r="B121" s="42" t="s">
        <v>2524</v>
      </c>
      <c r="C121" s="42">
        <v>0</v>
      </c>
      <c r="D121" s="42">
        <v>0</v>
      </c>
      <c r="E121" s="42">
        <v>0</v>
      </c>
    </row>
    <row r="122" spans="1:5" ht="12.75" customHeight="1">
      <c r="A122" s="962" t="s">
        <v>360</v>
      </c>
      <c r="B122" s="42" t="s">
        <v>2525</v>
      </c>
      <c r="C122" s="42">
        <v>0</v>
      </c>
      <c r="D122" s="42">
        <v>0</v>
      </c>
      <c r="E122" s="42">
        <v>0</v>
      </c>
    </row>
    <row r="123" spans="1:5" ht="12.75" customHeight="1">
      <c r="A123" s="962" t="s">
        <v>360</v>
      </c>
      <c r="B123" s="42" t="s">
        <v>2526</v>
      </c>
      <c r="C123" s="42">
        <v>0</v>
      </c>
      <c r="D123" s="42">
        <v>0</v>
      </c>
      <c r="E123" s="42">
        <v>0</v>
      </c>
    </row>
    <row r="124" spans="1:5" ht="12.75" customHeight="1">
      <c r="A124" s="962" t="s">
        <v>360</v>
      </c>
      <c r="B124" s="42" t="s">
        <v>2527</v>
      </c>
      <c r="C124" s="42">
        <v>0</v>
      </c>
      <c r="D124" s="42">
        <v>0</v>
      </c>
      <c r="E124" s="42">
        <v>0</v>
      </c>
    </row>
    <row r="125" spans="1:5" ht="12.75" customHeight="1">
      <c r="A125" s="962" t="s">
        <v>360</v>
      </c>
      <c r="B125" s="42" t="s">
        <v>2528</v>
      </c>
      <c r="C125" s="42">
        <v>0</v>
      </c>
      <c r="D125" s="42">
        <v>0</v>
      </c>
      <c r="E125" s="42">
        <v>0</v>
      </c>
    </row>
    <row r="126" spans="1:5" ht="12.75" customHeight="1">
      <c r="A126" s="962" t="s">
        <v>360</v>
      </c>
      <c r="B126" s="42" t="s">
        <v>2529</v>
      </c>
      <c r="C126" s="42">
        <v>0</v>
      </c>
      <c r="D126" s="42">
        <v>0</v>
      </c>
      <c r="E126" s="42">
        <v>0</v>
      </c>
    </row>
    <row r="127" spans="1:5" ht="12.75" customHeight="1">
      <c r="A127" s="962" t="s">
        <v>360</v>
      </c>
      <c r="B127" s="42" t="s">
        <v>2530</v>
      </c>
      <c r="C127" s="42">
        <v>0</v>
      </c>
      <c r="D127" s="42">
        <v>0</v>
      </c>
      <c r="E127" s="42">
        <v>0</v>
      </c>
    </row>
    <row r="128" spans="1:5" ht="12.75" customHeight="1">
      <c r="A128" s="962" t="s">
        <v>360</v>
      </c>
      <c r="B128" s="42" t="s">
        <v>2531</v>
      </c>
      <c r="C128" s="42">
        <v>0</v>
      </c>
      <c r="D128" s="42">
        <v>0</v>
      </c>
      <c r="E128" s="42">
        <v>0</v>
      </c>
    </row>
    <row r="129" spans="1:5" ht="12.75" customHeight="1">
      <c r="A129" s="962" t="s">
        <v>360</v>
      </c>
      <c r="B129" s="42" t="s">
        <v>2532</v>
      </c>
      <c r="C129" s="42">
        <v>0</v>
      </c>
      <c r="D129" s="42">
        <v>0</v>
      </c>
      <c r="E129" s="42">
        <v>0</v>
      </c>
    </row>
    <row r="130" spans="1:5" ht="12.75" customHeight="1">
      <c r="A130" s="962" t="s">
        <v>360</v>
      </c>
      <c r="B130" s="42" t="s">
        <v>2533</v>
      </c>
      <c r="C130" s="42">
        <v>0</v>
      </c>
      <c r="D130" s="42">
        <v>0</v>
      </c>
      <c r="E130" s="42">
        <v>0</v>
      </c>
    </row>
    <row r="131" spans="1:5" ht="12.75" customHeight="1">
      <c r="A131" s="962" t="s">
        <v>360</v>
      </c>
      <c r="B131" s="42" t="s">
        <v>2534</v>
      </c>
      <c r="C131" s="42">
        <v>0</v>
      </c>
      <c r="D131" s="42">
        <v>0</v>
      </c>
      <c r="E131" s="42">
        <v>0</v>
      </c>
    </row>
    <row r="132" spans="1:5" ht="12.75" customHeight="1">
      <c r="A132" s="962" t="s">
        <v>360</v>
      </c>
      <c r="B132" s="42" t="s">
        <v>2535</v>
      </c>
      <c r="C132" s="42">
        <v>0</v>
      </c>
      <c r="D132" s="42">
        <v>0</v>
      </c>
      <c r="E132" s="42">
        <v>0</v>
      </c>
    </row>
    <row r="133" spans="1:5" ht="12.75" customHeight="1">
      <c r="A133" s="962" t="s">
        <v>360</v>
      </c>
      <c r="B133" s="42" t="s">
        <v>2536</v>
      </c>
      <c r="C133" s="42">
        <v>0</v>
      </c>
      <c r="D133" s="42">
        <v>0</v>
      </c>
      <c r="E133" s="42">
        <v>0</v>
      </c>
    </row>
    <row r="134" spans="1:5" ht="12.75" customHeight="1">
      <c r="A134" s="962" t="s">
        <v>360</v>
      </c>
      <c r="B134" s="42" t="s">
        <v>2537</v>
      </c>
      <c r="C134" s="42">
        <v>0</v>
      </c>
      <c r="D134" s="42">
        <v>0</v>
      </c>
      <c r="E134" s="42">
        <v>0</v>
      </c>
    </row>
    <row r="135" spans="1:5" ht="12.75" customHeight="1">
      <c r="A135" s="962" t="s">
        <v>360</v>
      </c>
      <c r="B135" s="963" t="s">
        <v>2538</v>
      </c>
      <c r="C135" s="42">
        <v>0</v>
      </c>
      <c r="D135" s="42">
        <v>0</v>
      </c>
      <c r="E135" s="42">
        <v>0</v>
      </c>
    </row>
    <row r="136" spans="1:5" ht="12.75" customHeight="1">
      <c r="A136" s="962" t="s">
        <v>360</v>
      </c>
      <c r="B136" s="42" t="s">
        <v>2539</v>
      </c>
      <c r="C136" s="42">
        <v>0</v>
      </c>
      <c r="D136" s="42">
        <v>0</v>
      </c>
      <c r="E136" s="42">
        <v>0</v>
      </c>
    </row>
    <row r="137" spans="1:5" ht="12.75" customHeight="1">
      <c r="A137" s="962" t="s">
        <v>360</v>
      </c>
      <c r="B137" s="42" t="s">
        <v>2540</v>
      </c>
      <c r="C137" s="42">
        <v>0</v>
      </c>
      <c r="D137" s="42">
        <v>0</v>
      </c>
      <c r="E137" s="42">
        <v>0</v>
      </c>
    </row>
    <row r="138" spans="1:5" ht="12.75" customHeight="1">
      <c r="A138" s="962" t="s">
        <v>360</v>
      </c>
      <c r="B138" s="42" t="s">
        <v>2541</v>
      </c>
      <c r="C138" s="42">
        <v>0</v>
      </c>
      <c r="D138" s="42">
        <v>0</v>
      </c>
      <c r="E138" s="42">
        <v>0</v>
      </c>
    </row>
    <row r="139" spans="1:5" ht="12.75" customHeight="1">
      <c r="A139" s="962" t="s">
        <v>360</v>
      </c>
      <c r="B139" s="42" t="s">
        <v>2542</v>
      </c>
      <c r="C139" s="42">
        <v>0</v>
      </c>
      <c r="D139" s="42">
        <v>0</v>
      </c>
      <c r="E139" s="42">
        <v>0</v>
      </c>
    </row>
    <row r="140" spans="1:5" ht="12.75" customHeight="1">
      <c r="A140" s="962" t="s">
        <v>360</v>
      </c>
      <c r="B140" s="42" t="s">
        <v>2543</v>
      </c>
      <c r="C140" s="42">
        <v>0</v>
      </c>
      <c r="D140" s="42">
        <v>0</v>
      </c>
      <c r="E140" s="42">
        <v>0</v>
      </c>
    </row>
    <row r="141" spans="1:5" ht="12.75" customHeight="1">
      <c r="A141" s="962" t="s">
        <v>360</v>
      </c>
      <c r="B141" s="42" t="s">
        <v>2544</v>
      </c>
      <c r="C141" s="42">
        <v>0</v>
      </c>
      <c r="D141" s="42">
        <v>0</v>
      </c>
      <c r="E141" s="42">
        <v>0</v>
      </c>
    </row>
    <row r="142" spans="1:5" ht="12.75" customHeight="1">
      <c r="A142" s="962" t="s">
        <v>360</v>
      </c>
      <c r="B142" s="42" t="s">
        <v>2545</v>
      </c>
      <c r="C142" s="42">
        <v>0</v>
      </c>
      <c r="D142" s="42">
        <v>0</v>
      </c>
      <c r="E142" s="42">
        <v>0</v>
      </c>
    </row>
    <row r="143" spans="1:5" ht="12.75" customHeight="1">
      <c r="A143" s="962" t="s">
        <v>360</v>
      </c>
      <c r="B143" s="42" t="s">
        <v>2546</v>
      </c>
      <c r="C143" s="42">
        <v>0</v>
      </c>
      <c r="D143" s="42">
        <v>0</v>
      </c>
      <c r="E143" s="42">
        <v>0</v>
      </c>
    </row>
    <row r="144" spans="1:5" ht="12.75" customHeight="1">
      <c r="A144" s="962" t="s">
        <v>360</v>
      </c>
      <c r="B144" s="42" t="s">
        <v>2547</v>
      </c>
      <c r="C144" s="42">
        <v>1</v>
      </c>
      <c r="D144" s="42">
        <v>1</v>
      </c>
      <c r="E144" s="42">
        <v>1</v>
      </c>
    </row>
    <row r="145" spans="1:5" ht="12.75" customHeight="1">
      <c r="A145" s="962" t="s">
        <v>360</v>
      </c>
      <c r="B145" s="42" t="s">
        <v>2548</v>
      </c>
      <c r="C145" s="42">
        <v>1</v>
      </c>
      <c r="D145" s="42">
        <v>1</v>
      </c>
      <c r="E145" s="42">
        <v>1</v>
      </c>
    </row>
    <row r="146" spans="1:5" ht="12.75" customHeight="1">
      <c r="A146" s="962" t="s">
        <v>387</v>
      </c>
      <c r="B146" s="42" t="s">
        <v>2549</v>
      </c>
      <c r="C146" s="42">
        <v>0</v>
      </c>
      <c r="D146" s="42">
        <v>0</v>
      </c>
      <c r="E146" s="42">
        <v>0</v>
      </c>
    </row>
    <row r="147" spans="1:5" ht="12.75" customHeight="1">
      <c r="A147" s="962" t="s">
        <v>387</v>
      </c>
      <c r="B147" s="42" t="s">
        <v>2550</v>
      </c>
      <c r="C147" s="42">
        <v>0</v>
      </c>
      <c r="D147" s="42">
        <v>0</v>
      </c>
      <c r="E147" s="42">
        <v>0</v>
      </c>
    </row>
    <row r="148" spans="1:5" ht="12.75" customHeight="1">
      <c r="A148" s="962" t="s">
        <v>387</v>
      </c>
      <c r="B148" s="42" t="s">
        <v>2551</v>
      </c>
      <c r="C148" s="42">
        <v>0</v>
      </c>
      <c r="D148" s="42">
        <v>0</v>
      </c>
      <c r="E148" s="42">
        <v>0</v>
      </c>
    </row>
    <row r="149" spans="1:5" ht="12.75" customHeight="1">
      <c r="A149" s="962" t="s">
        <v>387</v>
      </c>
      <c r="B149" s="42" t="s">
        <v>2552</v>
      </c>
      <c r="C149" s="42">
        <v>0</v>
      </c>
      <c r="D149" s="42">
        <v>0</v>
      </c>
      <c r="E149" s="42">
        <v>0</v>
      </c>
    </row>
    <row r="150" spans="1:5" ht="12.75" customHeight="1">
      <c r="A150" s="962" t="s">
        <v>387</v>
      </c>
      <c r="B150" s="42" t="s">
        <v>2553</v>
      </c>
      <c r="C150" s="42">
        <v>0</v>
      </c>
      <c r="D150" s="42">
        <v>1</v>
      </c>
      <c r="E150" s="42">
        <v>1</v>
      </c>
    </row>
    <row r="151" spans="1:5" ht="12.75" customHeight="1">
      <c r="A151" s="962" t="s">
        <v>387</v>
      </c>
      <c r="B151" s="42" t="s">
        <v>2263</v>
      </c>
      <c r="C151" s="42">
        <v>1</v>
      </c>
      <c r="D151" s="42">
        <v>1</v>
      </c>
      <c r="E151" s="42">
        <v>1</v>
      </c>
    </row>
    <row r="152" spans="1:5" ht="12.75" customHeight="1">
      <c r="A152" s="962" t="s">
        <v>387</v>
      </c>
      <c r="B152" s="42" t="s">
        <v>2554</v>
      </c>
      <c r="C152" s="42">
        <v>0</v>
      </c>
      <c r="D152" s="42">
        <v>1</v>
      </c>
      <c r="E152" s="42">
        <v>1</v>
      </c>
    </row>
    <row r="153" spans="1:5" ht="12.75" customHeight="1">
      <c r="A153" s="962" t="s">
        <v>387</v>
      </c>
      <c r="B153" s="42" t="s">
        <v>2555</v>
      </c>
      <c r="C153" s="42">
        <v>0</v>
      </c>
      <c r="D153" s="42">
        <v>0</v>
      </c>
      <c r="E153" s="42">
        <v>0</v>
      </c>
    </row>
    <row r="154" spans="1:5" ht="12.75" customHeight="1">
      <c r="A154" s="962" t="s">
        <v>387</v>
      </c>
      <c r="B154" s="42" t="s">
        <v>2556</v>
      </c>
      <c r="C154" s="42">
        <v>0</v>
      </c>
      <c r="D154" s="42">
        <v>0</v>
      </c>
      <c r="E154" s="42">
        <v>0</v>
      </c>
    </row>
    <row r="155" spans="1:5" ht="12.75" customHeight="1">
      <c r="A155" s="962" t="s">
        <v>387</v>
      </c>
      <c r="B155" s="42" t="s">
        <v>2557</v>
      </c>
      <c r="C155" s="42">
        <v>0</v>
      </c>
      <c r="D155" s="42">
        <v>0</v>
      </c>
      <c r="E155" s="42">
        <v>0</v>
      </c>
    </row>
    <row r="156" spans="1:5" ht="12.75" customHeight="1">
      <c r="A156" s="962" t="s">
        <v>387</v>
      </c>
      <c r="B156" s="42" t="s">
        <v>2558</v>
      </c>
      <c r="C156" s="42">
        <v>0</v>
      </c>
      <c r="D156" s="42">
        <v>0</v>
      </c>
      <c r="E156" s="42">
        <v>0</v>
      </c>
    </row>
    <row r="157" spans="1:5" ht="12.75" customHeight="1">
      <c r="A157" s="962" t="s">
        <v>387</v>
      </c>
      <c r="B157" s="42" t="s">
        <v>2559</v>
      </c>
      <c r="C157" s="42">
        <v>1</v>
      </c>
      <c r="D157" s="42">
        <v>1</v>
      </c>
      <c r="E157" s="42">
        <v>1</v>
      </c>
    </row>
    <row r="158" spans="1:5" ht="12.75" customHeight="1">
      <c r="A158" s="962" t="s">
        <v>387</v>
      </c>
      <c r="B158" s="42" t="s">
        <v>2560</v>
      </c>
      <c r="C158" s="42">
        <v>1</v>
      </c>
      <c r="D158" s="42">
        <v>1</v>
      </c>
      <c r="E158" s="42">
        <v>1</v>
      </c>
    </row>
    <row r="159" spans="1:5" ht="12.75" customHeight="1">
      <c r="A159" s="962" t="s">
        <v>387</v>
      </c>
      <c r="B159" s="42" t="s">
        <v>2561</v>
      </c>
      <c r="C159" s="42">
        <v>0</v>
      </c>
      <c r="D159" s="42">
        <v>0</v>
      </c>
      <c r="E159" s="42">
        <v>0</v>
      </c>
    </row>
    <row r="160" spans="1:5" ht="12.75" customHeight="1">
      <c r="A160" s="962" t="s">
        <v>387</v>
      </c>
      <c r="B160" s="42" t="s">
        <v>2562</v>
      </c>
      <c r="C160" s="42">
        <v>0</v>
      </c>
      <c r="D160" s="42">
        <v>0</v>
      </c>
      <c r="E160" s="42">
        <v>0</v>
      </c>
    </row>
    <row r="161" spans="1:5" ht="12.75" customHeight="1">
      <c r="A161" s="962" t="s">
        <v>387</v>
      </c>
      <c r="B161" s="42" t="s">
        <v>2563</v>
      </c>
      <c r="C161" s="42">
        <v>0</v>
      </c>
      <c r="D161" s="42">
        <v>0</v>
      </c>
      <c r="E161" s="42">
        <v>0</v>
      </c>
    </row>
    <row r="162" spans="1:5" ht="12.75" customHeight="1">
      <c r="A162" s="962" t="s">
        <v>387</v>
      </c>
      <c r="B162" s="42" t="s">
        <v>2564</v>
      </c>
      <c r="C162" s="42">
        <v>0</v>
      </c>
      <c r="D162" s="42">
        <v>0</v>
      </c>
      <c r="E162" s="42">
        <v>0</v>
      </c>
    </row>
    <row r="163" spans="1:5" ht="12.75" customHeight="1">
      <c r="A163" s="962" t="s">
        <v>387</v>
      </c>
      <c r="B163" s="42" t="s">
        <v>2565</v>
      </c>
      <c r="C163" s="42">
        <v>0</v>
      </c>
      <c r="D163" s="42">
        <v>0</v>
      </c>
      <c r="E163" s="42">
        <v>0</v>
      </c>
    </row>
    <row r="164" spans="1:5" ht="12.75" customHeight="1">
      <c r="A164" s="962" t="s">
        <v>387</v>
      </c>
      <c r="B164" s="42" t="s">
        <v>2566</v>
      </c>
      <c r="C164" s="42">
        <v>1</v>
      </c>
      <c r="D164" s="42">
        <v>1</v>
      </c>
      <c r="E164" s="42">
        <v>1</v>
      </c>
    </row>
    <row r="165" spans="1:5" ht="12.75" customHeight="1">
      <c r="A165" s="962" t="s">
        <v>387</v>
      </c>
      <c r="B165" s="42" t="s">
        <v>2567</v>
      </c>
      <c r="C165" s="42">
        <v>0</v>
      </c>
      <c r="D165" s="42">
        <v>1</v>
      </c>
      <c r="E165" s="42">
        <v>1</v>
      </c>
    </row>
    <row r="166" spans="1:5" ht="12.75" customHeight="1">
      <c r="A166" s="962" t="s">
        <v>387</v>
      </c>
      <c r="B166" s="42" t="s">
        <v>2568</v>
      </c>
      <c r="C166" s="42">
        <v>0</v>
      </c>
      <c r="D166" s="42">
        <v>0</v>
      </c>
      <c r="E166" s="42">
        <v>0</v>
      </c>
    </row>
    <row r="167" spans="1:5" ht="12.75" customHeight="1">
      <c r="A167" s="962" t="s">
        <v>387</v>
      </c>
      <c r="B167" s="42" t="s">
        <v>2569</v>
      </c>
      <c r="C167" s="42">
        <v>0</v>
      </c>
      <c r="D167" s="42">
        <v>1</v>
      </c>
      <c r="E167" s="42">
        <v>0</v>
      </c>
    </row>
    <row r="168" spans="1:5" ht="12.75" customHeight="1">
      <c r="A168" s="962" t="s">
        <v>387</v>
      </c>
      <c r="B168" s="42" t="s">
        <v>2197</v>
      </c>
      <c r="C168" s="42">
        <v>0</v>
      </c>
      <c r="D168" s="42">
        <v>0</v>
      </c>
      <c r="E168" s="42">
        <v>1</v>
      </c>
    </row>
    <row r="169" spans="1:5" ht="12.75" customHeight="1">
      <c r="A169" s="962" t="s">
        <v>387</v>
      </c>
      <c r="B169" s="42" t="s">
        <v>2570</v>
      </c>
      <c r="C169" s="42">
        <v>0</v>
      </c>
      <c r="D169" s="42">
        <v>1</v>
      </c>
      <c r="E169" s="42">
        <v>1</v>
      </c>
    </row>
    <row r="170" spans="1:5" ht="12.75" customHeight="1">
      <c r="A170" s="962" t="s">
        <v>387</v>
      </c>
      <c r="B170" s="42" t="s">
        <v>2571</v>
      </c>
      <c r="C170" s="42">
        <v>0</v>
      </c>
      <c r="D170" s="42">
        <v>0</v>
      </c>
      <c r="E170" s="42">
        <v>0</v>
      </c>
    </row>
    <row r="171" spans="1:5" ht="12.75" customHeight="1">
      <c r="A171" s="962" t="s">
        <v>387</v>
      </c>
      <c r="B171" s="42" t="s">
        <v>2572</v>
      </c>
      <c r="C171" s="42">
        <v>0</v>
      </c>
      <c r="D171" s="42">
        <v>0</v>
      </c>
      <c r="E171" s="42">
        <v>0</v>
      </c>
    </row>
    <row r="172" spans="1:5" ht="12.75" customHeight="1">
      <c r="A172" s="962" t="s">
        <v>387</v>
      </c>
      <c r="B172" s="42" t="s">
        <v>2573</v>
      </c>
      <c r="C172" s="42">
        <v>1</v>
      </c>
      <c r="D172" s="42">
        <v>1</v>
      </c>
      <c r="E172" s="42">
        <v>1</v>
      </c>
    </row>
    <row r="173" spans="1:5" ht="12.75" customHeight="1">
      <c r="A173" s="962" t="s">
        <v>387</v>
      </c>
      <c r="B173" s="42" t="s">
        <v>2574</v>
      </c>
      <c r="C173" s="42">
        <v>0</v>
      </c>
      <c r="D173" s="42">
        <v>0</v>
      </c>
      <c r="E173" s="42">
        <v>0</v>
      </c>
    </row>
    <row r="174" spans="1:5" ht="12.75" customHeight="1">
      <c r="A174" s="962" t="s">
        <v>387</v>
      </c>
      <c r="B174" s="42" t="s">
        <v>2575</v>
      </c>
      <c r="C174" s="42">
        <v>0</v>
      </c>
      <c r="D174" s="42">
        <v>0</v>
      </c>
      <c r="E174" s="42">
        <v>0</v>
      </c>
    </row>
    <row r="175" spans="1:5" ht="12.75" customHeight="1">
      <c r="A175" s="962" t="s">
        <v>387</v>
      </c>
      <c r="B175" s="42" t="s">
        <v>2576</v>
      </c>
      <c r="C175" s="42">
        <v>0</v>
      </c>
      <c r="D175" s="42">
        <v>0</v>
      </c>
      <c r="E175" s="42">
        <v>0</v>
      </c>
    </row>
    <row r="176" spans="1:5" ht="12.75" customHeight="1">
      <c r="A176" s="962" t="s">
        <v>387</v>
      </c>
      <c r="B176" s="42" t="s">
        <v>2577</v>
      </c>
      <c r="C176" s="42">
        <v>0</v>
      </c>
      <c r="D176" s="42">
        <v>1</v>
      </c>
      <c r="E176" s="42">
        <v>0</v>
      </c>
    </row>
    <row r="177" spans="1:5" ht="12.75" customHeight="1">
      <c r="A177" s="962" t="s">
        <v>387</v>
      </c>
      <c r="B177" s="42" t="s">
        <v>2578</v>
      </c>
      <c r="C177" s="42">
        <v>0</v>
      </c>
      <c r="D177" s="42">
        <v>0</v>
      </c>
      <c r="E177" s="42">
        <v>0</v>
      </c>
    </row>
    <row r="178" spans="1:5" ht="12.75" customHeight="1">
      <c r="A178" s="962" t="s">
        <v>387</v>
      </c>
      <c r="B178" s="42" t="s">
        <v>2579</v>
      </c>
      <c r="C178" s="42">
        <v>0</v>
      </c>
      <c r="D178" s="42">
        <v>0</v>
      </c>
      <c r="E178" s="42">
        <v>0</v>
      </c>
    </row>
    <row r="179" spans="1:5" ht="12.75" customHeight="1">
      <c r="A179" s="962" t="s">
        <v>387</v>
      </c>
      <c r="B179" s="42" t="s">
        <v>2580</v>
      </c>
      <c r="C179" s="42">
        <v>0</v>
      </c>
      <c r="D179" s="42">
        <v>0</v>
      </c>
      <c r="E179" s="42">
        <v>0</v>
      </c>
    </row>
    <row r="180" spans="1:5" ht="12.75" customHeight="1">
      <c r="A180" s="962" t="s">
        <v>387</v>
      </c>
      <c r="B180" s="42" t="s">
        <v>2581</v>
      </c>
      <c r="C180" s="42">
        <v>0</v>
      </c>
      <c r="D180" s="42">
        <v>0</v>
      </c>
      <c r="E180" s="42">
        <v>0</v>
      </c>
    </row>
    <row r="181" spans="1:5" ht="12.75" customHeight="1">
      <c r="A181" s="962" t="s">
        <v>387</v>
      </c>
      <c r="B181" s="42" t="s">
        <v>2582</v>
      </c>
      <c r="C181" s="42">
        <v>0</v>
      </c>
      <c r="D181" s="42">
        <v>0</v>
      </c>
      <c r="E181" s="42">
        <v>0</v>
      </c>
    </row>
    <row r="182" spans="1:5" ht="12.75" customHeight="1">
      <c r="A182" s="962" t="s">
        <v>387</v>
      </c>
      <c r="B182" s="42" t="s">
        <v>2583</v>
      </c>
      <c r="C182" s="42">
        <v>0</v>
      </c>
      <c r="D182" s="42">
        <v>0</v>
      </c>
      <c r="E182" s="42">
        <v>0</v>
      </c>
    </row>
    <row r="183" spans="1:5" ht="12.75" customHeight="1">
      <c r="A183" s="962" t="s">
        <v>387</v>
      </c>
      <c r="B183" s="42" t="s">
        <v>2584</v>
      </c>
      <c r="C183" s="42">
        <v>0</v>
      </c>
      <c r="D183" s="42">
        <v>0</v>
      </c>
      <c r="E183" s="42">
        <v>0</v>
      </c>
    </row>
    <row r="184" spans="1:5" ht="12.75" customHeight="1">
      <c r="A184" s="962" t="s">
        <v>387</v>
      </c>
      <c r="B184" s="42" t="s">
        <v>2585</v>
      </c>
      <c r="C184" s="42">
        <v>0</v>
      </c>
      <c r="D184" s="42">
        <v>0</v>
      </c>
      <c r="E184" s="42">
        <v>0</v>
      </c>
    </row>
    <row r="185" spans="1:5" ht="12.75" customHeight="1">
      <c r="A185" s="962" t="s">
        <v>387</v>
      </c>
      <c r="B185" s="42" t="s">
        <v>2586</v>
      </c>
      <c r="C185" s="42">
        <v>0</v>
      </c>
      <c r="D185" s="42">
        <v>0</v>
      </c>
      <c r="E185" s="42">
        <v>0</v>
      </c>
    </row>
    <row r="186" spans="1:5" ht="12.75" customHeight="1">
      <c r="A186" s="962" t="s">
        <v>387</v>
      </c>
      <c r="B186" s="42" t="s">
        <v>2587</v>
      </c>
      <c r="C186" s="42">
        <v>0</v>
      </c>
      <c r="D186" s="42">
        <v>0</v>
      </c>
      <c r="E186" s="42">
        <v>0</v>
      </c>
    </row>
    <row r="187" spans="1:5" ht="12.75" customHeight="1">
      <c r="A187" s="962" t="s">
        <v>387</v>
      </c>
      <c r="B187" s="42" t="s">
        <v>2290</v>
      </c>
      <c r="C187" s="42">
        <v>1</v>
      </c>
      <c r="D187" s="42">
        <v>1</v>
      </c>
      <c r="E187" s="42">
        <v>1</v>
      </c>
    </row>
    <row r="188" spans="1:5" ht="12.75" customHeight="1">
      <c r="A188" s="962" t="s">
        <v>387</v>
      </c>
      <c r="B188" s="42" t="s">
        <v>2588</v>
      </c>
      <c r="C188" s="42">
        <v>0</v>
      </c>
      <c r="D188" s="42">
        <v>0</v>
      </c>
      <c r="E188" s="42">
        <v>0</v>
      </c>
    </row>
    <row r="189" spans="1:5" ht="12.75" customHeight="1">
      <c r="A189" s="962" t="s">
        <v>387</v>
      </c>
      <c r="B189" s="42" t="s">
        <v>2589</v>
      </c>
      <c r="C189" s="42">
        <v>0</v>
      </c>
      <c r="D189" s="42">
        <v>0</v>
      </c>
      <c r="E189" s="42">
        <v>0</v>
      </c>
    </row>
    <row r="190" spans="1:5" ht="12.75" customHeight="1">
      <c r="A190" s="962" t="s">
        <v>387</v>
      </c>
      <c r="B190" s="42" t="s">
        <v>2590</v>
      </c>
      <c r="C190" s="42">
        <v>1</v>
      </c>
      <c r="D190" s="42">
        <v>1</v>
      </c>
      <c r="E190" s="42">
        <v>0</v>
      </c>
    </row>
    <row r="191" spans="1:5" ht="12.75" customHeight="1">
      <c r="A191" s="962" t="s">
        <v>387</v>
      </c>
      <c r="B191" s="42" t="s">
        <v>2591</v>
      </c>
      <c r="C191" s="42">
        <v>0</v>
      </c>
      <c r="D191" s="42">
        <v>0</v>
      </c>
      <c r="E191" s="42">
        <v>0</v>
      </c>
    </row>
    <row r="192" spans="1:5" ht="12.75" customHeight="1">
      <c r="A192" s="962" t="s">
        <v>387</v>
      </c>
      <c r="B192" s="42" t="s">
        <v>2592</v>
      </c>
      <c r="C192" s="42">
        <v>0</v>
      </c>
      <c r="D192" s="42">
        <v>0</v>
      </c>
      <c r="E192" s="42">
        <v>0</v>
      </c>
    </row>
    <row r="193" spans="1:5" ht="12.75" customHeight="1">
      <c r="A193" s="962" t="s">
        <v>387</v>
      </c>
      <c r="B193" s="42" t="s">
        <v>2593</v>
      </c>
      <c r="C193" s="42">
        <v>0</v>
      </c>
      <c r="D193" s="42">
        <v>0</v>
      </c>
      <c r="E193" s="42">
        <v>0</v>
      </c>
    </row>
    <row r="194" spans="1:5" ht="12.75" customHeight="1">
      <c r="A194" s="962" t="s">
        <v>387</v>
      </c>
      <c r="B194" s="42" t="s">
        <v>2594</v>
      </c>
      <c r="C194" s="42">
        <v>0</v>
      </c>
      <c r="D194" s="42">
        <v>0</v>
      </c>
      <c r="E194" s="42">
        <v>0</v>
      </c>
    </row>
    <row r="195" spans="1:5" ht="12.75" customHeight="1">
      <c r="A195" s="962" t="s">
        <v>387</v>
      </c>
      <c r="B195" s="42" t="s">
        <v>2595</v>
      </c>
      <c r="C195" s="42">
        <v>0</v>
      </c>
      <c r="D195" s="42">
        <v>0</v>
      </c>
      <c r="E195" s="42">
        <v>0</v>
      </c>
    </row>
    <row r="196" spans="1:5" ht="12.75" customHeight="1">
      <c r="A196" s="962" t="s">
        <v>387</v>
      </c>
      <c r="B196" s="42" t="s">
        <v>2596</v>
      </c>
      <c r="C196" s="42">
        <v>0</v>
      </c>
      <c r="D196" s="42">
        <v>1</v>
      </c>
      <c r="E196" s="42">
        <v>0</v>
      </c>
    </row>
    <row r="197" spans="1:5" ht="12.75" customHeight="1">
      <c r="A197" s="962" t="s">
        <v>387</v>
      </c>
      <c r="B197" s="42" t="s">
        <v>2597</v>
      </c>
      <c r="C197" s="42">
        <v>0</v>
      </c>
      <c r="D197" s="42">
        <v>0</v>
      </c>
      <c r="E197" s="42">
        <v>0</v>
      </c>
    </row>
    <row r="198" spans="1:5" ht="12.75" customHeight="1">
      <c r="A198" s="962" t="s">
        <v>387</v>
      </c>
      <c r="B198" s="42" t="s">
        <v>2598</v>
      </c>
      <c r="C198" s="42">
        <v>0</v>
      </c>
      <c r="D198" s="42">
        <v>0</v>
      </c>
      <c r="E198" s="42">
        <v>0</v>
      </c>
    </row>
    <row r="199" spans="1:5" ht="12.75" customHeight="1">
      <c r="A199" s="962" t="s">
        <v>387</v>
      </c>
      <c r="B199" s="42" t="s">
        <v>2599</v>
      </c>
      <c r="C199" s="42">
        <v>0</v>
      </c>
      <c r="D199" s="42">
        <v>0</v>
      </c>
      <c r="E199" s="42">
        <v>0</v>
      </c>
    </row>
    <row r="200" spans="1:5" ht="12.75" customHeight="1">
      <c r="A200" s="962" t="s">
        <v>387</v>
      </c>
      <c r="B200" s="42" t="s">
        <v>2600</v>
      </c>
      <c r="C200" s="42">
        <v>0</v>
      </c>
      <c r="D200" s="42">
        <v>0</v>
      </c>
      <c r="E200" s="42">
        <v>0</v>
      </c>
    </row>
    <row r="201" spans="1:5" ht="12.75" customHeight="1">
      <c r="A201" s="962" t="s">
        <v>387</v>
      </c>
      <c r="B201" s="42" t="s">
        <v>2601</v>
      </c>
      <c r="C201" s="42">
        <v>0</v>
      </c>
      <c r="D201" s="42">
        <v>0</v>
      </c>
      <c r="E201" s="42">
        <v>0</v>
      </c>
    </row>
    <row r="202" spans="1:5" ht="12.75" customHeight="1">
      <c r="A202" s="962" t="s">
        <v>387</v>
      </c>
      <c r="B202" s="42" t="s">
        <v>2602</v>
      </c>
      <c r="C202" s="42">
        <v>0</v>
      </c>
      <c r="D202" s="42">
        <v>0</v>
      </c>
      <c r="E202" s="42">
        <v>0</v>
      </c>
    </row>
    <row r="203" spans="1:5" ht="12.75" customHeight="1">
      <c r="A203" s="962" t="s">
        <v>387</v>
      </c>
      <c r="B203" s="42" t="s">
        <v>2603</v>
      </c>
      <c r="C203" s="42">
        <v>0</v>
      </c>
      <c r="D203" s="42">
        <v>0</v>
      </c>
      <c r="E203" s="42">
        <v>0</v>
      </c>
    </row>
    <row r="204" spans="1:5" ht="12.75" customHeight="1">
      <c r="A204" s="962" t="s">
        <v>387</v>
      </c>
      <c r="B204" s="42" t="s">
        <v>2604</v>
      </c>
      <c r="C204" s="42">
        <v>0</v>
      </c>
      <c r="D204" s="42">
        <v>0</v>
      </c>
      <c r="E204" s="42">
        <v>0</v>
      </c>
    </row>
    <row r="205" spans="1:5" ht="12.75" customHeight="1">
      <c r="A205" s="962" t="s">
        <v>387</v>
      </c>
      <c r="B205" s="42" t="s">
        <v>2605</v>
      </c>
      <c r="C205" s="42">
        <v>0</v>
      </c>
      <c r="D205" s="42">
        <v>0</v>
      </c>
      <c r="E205" s="42">
        <v>0</v>
      </c>
    </row>
    <row r="206" spans="1:5" ht="12.75" customHeight="1">
      <c r="A206" s="962" t="s">
        <v>387</v>
      </c>
      <c r="B206" s="42" t="s">
        <v>2606</v>
      </c>
      <c r="C206" s="42">
        <v>0</v>
      </c>
      <c r="D206" s="42">
        <v>0</v>
      </c>
      <c r="E206" s="42">
        <v>0</v>
      </c>
    </row>
    <row r="207" spans="1:5" ht="12.75" customHeight="1">
      <c r="A207" s="962" t="s">
        <v>387</v>
      </c>
      <c r="B207" s="42" t="s">
        <v>2607</v>
      </c>
      <c r="C207" s="42">
        <v>0</v>
      </c>
      <c r="D207" s="42">
        <v>0</v>
      </c>
      <c r="E207" s="42">
        <v>0</v>
      </c>
    </row>
    <row r="208" spans="1:5" ht="12.75" customHeight="1">
      <c r="A208" s="962" t="s">
        <v>387</v>
      </c>
      <c r="B208" s="42" t="s">
        <v>2608</v>
      </c>
      <c r="C208" s="42">
        <v>0</v>
      </c>
      <c r="D208" s="42">
        <v>0</v>
      </c>
      <c r="E208" s="42">
        <v>0</v>
      </c>
    </row>
    <row r="209" spans="1:5" ht="12.75" customHeight="1">
      <c r="A209" s="962" t="s">
        <v>387</v>
      </c>
      <c r="B209" s="42" t="s">
        <v>2609</v>
      </c>
      <c r="C209" s="42">
        <v>0</v>
      </c>
      <c r="D209" s="42">
        <v>0</v>
      </c>
      <c r="E209" s="42">
        <v>0</v>
      </c>
    </row>
    <row r="210" spans="1:5" ht="12.75" customHeight="1">
      <c r="A210" s="962" t="s">
        <v>387</v>
      </c>
      <c r="B210" s="42" t="s">
        <v>2610</v>
      </c>
      <c r="C210" s="42">
        <v>0</v>
      </c>
      <c r="D210" s="42">
        <v>0</v>
      </c>
      <c r="E210" s="42">
        <v>0</v>
      </c>
    </row>
    <row r="211" spans="1:5" ht="12.75" customHeight="1">
      <c r="A211" s="962" t="s">
        <v>387</v>
      </c>
      <c r="B211" s="42" t="s">
        <v>2611</v>
      </c>
      <c r="C211" s="42">
        <v>0</v>
      </c>
      <c r="D211" s="42">
        <v>0</v>
      </c>
      <c r="E211" s="42">
        <v>0</v>
      </c>
    </row>
    <row r="212" spans="1:5" ht="12.75" customHeight="1">
      <c r="A212" s="962" t="s">
        <v>387</v>
      </c>
      <c r="B212" s="42" t="s">
        <v>2612</v>
      </c>
      <c r="C212" s="42">
        <v>0</v>
      </c>
      <c r="D212" s="42">
        <v>0</v>
      </c>
      <c r="E212" s="42">
        <v>0</v>
      </c>
    </row>
    <row r="213" spans="1:5" ht="12.75" customHeight="1">
      <c r="A213" s="962" t="s">
        <v>387</v>
      </c>
      <c r="B213" s="42" t="s">
        <v>2613</v>
      </c>
      <c r="C213" s="42">
        <v>0</v>
      </c>
      <c r="D213" s="42">
        <v>0</v>
      </c>
      <c r="E213" s="42">
        <v>0</v>
      </c>
    </row>
    <row r="214" spans="1:5" ht="12.75" customHeight="1">
      <c r="A214" s="962" t="s">
        <v>387</v>
      </c>
      <c r="B214" s="42" t="s">
        <v>2614</v>
      </c>
      <c r="C214" s="42">
        <v>0</v>
      </c>
      <c r="D214" s="42">
        <v>0</v>
      </c>
      <c r="E214" s="42">
        <v>0</v>
      </c>
    </row>
    <row r="215" spans="1:5" ht="12.75" customHeight="1">
      <c r="A215" s="962" t="s">
        <v>387</v>
      </c>
      <c r="B215" s="42" t="s">
        <v>2615</v>
      </c>
      <c r="C215" s="42">
        <v>0</v>
      </c>
      <c r="D215" s="42">
        <v>0</v>
      </c>
      <c r="E215" s="42">
        <v>0</v>
      </c>
    </row>
    <row r="216" spans="1:5" ht="12.75" customHeight="1">
      <c r="A216" s="962" t="s">
        <v>387</v>
      </c>
      <c r="B216" s="42" t="s">
        <v>2616</v>
      </c>
      <c r="C216" s="42">
        <v>0</v>
      </c>
      <c r="D216" s="42">
        <v>0</v>
      </c>
      <c r="E216" s="42">
        <v>0</v>
      </c>
    </row>
    <row r="217" spans="1:5" ht="12.75" customHeight="1">
      <c r="A217" s="962" t="s">
        <v>387</v>
      </c>
      <c r="B217" s="42" t="s">
        <v>2617</v>
      </c>
      <c r="C217" s="42">
        <v>0</v>
      </c>
      <c r="D217" s="42">
        <v>0</v>
      </c>
      <c r="E217" s="42">
        <v>0</v>
      </c>
    </row>
    <row r="218" spans="1:5" ht="12.75" customHeight="1">
      <c r="A218" s="962" t="s">
        <v>387</v>
      </c>
      <c r="B218" s="42" t="s">
        <v>2618</v>
      </c>
      <c r="C218" s="42">
        <v>1</v>
      </c>
      <c r="D218" s="42">
        <v>1</v>
      </c>
      <c r="E218" s="42">
        <v>1</v>
      </c>
    </row>
    <row r="219" spans="1:5" ht="12.75" customHeight="1">
      <c r="A219" s="962" t="s">
        <v>387</v>
      </c>
      <c r="B219" s="42" t="s">
        <v>2619</v>
      </c>
      <c r="C219" s="42">
        <v>0</v>
      </c>
      <c r="D219" s="42">
        <v>0</v>
      </c>
      <c r="E219" s="42">
        <v>0</v>
      </c>
    </row>
    <row r="220" spans="1:5" ht="12.75" customHeight="1">
      <c r="A220" s="962" t="s">
        <v>387</v>
      </c>
      <c r="B220" s="42" t="s">
        <v>2620</v>
      </c>
      <c r="C220" s="42">
        <v>0</v>
      </c>
      <c r="D220" s="42">
        <v>0</v>
      </c>
      <c r="E220" s="42">
        <v>0</v>
      </c>
    </row>
    <row r="221" spans="1:5" ht="12.75" customHeight="1">
      <c r="A221" s="962" t="s">
        <v>387</v>
      </c>
      <c r="B221" s="42" t="s">
        <v>1732</v>
      </c>
      <c r="C221" s="42">
        <v>0</v>
      </c>
      <c r="D221" s="42">
        <v>0</v>
      </c>
      <c r="E221" s="42">
        <v>0</v>
      </c>
    </row>
    <row r="222" spans="1:5" ht="12.75" customHeight="1">
      <c r="A222" s="962" t="s">
        <v>387</v>
      </c>
      <c r="B222" s="42" t="s">
        <v>2621</v>
      </c>
      <c r="C222" s="42">
        <v>0</v>
      </c>
      <c r="D222" s="42">
        <v>0</v>
      </c>
      <c r="E222" s="42">
        <v>0</v>
      </c>
    </row>
    <row r="223" spans="1:5" ht="12.75" customHeight="1">
      <c r="A223" s="962" t="s">
        <v>387</v>
      </c>
      <c r="B223" s="42" t="s">
        <v>2622</v>
      </c>
      <c r="C223" s="42">
        <v>0</v>
      </c>
      <c r="D223" s="42">
        <v>0</v>
      </c>
      <c r="E223" s="42">
        <v>0</v>
      </c>
    </row>
    <row r="224" spans="1:5" ht="12.75" customHeight="1">
      <c r="A224" s="962" t="s">
        <v>387</v>
      </c>
      <c r="B224" s="42" t="s">
        <v>2623</v>
      </c>
      <c r="C224" s="42">
        <v>0</v>
      </c>
      <c r="D224" s="42">
        <v>0</v>
      </c>
      <c r="E224" s="42">
        <v>0</v>
      </c>
    </row>
    <row r="225" spans="1:5" ht="12.75" customHeight="1">
      <c r="A225" s="962" t="s">
        <v>387</v>
      </c>
      <c r="B225" s="42" t="s">
        <v>2624</v>
      </c>
      <c r="C225" s="42">
        <v>0</v>
      </c>
      <c r="D225" s="42">
        <v>0</v>
      </c>
      <c r="E225" s="42">
        <v>0</v>
      </c>
    </row>
    <row r="226" spans="1:5" ht="12.75" customHeight="1">
      <c r="A226" s="962" t="s">
        <v>387</v>
      </c>
      <c r="B226" s="42" t="s">
        <v>2625</v>
      </c>
      <c r="C226" s="42">
        <v>0</v>
      </c>
      <c r="D226" s="42">
        <v>0</v>
      </c>
      <c r="E226" s="42">
        <v>0</v>
      </c>
    </row>
    <row r="227" spans="1:5" ht="12.75" customHeight="1">
      <c r="A227" s="962" t="s">
        <v>387</v>
      </c>
      <c r="B227" s="42" t="s">
        <v>2626</v>
      </c>
      <c r="C227" s="42">
        <v>0</v>
      </c>
      <c r="D227" s="42">
        <v>0</v>
      </c>
      <c r="E227" s="42">
        <v>0</v>
      </c>
    </row>
    <row r="228" spans="1:5" ht="12.75" customHeight="1">
      <c r="A228" s="962" t="s">
        <v>387</v>
      </c>
      <c r="B228" s="42" t="s">
        <v>2627</v>
      </c>
      <c r="C228" s="42">
        <v>0</v>
      </c>
      <c r="D228" s="42">
        <v>0</v>
      </c>
      <c r="E228" s="42">
        <v>0</v>
      </c>
    </row>
    <row r="229" spans="1:5" ht="12.75" customHeight="1">
      <c r="A229" s="962" t="s">
        <v>387</v>
      </c>
      <c r="B229" s="42" t="s">
        <v>2628</v>
      </c>
      <c r="C229" s="42">
        <v>0</v>
      </c>
      <c r="D229" s="42">
        <v>0</v>
      </c>
      <c r="E229" s="42">
        <v>0</v>
      </c>
    </row>
    <row r="230" spans="1:5" ht="12.75" customHeight="1">
      <c r="A230" s="962" t="s">
        <v>387</v>
      </c>
      <c r="B230" s="42" t="s">
        <v>2629</v>
      </c>
      <c r="C230" s="42">
        <v>0</v>
      </c>
      <c r="D230" s="42">
        <v>0</v>
      </c>
      <c r="E230" s="42">
        <v>0</v>
      </c>
    </row>
    <row r="231" spans="1:5" ht="12.75" customHeight="1">
      <c r="A231" s="962" t="s">
        <v>387</v>
      </c>
      <c r="B231" s="42" t="s">
        <v>2630</v>
      </c>
      <c r="C231" s="42">
        <v>0</v>
      </c>
      <c r="D231" s="42">
        <v>0</v>
      </c>
      <c r="E231" s="42">
        <v>0</v>
      </c>
    </row>
    <row r="232" spans="1:5" ht="12.75" customHeight="1">
      <c r="A232" s="962" t="s">
        <v>387</v>
      </c>
      <c r="B232" s="42" t="s">
        <v>2631</v>
      </c>
      <c r="C232" s="42">
        <v>0</v>
      </c>
      <c r="D232" s="42">
        <v>0</v>
      </c>
      <c r="E232" s="42">
        <v>0</v>
      </c>
    </row>
    <row r="233" spans="1:5" ht="12.75" customHeight="1">
      <c r="A233" s="962" t="s">
        <v>387</v>
      </c>
      <c r="B233" s="42" t="s">
        <v>2632</v>
      </c>
      <c r="C233" s="42">
        <v>1</v>
      </c>
      <c r="D233" s="42">
        <v>1</v>
      </c>
      <c r="E233" s="42">
        <v>1</v>
      </c>
    </row>
    <row r="234" spans="1:5" ht="12.75" customHeight="1">
      <c r="A234" s="962" t="s">
        <v>387</v>
      </c>
      <c r="B234" s="42" t="s">
        <v>2633</v>
      </c>
      <c r="C234" s="42">
        <v>0</v>
      </c>
      <c r="D234" s="42">
        <v>0</v>
      </c>
      <c r="E234" s="42">
        <v>0</v>
      </c>
    </row>
    <row r="235" spans="1:5" ht="12.75" customHeight="1">
      <c r="A235" s="962" t="s">
        <v>387</v>
      </c>
      <c r="B235" s="42" t="s">
        <v>2634</v>
      </c>
      <c r="C235" s="42">
        <v>0</v>
      </c>
      <c r="D235" s="42">
        <v>0</v>
      </c>
      <c r="E235" s="42">
        <v>0</v>
      </c>
    </row>
    <row r="236" spans="1:5" ht="12.75" customHeight="1">
      <c r="A236" s="962" t="s">
        <v>387</v>
      </c>
      <c r="B236" s="42" t="s">
        <v>2635</v>
      </c>
      <c r="C236" s="42">
        <v>0</v>
      </c>
      <c r="D236" s="42">
        <v>0</v>
      </c>
      <c r="E236" s="42">
        <v>0</v>
      </c>
    </row>
    <row r="237" spans="1:5" ht="12.75" customHeight="1">
      <c r="A237" s="962" t="s">
        <v>387</v>
      </c>
      <c r="B237" s="42" t="s">
        <v>2636</v>
      </c>
      <c r="C237" s="42">
        <v>0</v>
      </c>
      <c r="D237" s="42">
        <v>0</v>
      </c>
      <c r="E237" s="42">
        <v>0</v>
      </c>
    </row>
    <row r="238" spans="1:5" ht="12.75" customHeight="1">
      <c r="A238" s="962" t="s">
        <v>387</v>
      </c>
      <c r="B238" s="42" t="s">
        <v>2637</v>
      </c>
      <c r="C238" s="42">
        <v>0</v>
      </c>
      <c r="D238" s="42">
        <v>0</v>
      </c>
      <c r="E238" s="42">
        <v>0</v>
      </c>
    </row>
    <row r="239" spans="1:5" ht="12.75" customHeight="1">
      <c r="A239" s="962" t="s">
        <v>387</v>
      </c>
      <c r="B239" s="42" t="s">
        <v>2638</v>
      </c>
      <c r="C239" s="42">
        <v>0</v>
      </c>
      <c r="D239" s="42">
        <v>0</v>
      </c>
      <c r="E239" s="42">
        <v>0</v>
      </c>
    </row>
    <row r="240" spans="1:5" ht="12.75" customHeight="1">
      <c r="A240" s="962" t="s">
        <v>387</v>
      </c>
      <c r="B240" s="42" t="s">
        <v>2639</v>
      </c>
      <c r="C240" s="42">
        <v>0</v>
      </c>
      <c r="D240" s="42">
        <v>0</v>
      </c>
      <c r="E240" s="42">
        <v>0</v>
      </c>
    </row>
    <row r="241" spans="1:5" ht="12.75" customHeight="1">
      <c r="A241" s="962" t="s">
        <v>387</v>
      </c>
      <c r="B241" s="42" t="s">
        <v>2640</v>
      </c>
      <c r="C241" s="42">
        <v>0</v>
      </c>
      <c r="D241" s="42">
        <v>0</v>
      </c>
      <c r="E241" s="42">
        <v>0</v>
      </c>
    </row>
    <row r="242" spans="1:5" ht="12.75" customHeight="1">
      <c r="A242" s="962" t="s">
        <v>387</v>
      </c>
      <c r="B242" s="42" t="s">
        <v>2641</v>
      </c>
      <c r="C242" s="42">
        <v>0</v>
      </c>
      <c r="D242" s="42">
        <v>0</v>
      </c>
      <c r="E242" s="42">
        <v>0</v>
      </c>
    </row>
    <row r="243" spans="1:5" ht="12.75" customHeight="1">
      <c r="A243" s="962" t="s">
        <v>387</v>
      </c>
      <c r="B243" s="42" t="s">
        <v>2642</v>
      </c>
      <c r="C243" s="42">
        <v>0</v>
      </c>
      <c r="D243" s="42">
        <v>0</v>
      </c>
      <c r="E243" s="42">
        <v>0</v>
      </c>
    </row>
    <row r="244" spans="1:5" ht="12.75" customHeight="1">
      <c r="A244" s="962" t="s">
        <v>387</v>
      </c>
      <c r="B244" s="42" t="s">
        <v>2643</v>
      </c>
      <c r="C244" s="42">
        <v>0</v>
      </c>
      <c r="D244" s="42">
        <v>0</v>
      </c>
      <c r="E244" s="42">
        <v>0</v>
      </c>
    </row>
    <row r="245" spans="1:5" ht="12.75" customHeight="1">
      <c r="A245" s="962" t="s">
        <v>387</v>
      </c>
      <c r="B245" s="42" t="s">
        <v>2644</v>
      </c>
      <c r="C245" s="42">
        <v>0</v>
      </c>
      <c r="D245" s="42">
        <v>0</v>
      </c>
      <c r="E245" s="42">
        <v>0</v>
      </c>
    </row>
    <row r="246" spans="1:5" ht="12.75" customHeight="1">
      <c r="A246" s="962" t="s">
        <v>387</v>
      </c>
      <c r="B246" s="42" t="s">
        <v>2645</v>
      </c>
      <c r="C246" s="42">
        <v>0</v>
      </c>
      <c r="D246" s="42">
        <v>0</v>
      </c>
      <c r="E246" s="42">
        <v>0</v>
      </c>
    </row>
    <row r="247" spans="1:5" ht="12.75" customHeight="1">
      <c r="A247" s="962" t="s">
        <v>387</v>
      </c>
      <c r="B247" s="42" t="s">
        <v>2646</v>
      </c>
      <c r="C247" s="42">
        <v>0</v>
      </c>
      <c r="D247" s="42">
        <v>0</v>
      </c>
      <c r="E247" s="42">
        <v>0</v>
      </c>
    </row>
    <row r="248" spans="1:5" ht="12.75" customHeight="1">
      <c r="A248" s="962" t="s">
        <v>387</v>
      </c>
      <c r="B248" s="42" t="s">
        <v>2647</v>
      </c>
      <c r="C248" s="42">
        <v>0</v>
      </c>
      <c r="D248" s="42">
        <v>0</v>
      </c>
      <c r="E248" s="42">
        <v>0</v>
      </c>
    </row>
    <row r="249" spans="1:5" ht="12.75" customHeight="1">
      <c r="A249" s="962" t="s">
        <v>387</v>
      </c>
      <c r="B249" s="42" t="s">
        <v>2648</v>
      </c>
      <c r="C249" s="42">
        <v>0</v>
      </c>
      <c r="D249" s="42">
        <v>0</v>
      </c>
      <c r="E249" s="42">
        <v>0</v>
      </c>
    </row>
    <row r="250" spans="1:5" ht="12.75" customHeight="1">
      <c r="A250" s="962" t="s">
        <v>387</v>
      </c>
      <c r="B250" s="42" t="s">
        <v>2649</v>
      </c>
      <c r="C250" s="42">
        <v>0</v>
      </c>
      <c r="D250" s="42">
        <v>0</v>
      </c>
      <c r="E250" s="42">
        <v>0</v>
      </c>
    </row>
    <row r="251" spans="1:5" ht="12.75" customHeight="1">
      <c r="A251" s="962" t="s">
        <v>387</v>
      </c>
      <c r="B251" s="42" t="s">
        <v>2650</v>
      </c>
      <c r="C251" s="42">
        <v>0</v>
      </c>
      <c r="D251" s="42">
        <v>0</v>
      </c>
      <c r="E251" s="42">
        <v>0</v>
      </c>
    </row>
    <row r="252" spans="1:5" ht="12.75" customHeight="1">
      <c r="A252" s="962" t="s">
        <v>387</v>
      </c>
      <c r="B252" s="42" t="s">
        <v>2651</v>
      </c>
      <c r="C252" s="42">
        <v>0</v>
      </c>
      <c r="D252" s="42">
        <v>0</v>
      </c>
      <c r="E252" s="42">
        <v>0</v>
      </c>
    </row>
    <row r="253" spans="1:5" ht="12.75" customHeight="1">
      <c r="A253" s="962" t="s">
        <v>387</v>
      </c>
      <c r="B253" s="42" t="s">
        <v>2652</v>
      </c>
      <c r="C253" s="42">
        <v>0</v>
      </c>
      <c r="D253" s="42">
        <v>0</v>
      </c>
      <c r="E253" s="42">
        <v>0</v>
      </c>
    </row>
    <row r="254" spans="1:5" ht="12.75" customHeight="1">
      <c r="A254" s="962" t="s">
        <v>387</v>
      </c>
      <c r="B254" s="42" t="s">
        <v>2653</v>
      </c>
      <c r="C254" s="42">
        <v>0</v>
      </c>
      <c r="D254" s="42">
        <v>1</v>
      </c>
      <c r="E254" s="42">
        <v>1</v>
      </c>
    </row>
    <row r="255" spans="1:5" ht="12.75" customHeight="1">
      <c r="A255" s="962" t="s">
        <v>542</v>
      </c>
      <c r="B255" s="42" t="s">
        <v>2654</v>
      </c>
      <c r="C255" s="42">
        <v>0</v>
      </c>
      <c r="D255" s="42">
        <v>0</v>
      </c>
      <c r="E255" s="42">
        <v>0</v>
      </c>
    </row>
    <row r="256" spans="1:5" ht="12.75" customHeight="1">
      <c r="A256" s="962" t="s">
        <v>542</v>
      </c>
      <c r="B256" s="42" t="s">
        <v>2655</v>
      </c>
      <c r="C256" s="42">
        <v>0</v>
      </c>
      <c r="D256" s="42">
        <v>0</v>
      </c>
      <c r="E256" s="42">
        <v>0</v>
      </c>
    </row>
    <row r="257" spans="1:5" ht="12.75" customHeight="1">
      <c r="A257" s="962" t="s">
        <v>542</v>
      </c>
      <c r="B257" s="42" t="s">
        <v>2656</v>
      </c>
      <c r="C257" s="42">
        <v>0</v>
      </c>
      <c r="D257" s="42">
        <v>0</v>
      </c>
      <c r="E257" s="42">
        <v>0</v>
      </c>
    </row>
    <row r="258" spans="1:5" ht="12.75" customHeight="1">
      <c r="A258" s="962" t="s">
        <v>542</v>
      </c>
      <c r="B258" s="42" t="s">
        <v>2657</v>
      </c>
      <c r="C258" s="42">
        <v>0</v>
      </c>
      <c r="D258" s="42">
        <v>0</v>
      </c>
      <c r="E258" s="42">
        <v>0</v>
      </c>
    </row>
    <row r="259" spans="1:5" ht="12.75" customHeight="1">
      <c r="A259" s="962" t="s">
        <v>542</v>
      </c>
      <c r="B259" s="42" t="s">
        <v>2658</v>
      </c>
      <c r="C259" s="42">
        <v>1</v>
      </c>
      <c r="D259" s="42">
        <v>1</v>
      </c>
      <c r="E259" s="42">
        <v>1</v>
      </c>
    </row>
    <row r="260" spans="1:5" ht="12.75" customHeight="1">
      <c r="A260" s="962" t="s">
        <v>542</v>
      </c>
      <c r="B260" s="42" t="s">
        <v>2659</v>
      </c>
      <c r="C260" s="42">
        <v>0</v>
      </c>
      <c r="D260" s="42">
        <v>0</v>
      </c>
      <c r="E260" s="42">
        <v>0</v>
      </c>
    </row>
    <row r="261" spans="1:5" ht="12.75" customHeight="1">
      <c r="A261" s="962" t="s">
        <v>542</v>
      </c>
      <c r="B261" s="42" t="s">
        <v>2660</v>
      </c>
      <c r="C261" s="42">
        <v>1</v>
      </c>
      <c r="D261" s="42">
        <v>1</v>
      </c>
      <c r="E261" s="42">
        <v>1</v>
      </c>
    </row>
    <row r="262" spans="1:5" ht="12.75" customHeight="1">
      <c r="A262" s="962" t="s">
        <v>542</v>
      </c>
      <c r="B262" s="42" t="s">
        <v>2661</v>
      </c>
      <c r="C262" s="42">
        <v>0</v>
      </c>
      <c r="D262" s="42">
        <v>0</v>
      </c>
      <c r="E262" s="42">
        <v>0</v>
      </c>
    </row>
    <row r="263" spans="1:5" ht="12.75" customHeight="1">
      <c r="A263" s="962" t="s">
        <v>542</v>
      </c>
      <c r="B263" s="42" t="s">
        <v>2662</v>
      </c>
      <c r="C263" s="42">
        <v>1</v>
      </c>
      <c r="D263" s="42">
        <v>1</v>
      </c>
      <c r="E263" s="42">
        <v>1</v>
      </c>
    </row>
    <row r="264" spans="1:5" ht="12.75" customHeight="1">
      <c r="A264" s="962" t="s">
        <v>542</v>
      </c>
      <c r="B264" s="42" t="s">
        <v>2663</v>
      </c>
      <c r="C264" s="42">
        <v>0</v>
      </c>
      <c r="D264" s="42">
        <v>0</v>
      </c>
      <c r="E264" s="42">
        <v>0</v>
      </c>
    </row>
    <row r="265" spans="1:5" ht="12.75" customHeight="1">
      <c r="A265" s="962" t="s">
        <v>542</v>
      </c>
      <c r="B265" s="42" t="s">
        <v>2664</v>
      </c>
      <c r="C265" s="42">
        <v>0</v>
      </c>
      <c r="D265" s="42">
        <v>0</v>
      </c>
      <c r="E265" s="42">
        <v>0</v>
      </c>
    </row>
    <row r="266" spans="1:5" ht="12.75" customHeight="1">
      <c r="A266" s="962" t="s">
        <v>542</v>
      </c>
      <c r="B266" s="42" t="s">
        <v>2665</v>
      </c>
      <c r="C266" s="42">
        <v>0</v>
      </c>
      <c r="D266" s="42">
        <v>0</v>
      </c>
      <c r="E266" s="42">
        <v>0</v>
      </c>
    </row>
    <row r="267" spans="1:5" ht="12.75" customHeight="1">
      <c r="A267" s="962" t="s">
        <v>542</v>
      </c>
      <c r="B267" s="42" t="s">
        <v>2666</v>
      </c>
      <c r="C267" s="42">
        <v>0</v>
      </c>
      <c r="D267" s="42">
        <v>0</v>
      </c>
      <c r="E267" s="42">
        <v>0</v>
      </c>
    </row>
    <row r="268" spans="1:5" ht="12.75" customHeight="1">
      <c r="A268" s="962" t="s">
        <v>542</v>
      </c>
      <c r="B268" s="42" t="s">
        <v>2667</v>
      </c>
      <c r="C268" s="42">
        <v>0</v>
      </c>
      <c r="D268" s="42">
        <v>0</v>
      </c>
      <c r="E268" s="42">
        <v>0</v>
      </c>
    </row>
    <row r="269" spans="1:5" ht="12.75" customHeight="1">
      <c r="A269" s="962" t="s">
        <v>542</v>
      </c>
      <c r="B269" s="42" t="s">
        <v>2668</v>
      </c>
      <c r="C269" s="42">
        <v>0</v>
      </c>
      <c r="D269" s="42">
        <v>0</v>
      </c>
      <c r="E269" s="42">
        <v>0</v>
      </c>
    </row>
    <row r="270" spans="1:5" ht="12.75" customHeight="1">
      <c r="A270" s="962" t="s">
        <v>542</v>
      </c>
      <c r="B270" s="42" t="s">
        <v>2669</v>
      </c>
      <c r="C270" s="42">
        <v>0</v>
      </c>
      <c r="D270" s="42">
        <v>0</v>
      </c>
      <c r="E270" s="42">
        <v>0</v>
      </c>
    </row>
    <row r="271" spans="1:5" ht="12.75" customHeight="1">
      <c r="A271" s="962" t="s">
        <v>542</v>
      </c>
      <c r="B271" s="42" t="s">
        <v>2670</v>
      </c>
      <c r="C271" s="42">
        <v>0</v>
      </c>
      <c r="D271" s="42">
        <v>0</v>
      </c>
      <c r="E271" s="42">
        <v>0</v>
      </c>
    </row>
    <row r="272" spans="1:5" ht="12.75" customHeight="1">
      <c r="A272" s="962" t="s">
        <v>542</v>
      </c>
      <c r="B272" s="42" t="s">
        <v>2671</v>
      </c>
      <c r="C272" s="42">
        <v>1</v>
      </c>
      <c r="D272" s="42">
        <v>1</v>
      </c>
      <c r="E272" s="42">
        <v>1</v>
      </c>
    </row>
    <row r="273" spans="1:5" ht="12.75" customHeight="1">
      <c r="A273" s="962" t="s">
        <v>542</v>
      </c>
      <c r="B273" s="42" t="s">
        <v>2672</v>
      </c>
      <c r="C273" s="42">
        <v>0</v>
      </c>
      <c r="D273" s="42">
        <v>0</v>
      </c>
      <c r="E273" s="42">
        <v>0</v>
      </c>
    </row>
    <row r="274" spans="1:5" ht="12.75" customHeight="1">
      <c r="A274" s="962" t="s">
        <v>542</v>
      </c>
      <c r="B274" s="42" t="s">
        <v>2673</v>
      </c>
      <c r="C274" s="42">
        <v>1</v>
      </c>
      <c r="D274" s="42">
        <v>1</v>
      </c>
      <c r="E274" s="42">
        <v>1</v>
      </c>
    </row>
    <row r="275" spans="1:5" ht="12.75" customHeight="1">
      <c r="A275" s="962" t="s">
        <v>542</v>
      </c>
      <c r="B275" s="42" t="s">
        <v>2674</v>
      </c>
      <c r="C275" s="42">
        <v>0</v>
      </c>
      <c r="D275" s="42">
        <v>0</v>
      </c>
      <c r="E275" s="42">
        <v>0</v>
      </c>
    </row>
    <row r="276" spans="1:5" ht="12.75" customHeight="1">
      <c r="A276" s="962" t="s">
        <v>542</v>
      </c>
      <c r="B276" s="42" t="s">
        <v>2675</v>
      </c>
      <c r="C276" s="42">
        <v>0</v>
      </c>
      <c r="D276" s="42">
        <v>0</v>
      </c>
      <c r="E276" s="42">
        <v>0</v>
      </c>
    </row>
    <row r="277" spans="1:5" ht="12.75" customHeight="1">
      <c r="A277" s="962" t="s">
        <v>542</v>
      </c>
      <c r="B277" s="42" t="s">
        <v>2676</v>
      </c>
      <c r="C277" s="42">
        <v>0</v>
      </c>
      <c r="D277" s="42">
        <v>0</v>
      </c>
      <c r="E277" s="42">
        <v>0</v>
      </c>
    </row>
    <row r="278" spans="1:5" ht="12.75" customHeight="1">
      <c r="A278" s="962" t="s">
        <v>542</v>
      </c>
      <c r="B278" s="42" t="s">
        <v>2677</v>
      </c>
      <c r="C278" s="42">
        <v>0</v>
      </c>
      <c r="D278" s="42">
        <v>0</v>
      </c>
      <c r="E278" s="42">
        <v>0</v>
      </c>
    </row>
    <row r="279" spans="1:5" ht="12.75" customHeight="1">
      <c r="A279" s="962" t="s">
        <v>542</v>
      </c>
      <c r="B279" s="42" t="s">
        <v>2678</v>
      </c>
      <c r="C279" s="42">
        <v>0</v>
      </c>
      <c r="D279" s="42">
        <v>0</v>
      </c>
      <c r="E279" s="42">
        <v>0</v>
      </c>
    </row>
    <row r="280" spans="1:5" ht="12.75" customHeight="1">
      <c r="A280" s="962" t="s">
        <v>542</v>
      </c>
      <c r="B280" s="42" t="s">
        <v>2679</v>
      </c>
      <c r="C280" s="42">
        <v>0</v>
      </c>
      <c r="D280" s="42">
        <v>0</v>
      </c>
      <c r="E280" s="42">
        <v>0</v>
      </c>
    </row>
    <row r="281" spans="1:5" ht="12.75" customHeight="1">
      <c r="A281" s="962" t="s">
        <v>542</v>
      </c>
      <c r="B281" s="42" t="s">
        <v>2680</v>
      </c>
      <c r="C281" s="42">
        <v>0</v>
      </c>
      <c r="D281" s="42">
        <v>0</v>
      </c>
      <c r="E281" s="42">
        <v>0</v>
      </c>
    </row>
    <row r="282" spans="1:5" ht="12.75" customHeight="1">
      <c r="A282" s="962" t="s">
        <v>542</v>
      </c>
      <c r="B282" s="42" t="s">
        <v>2681</v>
      </c>
      <c r="C282" s="42">
        <v>0</v>
      </c>
      <c r="D282" s="42">
        <v>0</v>
      </c>
      <c r="E282" s="42">
        <v>0</v>
      </c>
    </row>
    <row r="283" spans="1:5" ht="12.75" customHeight="1">
      <c r="A283" s="962" t="s">
        <v>542</v>
      </c>
      <c r="B283" s="42" t="s">
        <v>2682</v>
      </c>
      <c r="C283" s="42">
        <v>0</v>
      </c>
      <c r="D283" s="42">
        <v>0</v>
      </c>
      <c r="E283" s="42">
        <v>0</v>
      </c>
    </row>
    <row r="284" spans="1:5" ht="12.75" customHeight="1">
      <c r="A284" s="962" t="s">
        <v>542</v>
      </c>
      <c r="B284" s="42" t="s">
        <v>2683</v>
      </c>
      <c r="C284" s="42">
        <v>0</v>
      </c>
      <c r="D284" s="42">
        <v>0</v>
      </c>
      <c r="E284" s="42">
        <v>0</v>
      </c>
    </row>
    <row r="285" spans="1:5" ht="12.75" customHeight="1">
      <c r="A285" s="962" t="s">
        <v>542</v>
      </c>
      <c r="B285" s="42" t="s">
        <v>2684</v>
      </c>
      <c r="C285" s="42">
        <v>0</v>
      </c>
      <c r="D285" s="42">
        <v>0</v>
      </c>
      <c r="E285" s="42">
        <v>0</v>
      </c>
    </row>
    <row r="286" spans="1:5" ht="12.75" customHeight="1">
      <c r="A286" s="962" t="s">
        <v>542</v>
      </c>
      <c r="B286" s="42" t="s">
        <v>2685</v>
      </c>
      <c r="C286" s="42">
        <v>1</v>
      </c>
      <c r="D286" s="42">
        <v>1</v>
      </c>
      <c r="E286" s="42">
        <v>1</v>
      </c>
    </row>
    <row r="287" spans="1:5" ht="12.75" customHeight="1">
      <c r="A287" s="962" t="s">
        <v>542</v>
      </c>
      <c r="B287" s="42" t="s">
        <v>2686</v>
      </c>
      <c r="C287" s="42">
        <v>1</v>
      </c>
      <c r="D287" s="42">
        <v>1</v>
      </c>
      <c r="E287" s="42">
        <v>1</v>
      </c>
    </row>
    <row r="288" spans="1:5" ht="12.75" customHeight="1">
      <c r="A288" s="962" t="s">
        <v>542</v>
      </c>
      <c r="B288" s="42" t="s">
        <v>2687</v>
      </c>
      <c r="C288" s="42">
        <v>0</v>
      </c>
      <c r="D288" s="42">
        <v>0</v>
      </c>
      <c r="E288" s="42">
        <v>0</v>
      </c>
    </row>
    <row r="289" spans="1:5" ht="12.75" customHeight="1">
      <c r="A289" s="962" t="s">
        <v>542</v>
      </c>
      <c r="B289" s="42" t="s">
        <v>2688</v>
      </c>
      <c r="C289" s="42">
        <v>0</v>
      </c>
      <c r="D289" s="42">
        <v>0</v>
      </c>
      <c r="E289" s="42">
        <v>0</v>
      </c>
    </row>
    <row r="290" spans="1:5" ht="12.75" customHeight="1">
      <c r="A290" s="962" t="s">
        <v>542</v>
      </c>
      <c r="B290" s="42" t="s">
        <v>2689</v>
      </c>
      <c r="C290" s="42">
        <v>0</v>
      </c>
      <c r="D290" s="42">
        <v>0</v>
      </c>
      <c r="E290" s="42">
        <v>0</v>
      </c>
    </row>
    <row r="291" spans="1:5" ht="12.75" customHeight="1">
      <c r="A291" s="962" t="s">
        <v>542</v>
      </c>
      <c r="B291" s="42" t="s">
        <v>2690</v>
      </c>
      <c r="C291" s="42">
        <v>0</v>
      </c>
      <c r="D291" s="42">
        <v>0</v>
      </c>
      <c r="E291" s="42">
        <v>0</v>
      </c>
    </row>
    <row r="292" spans="1:5" ht="12.75" customHeight="1">
      <c r="A292" s="962" t="s">
        <v>542</v>
      </c>
      <c r="B292" s="42" t="s">
        <v>2691</v>
      </c>
      <c r="C292" s="42">
        <v>0</v>
      </c>
      <c r="D292" s="42">
        <v>0</v>
      </c>
      <c r="E292" s="42">
        <v>0</v>
      </c>
    </row>
    <row r="293" spans="1:5" ht="12.75" customHeight="1">
      <c r="A293" s="962" t="s">
        <v>542</v>
      </c>
      <c r="B293" s="42" t="s">
        <v>2692</v>
      </c>
      <c r="C293" s="42">
        <v>0</v>
      </c>
      <c r="D293" s="42">
        <v>0</v>
      </c>
      <c r="E293" s="42">
        <v>0</v>
      </c>
    </row>
    <row r="294" spans="1:5" ht="12.75" customHeight="1">
      <c r="A294" s="962" t="s">
        <v>542</v>
      </c>
      <c r="B294" s="42" t="s">
        <v>2693</v>
      </c>
      <c r="C294" s="42">
        <v>0</v>
      </c>
      <c r="D294" s="42">
        <v>0</v>
      </c>
      <c r="E294" s="42">
        <v>0</v>
      </c>
    </row>
    <row r="295" spans="1:5" ht="12.75" customHeight="1">
      <c r="A295" s="962" t="s">
        <v>542</v>
      </c>
      <c r="B295" s="42" t="s">
        <v>2694</v>
      </c>
      <c r="C295" s="42">
        <v>0</v>
      </c>
      <c r="D295" s="42">
        <v>0</v>
      </c>
      <c r="E295" s="42">
        <v>0</v>
      </c>
    </row>
    <row r="296" spans="1:5" ht="12.75" customHeight="1">
      <c r="A296" s="962" t="s">
        <v>542</v>
      </c>
      <c r="B296" s="42" t="s">
        <v>2695</v>
      </c>
      <c r="C296" s="42">
        <v>0</v>
      </c>
      <c r="D296" s="42">
        <v>0</v>
      </c>
      <c r="E296" s="42">
        <v>0</v>
      </c>
    </row>
    <row r="297" spans="1:5" ht="12.75" customHeight="1">
      <c r="A297" s="962" t="s">
        <v>542</v>
      </c>
      <c r="B297" s="42" t="s">
        <v>2696</v>
      </c>
      <c r="C297" s="42">
        <v>0</v>
      </c>
      <c r="D297" s="42">
        <v>0</v>
      </c>
      <c r="E297" s="42">
        <v>0</v>
      </c>
    </row>
    <row r="298" spans="1:5" ht="12.75" customHeight="1">
      <c r="A298" s="962" t="s">
        <v>542</v>
      </c>
      <c r="B298" s="42" t="s">
        <v>2697</v>
      </c>
      <c r="C298" s="42">
        <v>0</v>
      </c>
      <c r="D298" s="42">
        <v>0</v>
      </c>
      <c r="E298" s="42">
        <v>0</v>
      </c>
    </row>
    <row r="299" spans="1:5" ht="12.75" customHeight="1">
      <c r="A299" s="962" t="s">
        <v>542</v>
      </c>
      <c r="B299" s="42" t="s">
        <v>2698</v>
      </c>
      <c r="C299" s="42">
        <v>0</v>
      </c>
      <c r="D299" s="42">
        <v>0</v>
      </c>
      <c r="E299" s="42">
        <v>0</v>
      </c>
    </row>
    <row r="300" spans="1:5" ht="12.75" customHeight="1">
      <c r="A300" s="962" t="s">
        <v>542</v>
      </c>
      <c r="B300" s="42" t="s">
        <v>1617</v>
      </c>
      <c r="C300" s="42">
        <v>1</v>
      </c>
      <c r="D300" s="42">
        <v>1</v>
      </c>
      <c r="E300" s="42">
        <v>1</v>
      </c>
    </row>
    <row r="301" spans="1:5" ht="12.75" customHeight="1">
      <c r="A301" s="962" t="s">
        <v>542</v>
      </c>
      <c r="B301" s="42" t="s">
        <v>2699</v>
      </c>
      <c r="C301" s="42">
        <v>0</v>
      </c>
      <c r="D301" s="42">
        <v>0</v>
      </c>
      <c r="E301" s="42">
        <v>0</v>
      </c>
    </row>
    <row r="302" spans="1:5" ht="12.75" customHeight="1">
      <c r="A302" s="962" t="s">
        <v>542</v>
      </c>
      <c r="B302" s="42" t="s">
        <v>2700</v>
      </c>
      <c r="C302" s="42">
        <v>0</v>
      </c>
      <c r="D302" s="42">
        <v>0</v>
      </c>
      <c r="E302" s="42">
        <v>0</v>
      </c>
    </row>
    <row r="303" spans="1:5" ht="12.75" customHeight="1">
      <c r="A303" s="962" t="s">
        <v>542</v>
      </c>
      <c r="B303" s="42" t="s">
        <v>2701</v>
      </c>
      <c r="C303" s="42">
        <v>0</v>
      </c>
      <c r="D303" s="42">
        <v>0</v>
      </c>
      <c r="E303" s="42">
        <v>0</v>
      </c>
    </row>
    <row r="304" spans="1:5" ht="12.75" customHeight="1">
      <c r="A304" s="962" t="s">
        <v>542</v>
      </c>
      <c r="B304" s="42" t="s">
        <v>2702</v>
      </c>
      <c r="C304" s="42">
        <v>0</v>
      </c>
      <c r="D304" s="42">
        <v>0</v>
      </c>
      <c r="E304" s="42">
        <v>0</v>
      </c>
    </row>
    <row r="305" spans="1:5" ht="12.75" customHeight="1">
      <c r="A305" s="962" t="s">
        <v>542</v>
      </c>
      <c r="B305" s="42" t="s">
        <v>2703</v>
      </c>
      <c r="C305" s="42">
        <v>0</v>
      </c>
      <c r="D305" s="42">
        <v>0</v>
      </c>
      <c r="E305" s="42">
        <v>0</v>
      </c>
    </row>
    <row r="306" spans="1:5" ht="12.75" customHeight="1">
      <c r="A306" s="962" t="s">
        <v>542</v>
      </c>
      <c r="B306" s="42" t="s">
        <v>2704</v>
      </c>
      <c r="C306" s="42">
        <v>0</v>
      </c>
      <c r="D306" s="42">
        <v>0</v>
      </c>
      <c r="E306" s="42">
        <v>0</v>
      </c>
    </row>
    <row r="307" spans="1:5" ht="12.75" customHeight="1">
      <c r="A307" s="962" t="s">
        <v>542</v>
      </c>
      <c r="B307" s="42" t="s">
        <v>2705</v>
      </c>
      <c r="C307" s="42">
        <v>0</v>
      </c>
      <c r="D307" s="42">
        <v>0</v>
      </c>
      <c r="E307" s="42">
        <v>0</v>
      </c>
    </row>
    <row r="308" spans="1:5" ht="12.75" customHeight="1">
      <c r="A308" s="962" t="s">
        <v>542</v>
      </c>
      <c r="B308" s="42" t="s">
        <v>2706</v>
      </c>
      <c r="C308" s="42">
        <v>0</v>
      </c>
      <c r="D308" s="42">
        <v>0</v>
      </c>
      <c r="E308" s="42">
        <v>0</v>
      </c>
    </row>
    <row r="309" spans="1:5" ht="12.75" customHeight="1">
      <c r="A309" s="962" t="s">
        <v>542</v>
      </c>
      <c r="B309" s="42" t="s">
        <v>2707</v>
      </c>
      <c r="C309" s="42">
        <v>0</v>
      </c>
      <c r="D309" s="42">
        <v>0</v>
      </c>
      <c r="E309" s="42">
        <v>0</v>
      </c>
    </row>
    <row r="310" spans="1:5" ht="12.75" customHeight="1">
      <c r="A310" s="962" t="s">
        <v>542</v>
      </c>
      <c r="B310" s="42" t="s">
        <v>2708</v>
      </c>
      <c r="C310" s="42">
        <v>0</v>
      </c>
      <c r="D310" s="42">
        <v>0</v>
      </c>
      <c r="E310" s="42">
        <v>0</v>
      </c>
    </row>
    <row r="311" spans="1:5" ht="12.75" customHeight="1">
      <c r="A311" s="962" t="s">
        <v>542</v>
      </c>
      <c r="B311" s="42" t="s">
        <v>2709</v>
      </c>
      <c r="C311" s="42">
        <v>0</v>
      </c>
      <c r="D311" s="42">
        <v>0</v>
      </c>
      <c r="E311" s="42">
        <v>0</v>
      </c>
    </row>
    <row r="312" spans="1:5" ht="12.75" customHeight="1">
      <c r="A312" s="962" t="s">
        <v>542</v>
      </c>
      <c r="B312" s="42" t="s">
        <v>2710</v>
      </c>
      <c r="C312" s="42">
        <v>0</v>
      </c>
      <c r="D312" s="42">
        <v>0</v>
      </c>
      <c r="E312" s="42">
        <v>0</v>
      </c>
    </row>
    <row r="313" spans="1:5" ht="12.75" customHeight="1">
      <c r="A313" s="962" t="s">
        <v>542</v>
      </c>
      <c r="B313" s="42" t="s">
        <v>2711</v>
      </c>
      <c r="C313" s="42">
        <v>0</v>
      </c>
      <c r="D313" s="42">
        <v>0</v>
      </c>
      <c r="E313" s="42">
        <v>0</v>
      </c>
    </row>
    <row r="314" spans="1:5" ht="12.75" customHeight="1">
      <c r="A314" s="962" t="s">
        <v>658</v>
      </c>
      <c r="B314" s="42" t="s">
        <v>2712</v>
      </c>
      <c r="C314" s="42">
        <v>0</v>
      </c>
      <c r="D314" s="42">
        <v>0</v>
      </c>
      <c r="E314" s="42">
        <v>0</v>
      </c>
    </row>
    <row r="315" spans="1:5" ht="12.75" customHeight="1">
      <c r="A315" s="962" t="s">
        <v>658</v>
      </c>
      <c r="B315" s="42" t="s">
        <v>2713</v>
      </c>
      <c r="C315" s="42">
        <v>0</v>
      </c>
      <c r="D315" s="42">
        <v>0</v>
      </c>
      <c r="E315" s="42">
        <v>0</v>
      </c>
    </row>
    <row r="316" spans="1:5" ht="12.75" customHeight="1">
      <c r="A316" s="962" t="s">
        <v>658</v>
      </c>
      <c r="B316" s="42" t="s">
        <v>2714</v>
      </c>
      <c r="C316" s="42">
        <v>0</v>
      </c>
      <c r="D316" s="42">
        <v>0</v>
      </c>
      <c r="E316" s="42">
        <v>0</v>
      </c>
    </row>
    <row r="317" spans="1:5" ht="12.75" customHeight="1">
      <c r="A317" s="962" t="s">
        <v>658</v>
      </c>
      <c r="B317" s="42" t="s">
        <v>2715</v>
      </c>
      <c r="C317" s="42">
        <v>0</v>
      </c>
      <c r="D317" s="42">
        <v>0</v>
      </c>
      <c r="E317" s="42">
        <v>0</v>
      </c>
    </row>
    <row r="318" spans="1:5" ht="12.75" customHeight="1">
      <c r="A318" s="962" t="s">
        <v>658</v>
      </c>
      <c r="B318" s="42" t="s">
        <v>2716</v>
      </c>
      <c r="C318" s="42">
        <v>0</v>
      </c>
      <c r="D318" s="42">
        <v>0</v>
      </c>
      <c r="E318" s="42">
        <v>0</v>
      </c>
    </row>
    <row r="319" spans="1:5" ht="12.75" customHeight="1">
      <c r="A319" s="962" t="s">
        <v>658</v>
      </c>
      <c r="B319" s="42" t="s">
        <v>2717</v>
      </c>
      <c r="C319" s="42">
        <v>0</v>
      </c>
      <c r="D319" s="42">
        <v>0</v>
      </c>
      <c r="E319" s="42">
        <v>0</v>
      </c>
    </row>
    <row r="320" spans="1:5" ht="12.75" customHeight="1">
      <c r="A320" s="962" t="s">
        <v>658</v>
      </c>
      <c r="B320" s="42" t="s">
        <v>2718</v>
      </c>
      <c r="C320" s="42">
        <v>0</v>
      </c>
      <c r="D320" s="42">
        <v>0</v>
      </c>
      <c r="E320" s="42">
        <v>0</v>
      </c>
    </row>
    <row r="321" spans="1:5" ht="12.75" customHeight="1">
      <c r="A321" s="962" t="s">
        <v>658</v>
      </c>
      <c r="B321" s="42" t="s">
        <v>2719</v>
      </c>
      <c r="C321" s="42">
        <v>0</v>
      </c>
      <c r="D321" s="42">
        <v>0</v>
      </c>
      <c r="E321" s="42">
        <v>0</v>
      </c>
    </row>
    <row r="322" spans="1:5" ht="12.75" customHeight="1">
      <c r="A322" s="962" t="s">
        <v>658</v>
      </c>
      <c r="B322" s="42" t="s">
        <v>2720</v>
      </c>
      <c r="C322" s="42">
        <v>0</v>
      </c>
      <c r="D322" s="42">
        <v>0</v>
      </c>
      <c r="E322" s="42">
        <v>0</v>
      </c>
    </row>
    <row r="323" spans="1:5" ht="12.75" customHeight="1">
      <c r="A323" s="962" t="s">
        <v>658</v>
      </c>
      <c r="B323" s="42" t="s">
        <v>2721</v>
      </c>
      <c r="C323" s="42">
        <v>0</v>
      </c>
      <c r="D323" s="42">
        <v>0</v>
      </c>
      <c r="E323" s="42">
        <v>1</v>
      </c>
    </row>
    <row r="324" spans="1:5" ht="12.75" customHeight="1">
      <c r="A324" s="962" t="s">
        <v>658</v>
      </c>
      <c r="B324" s="42" t="s">
        <v>2722</v>
      </c>
      <c r="C324" s="42">
        <v>0</v>
      </c>
      <c r="D324" s="42">
        <v>0</v>
      </c>
      <c r="E324" s="42">
        <v>0</v>
      </c>
    </row>
    <row r="325" spans="1:5" ht="12.75" customHeight="1">
      <c r="A325" s="962" t="s">
        <v>658</v>
      </c>
      <c r="B325" s="42" t="s">
        <v>2723</v>
      </c>
      <c r="C325" s="42">
        <v>0</v>
      </c>
      <c r="D325" s="42">
        <v>0</v>
      </c>
      <c r="E325" s="42">
        <v>0</v>
      </c>
    </row>
    <row r="326" spans="1:5" ht="12.75" customHeight="1">
      <c r="A326" s="962" t="s">
        <v>658</v>
      </c>
      <c r="B326" s="42" t="s">
        <v>2724</v>
      </c>
      <c r="C326" s="42">
        <v>1</v>
      </c>
      <c r="D326" s="42">
        <v>1</v>
      </c>
      <c r="E326" s="42">
        <v>1</v>
      </c>
    </row>
    <row r="327" spans="1:5" ht="12.75" customHeight="1">
      <c r="A327" s="962" t="s">
        <v>658</v>
      </c>
      <c r="B327" s="42" t="s">
        <v>2725</v>
      </c>
      <c r="C327" s="42">
        <v>0</v>
      </c>
      <c r="D327" s="42">
        <v>0</v>
      </c>
      <c r="E327" s="42">
        <v>1</v>
      </c>
    </row>
    <row r="328" spans="1:5" ht="12.75" customHeight="1">
      <c r="A328" s="962" t="s">
        <v>658</v>
      </c>
      <c r="B328" s="42" t="s">
        <v>2726</v>
      </c>
      <c r="C328" s="42">
        <v>0</v>
      </c>
      <c r="D328" s="42">
        <v>0</v>
      </c>
      <c r="E328" s="42">
        <v>0</v>
      </c>
    </row>
    <row r="329" spans="1:5" ht="12.75" customHeight="1">
      <c r="A329" s="962" t="s">
        <v>658</v>
      </c>
      <c r="B329" s="42" t="s">
        <v>2727</v>
      </c>
      <c r="C329" s="42">
        <v>1</v>
      </c>
      <c r="D329" s="42">
        <v>1</v>
      </c>
      <c r="E329" s="42">
        <v>1</v>
      </c>
    </row>
    <row r="330" spans="1:5" ht="12.75" customHeight="1">
      <c r="A330" s="962" t="s">
        <v>658</v>
      </c>
      <c r="B330" s="42" t="s">
        <v>2728</v>
      </c>
      <c r="C330" s="42">
        <v>0</v>
      </c>
      <c r="D330" s="42">
        <v>1</v>
      </c>
      <c r="E330" s="42">
        <v>1</v>
      </c>
    </row>
    <row r="331" spans="1:5" ht="12.75" customHeight="1">
      <c r="A331" s="962" t="s">
        <v>658</v>
      </c>
      <c r="B331" s="42" t="s">
        <v>2729</v>
      </c>
      <c r="C331" s="42">
        <v>0</v>
      </c>
      <c r="D331" s="42">
        <v>1</v>
      </c>
      <c r="E331" s="42">
        <v>1</v>
      </c>
    </row>
    <row r="332" spans="1:5" ht="12.75" customHeight="1">
      <c r="A332" s="962" t="s">
        <v>658</v>
      </c>
      <c r="B332" s="42" t="s">
        <v>2730</v>
      </c>
      <c r="C332" s="42">
        <v>0</v>
      </c>
      <c r="D332" s="42">
        <v>1</v>
      </c>
      <c r="E332" s="42">
        <v>1</v>
      </c>
    </row>
    <row r="333" spans="1:5" ht="12.75" customHeight="1">
      <c r="A333" s="962" t="s">
        <v>658</v>
      </c>
      <c r="B333" s="42" t="s">
        <v>2731</v>
      </c>
      <c r="C333" s="42">
        <v>0</v>
      </c>
      <c r="D333" s="42">
        <v>0</v>
      </c>
      <c r="E333" s="42">
        <v>0</v>
      </c>
    </row>
    <row r="334" spans="1:5" ht="12.75" customHeight="1">
      <c r="A334" s="962" t="s">
        <v>658</v>
      </c>
      <c r="B334" s="42" t="s">
        <v>2732</v>
      </c>
      <c r="C334" s="42">
        <v>0</v>
      </c>
      <c r="D334" s="42">
        <v>0</v>
      </c>
      <c r="E334" s="42">
        <v>0</v>
      </c>
    </row>
    <row r="335" spans="1:5" ht="12.75" customHeight="1">
      <c r="A335" s="962" t="s">
        <v>658</v>
      </c>
      <c r="B335" s="42" t="s">
        <v>2733</v>
      </c>
      <c r="C335" s="42">
        <v>0</v>
      </c>
      <c r="D335" s="42">
        <v>0</v>
      </c>
      <c r="E335" s="42">
        <v>0</v>
      </c>
    </row>
    <row r="336" spans="1:5" ht="12.75" customHeight="1">
      <c r="A336" s="962" t="s">
        <v>658</v>
      </c>
      <c r="B336" s="42" t="s">
        <v>2734</v>
      </c>
      <c r="C336" s="42">
        <v>0</v>
      </c>
      <c r="D336" s="42">
        <v>0</v>
      </c>
      <c r="E336" s="42">
        <v>0</v>
      </c>
    </row>
    <row r="337" spans="1:5" ht="12.75" customHeight="1">
      <c r="A337" s="962" t="s">
        <v>658</v>
      </c>
      <c r="B337" s="42" t="s">
        <v>2735</v>
      </c>
      <c r="C337" s="42">
        <v>0</v>
      </c>
      <c r="D337" s="42">
        <v>0</v>
      </c>
      <c r="E337" s="42">
        <v>0</v>
      </c>
    </row>
    <row r="338" spans="1:5" ht="12.75" customHeight="1">
      <c r="A338" s="962" t="s">
        <v>658</v>
      </c>
      <c r="B338" s="42" t="s">
        <v>2736</v>
      </c>
      <c r="C338" s="42">
        <v>0</v>
      </c>
      <c r="D338" s="42">
        <v>0</v>
      </c>
      <c r="E338" s="42">
        <v>0</v>
      </c>
    </row>
    <row r="339" spans="1:5" ht="12.75" customHeight="1">
      <c r="A339" s="962" t="s">
        <v>658</v>
      </c>
      <c r="B339" s="42" t="s">
        <v>2737</v>
      </c>
      <c r="C339" s="42">
        <v>0</v>
      </c>
      <c r="D339" s="42">
        <v>0</v>
      </c>
      <c r="E339" s="42">
        <v>0</v>
      </c>
    </row>
    <row r="340" spans="1:5" ht="12.75" customHeight="1">
      <c r="A340" s="962" t="s">
        <v>658</v>
      </c>
      <c r="B340" s="42" t="s">
        <v>2738</v>
      </c>
      <c r="C340" s="42">
        <v>0</v>
      </c>
      <c r="D340" s="42">
        <v>0</v>
      </c>
      <c r="E340" s="42">
        <v>0</v>
      </c>
    </row>
    <row r="341" spans="1:5" ht="12.75" customHeight="1">
      <c r="A341" s="962" t="s">
        <v>658</v>
      </c>
      <c r="B341" s="42" t="s">
        <v>2739</v>
      </c>
      <c r="C341" s="42">
        <v>0</v>
      </c>
      <c r="D341" s="42">
        <v>0</v>
      </c>
      <c r="E341" s="42">
        <v>0</v>
      </c>
    </row>
    <row r="342" spans="1:5" ht="12.75" customHeight="1">
      <c r="A342" s="962" t="s">
        <v>658</v>
      </c>
      <c r="B342" s="42" t="s">
        <v>2740</v>
      </c>
      <c r="C342" s="42">
        <v>0</v>
      </c>
      <c r="D342" s="42">
        <v>0</v>
      </c>
      <c r="E342" s="42">
        <v>1</v>
      </c>
    </row>
    <row r="343" spans="1:5" ht="12.75" customHeight="1">
      <c r="A343" s="962" t="s">
        <v>658</v>
      </c>
      <c r="B343" s="42" t="s">
        <v>2741</v>
      </c>
      <c r="C343" s="42">
        <v>0</v>
      </c>
      <c r="D343" s="42">
        <v>0</v>
      </c>
      <c r="E343" s="42">
        <v>0</v>
      </c>
    </row>
    <row r="344" spans="1:5" ht="12.75" customHeight="1">
      <c r="A344" s="962" t="s">
        <v>658</v>
      </c>
      <c r="B344" s="42" t="s">
        <v>2742</v>
      </c>
      <c r="C344" s="42">
        <v>0</v>
      </c>
      <c r="D344" s="42">
        <v>0</v>
      </c>
      <c r="E344" s="42">
        <v>0</v>
      </c>
    </row>
    <row r="345" spans="1:5" ht="12.75" customHeight="1">
      <c r="A345" s="962" t="s">
        <v>658</v>
      </c>
      <c r="B345" s="42" t="s">
        <v>2743</v>
      </c>
      <c r="C345" s="42">
        <v>0</v>
      </c>
      <c r="D345" s="42">
        <v>0</v>
      </c>
      <c r="E345" s="42">
        <v>0</v>
      </c>
    </row>
    <row r="346" spans="1:5" ht="12.75" customHeight="1">
      <c r="A346" s="962" t="s">
        <v>658</v>
      </c>
      <c r="B346" s="42" t="s">
        <v>2744</v>
      </c>
      <c r="C346" s="42">
        <v>0</v>
      </c>
      <c r="D346" s="42">
        <v>0</v>
      </c>
      <c r="E346" s="42">
        <v>0</v>
      </c>
    </row>
    <row r="347" spans="1:5" ht="12.75" customHeight="1">
      <c r="A347" s="962" t="s">
        <v>658</v>
      </c>
      <c r="B347" s="42" t="s">
        <v>2745</v>
      </c>
      <c r="C347" s="42">
        <v>0</v>
      </c>
      <c r="D347" s="42">
        <v>0</v>
      </c>
      <c r="E347" s="42">
        <v>0</v>
      </c>
    </row>
    <row r="348" spans="1:5" ht="12.75" customHeight="1">
      <c r="A348" s="962" t="s">
        <v>658</v>
      </c>
      <c r="B348" s="42" t="s">
        <v>2746</v>
      </c>
      <c r="C348" s="42">
        <v>0</v>
      </c>
      <c r="D348" s="42">
        <v>0</v>
      </c>
      <c r="E348" s="42">
        <v>0</v>
      </c>
    </row>
    <row r="349" spans="1:5" ht="12.75" customHeight="1">
      <c r="A349" s="962" t="s">
        <v>658</v>
      </c>
      <c r="B349" s="42" t="s">
        <v>2747</v>
      </c>
      <c r="C349" s="42">
        <v>0</v>
      </c>
      <c r="D349" s="42">
        <v>0</v>
      </c>
      <c r="E349" s="42">
        <v>0</v>
      </c>
    </row>
    <row r="350" spans="1:5" ht="12.75" customHeight="1">
      <c r="A350" s="962" t="s">
        <v>658</v>
      </c>
      <c r="B350" s="42" t="s">
        <v>2748</v>
      </c>
      <c r="C350" s="42">
        <v>0</v>
      </c>
      <c r="D350" s="42">
        <v>0</v>
      </c>
      <c r="E350" s="42">
        <v>0</v>
      </c>
    </row>
    <row r="351" spans="1:5" ht="12.75" customHeight="1">
      <c r="A351" s="962" t="s">
        <v>658</v>
      </c>
      <c r="B351" s="42" t="s">
        <v>2749</v>
      </c>
      <c r="C351" s="42">
        <v>0</v>
      </c>
      <c r="D351" s="42">
        <v>0</v>
      </c>
      <c r="E351" s="42">
        <v>0</v>
      </c>
    </row>
    <row r="352" spans="1:5" ht="12.75" customHeight="1">
      <c r="A352" s="962" t="s">
        <v>658</v>
      </c>
      <c r="B352" s="42" t="s">
        <v>2750</v>
      </c>
      <c r="C352" s="42">
        <v>0</v>
      </c>
      <c r="D352" s="42">
        <v>0</v>
      </c>
      <c r="E352" s="42">
        <v>0</v>
      </c>
    </row>
    <row r="353" spans="1:5" ht="12.75" customHeight="1">
      <c r="A353" s="962" t="s">
        <v>658</v>
      </c>
      <c r="B353" s="42" t="s">
        <v>2751</v>
      </c>
      <c r="C353" s="42">
        <v>0</v>
      </c>
      <c r="D353" s="42">
        <v>0</v>
      </c>
      <c r="E353" s="42">
        <v>0</v>
      </c>
    </row>
    <row r="354" spans="1:5" ht="12.75" customHeight="1">
      <c r="A354" s="962" t="s">
        <v>658</v>
      </c>
      <c r="B354" s="42" t="s">
        <v>2752</v>
      </c>
      <c r="C354" s="42">
        <v>0</v>
      </c>
      <c r="D354" s="42">
        <v>0</v>
      </c>
      <c r="E354" s="42">
        <v>0</v>
      </c>
    </row>
    <row r="355" spans="1:5" ht="12.75" customHeight="1">
      <c r="A355" s="962" t="s">
        <v>658</v>
      </c>
      <c r="B355" s="42" t="s">
        <v>2753</v>
      </c>
      <c r="C355" s="42">
        <v>0</v>
      </c>
      <c r="D355" s="42">
        <v>0</v>
      </c>
      <c r="E355" s="42">
        <v>0</v>
      </c>
    </row>
    <row r="356" spans="1:5" ht="12.75" customHeight="1">
      <c r="A356" s="962" t="s">
        <v>658</v>
      </c>
      <c r="B356" s="42" t="s">
        <v>2754</v>
      </c>
      <c r="C356" s="42">
        <v>0</v>
      </c>
      <c r="D356" s="42">
        <v>0</v>
      </c>
      <c r="E356" s="42">
        <v>0</v>
      </c>
    </row>
    <row r="357" spans="1:5" ht="12.75" customHeight="1">
      <c r="A357" s="962" t="s">
        <v>658</v>
      </c>
      <c r="B357" s="42" t="s">
        <v>2755</v>
      </c>
      <c r="C357" s="42">
        <v>0</v>
      </c>
      <c r="D357" s="42">
        <v>0</v>
      </c>
      <c r="E357" s="42">
        <v>0</v>
      </c>
    </row>
    <row r="358" spans="1:5" ht="12.75" customHeight="1">
      <c r="A358" s="962" t="s">
        <v>658</v>
      </c>
      <c r="B358" s="42" t="s">
        <v>2756</v>
      </c>
      <c r="C358" s="42">
        <v>0</v>
      </c>
      <c r="D358" s="42">
        <v>0</v>
      </c>
      <c r="E358" s="42">
        <v>0</v>
      </c>
    </row>
    <row r="359" spans="1:5" ht="12.75" customHeight="1">
      <c r="A359" s="962" t="s">
        <v>658</v>
      </c>
      <c r="B359" s="42" t="s">
        <v>2757</v>
      </c>
      <c r="C359" s="42">
        <v>0</v>
      </c>
      <c r="D359" s="42">
        <v>0</v>
      </c>
      <c r="E359" s="42">
        <v>0</v>
      </c>
    </row>
    <row r="360" spans="1:5" ht="12.75" customHeight="1">
      <c r="A360" s="962" t="s">
        <v>658</v>
      </c>
      <c r="B360" s="42" t="s">
        <v>2758</v>
      </c>
      <c r="C360" s="42">
        <v>0</v>
      </c>
      <c r="D360" s="42">
        <v>0</v>
      </c>
      <c r="E360" s="42">
        <v>0</v>
      </c>
    </row>
    <row r="361" spans="1:5" ht="12.75" customHeight="1">
      <c r="A361" s="962" t="s">
        <v>658</v>
      </c>
      <c r="B361" s="42" t="s">
        <v>2759</v>
      </c>
      <c r="C361" s="42">
        <v>0</v>
      </c>
      <c r="D361" s="42">
        <v>0</v>
      </c>
      <c r="E361" s="42">
        <v>0</v>
      </c>
    </row>
    <row r="362" spans="1:5" ht="12.75" customHeight="1">
      <c r="A362" s="962" t="s">
        <v>658</v>
      </c>
      <c r="B362" s="42" t="s">
        <v>2760</v>
      </c>
      <c r="C362" s="42">
        <v>0</v>
      </c>
      <c r="D362" s="42">
        <v>0</v>
      </c>
      <c r="E362" s="42">
        <v>0</v>
      </c>
    </row>
    <row r="363" spans="1:5" ht="12.75" customHeight="1">
      <c r="A363" s="962" t="s">
        <v>658</v>
      </c>
      <c r="B363" s="42" t="s">
        <v>2761</v>
      </c>
      <c r="C363" s="42">
        <v>0</v>
      </c>
      <c r="D363" s="42">
        <v>0</v>
      </c>
      <c r="E363" s="42">
        <v>0</v>
      </c>
    </row>
    <row r="364" spans="1:5" ht="12.75" customHeight="1">
      <c r="A364" s="962" t="s">
        <v>1798</v>
      </c>
      <c r="B364" s="42" t="s">
        <v>2762</v>
      </c>
      <c r="C364" s="42">
        <v>1</v>
      </c>
      <c r="D364" s="42">
        <v>1</v>
      </c>
      <c r="E364" s="42">
        <v>1</v>
      </c>
    </row>
    <row r="365" spans="1:5" ht="12.75" customHeight="1">
      <c r="A365" s="962" t="s">
        <v>1798</v>
      </c>
      <c r="B365" s="42" t="s">
        <v>2763</v>
      </c>
      <c r="C365" s="42">
        <v>0</v>
      </c>
      <c r="D365" s="42">
        <v>0</v>
      </c>
      <c r="E365" s="42">
        <v>0</v>
      </c>
    </row>
    <row r="366" spans="1:5" ht="12.75" customHeight="1">
      <c r="A366" s="962" t="s">
        <v>1798</v>
      </c>
      <c r="B366" s="42" t="s">
        <v>2764</v>
      </c>
      <c r="C366" s="42">
        <v>0</v>
      </c>
      <c r="D366" s="42">
        <v>0</v>
      </c>
      <c r="E366" s="42">
        <v>0</v>
      </c>
    </row>
    <row r="367" spans="1:5" ht="12.75" customHeight="1">
      <c r="A367" s="962" t="s">
        <v>1798</v>
      </c>
      <c r="B367" s="42" t="s">
        <v>2765</v>
      </c>
      <c r="C367" s="42">
        <v>0</v>
      </c>
      <c r="D367" s="42">
        <v>0</v>
      </c>
      <c r="E367" s="42">
        <v>0</v>
      </c>
    </row>
    <row r="368" spans="1:5" ht="12.75" customHeight="1">
      <c r="A368" s="962" t="s">
        <v>1798</v>
      </c>
      <c r="B368" s="42" t="s">
        <v>2766</v>
      </c>
      <c r="C368" s="42">
        <v>0</v>
      </c>
      <c r="D368" s="42">
        <v>0</v>
      </c>
      <c r="E368" s="42">
        <v>0</v>
      </c>
    </row>
    <row r="369" spans="1:5" ht="12.75" customHeight="1">
      <c r="A369" s="962" t="s">
        <v>1798</v>
      </c>
      <c r="B369" s="42" t="s">
        <v>2767</v>
      </c>
      <c r="C369" s="42">
        <v>0</v>
      </c>
      <c r="D369" s="42">
        <v>0</v>
      </c>
      <c r="E369" s="42">
        <v>0</v>
      </c>
    </row>
    <row r="370" spans="1:5" ht="12.75" customHeight="1">
      <c r="A370" s="962" t="s">
        <v>1798</v>
      </c>
      <c r="B370" s="42" t="s">
        <v>2768</v>
      </c>
      <c r="C370" s="42">
        <v>0</v>
      </c>
      <c r="D370" s="42">
        <v>0</v>
      </c>
      <c r="E370" s="42">
        <v>0</v>
      </c>
    </row>
    <row r="371" spans="1:5" ht="12.75" customHeight="1">
      <c r="A371" s="962" t="s">
        <v>1798</v>
      </c>
      <c r="B371" s="42" t="s">
        <v>2769</v>
      </c>
      <c r="C371" s="42">
        <v>0</v>
      </c>
      <c r="D371" s="42">
        <v>0</v>
      </c>
      <c r="E371" s="42">
        <v>0</v>
      </c>
    </row>
    <row r="372" spans="1:5" ht="12.75" customHeight="1">
      <c r="A372" s="962" t="s">
        <v>1798</v>
      </c>
      <c r="B372" s="42" t="s">
        <v>2770</v>
      </c>
      <c r="C372" s="42">
        <v>0</v>
      </c>
      <c r="D372" s="42">
        <v>0</v>
      </c>
      <c r="E372" s="42">
        <v>0</v>
      </c>
    </row>
    <row r="373" spans="1:5" ht="12.75" customHeight="1">
      <c r="A373" s="962" t="s">
        <v>1798</v>
      </c>
      <c r="B373" s="42" t="s">
        <v>2771</v>
      </c>
      <c r="C373" s="42">
        <v>0</v>
      </c>
      <c r="D373" s="42">
        <v>0</v>
      </c>
      <c r="E373" s="42">
        <v>0</v>
      </c>
    </row>
    <row r="374" spans="1:5" ht="12.75" customHeight="1">
      <c r="A374" s="962" t="s">
        <v>1798</v>
      </c>
      <c r="B374" s="42" t="s">
        <v>2772</v>
      </c>
      <c r="C374" s="42">
        <v>0</v>
      </c>
      <c r="D374" s="42">
        <v>0</v>
      </c>
      <c r="E374" s="42">
        <v>0</v>
      </c>
    </row>
    <row r="375" spans="1:5" ht="12.75" customHeight="1">
      <c r="A375" s="962" t="s">
        <v>1798</v>
      </c>
      <c r="B375" s="42" t="s">
        <v>2773</v>
      </c>
      <c r="C375" s="42">
        <v>0</v>
      </c>
      <c r="D375" s="42">
        <v>1</v>
      </c>
      <c r="E375" s="42">
        <v>0</v>
      </c>
    </row>
    <row r="376" spans="1:5" ht="12.75" customHeight="1">
      <c r="A376" s="962" t="s">
        <v>1798</v>
      </c>
      <c r="B376" s="42" t="s">
        <v>2774</v>
      </c>
      <c r="C376" s="42">
        <v>0</v>
      </c>
      <c r="D376" s="42">
        <v>0</v>
      </c>
      <c r="E376" s="42">
        <v>0</v>
      </c>
    </row>
    <row r="377" spans="1:5" ht="12.75" customHeight="1">
      <c r="A377" s="962" t="s">
        <v>1798</v>
      </c>
      <c r="B377" s="42" t="s">
        <v>2775</v>
      </c>
      <c r="C377" s="42">
        <v>1</v>
      </c>
      <c r="D377" s="42">
        <v>1</v>
      </c>
      <c r="E377" s="42">
        <v>1</v>
      </c>
    </row>
    <row r="378" spans="1:5" ht="12.75" customHeight="1">
      <c r="A378" s="962" t="s">
        <v>1798</v>
      </c>
      <c r="B378" s="42" t="s">
        <v>2776</v>
      </c>
      <c r="C378" s="42">
        <v>0</v>
      </c>
      <c r="D378" s="42">
        <v>0</v>
      </c>
      <c r="E378" s="42">
        <v>0</v>
      </c>
    </row>
    <row r="379" spans="1:5" ht="12.75" customHeight="1">
      <c r="A379" s="962" t="s">
        <v>1798</v>
      </c>
      <c r="B379" s="42" t="s">
        <v>2777</v>
      </c>
      <c r="C379" s="42">
        <v>1</v>
      </c>
      <c r="D379" s="42">
        <v>1</v>
      </c>
      <c r="E379" s="42">
        <v>1</v>
      </c>
    </row>
    <row r="380" spans="1:5" ht="12.75" customHeight="1">
      <c r="A380" s="962" t="s">
        <v>1798</v>
      </c>
      <c r="B380" s="42" t="s">
        <v>2778</v>
      </c>
      <c r="C380" s="42">
        <v>0</v>
      </c>
      <c r="D380" s="42">
        <v>0</v>
      </c>
      <c r="E380" s="42">
        <v>0</v>
      </c>
    </row>
    <row r="381" spans="1:5" ht="12.75" customHeight="1">
      <c r="A381" s="962" t="s">
        <v>1798</v>
      </c>
      <c r="B381" s="42" t="s">
        <v>2779</v>
      </c>
      <c r="C381" s="42">
        <v>0</v>
      </c>
      <c r="D381" s="42">
        <v>0</v>
      </c>
      <c r="E381" s="42">
        <v>0</v>
      </c>
    </row>
    <row r="382" spans="1:5" ht="12.75" customHeight="1">
      <c r="A382" s="962" t="s">
        <v>1798</v>
      </c>
      <c r="B382" s="42" t="s">
        <v>2780</v>
      </c>
      <c r="C382" s="42">
        <v>0</v>
      </c>
      <c r="D382" s="42">
        <v>0</v>
      </c>
      <c r="E382" s="42">
        <v>0</v>
      </c>
    </row>
    <row r="383" spans="1:5" ht="12.75" customHeight="1">
      <c r="A383" s="962" t="s">
        <v>1798</v>
      </c>
      <c r="B383" s="42" t="s">
        <v>2781</v>
      </c>
      <c r="C383" s="42">
        <v>0</v>
      </c>
      <c r="D383" s="42">
        <v>0</v>
      </c>
      <c r="E383" s="42">
        <v>0</v>
      </c>
    </row>
    <row r="384" spans="1:5" ht="12.75" customHeight="1">
      <c r="A384" s="962" t="s">
        <v>1798</v>
      </c>
      <c r="B384" s="42" t="s">
        <v>2782</v>
      </c>
      <c r="C384" s="42">
        <v>1</v>
      </c>
      <c r="D384" s="42">
        <v>1</v>
      </c>
      <c r="E384" s="42">
        <v>1</v>
      </c>
    </row>
    <row r="385" spans="1:5" ht="12.75" customHeight="1">
      <c r="A385" s="962" t="s">
        <v>1798</v>
      </c>
      <c r="B385" s="42" t="s">
        <v>2783</v>
      </c>
      <c r="C385" s="42">
        <v>0</v>
      </c>
      <c r="D385" s="42">
        <v>0</v>
      </c>
      <c r="E385" s="42">
        <v>0</v>
      </c>
    </row>
    <row r="386" spans="1:5" ht="12.75" customHeight="1">
      <c r="A386" s="962" t="s">
        <v>1798</v>
      </c>
      <c r="B386" s="42" t="s">
        <v>2784</v>
      </c>
      <c r="C386" s="42">
        <v>0</v>
      </c>
      <c r="D386" s="42">
        <v>0</v>
      </c>
      <c r="E386" s="42">
        <v>0</v>
      </c>
    </row>
    <row r="387" spans="1:5" ht="12.75" customHeight="1">
      <c r="A387" s="962" t="s">
        <v>1798</v>
      </c>
      <c r="B387" s="42" t="s">
        <v>2785</v>
      </c>
      <c r="C387" s="42">
        <v>0</v>
      </c>
      <c r="D387" s="42">
        <v>0</v>
      </c>
      <c r="E387" s="42">
        <v>0</v>
      </c>
    </row>
    <row r="388" spans="1:5" ht="12.75" customHeight="1">
      <c r="A388" s="962" t="s">
        <v>1798</v>
      </c>
      <c r="B388" s="42" t="s">
        <v>2786</v>
      </c>
      <c r="C388" s="42">
        <v>0</v>
      </c>
      <c r="D388" s="42">
        <v>0</v>
      </c>
      <c r="E388" s="42">
        <v>0</v>
      </c>
    </row>
    <row r="389" spans="1:5" ht="12.75" customHeight="1">
      <c r="A389" s="962" t="s">
        <v>1798</v>
      </c>
      <c r="B389" s="42" t="s">
        <v>2787</v>
      </c>
      <c r="C389" s="42">
        <v>0</v>
      </c>
      <c r="D389" s="42">
        <v>0</v>
      </c>
      <c r="E389" s="42">
        <v>0</v>
      </c>
    </row>
    <row r="390" spans="1:5" ht="12.75" customHeight="1">
      <c r="A390" s="962" t="s">
        <v>1798</v>
      </c>
      <c r="B390" s="42" t="s">
        <v>2788</v>
      </c>
      <c r="C390" s="42">
        <v>0</v>
      </c>
      <c r="D390" s="42">
        <v>0</v>
      </c>
      <c r="E390" s="42">
        <v>0</v>
      </c>
    </row>
    <row r="391" spans="1:5" ht="12.75" customHeight="1">
      <c r="A391" s="962" t="s">
        <v>1798</v>
      </c>
      <c r="B391" s="42" t="s">
        <v>2789</v>
      </c>
      <c r="C391" s="42">
        <v>0</v>
      </c>
      <c r="D391" s="42">
        <v>0</v>
      </c>
      <c r="E391" s="42">
        <v>0</v>
      </c>
    </row>
    <row r="392" spans="1:5" ht="12.75" customHeight="1">
      <c r="A392" s="962" t="s">
        <v>1804</v>
      </c>
      <c r="B392" s="42" t="s">
        <v>2790</v>
      </c>
      <c r="C392" s="42">
        <v>0</v>
      </c>
      <c r="D392" s="42">
        <v>0</v>
      </c>
      <c r="E392" s="42">
        <v>0</v>
      </c>
    </row>
    <row r="393" spans="1:5" ht="12.75" customHeight="1">
      <c r="A393" s="962" t="s">
        <v>1804</v>
      </c>
      <c r="B393" s="42" t="s">
        <v>2791</v>
      </c>
      <c r="C393" s="42">
        <v>0</v>
      </c>
      <c r="D393" s="42">
        <v>0</v>
      </c>
      <c r="E393" s="42">
        <v>0</v>
      </c>
    </row>
    <row r="394" spans="1:5" ht="12.75" customHeight="1">
      <c r="A394" s="962" t="s">
        <v>1804</v>
      </c>
      <c r="B394" s="42" t="s">
        <v>2792</v>
      </c>
      <c r="C394" s="42">
        <v>0</v>
      </c>
      <c r="D394" s="42">
        <v>0</v>
      </c>
      <c r="E394" s="42">
        <v>0</v>
      </c>
    </row>
    <row r="395" spans="1:5" ht="12.75" customHeight="1">
      <c r="A395" s="962" t="s">
        <v>1804</v>
      </c>
      <c r="B395" s="42" t="s">
        <v>2793</v>
      </c>
      <c r="C395" s="42">
        <v>0</v>
      </c>
      <c r="D395" s="42">
        <v>0</v>
      </c>
      <c r="E395" s="42">
        <v>0</v>
      </c>
    </row>
    <row r="396" spans="1:5" ht="12.75" customHeight="1">
      <c r="A396" s="962" t="s">
        <v>1804</v>
      </c>
      <c r="B396" s="42" t="s">
        <v>2794</v>
      </c>
      <c r="C396" s="42">
        <v>0</v>
      </c>
      <c r="D396" s="42">
        <v>0</v>
      </c>
      <c r="E396" s="42">
        <v>0</v>
      </c>
    </row>
    <row r="397" spans="1:5" ht="12.75" customHeight="1">
      <c r="A397" s="962" t="s">
        <v>1804</v>
      </c>
      <c r="B397" s="42" t="s">
        <v>2795</v>
      </c>
      <c r="C397" s="42">
        <v>0</v>
      </c>
      <c r="D397" s="42">
        <v>0</v>
      </c>
      <c r="E397" s="42">
        <v>0</v>
      </c>
    </row>
    <row r="398" spans="1:5" ht="12.75" customHeight="1">
      <c r="A398" s="962" t="s">
        <v>1804</v>
      </c>
      <c r="B398" s="42" t="s">
        <v>2796</v>
      </c>
      <c r="C398" s="42">
        <v>0</v>
      </c>
      <c r="D398" s="42">
        <v>0</v>
      </c>
      <c r="E398" s="42">
        <v>0</v>
      </c>
    </row>
    <row r="399" spans="1:5" ht="12.75" customHeight="1">
      <c r="A399" s="962" t="s">
        <v>1804</v>
      </c>
      <c r="B399" s="42" t="s">
        <v>2797</v>
      </c>
      <c r="C399" s="42">
        <v>0</v>
      </c>
      <c r="D399" s="42">
        <v>0</v>
      </c>
      <c r="E399" s="42">
        <v>0</v>
      </c>
    </row>
    <row r="400" spans="1:5" ht="12.75" customHeight="1">
      <c r="A400" s="962" t="s">
        <v>1804</v>
      </c>
      <c r="B400" s="42" t="s">
        <v>2798</v>
      </c>
      <c r="C400" s="42">
        <v>0</v>
      </c>
      <c r="D400" s="42">
        <v>0</v>
      </c>
      <c r="E400" s="42">
        <v>0</v>
      </c>
    </row>
    <row r="401" spans="1:5" ht="12.75" customHeight="1">
      <c r="A401" s="962" t="s">
        <v>1804</v>
      </c>
      <c r="B401" s="42" t="s">
        <v>2799</v>
      </c>
      <c r="C401" s="42">
        <v>0</v>
      </c>
      <c r="D401" s="42">
        <v>0</v>
      </c>
      <c r="E401" s="42">
        <v>0</v>
      </c>
    </row>
    <row r="402" spans="1:5" ht="12.75" customHeight="1">
      <c r="A402" s="962" t="s">
        <v>1804</v>
      </c>
      <c r="B402" s="42" t="s">
        <v>2800</v>
      </c>
      <c r="C402" s="42">
        <v>0</v>
      </c>
      <c r="D402" s="42">
        <v>0</v>
      </c>
      <c r="E402" s="42">
        <v>0</v>
      </c>
    </row>
    <row r="403" spans="1:5" ht="12.75" customHeight="1">
      <c r="A403" s="962" t="s">
        <v>1804</v>
      </c>
      <c r="B403" s="42" t="s">
        <v>2801</v>
      </c>
      <c r="C403" s="42">
        <v>0</v>
      </c>
      <c r="D403" s="42">
        <v>0</v>
      </c>
      <c r="E403" s="42">
        <v>0</v>
      </c>
    </row>
    <row r="404" spans="1:5" ht="12.75" customHeight="1">
      <c r="A404" s="962" t="s">
        <v>1804</v>
      </c>
      <c r="B404" s="42" t="s">
        <v>2802</v>
      </c>
      <c r="C404" s="42">
        <v>0</v>
      </c>
      <c r="D404" s="42">
        <v>0</v>
      </c>
      <c r="E404" s="42">
        <v>0</v>
      </c>
    </row>
    <row r="405" spans="1:5" ht="12.75" customHeight="1">
      <c r="A405" s="962" t="s">
        <v>1804</v>
      </c>
      <c r="B405" s="42" t="s">
        <v>2803</v>
      </c>
      <c r="C405" s="42">
        <v>0</v>
      </c>
      <c r="D405" s="42">
        <v>0</v>
      </c>
      <c r="E405" s="42">
        <v>0</v>
      </c>
    </row>
    <row r="406" spans="1:5" ht="12.75" customHeight="1">
      <c r="A406" s="962" t="s">
        <v>1804</v>
      </c>
      <c r="B406" s="42" t="s">
        <v>2804</v>
      </c>
      <c r="C406" s="42">
        <v>0</v>
      </c>
      <c r="D406" s="42">
        <v>0</v>
      </c>
      <c r="E406" s="42">
        <v>0</v>
      </c>
    </row>
    <row r="407" spans="1:5" ht="12.75" customHeight="1">
      <c r="A407" s="962" t="s">
        <v>1804</v>
      </c>
      <c r="B407" s="42" t="s">
        <v>2805</v>
      </c>
      <c r="C407" s="42">
        <v>0</v>
      </c>
      <c r="D407" s="42">
        <v>0</v>
      </c>
      <c r="E407" s="42">
        <v>0</v>
      </c>
    </row>
    <row r="408" spans="1:5" ht="12.75" customHeight="1">
      <c r="A408" s="962" t="s">
        <v>1804</v>
      </c>
      <c r="B408" s="42" t="s">
        <v>2806</v>
      </c>
      <c r="C408" s="42">
        <v>0</v>
      </c>
      <c r="D408" s="42">
        <v>0</v>
      </c>
      <c r="E408" s="42">
        <v>0</v>
      </c>
    </row>
    <row r="409" spans="1:5" ht="12.75" customHeight="1">
      <c r="A409" s="962" t="s">
        <v>1804</v>
      </c>
      <c r="B409" s="42" t="s">
        <v>2807</v>
      </c>
      <c r="C409" s="42">
        <v>0</v>
      </c>
      <c r="D409" s="42">
        <v>0</v>
      </c>
      <c r="E409" s="42">
        <v>0</v>
      </c>
    </row>
    <row r="410" spans="1:5" ht="12.75" customHeight="1">
      <c r="A410" s="962" t="s">
        <v>1804</v>
      </c>
      <c r="B410" s="42" t="s">
        <v>2808</v>
      </c>
      <c r="C410" s="42">
        <v>0</v>
      </c>
      <c r="D410" s="42">
        <v>0</v>
      </c>
      <c r="E410" s="42">
        <v>0</v>
      </c>
    </row>
    <row r="411" spans="1:5" ht="12.75" customHeight="1">
      <c r="A411" s="962" t="s">
        <v>1804</v>
      </c>
      <c r="B411" s="42" t="s">
        <v>2809</v>
      </c>
      <c r="C411" s="42">
        <v>0</v>
      </c>
      <c r="D411" s="42">
        <v>0</v>
      </c>
      <c r="E411" s="42">
        <v>0</v>
      </c>
    </row>
    <row r="412" spans="1:5" ht="12.75" customHeight="1">
      <c r="A412" s="962" t="s">
        <v>1804</v>
      </c>
      <c r="B412" s="42" t="s">
        <v>2810</v>
      </c>
      <c r="C412" s="42">
        <v>0</v>
      </c>
      <c r="D412" s="42">
        <v>0</v>
      </c>
      <c r="E412" s="42">
        <v>0</v>
      </c>
    </row>
    <row r="413" spans="1:5" ht="12.75" customHeight="1">
      <c r="A413" s="962" t="s">
        <v>1804</v>
      </c>
      <c r="B413" s="42" t="s">
        <v>2811</v>
      </c>
      <c r="C413" s="42">
        <v>0</v>
      </c>
      <c r="D413" s="42">
        <v>0</v>
      </c>
      <c r="E413" s="42">
        <v>0</v>
      </c>
    </row>
    <row r="414" spans="1:5" ht="12.75" customHeight="1">
      <c r="A414" s="962" t="s">
        <v>1804</v>
      </c>
      <c r="B414" s="42" t="s">
        <v>2812</v>
      </c>
      <c r="C414" s="42">
        <v>0</v>
      </c>
      <c r="D414" s="42">
        <v>0</v>
      </c>
      <c r="E414" s="42">
        <v>0</v>
      </c>
    </row>
    <row r="415" spans="1:5" ht="12.75" customHeight="1">
      <c r="A415" s="962" t="s">
        <v>1804</v>
      </c>
      <c r="B415" s="42" t="s">
        <v>2813</v>
      </c>
      <c r="C415" s="42">
        <v>0</v>
      </c>
      <c r="D415" s="42">
        <v>0</v>
      </c>
      <c r="E415" s="42">
        <v>0</v>
      </c>
    </row>
    <row r="416" spans="1:5" ht="12.75" customHeight="1">
      <c r="A416" s="962" t="s">
        <v>1804</v>
      </c>
      <c r="B416" s="42" t="s">
        <v>2814</v>
      </c>
      <c r="C416" s="42">
        <v>0</v>
      </c>
      <c r="D416" s="42">
        <v>0</v>
      </c>
      <c r="E416" s="42">
        <v>0</v>
      </c>
    </row>
    <row r="417" spans="1:5" ht="12.75" customHeight="1">
      <c r="A417" s="962" t="s">
        <v>1804</v>
      </c>
      <c r="B417" s="42" t="s">
        <v>2815</v>
      </c>
      <c r="C417" s="42">
        <v>0</v>
      </c>
      <c r="D417" s="42">
        <v>0</v>
      </c>
      <c r="E417" s="42">
        <v>0</v>
      </c>
    </row>
    <row r="418" spans="1:5" ht="12.75" customHeight="1">
      <c r="A418" s="962" t="s">
        <v>1804</v>
      </c>
      <c r="B418" s="42" t="s">
        <v>2816</v>
      </c>
      <c r="C418" s="42">
        <v>0</v>
      </c>
      <c r="D418" s="42">
        <v>0</v>
      </c>
      <c r="E418" s="42">
        <v>0</v>
      </c>
    </row>
    <row r="419" spans="1:5" ht="12.75" customHeight="1">
      <c r="A419" s="962" t="s">
        <v>1804</v>
      </c>
      <c r="B419" s="42" t="s">
        <v>2817</v>
      </c>
      <c r="C419" s="42">
        <v>0</v>
      </c>
      <c r="D419" s="42">
        <v>0</v>
      </c>
      <c r="E419" s="42">
        <v>0</v>
      </c>
    </row>
    <row r="420" spans="1:5" ht="12.75" customHeight="1">
      <c r="A420" s="962" t="s">
        <v>1804</v>
      </c>
      <c r="B420" s="42" t="s">
        <v>2818</v>
      </c>
      <c r="C420" s="42">
        <v>0</v>
      </c>
      <c r="D420" s="42">
        <v>0</v>
      </c>
      <c r="E420" s="42">
        <v>0</v>
      </c>
    </row>
    <row r="421" spans="1:5" ht="12.75" customHeight="1">
      <c r="A421" s="962" t="s">
        <v>1804</v>
      </c>
      <c r="B421" s="42" t="s">
        <v>2819</v>
      </c>
      <c r="C421" s="42">
        <v>0</v>
      </c>
      <c r="D421" s="42">
        <v>0</v>
      </c>
      <c r="E421" s="42">
        <v>0</v>
      </c>
    </row>
    <row r="422" spans="1:5" ht="12.75" customHeight="1">
      <c r="A422" s="962" t="s">
        <v>1804</v>
      </c>
      <c r="B422" s="42" t="s">
        <v>2820</v>
      </c>
      <c r="C422" s="42">
        <v>0</v>
      </c>
      <c r="D422" s="42">
        <v>0</v>
      </c>
      <c r="E422" s="42">
        <v>0</v>
      </c>
    </row>
    <row r="423" spans="1:5" ht="12.75" customHeight="1">
      <c r="A423" s="962" t="s">
        <v>1804</v>
      </c>
      <c r="B423" s="42" t="s">
        <v>2821</v>
      </c>
      <c r="C423" s="42">
        <v>0</v>
      </c>
      <c r="D423" s="42">
        <v>0</v>
      </c>
      <c r="E423" s="42">
        <v>0</v>
      </c>
    </row>
    <row r="424" spans="1:5" ht="12.75" customHeight="1">
      <c r="A424" s="962" t="s">
        <v>1804</v>
      </c>
      <c r="B424" s="42" t="s">
        <v>2822</v>
      </c>
      <c r="C424" s="42">
        <v>0</v>
      </c>
      <c r="D424" s="42">
        <v>0</v>
      </c>
      <c r="E424" s="42">
        <v>0</v>
      </c>
    </row>
    <row r="425" spans="1:5" ht="12.75" customHeight="1">
      <c r="A425" s="962" t="s">
        <v>1804</v>
      </c>
      <c r="B425" s="42" t="s">
        <v>2823</v>
      </c>
      <c r="C425" s="42">
        <v>0</v>
      </c>
      <c r="D425" s="42">
        <v>0</v>
      </c>
      <c r="E425" s="42">
        <v>0</v>
      </c>
    </row>
    <row r="426" spans="1:5" ht="12.75" customHeight="1">
      <c r="A426" s="962" t="s">
        <v>1804</v>
      </c>
      <c r="B426" s="42" t="s">
        <v>2824</v>
      </c>
      <c r="C426" s="42">
        <v>0</v>
      </c>
      <c r="D426" s="42">
        <v>0</v>
      </c>
      <c r="E426" s="42">
        <v>0</v>
      </c>
    </row>
    <row r="427" spans="1:5" ht="12.75" customHeight="1">
      <c r="A427" s="962" t="s">
        <v>1804</v>
      </c>
      <c r="B427" s="42" t="s">
        <v>2825</v>
      </c>
      <c r="C427" s="42">
        <v>0</v>
      </c>
      <c r="D427" s="42">
        <v>0</v>
      </c>
      <c r="E427" s="42">
        <v>0</v>
      </c>
    </row>
    <row r="428" spans="1:5" ht="12.75" customHeight="1">
      <c r="A428" s="962" t="s">
        <v>1804</v>
      </c>
      <c r="B428" s="42" t="s">
        <v>2826</v>
      </c>
      <c r="C428" s="42">
        <v>0</v>
      </c>
      <c r="D428" s="42">
        <v>0</v>
      </c>
      <c r="E428" s="42">
        <v>0</v>
      </c>
    </row>
    <row r="429" spans="1:5" ht="12.75" customHeight="1">
      <c r="A429" s="962" t="s">
        <v>1804</v>
      </c>
      <c r="B429" s="42" t="s">
        <v>2827</v>
      </c>
      <c r="C429" s="42">
        <v>0</v>
      </c>
      <c r="D429" s="42">
        <v>0</v>
      </c>
      <c r="E429" s="42">
        <v>0</v>
      </c>
    </row>
    <row r="430" spans="1:5" ht="12.75" customHeight="1">
      <c r="A430" s="962" t="s">
        <v>1804</v>
      </c>
      <c r="B430" s="42" t="s">
        <v>2828</v>
      </c>
      <c r="C430" s="42">
        <v>0</v>
      </c>
      <c r="D430" s="42">
        <v>0</v>
      </c>
      <c r="E430" s="42">
        <v>0</v>
      </c>
    </row>
    <row r="431" spans="1:5" ht="12.75" customHeight="1">
      <c r="A431" s="962" t="s">
        <v>1804</v>
      </c>
      <c r="B431" s="42" t="s">
        <v>2829</v>
      </c>
      <c r="C431" s="42">
        <v>0</v>
      </c>
      <c r="D431" s="42">
        <v>0</v>
      </c>
      <c r="E431" s="42">
        <v>0</v>
      </c>
    </row>
    <row r="432" spans="1:5" ht="12.75" customHeight="1">
      <c r="A432" s="962" t="s">
        <v>1804</v>
      </c>
      <c r="B432" s="42" t="s">
        <v>2830</v>
      </c>
      <c r="C432" s="42">
        <v>0</v>
      </c>
      <c r="D432" s="42">
        <v>0</v>
      </c>
      <c r="E432" s="42">
        <v>0</v>
      </c>
    </row>
    <row r="433" spans="1:5" ht="12.75" customHeight="1">
      <c r="A433" s="962" t="s">
        <v>1804</v>
      </c>
      <c r="B433" s="42" t="s">
        <v>2831</v>
      </c>
      <c r="C433" s="42">
        <v>0</v>
      </c>
      <c r="D433" s="42">
        <v>0</v>
      </c>
      <c r="E433" s="42">
        <v>0</v>
      </c>
    </row>
    <row r="434" spans="1:5" ht="12.75" customHeight="1">
      <c r="A434" s="962" t="s">
        <v>1804</v>
      </c>
      <c r="B434" s="42" t="s">
        <v>2832</v>
      </c>
      <c r="C434" s="42">
        <v>0</v>
      </c>
      <c r="D434" s="42">
        <v>0</v>
      </c>
      <c r="E434" s="42">
        <v>0</v>
      </c>
    </row>
    <row r="435" spans="1:5" ht="12.75" customHeight="1">
      <c r="A435" s="962" t="s">
        <v>1804</v>
      </c>
      <c r="B435" s="42" t="s">
        <v>2833</v>
      </c>
      <c r="C435" s="42">
        <v>0</v>
      </c>
      <c r="D435" s="42">
        <v>0</v>
      </c>
      <c r="E435" s="42">
        <v>0</v>
      </c>
    </row>
    <row r="436" spans="1:5" ht="12.75" customHeight="1">
      <c r="A436" s="962" t="s">
        <v>1804</v>
      </c>
      <c r="B436" s="42" t="s">
        <v>2834</v>
      </c>
      <c r="C436" s="42">
        <v>0</v>
      </c>
      <c r="D436" s="42">
        <v>0</v>
      </c>
      <c r="E436" s="42">
        <v>0</v>
      </c>
    </row>
    <row r="437" spans="1:5" ht="12.75" customHeight="1">
      <c r="A437" s="962" t="s">
        <v>1804</v>
      </c>
      <c r="B437" s="42" t="s">
        <v>2835</v>
      </c>
      <c r="C437" s="42">
        <v>0</v>
      </c>
      <c r="D437" s="42">
        <v>0</v>
      </c>
      <c r="E437" s="42">
        <v>0</v>
      </c>
    </row>
    <row r="438" spans="1:5" ht="12.75" customHeight="1">
      <c r="A438" s="962" t="s">
        <v>1804</v>
      </c>
      <c r="B438" s="42" t="s">
        <v>2836</v>
      </c>
      <c r="C438" s="42">
        <v>0</v>
      </c>
      <c r="D438" s="42">
        <v>0</v>
      </c>
      <c r="E438" s="42">
        <v>0</v>
      </c>
    </row>
    <row r="439" spans="1:5" ht="12.75" customHeight="1">
      <c r="A439" s="962" t="s">
        <v>1804</v>
      </c>
      <c r="B439" s="42" t="s">
        <v>2837</v>
      </c>
      <c r="C439" s="42">
        <v>0</v>
      </c>
      <c r="D439" s="42">
        <v>0</v>
      </c>
      <c r="E439" s="42">
        <v>0</v>
      </c>
    </row>
    <row r="440" spans="1:5" ht="12.75" customHeight="1">
      <c r="A440" s="962" t="s">
        <v>1804</v>
      </c>
      <c r="B440" s="42" t="s">
        <v>2838</v>
      </c>
      <c r="C440" s="42">
        <v>0</v>
      </c>
      <c r="D440" s="42">
        <v>0</v>
      </c>
      <c r="E440" s="42">
        <v>0</v>
      </c>
    </row>
    <row r="441" spans="1:5" ht="12.75" customHeight="1">
      <c r="A441" s="962" t="s">
        <v>1804</v>
      </c>
      <c r="B441" s="42" t="s">
        <v>2839</v>
      </c>
      <c r="C441" s="42">
        <v>0</v>
      </c>
      <c r="D441" s="42">
        <v>0</v>
      </c>
      <c r="E441" s="42">
        <v>0</v>
      </c>
    </row>
    <row r="442" spans="1:5" ht="12.75" customHeight="1">
      <c r="A442" s="962" t="s">
        <v>1804</v>
      </c>
      <c r="B442" s="42" t="s">
        <v>2840</v>
      </c>
      <c r="C442" s="42">
        <v>0</v>
      </c>
      <c r="D442" s="42">
        <v>0</v>
      </c>
      <c r="E442" s="42">
        <v>0</v>
      </c>
    </row>
    <row r="443" spans="1:5" ht="12.75" customHeight="1">
      <c r="A443" s="962" t="s">
        <v>1804</v>
      </c>
      <c r="B443" s="42" t="s">
        <v>2841</v>
      </c>
      <c r="C443" s="42">
        <v>0</v>
      </c>
      <c r="D443" s="42">
        <v>0</v>
      </c>
      <c r="E443" s="42">
        <v>0</v>
      </c>
    </row>
    <row r="444" spans="1:5" ht="12.75" customHeight="1">
      <c r="A444" s="962" t="s">
        <v>1804</v>
      </c>
      <c r="B444" s="42" t="s">
        <v>2842</v>
      </c>
      <c r="C444" s="42">
        <v>0</v>
      </c>
      <c r="D444" s="42">
        <v>0</v>
      </c>
      <c r="E444" s="42">
        <v>0</v>
      </c>
    </row>
    <row r="445" spans="1:5" ht="12.75" customHeight="1">
      <c r="A445" s="962" t="s">
        <v>1804</v>
      </c>
      <c r="B445" s="42" t="s">
        <v>2843</v>
      </c>
      <c r="C445" s="42">
        <v>0</v>
      </c>
      <c r="D445" s="42">
        <v>0</v>
      </c>
      <c r="E445" s="42">
        <v>0</v>
      </c>
    </row>
    <row r="446" spans="1:5" ht="12.75" customHeight="1">
      <c r="A446" s="962" t="s">
        <v>1804</v>
      </c>
      <c r="B446" s="42" t="s">
        <v>2844</v>
      </c>
      <c r="C446" s="42">
        <v>0</v>
      </c>
      <c r="D446" s="42">
        <v>0</v>
      </c>
      <c r="E446" s="42">
        <v>0</v>
      </c>
    </row>
    <row r="447" spans="1:5" ht="12.75" customHeight="1">
      <c r="A447" s="962" t="s">
        <v>1804</v>
      </c>
      <c r="B447" s="42" t="s">
        <v>2845</v>
      </c>
      <c r="C447" s="42">
        <v>0</v>
      </c>
      <c r="D447" s="42">
        <v>0</v>
      </c>
      <c r="E447" s="42">
        <v>0</v>
      </c>
    </row>
    <row r="448" spans="1:5" ht="12.75" customHeight="1">
      <c r="A448" s="962" t="s">
        <v>1804</v>
      </c>
      <c r="B448" s="42" t="s">
        <v>2846</v>
      </c>
      <c r="C448" s="42">
        <v>0</v>
      </c>
      <c r="D448" s="42">
        <v>0</v>
      </c>
      <c r="E448" s="42">
        <v>0</v>
      </c>
    </row>
    <row r="449" spans="1:5" ht="12.75" customHeight="1">
      <c r="A449" s="962" t="s">
        <v>1804</v>
      </c>
      <c r="B449" s="42" t="s">
        <v>2847</v>
      </c>
      <c r="C449" s="42">
        <v>0</v>
      </c>
      <c r="D449" s="42">
        <v>0</v>
      </c>
      <c r="E449" s="42">
        <v>0</v>
      </c>
    </row>
    <row r="450" spans="1:5" ht="12.75" customHeight="1">
      <c r="A450" s="962" t="s">
        <v>1804</v>
      </c>
      <c r="B450" s="42" t="s">
        <v>2848</v>
      </c>
      <c r="C450" s="42">
        <v>0</v>
      </c>
      <c r="D450" s="42">
        <v>0</v>
      </c>
      <c r="E450" s="42">
        <v>0</v>
      </c>
    </row>
    <row r="451" spans="1:5" ht="12.75" customHeight="1">
      <c r="A451" s="962" t="s">
        <v>1804</v>
      </c>
      <c r="B451" s="42" t="s">
        <v>2849</v>
      </c>
      <c r="C451" s="42">
        <v>0</v>
      </c>
      <c r="D451" s="42">
        <v>0</v>
      </c>
      <c r="E451" s="42">
        <v>0</v>
      </c>
    </row>
    <row r="452" spans="1:5" ht="12.75" customHeight="1">
      <c r="A452" s="962" t="s">
        <v>1804</v>
      </c>
      <c r="B452" s="42" t="s">
        <v>2850</v>
      </c>
      <c r="C452" s="42">
        <v>0</v>
      </c>
      <c r="D452" s="42">
        <v>0</v>
      </c>
      <c r="E452" s="42">
        <v>0</v>
      </c>
    </row>
    <row r="453" spans="1:5" ht="12.75" customHeight="1">
      <c r="A453" s="962" t="s">
        <v>1804</v>
      </c>
      <c r="B453" s="42" t="s">
        <v>2851</v>
      </c>
      <c r="C453" s="42">
        <v>0</v>
      </c>
      <c r="D453" s="42">
        <v>0</v>
      </c>
      <c r="E453" s="42">
        <v>0</v>
      </c>
    </row>
    <row r="454" spans="1:5" ht="12.75" customHeight="1">
      <c r="A454" s="962" t="s">
        <v>1804</v>
      </c>
      <c r="B454" s="42" t="s">
        <v>2852</v>
      </c>
      <c r="C454" s="42">
        <v>0</v>
      </c>
      <c r="D454" s="42">
        <v>0</v>
      </c>
      <c r="E454" s="42">
        <v>0</v>
      </c>
    </row>
    <row r="455" spans="1:5" ht="12.75" customHeight="1">
      <c r="A455" s="962" t="s">
        <v>1804</v>
      </c>
      <c r="B455" s="42" t="s">
        <v>2853</v>
      </c>
      <c r="C455" s="42">
        <v>0</v>
      </c>
      <c r="D455" s="42">
        <v>0</v>
      </c>
      <c r="E455" s="42">
        <v>0</v>
      </c>
    </row>
    <row r="456" spans="1:5" ht="12.75" customHeight="1">
      <c r="A456" s="962" t="s">
        <v>1804</v>
      </c>
      <c r="B456" s="42" t="s">
        <v>2854</v>
      </c>
      <c r="C456" s="42">
        <v>0</v>
      </c>
      <c r="D456" s="42">
        <v>0</v>
      </c>
      <c r="E456" s="42">
        <v>0</v>
      </c>
    </row>
    <row r="457" spans="1:5" ht="12.75" customHeight="1">
      <c r="A457" s="962" t="s">
        <v>1804</v>
      </c>
      <c r="B457" s="42" t="s">
        <v>2855</v>
      </c>
      <c r="C457" s="42">
        <v>0</v>
      </c>
      <c r="D457" s="42">
        <v>0</v>
      </c>
      <c r="E457" s="42">
        <v>0</v>
      </c>
    </row>
    <row r="458" spans="1:5" ht="12.75" customHeight="1">
      <c r="A458" s="962" t="s">
        <v>1804</v>
      </c>
      <c r="B458" s="42" t="s">
        <v>2856</v>
      </c>
      <c r="C458" s="42">
        <v>0</v>
      </c>
      <c r="D458" s="42">
        <v>0</v>
      </c>
      <c r="E458" s="42">
        <v>0</v>
      </c>
    </row>
    <row r="459" spans="1:5" ht="12.75" customHeight="1">
      <c r="A459" s="962" t="s">
        <v>1804</v>
      </c>
      <c r="B459" s="42" t="s">
        <v>2857</v>
      </c>
      <c r="C459" s="42">
        <v>0</v>
      </c>
      <c r="D459" s="42">
        <v>0</v>
      </c>
      <c r="E459" s="42">
        <v>0</v>
      </c>
    </row>
    <row r="460" spans="1:5" ht="12.75" customHeight="1">
      <c r="A460" s="962" t="s">
        <v>1804</v>
      </c>
      <c r="B460" s="42" t="s">
        <v>2858</v>
      </c>
      <c r="C460" s="42">
        <v>0</v>
      </c>
      <c r="D460" s="42">
        <v>0</v>
      </c>
      <c r="E460" s="42">
        <v>0</v>
      </c>
    </row>
    <row r="461" spans="1:5" ht="12.75" customHeight="1">
      <c r="A461" s="962" t="s">
        <v>1804</v>
      </c>
      <c r="B461" s="42" t="s">
        <v>2859</v>
      </c>
      <c r="C461" s="42">
        <v>0</v>
      </c>
      <c r="D461" s="42">
        <v>0</v>
      </c>
      <c r="E461" s="42">
        <v>0</v>
      </c>
    </row>
    <row r="462" spans="1:5" ht="12.75" customHeight="1">
      <c r="A462" s="962" t="s">
        <v>1804</v>
      </c>
      <c r="B462" s="42" t="s">
        <v>2860</v>
      </c>
      <c r="C462" s="42">
        <v>0</v>
      </c>
      <c r="D462" s="42">
        <v>0</v>
      </c>
      <c r="E462" s="42">
        <v>0</v>
      </c>
    </row>
    <row r="463" spans="1:5" ht="12.75" customHeight="1">
      <c r="A463" s="962" t="s">
        <v>1804</v>
      </c>
      <c r="B463" s="42" t="s">
        <v>2861</v>
      </c>
      <c r="C463" s="42">
        <v>0</v>
      </c>
      <c r="D463" s="42">
        <v>0</v>
      </c>
      <c r="E463" s="42">
        <v>0</v>
      </c>
    </row>
    <row r="464" spans="1:5" ht="12.75" customHeight="1">
      <c r="A464" s="962" t="s">
        <v>1804</v>
      </c>
      <c r="B464" s="42" t="s">
        <v>2862</v>
      </c>
      <c r="C464" s="42">
        <v>0</v>
      </c>
      <c r="D464" s="42">
        <v>0</v>
      </c>
      <c r="E464" s="42">
        <v>0</v>
      </c>
    </row>
    <row r="465" spans="1:5" ht="12.75" customHeight="1">
      <c r="A465" s="962" t="s">
        <v>1804</v>
      </c>
      <c r="B465" s="42" t="s">
        <v>2863</v>
      </c>
      <c r="C465" s="42">
        <v>0</v>
      </c>
      <c r="D465" s="42">
        <v>0</v>
      </c>
      <c r="E465" s="42">
        <v>0</v>
      </c>
    </row>
    <row r="466" spans="1:5" ht="12.75" customHeight="1">
      <c r="A466" s="962" t="s">
        <v>1804</v>
      </c>
      <c r="B466" s="42" t="s">
        <v>2864</v>
      </c>
      <c r="C466" s="42">
        <v>0</v>
      </c>
      <c r="D466" s="42">
        <v>0</v>
      </c>
      <c r="E466" s="42">
        <v>0</v>
      </c>
    </row>
    <row r="467" spans="1:5" ht="12.75" customHeight="1">
      <c r="A467" s="962" t="s">
        <v>1804</v>
      </c>
      <c r="B467" s="42" t="s">
        <v>2865</v>
      </c>
      <c r="C467" s="42">
        <v>0</v>
      </c>
      <c r="D467" s="42">
        <v>0</v>
      </c>
      <c r="E467" s="42">
        <v>0</v>
      </c>
    </row>
    <row r="468" spans="1:5" ht="12.75" customHeight="1">
      <c r="A468" s="962" t="s">
        <v>1804</v>
      </c>
      <c r="B468" s="42" t="s">
        <v>2866</v>
      </c>
      <c r="C468" s="42">
        <v>0</v>
      </c>
      <c r="D468" s="42">
        <v>0</v>
      </c>
      <c r="E468" s="42">
        <v>0</v>
      </c>
    </row>
    <row r="469" spans="1:5" ht="12.75" customHeight="1">
      <c r="A469" s="962" t="s">
        <v>1804</v>
      </c>
      <c r="B469" s="42" t="s">
        <v>2867</v>
      </c>
      <c r="C469" s="42">
        <v>0</v>
      </c>
      <c r="D469" s="42">
        <v>0</v>
      </c>
      <c r="E469" s="42">
        <v>0</v>
      </c>
    </row>
    <row r="470" spans="1:5" ht="12.75" customHeight="1">
      <c r="A470" s="962" t="s">
        <v>1804</v>
      </c>
      <c r="B470" s="42" t="s">
        <v>2868</v>
      </c>
      <c r="C470" s="42">
        <v>0</v>
      </c>
      <c r="D470" s="42">
        <v>0</v>
      </c>
      <c r="E470" s="42">
        <v>0</v>
      </c>
    </row>
    <row r="471" spans="1:5" ht="12.75" customHeight="1">
      <c r="A471" s="962" t="s">
        <v>1804</v>
      </c>
      <c r="B471" s="42" t="s">
        <v>2869</v>
      </c>
      <c r="C471" s="42">
        <v>0</v>
      </c>
      <c r="D471" s="42">
        <v>0</v>
      </c>
      <c r="E471" s="42">
        <v>0</v>
      </c>
    </row>
    <row r="472" spans="1:5" ht="12.75" customHeight="1">
      <c r="A472" s="962" t="s">
        <v>1804</v>
      </c>
      <c r="B472" s="42" t="s">
        <v>2870</v>
      </c>
      <c r="C472" s="42">
        <v>0</v>
      </c>
      <c r="D472" s="42">
        <v>0</v>
      </c>
      <c r="E472" s="42">
        <v>0</v>
      </c>
    </row>
    <row r="473" spans="1:5" ht="12.75" customHeight="1">
      <c r="A473" s="962" t="s">
        <v>1804</v>
      </c>
      <c r="B473" s="42" t="s">
        <v>2871</v>
      </c>
      <c r="C473" s="42">
        <v>0</v>
      </c>
      <c r="D473" s="42">
        <v>0</v>
      </c>
      <c r="E473" s="42">
        <v>0</v>
      </c>
    </row>
    <row r="474" spans="1:5" ht="12.75" customHeight="1">
      <c r="A474" s="962" t="s">
        <v>1804</v>
      </c>
      <c r="B474" s="42" t="s">
        <v>2872</v>
      </c>
      <c r="C474" s="42">
        <v>0</v>
      </c>
      <c r="D474" s="42">
        <v>0</v>
      </c>
      <c r="E474" s="42">
        <v>0</v>
      </c>
    </row>
    <row r="475" spans="1:5" ht="12.75" customHeight="1">
      <c r="A475" s="962" t="s">
        <v>1804</v>
      </c>
      <c r="B475" s="42" t="s">
        <v>2873</v>
      </c>
      <c r="C475" s="42">
        <v>0</v>
      </c>
      <c r="D475" s="42">
        <v>0</v>
      </c>
      <c r="E475" s="42">
        <v>0</v>
      </c>
    </row>
    <row r="476" spans="1:5" ht="12.75" customHeight="1">
      <c r="A476" s="962" t="s">
        <v>1804</v>
      </c>
      <c r="B476" s="42" t="s">
        <v>2874</v>
      </c>
      <c r="C476" s="42">
        <v>0</v>
      </c>
      <c r="D476" s="42">
        <v>0</v>
      </c>
      <c r="E476" s="42">
        <v>0</v>
      </c>
    </row>
    <row r="477" spans="1:5" ht="12.75" customHeight="1">
      <c r="A477" s="962" t="s">
        <v>1804</v>
      </c>
      <c r="B477" s="42" t="s">
        <v>2875</v>
      </c>
      <c r="C477" s="42">
        <v>0</v>
      </c>
      <c r="D477" s="42">
        <v>0</v>
      </c>
      <c r="E477" s="42">
        <v>0</v>
      </c>
    </row>
    <row r="478" spans="1:5" ht="12.75" customHeight="1">
      <c r="A478" s="962" t="s">
        <v>1804</v>
      </c>
      <c r="B478" s="42" t="s">
        <v>2876</v>
      </c>
      <c r="C478" s="42">
        <v>0</v>
      </c>
      <c r="D478" s="42">
        <v>0</v>
      </c>
      <c r="E478" s="42">
        <v>0</v>
      </c>
    </row>
    <row r="479" spans="1:5" ht="12.75" customHeight="1">
      <c r="A479" s="962" t="s">
        <v>1804</v>
      </c>
      <c r="B479" s="42" t="s">
        <v>2877</v>
      </c>
      <c r="C479" s="42">
        <v>0</v>
      </c>
      <c r="D479" s="42">
        <v>0</v>
      </c>
      <c r="E479" s="42">
        <v>0</v>
      </c>
    </row>
    <row r="480" spans="1:5" ht="12.75" customHeight="1">
      <c r="A480" s="962" t="s">
        <v>1804</v>
      </c>
      <c r="B480" s="42" t="s">
        <v>2878</v>
      </c>
      <c r="C480" s="42">
        <v>0</v>
      </c>
      <c r="D480" s="42">
        <v>0</v>
      </c>
      <c r="E480" s="42">
        <v>0</v>
      </c>
    </row>
    <row r="481" spans="1:5" ht="12.75" customHeight="1">
      <c r="A481" s="962" t="s">
        <v>1804</v>
      </c>
      <c r="B481" s="42" t="s">
        <v>2879</v>
      </c>
      <c r="C481" s="42">
        <v>0</v>
      </c>
      <c r="D481" s="42">
        <v>0</v>
      </c>
      <c r="E481" s="42">
        <v>0</v>
      </c>
    </row>
    <row r="482" spans="1:5" ht="12.75" customHeight="1">
      <c r="A482" s="962" t="s">
        <v>1804</v>
      </c>
      <c r="B482" s="42" t="s">
        <v>2880</v>
      </c>
      <c r="C482" s="42">
        <v>0</v>
      </c>
      <c r="D482" s="42">
        <v>0</v>
      </c>
      <c r="E482" s="42">
        <v>0</v>
      </c>
    </row>
    <row r="483" spans="1:5" ht="12.75" customHeight="1">
      <c r="A483" s="962" t="s">
        <v>1804</v>
      </c>
      <c r="B483" s="42" t="s">
        <v>2881</v>
      </c>
      <c r="C483" s="42">
        <v>0</v>
      </c>
      <c r="D483" s="42">
        <v>0</v>
      </c>
      <c r="E483" s="42">
        <v>0</v>
      </c>
    </row>
    <row r="484" spans="1:5" ht="12.75" customHeight="1">
      <c r="A484" s="962" t="s">
        <v>1804</v>
      </c>
      <c r="B484" s="42" t="s">
        <v>2882</v>
      </c>
      <c r="C484" s="42">
        <v>0</v>
      </c>
      <c r="D484" s="42">
        <v>0</v>
      </c>
      <c r="E484" s="42">
        <v>0</v>
      </c>
    </row>
    <row r="485" spans="1:5" ht="12.75" customHeight="1">
      <c r="A485" s="962" t="s">
        <v>1804</v>
      </c>
      <c r="B485" s="42" t="s">
        <v>2883</v>
      </c>
      <c r="C485" s="42">
        <v>0</v>
      </c>
      <c r="D485" s="42">
        <v>0</v>
      </c>
      <c r="E485" s="42">
        <v>0</v>
      </c>
    </row>
    <row r="486" spans="1:5" ht="12.75" customHeight="1">
      <c r="A486" s="962" t="s">
        <v>1804</v>
      </c>
      <c r="B486" s="42" t="s">
        <v>2884</v>
      </c>
      <c r="C486" s="42">
        <v>0</v>
      </c>
      <c r="D486" s="42">
        <v>0</v>
      </c>
      <c r="E486" s="42">
        <v>0</v>
      </c>
    </row>
    <row r="487" spans="1:5" ht="12.75" customHeight="1">
      <c r="A487" s="962" t="s">
        <v>1804</v>
      </c>
      <c r="B487" s="42" t="s">
        <v>2885</v>
      </c>
      <c r="C487" s="42">
        <v>0</v>
      </c>
      <c r="D487" s="42">
        <v>0</v>
      </c>
      <c r="E487" s="42">
        <v>0</v>
      </c>
    </row>
    <row r="488" spans="1:5" ht="12.75" customHeight="1">
      <c r="A488" s="962" t="s">
        <v>1804</v>
      </c>
      <c r="B488" s="42" t="s">
        <v>2886</v>
      </c>
      <c r="C488" s="42">
        <v>0</v>
      </c>
      <c r="D488" s="42">
        <v>0</v>
      </c>
      <c r="E488" s="42">
        <v>0</v>
      </c>
    </row>
    <row r="489" spans="1:5" ht="12.75" customHeight="1">
      <c r="A489" s="962" t="s">
        <v>1804</v>
      </c>
      <c r="B489" s="42" t="s">
        <v>2887</v>
      </c>
      <c r="C489" s="42">
        <v>0</v>
      </c>
      <c r="D489" s="42">
        <v>0</v>
      </c>
      <c r="E489" s="42">
        <v>0</v>
      </c>
    </row>
    <row r="490" spans="1:5" ht="12.75" customHeight="1">
      <c r="A490" s="962" t="s">
        <v>1804</v>
      </c>
      <c r="B490" s="42" t="s">
        <v>2888</v>
      </c>
      <c r="C490" s="42">
        <v>0</v>
      </c>
      <c r="D490" s="42">
        <v>0</v>
      </c>
      <c r="E490" s="42">
        <v>0</v>
      </c>
    </row>
    <row r="491" spans="1:5" ht="12.75" customHeight="1">
      <c r="A491" s="962" t="s">
        <v>1804</v>
      </c>
      <c r="B491" s="42" t="s">
        <v>2889</v>
      </c>
      <c r="C491" s="42">
        <v>0</v>
      </c>
      <c r="D491" s="42">
        <v>0</v>
      </c>
      <c r="E491" s="42">
        <v>0</v>
      </c>
    </row>
    <row r="492" spans="1:5" ht="12.75" customHeight="1">
      <c r="A492" s="962" t="s">
        <v>1804</v>
      </c>
      <c r="B492" s="42" t="s">
        <v>2890</v>
      </c>
      <c r="C492" s="42">
        <v>0</v>
      </c>
      <c r="D492" s="42">
        <v>0</v>
      </c>
      <c r="E492" s="42">
        <v>0</v>
      </c>
    </row>
    <row r="493" spans="1:5" ht="12.75" customHeight="1">
      <c r="A493" s="962" t="s">
        <v>1804</v>
      </c>
      <c r="B493" s="42" t="s">
        <v>2891</v>
      </c>
      <c r="C493" s="42">
        <v>0</v>
      </c>
      <c r="D493" s="42">
        <v>0</v>
      </c>
      <c r="E493" s="42">
        <v>0</v>
      </c>
    </row>
    <row r="494" spans="1:5" ht="12.75" customHeight="1">
      <c r="A494" s="962" t="s">
        <v>1804</v>
      </c>
      <c r="B494" s="42" t="s">
        <v>2892</v>
      </c>
      <c r="C494" s="42">
        <v>0</v>
      </c>
      <c r="D494" s="42">
        <v>0</v>
      </c>
      <c r="E494" s="42">
        <v>0</v>
      </c>
    </row>
    <row r="495" spans="1:5" ht="12.75" customHeight="1">
      <c r="A495" s="962" t="s">
        <v>1804</v>
      </c>
      <c r="B495" s="42" t="s">
        <v>2893</v>
      </c>
      <c r="C495" s="42">
        <v>0</v>
      </c>
      <c r="D495" s="42">
        <v>0</v>
      </c>
      <c r="E495" s="42">
        <v>0</v>
      </c>
    </row>
    <row r="496" spans="1:5" ht="12.75" customHeight="1">
      <c r="A496" s="962" t="s">
        <v>1804</v>
      </c>
      <c r="B496" s="42" t="s">
        <v>2894</v>
      </c>
      <c r="C496" s="42">
        <v>0</v>
      </c>
      <c r="D496" s="42">
        <v>0</v>
      </c>
      <c r="E496" s="42">
        <v>0</v>
      </c>
    </row>
    <row r="497" spans="1:5" ht="12.75" customHeight="1">
      <c r="A497" s="962" t="s">
        <v>1804</v>
      </c>
      <c r="B497" s="42" t="s">
        <v>2895</v>
      </c>
      <c r="C497" s="42">
        <v>0</v>
      </c>
      <c r="D497" s="42">
        <v>0</v>
      </c>
      <c r="E497" s="42">
        <v>0</v>
      </c>
    </row>
    <row r="498" spans="1:5" ht="12.75" customHeight="1">
      <c r="A498" s="962" t="s">
        <v>1804</v>
      </c>
      <c r="B498" s="42" t="s">
        <v>2896</v>
      </c>
      <c r="C498" s="42">
        <v>0</v>
      </c>
      <c r="D498" s="42">
        <v>0</v>
      </c>
      <c r="E498" s="42">
        <v>0</v>
      </c>
    </row>
    <row r="499" spans="1:5" ht="12.75" customHeight="1">
      <c r="A499" s="962" t="s">
        <v>1804</v>
      </c>
      <c r="B499" s="42" t="s">
        <v>2897</v>
      </c>
      <c r="C499" s="42">
        <v>0</v>
      </c>
      <c r="D499" s="42">
        <v>0</v>
      </c>
      <c r="E499" s="42">
        <v>0</v>
      </c>
    </row>
    <row r="500" spans="1:5" ht="12.75" customHeight="1">
      <c r="A500" s="962" t="s">
        <v>1804</v>
      </c>
      <c r="B500" s="42" t="s">
        <v>2898</v>
      </c>
      <c r="C500" s="42">
        <v>0</v>
      </c>
      <c r="D500" s="42">
        <v>0</v>
      </c>
      <c r="E500" s="42">
        <v>0</v>
      </c>
    </row>
    <row r="501" spans="1:5" ht="12.75" customHeight="1">
      <c r="A501" s="962" t="s">
        <v>1804</v>
      </c>
      <c r="B501" s="42" t="s">
        <v>2899</v>
      </c>
      <c r="C501" s="42">
        <v>0</v>
      </c>
      <c r="D501" s="42">
        <v>0</v>
      </c>
      <c r="E501" s="42">
        <v>0</v>
      </c>
    </row>
    <row r="502" spans="1:5" ht="12.75" customHeight="1">
      <c r="A502" s="962" t="s">
        <v>1804</v>
      </c>
      <c r="B502" s="42" t="s">
        <v>2900</v>
      </c>
      <c r="C502" s="42">
        <v>0</v>
      </c>
      <c r="D502" s="42">
        <v>0</v>
      </c>
      <c r="E502" s="42">
        <v>0</v>
      </c>
    </row>
    <row r="503" spans="1:5" ht="12.75" customHeight="1">
      <c r="A503" s="962" t="s">
        <v>1804</v>
      </c>
      <c r="B503" s="42" t="s">
        <v>2901</v>
      </c>
      <c r="C503" s="42">
        <v>0</v>
      </c>
      <c r="D503" s="42">
        <v>0</v>
      </c>
      <c r="E503" s="42">
        <v>0</v>
      </c>
    </row>
    <row r="504" spans="1:5" ht="12.75" customHeight="1">
      <c r="A504" s="962" t="s">
        <v>1804</v>
      </c>
      <c r="B504" s="42" t="s">
        <v>2902</v>
      </c>
      <c r="C504" s="42">
        <v>0</v>
      </c>
      <c r="D504" s="42">
        <v>0</v>
      </c>
      <c r="E504" s="42">
        <v>0</v>
      </c>
    </row>
    <row r="505" spans="1:5" ht="12.75" customHeight="1">
      <c r="A505" s="962" t="s">
        <v>1804</v>
      </c>
      <c r="B505" s="42" t="s">
        <v>2903</v>
      </c>
      <c r="C505" s="42">
        <v>0</v>
      </c>
      <c r="D505" s="42">
        <v>0</v>
      </c>
      <c r="E505" s="42">
        <v>0</v>
      </c>
    </row>
    <row r="506" spans="1:5" ht="12.75" customHeight="1">
      <c r="A506" s="962" t="s">
        <v>1804</v>
      </c>
      <c r="B506" s="42" t="s">
        <v>2904</v>
      </c>
      <c r="C506" s="42">
        <v>0</v>
      </c>
      <c r="D506" s="42">
        <v>0</v>
      </c>
      <c r="E506" s="42">
        <v>0</v>
      </c>
    </row>
    <row r="507" spans="1:5" ht="12.75" customHeight="1">
      <c r="A507" s="962" t="s">
        <v>1804</v>
      </c>
      <c r="B507" s="42" t="s">
        <v>2905</v>
      </c>
      <c r="C507" s="42">
        <v>0</v>
      </c>
      <c r="D507" s="42">
        <v>0</v>
      </c>
      <c r="E507" s="42">
        <v>0</v>
      </c>
    </row>
    <row r="508" spans="1:5" ht="12.75" customHeight="1">
      <c r="A508" s="962" t="s">
        <v>1804</v>
      </c>
      <c r="B508" s="42" t="s">
        <v>2906</v>
      </c>
      <c r="C508" s="42">
        <v>0</v>
      </c>
      <c r="D508" s="42">
        <v>0</v>
      </c>
      <c r="E508" s="42">
        <v>0</v>
      </c>
    </row>
    <row r="509" spans="1:5" ht="12.75" customHeight="1">
      <c r="A509" s="962" t="s">
        <v>1804</v>
      </c>
      <c r="B509" s="42" t="s">
        <v>2907</v>
      </c>
      <c r="C509" s="42">
        <v>0</v>
      </c>
      <c r="D509" s="42">
        <v>0</v>
      </c>
      <c r="E509" s="42">
        <v>0</v>
      </c>
    </row>
    <row r="510" spans="1:5" ht="12.75" customHeight="1">
      <c r="A510" s="962" t="s">
        <v>1804</v>
      </c>
      <c r="B510" s="42" t="s">
        <v>2908</v>
      </c>
      <c r="C510" s="42">
        <v>0</v>
      </c>
      <c r="D510" s="42">
        <v>0</v>
      </c>
      <c r="E510" s="42">
        <v>0</v>
      </c>
    </row>
    <row r="511" spans="1:5" ht="12.75" customHeight="1">
      <c r="A511" s="962" t="s">
        <v>1804</v>
      </c>
      <c r="B511" s="42" t="s">
        <v>2909</v>
      </c>
      <c r="C511" s="42">
        <v>0</v>
      </c>
      <c r="D511" s="42">
        <v>0</v>
      </c>
      <c r="E511" s="42">
        <v>0</v>
      </c>
    </row>
    <row r="512" spans="1:5" ht="12.75" customHeight="1">
      <c r="A512" s="962" t="s">
        <v>1804</v>
      </c>
      <c r="B512" s="42" t="s">
        <v>2910</v>
      </c>
      <c r="C512" s="42">
        <v>0</v>
      </c>
      <c r="D512" s="42">
        <v>0</v>
      </c>
      <c r="E512" s="42">
        <v>0</v>
      </c>
    </row>
    <row r="513" spans="1:5" ht="12.75" customHeight="1">
      <c r="A513" s="962" t="s">
        <v>1804</v>
      </c>
      <c r="B513" s="42" t="s">
        <v>2911</v>
      </c>
      <c r="C513" s="42">
        <v>0</v>
      </c>
      <c r="D513" s="42">
        <v>0</v>
      </c>
      <c r="E513" s="42">
        <v>0</v>
      </c>
    </row>
    <row r="514" spans="1:5" ht="12.75" customHeight="1">
      <c r="A514" s="962" t="s">
        <v>1804</v>
      </c>
      <c r="B514" s="42" t="s">
        <v>2912</v>
      </c>
      <c r="C514" s="42">
        <v>0</v>
      </c>
      <c r="D514" s="42">
        <v>0</v>
      </c>
      <c r="E514" s="42">
        <v>0</v>
      </c>
    </row>
    <row r="515" spans="1:5" ht="12.75" customHeight="1">
      <c r="A515" s="962" t="s">
        <v>1804</v>
      </c>
      <c r="B515" s="42" t="s">
        <v>2913</v>
      </c>
      <c r="C515" s="42">
        <v>0</v>
      </c>
      <c r="D515" s="42">
        <v>0</v>
      </c>
      <c r="E515" s="42">
        <v>0</v>
      </c>
    </row>
    <row r="516" spans="1:5" ht="12.75" customHeight="1">
      <c r="A516" s="962" t="s">
        <v>1804</v>
      </c>
      <c r="B516" s="42" t="s">
        <v>2914</v>
      </c>
      <c r="C516" s="42">
        <v>0</v>
      </c>
      <c r="D516" s="42">
        <v>0</v>
      </c>
      <c r="E516" s="42">
        <v>0</v>
      </c>
    </row>
    <row r="517" spans="1:5" ht="12.75" customHeight="1">
      <c r="A517" s="962" t="s">
        <v>1804</v>
      </c>
      <c r="B517" s="42" t="s">
        <v>2915</v>
      </c>
      <c r="C517" s="42">
        <v>0</v>
      </c>
      <c r="D517" s="42">
        <v>0</v>
      </c>
      <c r="E517" s="42">
        <v>0</v>
      </c>
    </row>
    <row r="518" spans="1:5" ht="12.75" customHeight="1">
      <c r="A518" s="962" t="s">
        <v>1804</v>
      </c>
      <c r="B518" s="42" t="s">
        <v>2916</v>
      </c>
      <c r="C518" s="42">
        <v>0</v>
      </c>
      <c r="D518" s="42">
        <v>0</v>
      </c>
      <c r="E518" s="42">
        <v>0</v>
      </c>
    </row>
    <row r="519" spans="1:5" ht="12.75" customHeight="1">
      <c r="A519" s="962" t="s">
        <v>1804</v>
      </c>
      <c r="B519" s="42" t="s">
        <v>2917</v>
      </c>
      <c r="C519" s="42">
        <v>0</v>
      </c>
      <c r="D519" s="42">
        <v>0</v>
      </c>
      <c r="E519" s="42">
        <v>0</v>
      </c>
    </row>
    <row r="520" spans="1:5" ht="12.75" customHeight="1">
      <c r="A520" s="962" t="s">
        <v>1804</v>
      </c>
      <c r="B520" s="42" t="s">
        <v>2918</v>
      </c>
      <c r="C520" s="42">
        <v>0</v>
      </c>
      <c r="D520" s="42">
        <v>0</v>
      </c>
      <c r="E520" s="42">
        <v>0</v>
      </c>
    </row>
    <row r="521" spans="1:5" ht="12.75" customHeight="1">
      <c r="A521" s="962" t="s">
        <v>1804</v>
      </c>
      <c r="B521" s="42" t="s">
        <v>2919</v>
      </c>
      <c r="C521" s="42">
        <v>0</v>
      </c>
      <c r="D521" s="42">
        <v>0</v>
      </c>
      <c r="E521" s="42">
        <v>0</v>
      </c>
    </row>
    <row r="522" spans="1:5" ht="12.75" customHeight="1">
      <c r="A522" s="962" t="s">
        <v>1804</v>
      </c>
      <c r="B522" s="42" t="s">
        <v>2920</v>
      </c>
      <c r="C522" s="42">
        <v>0</v>
      </c>
      <c r="D522" s="42">
        <v>0</v>
      </c>
      <c r="E522" s="42">
        <v>0</v>
      </c>
    </row>
    <row r="523" spans="1:5" ht="12.75" customHeight="1">
      <c r="A523" s="962" t="s">
        <v>1804</v>
      </c>
      <c r="B523" s="42" t="s">
        <v>2921</v>
      </c>
      <c r="C523" s="42">
        <v>0</v>
      </c>
      <c r="D523" s="42">
        <v>0</v>
      </c>
      <c r="E523" s="42">
        <v>0</v>
      </c>
    </row>
    <row r="524" spans="1:5" ht="12.75" customHeight="1">
      <c r="A524" s="962" t="s">
        <v>1804</v>
      </c>
      <c r="B524" s="42" t="s">
        <v>2922</v>
      </c>
      <c r="C524" s="42">
        <v>0</v>
      </c>
      <c r="D524" s="42">
        <v>0</v>
      </c>
      <c r="E524" s="42">
        <v>0</v>
      </c>
    </row>
    <row r="525" spans="1:5" ht="12.75" customHeight="1">
      <c r="A525" s="962" t="s">
        <v>1804</v>
      </c>
      <c r="B525" s="42" t="s">
        <v>2923</v>
      </c>
      <c r="C525" s="42">
        <v>0</v>
      </c>
      <c r="D525" s="42">
        <v>0</v>
      </c>
      <c r="E525" s="42">
        <v>0</v>
      </c>
    </row>
    <row r="526" spans="1:5" ht="12.75" customHeight="1">
      <c r="A526" s="962" t="s">
        <v>1804</v>
      </c>
      <c r="B526" s="42" t="s">
        <v>2924</v>
      </c>
      <c r="C526" s="42">
        <v>0</v>
      </c>
      <c r="D526" s="42">
        <v>0</v>
      </c>
      <c r="E526" s="42">
        <v>0</v>
      </c>
    </row>
    <row r="527" spans="1:5" ht="12.75" customHeight="1">
      <c r="A527" s="962" t="s">
        <v>1804</v>
      </c>
      <c r="B527" s="42" t="s">
        <v>2925</v>
      </c>
      <c r="C527" s="42">
        <v>0</v>
      </c>
      <c r="D527" s="42">
        <v>0</v>
      </c>
      <c r="E527" s="42">
        <v>0</v>
      </c>
    </row>
    <row r="528" spans="1:5" ht="12.75" customHeight="1">
      <c r="A528" s="962" t="s">
        <v>1804</v>
      </c>
      <c r="B528" s="42" t="s">
        <v>2926</v>
      </c>
      <c r="C528" s="42">
        <v>0</v>
      </c>
      <c r="D528" s="42">
        <v>0</v>
      </c>
      <c r="E528" s="42">
        <v>0</v>
      </c>
    </row>
    <row r="529" spans="1:5" ht="12.75" customHeight="1">
      <c r="A529" s="962" t="s">
        <v>1804</v>
      </c>
      <c r="B529" s="42" t="s">
        <v>2927</v>
      </c>
      <c r="C529" s="42">
        <v>0</v>
      </c>
      <c r="D529" s="42">
        <v>0</v>
      </c>
      <c r="E529" s="42">
        <v>0</v>
      </c>
    </row>
    <row r="530" spans="1:5" ht="12.75" customHeight="1">
      <c r="A530" s="962" t="s">
        <v>1804</v>
      </c>
      <c r="B530" s="42" t="s">
        <v>2928</v>
      </c>
      <c r="C530" s="42">
        <v>0</v>
      </c>
      <c r="D530" s="42">
        <v>0</v>
      </c>
      <c r="E530" s="42">
        <v>0</v>
      </c>
    </row>
    <row r="531" spans="1:5" ht="12.75" customHeight="1">
      <c r="A531" s="962" t="s">
        <v>1804</v>
      </c>
      <c r="B531" s="42" t="s">
        <v>2929</v>
      </c>
      <c r="C531" s="42">
        <v>0</v>
      </c>
      <c r="D531" s="42">
        <v>0</v>
      </c>
      <c r="E531" s="42">
        <v>0</v>
      </c>
    </row>
    <row r="532" spans="1:5" ht="12.75" customHeight="1">
      <c r="A532" s="962" t="s">
        <v>1804</v>
      </c>
      <c r="B532" s="42" t="s">
        <v>2930</v>
      </c>
      <c r="C532" s="42">
        <v>0</v>
      </c>
      <c r="D532" s="42">
        <v>0</v>
      </c>
      <c r="E532" s="42">
        <v>0</v>
      </c>
    </row>
    <row r="533" spans="1:5" ht="12.75" customHeight="1">
      <c r="A533" s="962" t="s">
        <v>1804</v>
      </c>
      <c r="B533" s="42" t="s">
        <v>2931</v>
      </c>
      <c r="C533" s="42">
        <v>0</v>
      </c>
      <c r="D533" s="42">
        <v>0</v>
      </c>
      <c r="E533" s="42">
        <v>0</v>
      </c>
    </row>
    <row r="534" spans="1:5" ht="12.75" customHeight="1">
      <c r="A534" s="962" t="s">
        <v>1804</v>
      </c>
      <c r="B534" s="42" t="s">
        <v>2932</v>
      </c>
      <c r="C534" s="42">
        <v>0</v>
      </c>
      <c r="D534" s="42">
        <v>0</v>
      </c>
      <c r="E534" s="42">
        <v>0</v>
      </c>
    </row>
    <row r="535" spans="1:5" ht="12.75" customHeight="1">
      <c r="A535" s="962" t="s">
        <v>1804</v>
      </c>
      <c r="B535" s="42" t="s">
        <v>2933</v>
      </c>
      <c r="C535" s="42">
        <v>0</v>
      </c>
      <c r="D535" s="42">
        <v>0</v>
      </c>
      <c r="E535" s="42">
        <v>0</v>
      </c>
    </row>
    <row r="536" spans="1:5" ht="12.75" customHeight="1">
      <c r="A536" s="962" t="s">
        <v>1804</v>
      </c>
      <c r="B536" s="42" t="s">
        <v>2934</v>
      </c>
      <c r="C536" s="42">
        <v>0</v>
      </c>
      <c r="D536" s="42">
        <v>0</v>
      </c>
      <c r="E536" s="42">
        <v>0</v>
      </c>
    </row>
    <row r="537" spans="1:5" ht="12.75" customHeight="1">
      <c r="A537" s="962" t="s">
        <v>1804</v>
      </c>
      <c r="B537" s="42" t="s">
        <v>2935</v>
      </c>
      <c r="C537" s="42">
        <v>0</v>
      </c>
      <c r="D537" s="42">
        <v>0</v>
      </c>
      <c r="E537" s="42">
        <v>0</v>
      </c>
    </row>
    <row r="538" spans="1:5" ht="12.75" customHeight="1">
      <c r="A538" s="962" t="s">
        <v>1804</v>
      </c>
      <c r="B538" s="42" t="s">
        <v>2936</v>
      </c>
      <c r="C538" s="42">
        <v>0</v>
      </c>
      <c r="D538" s="42">
        <v>0</v>
      </c>
      <c r="E538" s="42">
        <v>0</v>
      </c>
    </row>
    <row r="539" spans="1:5" ht="12.75" customHeight="1">
      <c r="A539" s="962" t="s">
        <v>1804</v>
      </c>
      <c r="B539" s="42" t="s">
        <v>2937</v>
      </c>
      <c r="C539" s="42">
        <v>0</v>
      </c>
      <c r="D539" s="42">
        <v>0</v>
      </c>
      <c r="E539" s="42">
        <v>0</v>
      </c>
    </row>
    <row r="540" spans="1:5" ht="12.75" customHeight="1">
      <c r="A540" s="962" t="s">
        <v>1804</v>
      </c>
      <c r="B540" s="42" t="s">
        <v>2938</v>
      </c>
      <c r="C540" s="42">
        <v>0</v>
      </c>
      <c r="D540" s="42">
        <v>0</v>
      </c>
      <c r="E540" s="42">
        <v>0</v>
      </c>
    </row>
    <row r="541" spans="1:5" ht="12.75" customHeight="1">
      <c r="A541" s="962" t="s">
        <v>1804</v>
      </c>
      <c r="B541" s="42" t="s">
        <v>2939</v>
      </c>
      <c r="C541" s="42">
        <v>0</v>
      </c>
      <c r="D541" s="42">
        <v>0</v>
      </c>
      <c r="E541" s="42">
        <v>0</v>
      </c>
    </row>
    <row r="542" spans="1:5" ht="12.75" customHeight="1">
      <c r="A542" s="962" t="s">
        <v>1804</v>
      </c>
      <c r="B542" s="42" t="s">
        <v>2940</v>
      </c>
      <c r="C542" s="42">
        <v>0</v>
      </c>
      <c r="D542" s="42">
        <v>0</v>
      </c>
      <c r="E542" s="42">
        <v>0</v>
      </c>
    </row>
    <row r="543" spans="1:5" ht="12.75" customHeight="1">
      <c r="A543" s="962" t="s">
        <v>1804</v>
      </c>
      <c r="B543" s="42" t="s">
        <v>2941</v>
      </c>
      <c r="C543" s="42">
        <v>0</v>
      </c>
      <c r="D543" s="42">
        <v>0</v>
      </c>
      <c r="E543" s="42">
        <v>0</v>
      </c>
    </row>
    <row r="544" spans="1:5" ht="12.75" customHeight="1">
      <c r="A544" s="962" t="s">
        <v>1804</v>
      </c>
      <c r="B544" s="42" t="s">
        <v>2942</v>
      </c>
      <c r="C544" s="42">
        <v>0</v>
      </c>
      <c r="D544" s="42">
        <v>0</v>
      </c>
      <c r="E544" s="42">
        <v>0</v>
      </c>
    </row>
    <row r="545" spans="1:5" ht="12.75" customHeight="1">
      <c r="A545" s="962" t="s">
        <v>1804</v>
      </c>
      <c r="B545" s="42" t="s">
        <v>2943</v>
      </c>
      <c r="C545" s="42">
        <v>0</v>
      </c>
      <c r="D545" s="42">
        <v>0</v>
      </c>
      <c r="E545" s="42">
        <v>0</v>
      </c>
    </row>
    <row r="546" spans="1:5" ht="12.75" customHeight="1">
      <c r="A546" s="962" t="s">
        <v>1804</v>
      </c>
      <c r="B546" s="42" t="s">
        <v>2944</v>
      </c>
      <c r="C546" s="42">
        <v>0</v>
      </c>
      <c r="D546" s="42">
        <v>0</v>
      </c>
      <c r="E546" s="42">
        <v>0</v>
      </c>
    </row>
    <row r="547" spans="1:5" ht="12.75" customHeight="1">
      <c r="A547" s="962" t="s">
        <v>1804</v>
      </c>
      <c r="B547" s="42" t="s">
        <v>2945</v>
      </c>
      <c r="C547" s="42">
        <v>0</v>
      </c>
      <c r="D547" s="42">
        <v>0</v>
      </c>
      <c r="E547" s="42">
        <v>0</v>
      </c>
    </row>
    <row r="548" spans="1:5" ht="12.75" customHeight="1">
      <c r="A548" s="962" t="s">
        <v>1804</v>
      </c>
      <c r="B548" s="42" t="s">
        <v>2946</v>
      </c>
      <c r="C548" s="42">
        <v>0</v>
      </c>
      <c r="D548" s="42">
        <v>0</v>
      </c>
      <c r="E548" s="42">
        <v>0</v>
      </c>
    </row>
    <row r="549" spans="1:5" ht="12.75" customHeight="1">
      <c r="A549" s="962" t="s">
        <v>1804</v>
      </c>
      <c r="B549" s="42" t="s">
        <v>2947</v>
      </c>
      <c r="C549" s="42">
        <v>0</v>
      </c>
      <c r="D549" s="42">
        <v>0</v>
      </c>
      <c r="E549" s="42">
        <v>0</v>
      </c>
    </row>
    <row r="550" spans="1:5" ht="12.75" customHeight="1">
      <c r="A550" s="962" t="s">
        <v>1804</v>
      </c>
      <c r="B550" s="42" t="s">
        <v>2948</v>
      </c>
      <c r="C550" s="42">
        <v>0</v>
      </c>
      <c r="D550" s="42">
        <v>0</v>
      </c>
      <c r="E550" s="42">
        <v>0</v>
      </c>
    </row>
    <row r="551" spans="1:5" ht="12.75" customHeight="1">
      <c r="A551" s="962" t="s">
        <v>1804</v>
      </c>
      <c r="B551" s="42" t="s">
        <v>2949</v>
      </c>
      <c r="C551" s="42">
        <v>0</v>
      </c>
      <c r="D551" s="42">
        <v>0</v>
      </c>
      <c r="E551" s="42">
        <v>0</v>
      </c>
    </row>
    <row r="552" spans="1:5" ht="12.75" customHeight="1">
      <c r="A552" s="962" t="s">
        <v>1804</v>
      </c>
      <c r="B552" s="42" t="s">
        <v>2950</v>
      </c>
      <c r="C552" s="42">
        <v>0</v>
      </c>
      <c r="D552" s="42">
        <v>1</v>
      </c>
      <c r="E552" s="42">
        <v>1</v>
      </c>
    </row>
    <row r="553" spans="1:5" ht="12.75" customHeight="1">
      <c r="A553" s="962" t="s">
        <v>1804</v>
      </c>
      <c r="B553" s="42" t="s">
        <v>2951</v>
      </c>
      <c r="C553" s="42">
        <v>0</v>
      </c>
      <c r="D553" s="42">
        <v>0</v>
      </c>
      <c r="E553" s="42">
        <v>0</v>
      </c>
    </row>
    <row r="554" spans="1:5" ht="12.75" customHeight="1">
      <c r="A554" s="962" t="s">
        <v>1804</v>
      </c>
      <c r="B554" s="42" t="s">
        <v>2952</v>
      </c>
      <c r="C554" s="42">
        <v>0</v>
      </c>
      <c r="D554" s="42">
        <v>0</v>
      </c>
      <c r="E554" s="42">
        <v>0</v>
      </c>
    </row>
    <row r="555" spans="1:5" ht="12.75" customHeight="1">
      <c r="A555" s="962" t="s">
        <v>1804</v>
      </c>
      <c r="B555" s="42" t="s">
        <v>2953</v>
      </c>
      <c r="C555" s="42">
        <v>0</v>
      </c>
      <c r="D555" s="42">
        <v>0</v>
      </c>
      <c r="E555" s="42">
        <v>0</v>
      </c>
    </row>
    <row r="556" spans="1:5" ht="12.75" customHeight="1">
      <c r="A556" s="962" t="s">
        <v>1804</v>
      </c>
      <c r="B556" s="42" t="s">
        <v>2954</v>
      </c>
      <c r="C556" s="42">
        <v>0</v>
      </c>
      <c r="D556" s="42">
        <v>0</v>
      </c>
      <c r="E556" s="42">
        <v>0</v>
      </c>
    </row>
    <row r="557" spans="1:5" ht="12.75" customHeight="1">
      <c r="A557" s="962" t="s">
        <v>1804</v>
      </c>
      <c r="B557" s="42" t="s">
        <v>2955</v>
      </c>
      <c r="C557" s="42">
        <v>0</v>
      </c>
      <c r="D557" s="42">
        <v>0</v>
      </c>
      <c r="E557" s="42">
        <v>0</v>
      </c>
    </row>
    <row r="558" spans="1:5" ht="12.75" customHeight="1">
      <c r="A558" s="962" t="s">
        <v>1804</v>
      </c>
      <c r="B558" s="42" t="s">
        <v>2956</v>
      </c>
      <c r="C558" s="42">
        <v>0</v>
      </c>
      <c r="D558" s="42">
        <v>0</v>
      </c>
      <c r="E558" s="42">
        <v>0</v>
      </c>
    </row>
    <row r="559" spans="1:5" ht="12.75" customHeight="1">
      <c r="A559" s="962" t="s">
        <v>1804</v>
      </c>
      <c r="B559" s="42" t="s">
        <v>2957</v>
      </c>
      <c r="C559" s="42">
        <v>0</v>
      </c>
      <c r="D559" s="42">
        <v>0</v>
      </c>
      <c r="E559" s="42">
        <v>0</v>
      </c>
    </row>
    <row r="560" spans="1:5" ht="12.75" customHeight="1">
      <c r="A560" s="962" t="s">
        <v>1804</v>
      </c>
      <c r="B560" s="42" t="s">
        <v>2958</v>
      </c>
      <c r="C560" s="42">
        <v>0</v>
      </c>
      <c r="D560" s="42">
        <v>0</v>
      </c>
      <c r="E560" s="42">
        <v>0</v>
      </c>
    </row>
    <row r="561" spans="1:5" ht="12.75" customHeight="1">
      <c r="A561" s="962" t="s">
        <v>1804</v>
      </c>
      <c r="B561" s="42" t="s">
        <v>2959</v>
      </c>
      <c r="C561" s="42">
        <v>0</v>
      </c>
      <c r="D561" s="42">
        <v>0</v>
      </c>
      <c r="E561" s="42">
        <v>0</v>
      </c>
    </row>
    <row r="562" spans="1:5" ht="12.75" customHeight="1">
      <c r="A562" s="962" t="s">
        <v>1804</v>
      </c>
      <c r="B562" s="42" t="s">
        <v>2960</v>
      </c>
      <c r="C562" s="42">
        <v>0</v>
      </c>
      <c r="D562" s="42">
        <v>0</v>
      </c>
      <c r="E562" s="42">
        <v>0</v>
      </c>
    </row>
    <row r="563" spans="1:5" ht="12.75" customHeight="1">
      <c r="A563" s="962" t="s">
        <v>1804</v>
      </c>
      <c r="B563" s="42" t="s">
        <v>2961</v>
      </c>
      <c r="C563" s="42">
        <v>0</v>
      </c>
      <c r="D563" s="42">
        <v>0</v>
      </c>
      <c r="E563" s="42">
        <v>0</v>
      </c>
    </row>
    <row r="564" spans="1:5" ht="12.75" customHeight="1">
      <c r="A564" s="962" t="s">
        <v>1804</v>
      </c>
      <c r="B564" s="42" t="s">
        <v>2962</v>
      </c>
      <c r="C564" s="42">
        <v>0</v>
      </c>
      <c r="D564" s="42">
        <v>0</v>
      </c>
      <c r="E564" s="42">
        <v>0</v>
      </c>
    </row>
    <row r="565" spans="1:5" ht="12.75" customHeight="1">
      <c r="A565" s="962" t="s">
        <v>1804</v>
      </c>
      <c r="B565" s="42" t="s">
        <v>2963</v>
      </c>
      <c r="C565" s="42">
        <v>0</v>
      </c>
      <c r="D565" s="42">
        <v>0</v>
      </c>
      <c r="E565" s="42">
        <v>0</v>
      </c>
    </row>
    <row r="566" spans="1:5" ht="12.75" customHeight="1">
      <c r="A566" s="962" t="s">
        <v>1804</v>
      </c>
      <c r="B566" s="42" t="s">
        <v>2964</v>
      </c>
      <c r="C566" s="42">
        <v>0</v>
      </c>
      <c r="D566" s="42">
        <v>1</v>
      </c>
      <c r="E566" s="42">
        <v>1</v>
      </c>
    </row>
    <row r="567" spans="1:5" ht="12.75" customHeight="1">
      <c r="A567" s="962" t="s">
        <v>1804</v>
      </c>
      <c r="B567" s="42" t="s">
        <v>2965</v>
      </c>
      <c r="C567" s="42">
        <v>0</v>
      </c>
      <c r="D567" s="42">
        <v>0</v>
      </c>
      <c r="E567" s="42">
        <v>0</v>
      </c>
    </row>
    <row r="568" spans="1:5" ht="12.75" customHeight="1">
      <c r="A568" s="962" t="s">
        <v>1804</v>
      </c>
      <c r="B568" s="42" t="s">
        <v>2966</v>
      </c>
      <c r="C568" s="42">
        <v>0</v>
      </c>
      <c r="D568" s="42">
        <v>0</v>
      </c>
      <c r="E568" s="42">
        <v>0</v>
      </c>
    </row>
    <row r="569" spans="1:5" ht="12.75" customHeight="1">
      <c r="A569" s="962" t="s">
        <v>1804</v>
      </c>
      <c r="B569" s="42" t="s">
        <v>2967</v>
      </c>
      <c r="C569" s="42">
        <v>0</v>
      </c>
      <c r="D569" s="42">
        <v>0</v>
      </c>
      <c r="E569" s="42">
        <v>0</v>
      </c>
    </row>
    <row r="570" spans="1:5" ht="12.75" customHeight="1">
      <c r="A570" s="962" t="s">
        <v>1804</v>
      </c>
      <c r="B570" s="42" t="s">
        <v>2968</v>
      </c>
      <c r="C570" s="42">
        <v>0</v>
      </c>
      <c r="D570" s="42">
        <v>0</v>
      </c>
      <c r="E570" s="42">
        <v>0</v>
      </c>
    </row>
    <row r="571" spans="1:5" ht="12.75" customHeight="1">
      <c r="A571" s="962" t="s">
        <v>1804</v>
      </c>
      <c r="B571" s="42" t="s">
        <v>2969</v>
      </c>
      <c r="C571" s="42">
        <v>0</v>
      </c>
      <c r="D571" s="42">
        <v>0</v>
      </c>
      <c r="E571" s="42">
        <v>0</v>
      </c>
    </row>
    <row r="572" spans="1:5" ht="12.75" customHeight="1">
      <c r="A572" s="962" t="s">
        <v>1804</v>
      </c>
      <c r="B572" s="42" t="s">
        <v>2970</v>
      </c>
      <c r="C572" s="42">
        <v>0</v>
      </c>
      <c r="D572" s="42">
        <v>0</v>
      </c>
      <c r="E572" s="42">
        <v>0</v>
      </c>
    </row>
    <row r="573" spans="1:5" ht="12.75" customHeight="1">
      <c r="A573" s="962" t="s">
        <v>1804</v>
      </c>
      <c r="B573" s="42" t="s">
        <v>2971</v>
      </c>
      <c r="C573" s="42">
        <v>0</v>
      </c>
      <c r="D573" s="42">
        <v>0</v>
      </c>
      <c r="E573" s="42">
        <v>0</v>
      </c>
    </row>
    <row r="574" spans="1:5" ht="12.75" customHeight="1">
      <c r="A574" s="962" t="s">
        <v>1804</v>
      </c>
      <c r="B574" s="42" t="s">
        <v>2972</v>
      </c>
      <c r="C574" s="42">
        <v>0</v>
      </c>
      <c r="D574" s="42">
        <v>0</v>
      </c>
      <c r="E574" s="42">
        <v>0</v>
      </c>
    </row>
    <row r="575" spans="1:5" ht="12.75" customHeight="1">
      <c r="A575" s="962" t="s">
        <v>1804</v>
      </c>
      <c r="B575" s="42" t="s">
        <v>2973</v>
      </c>
      <c r="C575" s="42">
        <v>0</v>
      </c>
      <c r="D575" s="42">
        <v>0</v>
      </c>
      <c r="E575" s="42">
        <v>0</v>
      </c>
    </row>
    <row r="576" spans="1:5" ht="12.75" customHeight="1">
      <c r="A576" s="962" t="s">
        <v>1804</v>
      </c>
      <c r="B576" s="42" t="s">
        <v>2974</v>
      </c>
      <c r="C576" s="42">
        <v>0</v>
      </c>
      <c r="D576" s="42">
        <v>0</v>
      </c>
      <c r="E576" s="42">
        <v>0</v>
      </c>
    </row>
    <row r="577" spans="1:5" ht="12.75" customHeight="1">
      <c r="A577" s="962" t="s">
        <v>1804</v>
      </c>
      <c r="B577" s="42" t="s">
        <v>2975</v>
      </c>
      <c r="C577" s="42">
        <v>0</v>
      </c>
      <c r="D577" s="42">
        <v>0</v>
      </c>
      <c r="E577" s="42">
        <v>0</v>
      </c>
    </row>
    <row r="578" spans="1:5" ht="12.75" customHeight="1">
      <c r="A578" s="962" t="s">
        <v>1804</v>
      </c>
      <c r="B578" s="42" t="s">
        <v>2976</v>
      </c>
      <c r="C578" s="42">
        <v>0</v>
      </c>
      <c r="D578" s="42">
        <v>0</v>
      </c>
      <c r="E578" s="42">
        <v>0</v>
      </c>
    </row>
    <row r="579" spans="1:5" ht="12.75" customHeight="1">
      <c r="A579" s="962" t="s">
        <v>1804</v>
      </c>
      <c r="B579" s="42" t="s">
        <v>2977</v>
      </c>
      <c r="C579" s="42">
        <v>0</v>
      </c>
      <c r="D579" s="42">
        <v>0</v>
      </c>
      <c r="E579" s="42">
        <v>0</v>
      </c>
    </row>
    <row r="580" spans="1:5" ht="12.75" customHeight="1">
      <c r="A580" s="962" t="s">
        <v>1804</v>
      </c>
      <c r="B580" s="42" t="s">
        <v>2978</v>
      </c>
      <c r="C580" s="42">
        <v>0</v>
      </c>
      <c r="D580" s="42">
        <v>0</v>
      </c>
      <c r="E580" s="42">
        <v>0</v>
      </c>
    </row>
    <row r="581" spans="1:5" ht="12.75" customHeight="1">
      <c r="A581" s="962" t="s">
        <v>1804</v>
      </c>
      <c r="B581" s="42" t="s">
        <v>2979</v>
      </c>
      <c r="C581" s="42">
        <v>0</v>
      </c>
      <c r="D581" s="42">
        <v>0</v>
      </c>
      <c r="E581" s="42">
        <v>0</v>
      </c>
    </row>
    <row r="582" spans="1:5" ht="12.75" customHeight="1">
      <c r="A582" s="962" t="s">
        <v>1804</v>
      </c>
      <c r="B582" s="42" t="s">
        <v>2980</v>
      </c>
      <c r="C582" s="42">
        <v>0</v>
      </c>
      <c r="D582" s="42">
        <v>0</v>
      </c>
      <c r="E582" s="42">
        <v>0</v>
      </c>
    </row>
    <row r="583" spans="1:5" ht="12.75" customHeight="1">
      <c r="A583" s="962" t="s">
        <v>1804</v>
      </c>
      <c r="B583" s="42" t="s">
        <v>2981</v>
      </c>
      <c r="C583" s="42">
        <v>0</v>
      </c>
      <c r="D583" s="42">
        <v>0</v>
      </c>
      <c r="E583" s="42">
        <v>0</v>
      </c>
    </row>
    <row r="584" spans="1:5" ht="12.75" customHeight="1">
      <c r="A584" s="962" t="s">
        <v>1804</v>
      </c>
      <c r="B584" s="42" t="s">
        <v>2982</v>
      </c>
      <c r="C584" s="42">
        <v>0</v>
      </c>
      <c r="D584" s="42">
        <v>0</v>
      </c>
      <c r="E584" s="42">
        <v>0</v>
      </c>
    </row>
    <row r="585" spans="1:5" ht="12.75" customHeight="1">
      <c r="A585" s="962" t="s">
        <v>1804</v>
      </c>
      <c r="B585" s="42" t="s">
        <v>2983</v>
      </c>
      <c r="C585" s="42">
        <v>0</v>
      </c>
      <c r="D585" s="42">
        <v>0</v>
      </c>
      <c r="E585" s="42">
        <v>0</v>
      </c>
    </row>
    <row r="586" spans="1:5" ht="12.75" customHeight="1">
      <c r="A586" s="962" t="s">
        <v>1804</v>
      </c>
      <c r="B586" s="42" t="s">
        <v>2984</v>
      </c>
      <c r="C586" s="42">
        <v>0</v>
      </c>
      <c r="D586" s="42">
        <v>0</v>
      </c>
      <c r="E586" s="42">
        <v>0</v>
      </c>
    </row>
    <row r="587" spans="1:5" ht="12.75" customHeight="1">
      <c r="A587" s="962" t="s">
        <v>1804</v>
      </c>
      <c r="B587" s="42" t="s">
        <v>2985</v>
      </c>
      <c r="C587" s="42">
        <v>0</v>
      </c>
      <c r="D587" s="42">
        <v>0</v>
      </c>
      <c r="E587" s="42">
        <v>0</v>
      </c>
    </row>
    <row r="588" spans="1:5" ht="12.75" customHeight="1">
      <c r="A588" s="962" t="s">
        <v>1804</v>
      </c>
      <c r="B588" s="42" t="s">
        <v>2986</v>
      </c>
      <c r="C588" s="42">
        <v>0</v>
      </c>
      <c r="D588" s="42">
        <v>0</v>
      </c>
      <c r="E588" s="42">
        <v>0</v>
      </c>
    </row>
    <row r="589" spans="1:5" ht="12.75" customHeight="1">
      <c r="A589" s="962" t="s">
        <v>1804</v>
      </c>
      <c r="B589" s="42" t="s">
        <v>2987</v>
      </c>
      <c r="C589" s="42">
        <v>0</v>
      </c>
      <c r="D589" s="42">
        <v>0</v>
      </c>
      <c r="E589" s="42">
        <v>0</v>
      </c>
    </row>
    <row r="590" spans="1:5" ht="12.75" customHeight="1">
      <c r="A590" s="962" t="s">
        <v>1804</v>
      </c>
      <c r="B590" s="42" t="s">
        <v>2988</v>
      </c>
      <c r="C590" s="42">
        <v>0</v>
      </c>
      <c r="D590" s="42">
        <v>0</v>
      </c>
      <c r="E590" s="42">
        <v>0</v>
      </c>
    </row>
    <row r="591" spans="1:5" ht="12.75" customHeight="1">
      <c r="A591" s="962" t="s">
        <v>1804</v>
      </c>
      <c r="B591" s="42" t="s">
        <v>2989</v>
      </c>
      <c r="C591" s="42">
        <v>0</v>
      </c>
      <c r="D591" s="42">
        <v>0</v>
      </c>
      <c r="E591" s="42">
        <v>0</v>
      </c>
    </row>
    <row r="592" spans="1:5" ht="12.75" customHeight="1">
      <c r="A592" s="962" t="s">
        <v>1804</v>
      </c>
      <c r="B592" s="42" t="s">
        <v>2990</v>
      </c>
      <c r="C592" s="42">
        <v>0</v>
      </c>
      <c r="D592" s="42">
        <v>0</v>
      </c>
      <c r="E592" s="42">
        <v>0</v>
      </c>
    </row>
    <row r="593" spans="1:5" ht="12.75" customHeight="1">
      <c r="A593" s="962" t="s">
        <v>1804</v>
      </c>
      <c r="B593" s="42" t="s">
        <v>2991</v>
      </c>
      <c r="C593" s="42">
        <v>0</v>
      </c>
      <c r="D593" s="42">
        <v>0</v>
      </c>
      <c r="E593" s="42">
        <v>0</v>
      </c>
    </row>
    <row r="594" spans="1:5" ht="12.75" customHeight="1">
      <c r="A594" s="962" t="s">
        <v>1804</v>
      </c>
      <c r="B594" s="42" t="s">
        <v>2992</v>
      </c>
      <c r="C594" s="42">
        <v>0</v>
      </c>
      <c r="D594" s="42">
        <v>0</v>
      </c>
      <c r="E594" s="42">
        <v>0</v>
      </c>
    </row>
    <row r="595" spans="1:5" ht="12.75" customHeight="1">
      <c r="A595" s="962" t="s">
        <v>1804</v>
      </c>
      <c r="B595" s="42" t="s">
        <v>2993</v>
      </c>
      <c r="C595" s="42">
        <v>0</v>
      </c>
      <c r="D595" s="42">
        <v>0</v>
      </c>
      <c r="E595" s="42">
        <v>0</v>
      </c>
    </row>
    <row r="596" spans="1:5" ht="12.75" customHeight="1">
      <c r="A596" s="962" t="s">
        <v>1804</v>
      </c>
      <c r="B596" s="42" t="s">
        <v>2994</v>
      </c>
      <c r="C596" s="42">
        <v>0</v>
      </c>
      <c r="D596" s="42">
        <v>0</v>
      </c>
      <c r="E596" s="42">
        <v>0</v>
      </c>
    </row>
    <row r="597" spans="1:5" ht="12.75" customHeight="1">
      <c r="A597" s="962" t="s">
        <v>1804</v>
      </c>
      <c r="B597" s="42" t="s">
        <v>2995</v>
      </c>
      <c r="C597" s="42">
        <v>0</v>
      </c>
      <c r="D597" s="42">
        <v>0</v>
      </c>
      <c r="E597" s="42">
        <v>0</v>
      </c>
    </row>
    <row r="598" spans="1:5" ht="12.75" customHeight="1">
      <c r="A598" s="962" t="s">
        <v>1804</v>
      </c>
      <c r="B598" s="42" t="s">
        <v>2996</v>
      </c>
      <c r="C598" s="42">
        <v>0</v>
      </c>
      <c r="D598" s="42">
        <v>0</v>
      </c>
      <c r="E598" s="42">
        <v>0</v>
      </c>
    </row>
    <row r="599" spans="1:5" ht="12.75" customHeight="1">
      <c r="A599" s="962" t="s">
        <v>1804</v>
      </c>
      <c r="B599" s="42" t="s">
        <v>2997</v>
      </c>
      <c r="C599" s="42">
        <v>0</v>
      </c>
      <c r="D599" s="42">
        <v>0</v>
      </c>
      <c r="E599" s="42">
        <v>0</v>
      </c>
    </row>
    <row r="600" spans="1:5" ht="12.75" customHeight="1">
      <c r="A600" s="962" t="s">
        <v>1804</v>
      </c>
      <c r="B600" s="42" t="s">
        <v>2998</v>
      </c>
      <c r="C600" s="42">
        <v>0</v>
      </c>
      <c r="D600" s="42">
        <v>0</v>
      </c>
      <c r="E600" s="42">
        <v>0</v>
      </c>
    </row>
    <row r="601" spans="1:5" ht="12.75" customHeight="1">
      <c r="A601" s="962" t="s">
        <v>1804</v>
      </c>
      <c r="B601" s="42" t="s">
        <v>2999</v>
      </c>
      <c r="C601" s="42">
        <v>0</v>
      </c>
      <c r="D601" s="42">
        <v>0</v>
      </c>
      <c r="E601" s="42">
        <v>0</v>
      </c>
    </row>
    <row r="602" spans="1:5" ht="12.75" customHeight="1">
      <c r="A602" s="962" t="s">
        <v>1804</v>
      </c>
      <c r="B602" s="42" t="s">
        <v>3000</v>
      </c>
      <c r="C602" s="42">
        <v>0</v>
      </c>
      <c r="D602" s="42">
        <v>0</v>
      </c>
      <c r="E602" s="42">
        <v>0</v>
      </c>
    </row>
    <row r="603" spans="1:5" ht="12.75" customHeight="1">
      <c r="A603" s="962" t="s">
        <v>1804</v>
      </c>
      <c r="B603" s="42" t="s">
        <v>3001</v>
      </c>
      <c r="C603" s="42">
        <v>0</v>
      </c>
      <c r="D603" s="42">
        <v>0</v>
      </c>
      <c r="E603" s="42">
        <v>0</v>
      </c>
    </row>
    <row r="604" spans="1:5" ht="12.75" customHeight="1">
      <c r="A604" s="962" t="s">
        <v>1804</v>
      </c>
      <c r="B604" s="42" t="s">
        <v>3002</v>
      </c>
      <c r="C604" s="42">
        <v>0</v>
      </c>
      <c r="D604" s="42">
        <v>0</v>
      </c>
      <c r="E604" s="42">
        <v>0</v>
      </c>
    </row>
    <row r="605" spans="1:5" ht="12.75" customHeight="1">
      <c r="A605" s="962" t="s">
        <v>1804</v>
      </c>
      <c r="B605" s="42" t="s">
        <v>3003</v>
      </c>
      <c r="C605" s="42">
        <v>0</v>
      </c>
      <c r="D605" s="42">
        <v>0</v>
      </c>
      <c r="E605" s="42">
        <v>0</v>
      </c>
    </row>
    <row r="606" spans="1:5" ht="12.75" customHeight="1">
      <c r="A606" s="962" t="s">
        <v>1804</v>
      </c>
      <c r="B606" s="42" t="s">
        <v>3004</v>
      </c>
      <c r="C606" s="42">
        <v>0</v>
      </c>
      <c r="D606" s="42">
        <v>0</v>
      </c>
      <c r="E606" s="42">
        <v>0</v>
      </c>
    </row>
    <row r="607" spans="1:5" ht="12.75" customHeight="1">
      <c r="A607" s="962" t="s">
        <v>1804</v>
      </c>
      <c r="B607" s="42" t="s">
        <v>3005</v>
      </c>
      <c r="C607" s="42">
        <v>0</v>
      </c>
      <c r="D607" s="42">
        <v>0</v>
      </c>
      <c r="E607" s="42">
        <v>0</v>
      </c>
    </row>
    <row r="608" spans="1:5" ht="12.75" customHeight="1">
      <c r="A608" s="962" t="s">
        <v>1804</v>
      </c>
      <c r="B608" s="42" t="s">
        <v>3006</v>
      </c>
      <c r="C608" s="42">
        <v>0</v>
      </c>
      <c r="D608" s="42">
        <v>0</v>
      </c>
      <c r="E608" s="42">
        <v>0</v>
      </c>
    </row>
    <row r="609" spans="1:5" ht="12.75" customHeight="1">
      <c r="A609" s="962" t="s">
        <v>1804</v>
      </c>
      <c r="B609" s="42" t="s">
        <v>3007</v>
      </c>
      <c r="C609" s="42">
        <v>0</v>
      </c>
      <c r="D609" s="42">
        <v>0</v>
      </c>
      <c r="E609" s="42">
        <v>0</v>
      </c>
    </row>
    <row r="610" spans="1:5" ht="12.75" customHeight="1">
      <c r="A610" s="962" t="s">
        <v>1804</v>
      </c>
      <c r="B610" s="42" t="s">
        <v>3008</v>
      </c>
      <c r="C610" s="42">
        <v>0</v>
      </c>
      <c r="D610" s="42">
        <v>0</v>
      </c>
      <c r="E610" s="42">
        <v>0</v>
      </c>
    </row>
    <row r="611" spans="1:5" ht="12.75" customHeight="1">
      <c r="A611" s="962" t="s">
        <v>819</v>
      </c>
      <c r="B611" s="42" t="s">
        <v>3009</v>
      </c>
      <c r="C611" s="42">
        <v>0</v>
      </c>
      <c r="D611" s="42">
        <v>0</v>
      </c>
      <c r="E611" s="42">
        <v>0</v>
      </c>
    </row>
    <row r="612" spans="1:5" ht="12.75" customHeight="1">
      <c r="A612" s="962" t="s">
        <v>819</v>
      </c>
      <c r="B612" s="42" t="s">
        <v>3010</v>
      </c>
      <c r="C612" s="42">
        <v>0</v>
      </c>
      <c r="D612" s="42">
        <v>0</v>
      </c>
      <c r="E612" s="42">
        <v>0</v>
      </c>
    </row>
    <row r="613" spans="1:5" ht="12.75" customHeight="1">
      <c r="A613" s="962" t="s">
        <v>819</v>
      </c>
      <c r="B613" s="42" t="s">
        <v>3011</v>
      </c>
      <c r="C613" s="42">
        <v>0</v>
      </c>
      <c r="D613" s="42">
        <v>0</v>
      </c>
      <c r="E613" s="42">
        <v>0</v>
      </c>
    </row>
    <row r="614" spans="1:5" ht="12.75" customHeight="1">
      <c r="A614" s="962" t="s">
        <v>819</v>
      </c>
      <c r="B614" s="42" t="s">
        <v>3012</v>
      </c>
      <c r="C614" s="42">
        <v>0</v>
      </c>
      <c r="D614" s="42">
        <v>0</v>
      </c>
      <c r="E614" s="42">
        <v>0</v>
      </c>
    </row>
    <row r="615" spans="1:5" ht="12.75" customHeight="1">
      <c r="A615" s="962" t="s">
        <v>819</v>
      </c>
      <c r="B615" s="42" t="s">
        <v>3013</v>
      </c>
      <c r="C615" s="42">
        <v>0</v>
      </c>
      <c r="D615" s="42">
        <v>0</v>
      </c>
      <c r="E615" s="42">
        <v>0</v>
      </c>
    </row>
    <row r="616" spans="1:5" ht="12.75" customHeight="1">
      <c r="A616" s="962" t="s">
        <v>819</v>
      </c>
      <c r="B616" s="42" t="s">
        <v>2170</v>
      </c>
      <c r="C616" s="42">
        <v>1</v>
      </c>
      <c r="D616" s="42">
        <v>1</v>
      </c>
      <c r="E616" s="42">
        <v>1</v>
      </c>
    </row>
    <row r="617" spans="1:5" ht="12.75" customHeight="1">
      <c r="A617" s="962" t="s">
        <v>819</v>
      </c>
      <c r="B617" s="42" t="s">
        <v>3014</v>
      </c>
      <c r="C617" s="42">
        <v>0</v>
      </c>
      <c r="D617" s="42">
        <v>0</v>
      </c>
      <c r="E617" s="42">
        <v>0</v>
      </c>
    </row>
    <row r="618" spans="1:5" ht="12.75" customHeight="1">
      <c r="A618" s="962" t="s">
        <v>819</v>
      </c>
      <c r="B618" s="42" t="s">
        <v>3015</v>
      </c>
      <c r="C618" s="42">
        <v>0</v>
      </c>
      <c r="D618" s="42">
        <v>0</v>
      </c>
      <c r="E618" s="42">
        <v>0</v>
      </c>
    </row>
    <row r="619" spans="1:5" ht="12.75" customHeight="1">
      <c r="A619" s="962" t="s">
        <v>819</v>
      </c>
      <c r="B619" s="42" t="s">
        <v>3016</v>
      </c>
      <c r="C619" s="42">
        <v>0</v>
      </c>
      <c r="D619" s="42">
        <v>0</v>
      </c>
      <c r="E619" s="42">
        <v>0</v>
      </c>
    </row>
    <row r="620" spans="1:5" ht="12.75" customHeight="1">
      <c r="A620" s="962" t="s">
        <v>819</v>
      </c>
      <c r="B620" s="42" t="s">
        <v>3017</v>
      </c>
      <c r="C620" s="42">
        <v>0</v>
      </c>
      <c r="D620" s="42">
        <v>0</v>
      </c>
      <c r="E620" s="42">
        <v>0</v>
      </c>
    </row>
    <row r="621" spans="1:5" ht="12.75" customHeight="1">
      <c r="A621" s="962" t="s">
        <v>819</v>
      </c>
      <c r="B621" s="42" t="s">
        <v>3018</v>
      </c>
      <c r="C621" s="42">
        <v>0</v>
      </c>
      <c r="D621" s="42">
        <v>0</v>
      </c>
      <c r="E621" s="42">
        <v>0</v>
      </c>
    </row>
    <row r="622" spans="1:5" ht="12.75" customHeight="1">
      <c r="A622" s="962" t="s">
        <v>819</v>
      </c>
      <c r="B622" s="42" t="s">
        <v>3019</v>
      </c>
      <c r="C622" s="42">
        <v>0</v>
      </c>
      <c r="D622" s="42">
        <v>0</v>
      </c>
      <c r="E622" s="42">
        <v>0</v>
      </c>
    </row>
    <row r="623" spans="1:5" ht="12.75" customHeight="1">
      <c r="A623" s="962" t="s">
        <v>819</v>
      </c>
      <c r="B623" s="42" t="s">
        <v>3020</v>
      </c>
      <c r="C623" s="42">
        <v>0</v>
      </c>
      <c r="D623" s="42">
        <v>0</v>
      </c>
      <c r="E623" s="42">
        <v>0</v>
      </c>
    </row>
    <row r="624" spans="1:5" ht="12.75" customHeight="1">
      <c r="A624" s="962" t="s">
        <v>819</v>
      </c>
      <c r="B624" s="42" t="s">
        <v>3021</v>
      </c>
      <c r="C624" s="42">
        <v>0</v>
      </c>
      <c r="D624" s="42">
        <v>0</v>
      </c>
      <c r="E624" s="42">
        <v>0</v>
      </c>
    </row>
    <row r="625" spans="1:5" ht="12.75" customHeight="1">
      <c r="A625" s="962" t="s">
        <v>819</v>
      </c>
      <c r="B625" s="42" t="s">
        <v>3022</v>
      </c>
      <c r="C625" s="42">
        <v>0</v>
      </c>
      <c r="D625" s="42">
        <v>0</v>
      </c>
      <c r="E625" s="42">
        <v>0</v>
      </c>
    </row>
    <row r="626" spans="1:5" ht="12.75" customHeight="1">
      <c r="A626" s="962" t="s">
        <v>819</v>
      </c>
      <c r="B626" s="42" t="s">
        <v>3023</v>
      </c>
      <c r="C626" s="42">
        <v>0</v>
      </c>
      <c r="D626" s="42">
        <v>0</v>
      </c>
      <c r="E626" s="42">
        <v>0</v>
      </c>
    </row>
    <row r="627" spans="1:5" ht="12.75" customHeight="1">
      <c r="A627" s="962" t="s">
        <v>819</v>
      </c>
      <c r="B627" s="42" t="s">
        <v>3024</v>
      </c>
      <c r="C627" s="42">
        <v>0</v>
      </c>
      <c r="D627" s="42">
        <v>0</v>
      </c>
      <c r="E627" s="42">
        <v>0</v>
      </c>
    </row>
    <row r="628" spans="1:5" ht="12.75" customHeight="1">
      <c r="A628" s="962" t="s">
        <v>819</v>
      </c>
      <c r="B628" s="42" t="s">
        <v>3025</v>
      </c>
      <c r="C628" s="42">
        <v>0</v>
      </c>
      <c r="D628" s="42">
        <v>0</v>
      </c>
      <c r="E628" s="42">
        <v>0</v>
      </c>
    </row>
    <row r="629" spans="1:5" ht="12.75" customHeight="1">
      <c r="A629" s="962" t="s">
        <v>819</v>
      </c>
      <c r="B629" s="42" t="s">
        <v>3026</v>
      </c>
      <c r="C629" s="42">
        <v>0</v>
      </c>
      <c r="D629" s="42">
        <v>0</v>
      </c>
      <c r="E629" s="42">
        <v>0</v>
      </c>
    </row>
    <row r="630" spans="1:5" ht="12.75" customHeight="1">
      <c r="A630" s="962" t="s">
        <v>819</v>
      </c>
      <c r="B630" s="42" t="s">
        <v>3027</v>
      </c>
      <c r="C630" s="42">
        <v>0</v>
      </c>
      <c r="D630" s="42">
        <v>0</v>
      </c>
      <c r="E630" s="42">
        <v>0</v>
      </c>
    </row>
    <row r="631" spans="1:5" ht="12.75" customHeight="1">
      <c r="A631" s="962" t="s">
        <v>819</v>
      </c>
      <c r="B631" s="42" t="s">
        <v>3028</v>
      </c>
      <c r="C631" s="42">
        <v>0</v>
      </c>
      <c r="D631" s="42">
        <v>0</v>
      </c>
      <c r="E631" s="42">
        <v>0</v>
      </c>
    </row>
    <row r="632" spans="1:5" ht="12.75" customHeight="1">
      <c r="A632" s="962" t="s">
        <v>819</v>
      </c>
      <c r="B632" s="42" t="s">
        <v>3029</v>
      </c>
      <c r="C632" s="42">
        <v>0</v>
      </c>
      <c r="D632" s="42">
        <v>0</v>
      </c>
      <c r="E632" s="42">
        <v>0</v>
      </c>
    </row>
    <row r="633" spans="1:5" ht="12.75" customHeight="1">
      <c r="A633" s="962" t="s">
        <v>819</v>
      </c>
      <c r="B633" s="42" t="s">
        <v>3030</v>
      </c>
      <c r="C633" s="42">
        <v>0</v>
      </c>
      <c r="D633" s="42">
        <v>0</v>
      </c>
      <c r="E633" s="42">
        <v>0</v>
      </c>
    </row>
    <row r="634" spans="1:5" ht="12.75" customHeight="1">
      <c r="A634" s="962" t="s">
        <v>819</v>
      </c>
      <c r="B634" s="42" t="s">
        <v>3031</v>
      </c>
      <c r="C634" s="42">
        <v>0</v>
      </c>
      <c r="D634" s="42">
        <v>0</v>
      </c>
      <c r="E634" s="42">
        <v>0</v>
      </c>
    </row>
    <row r="635" spans="1:5" ht="12.75" customHeight="1">
      <c r="A635" s="962" t="s">
        <v>819</v>
      </c>
      <c r="B635" s="42" t="s">
        <v>3032</v>
      </c>
      <c r="C635" s="42">
        <v>0</v>
      </c>
      <c r="D635" s="42">
        <v>1</v>
      </c>
      <c r="E635" s="42">
        <v>0</v>
      </c>
    </row>
    <row r="636" spans="1:5" ht="12.75" customHeight="1">
      <c r="A636" s="962" t="s">
        <v>819</v>
      </c>
      <c r="B636" s="42" t="s">
        <v>3033</v>
      </c>
      <c r="C636" s="42">
        <v>0</v>
      </c>
      <c r="D636" s="42">
        <v>0</v>
      </c>
      <c r="E636" s="42">
        <v>0</v>
      </c>
    </row>
    <row r="637" spans="1:5" ht="12.75" customHeight="1">
      <c r="A637" s="962" t="s">
        <v>819</v>
      </c>
      <c r="B637" s="42" t="s">
        <v>3034</v>
      </c>
      <c r="C637" s="42">
        <v>0</v>
      </c>
      <c r="D637" s="42">
        <v>0</v>
      </c>
      <c r="E637" s="42">
        <v>0</v>
      </c>
    </row>
    <row r="638" spans="1:5" ht="12.75" customHeight="1">
      <c r="A638" s="962" t="s">
        <v>819</v>
      </c>
      <c r="B638" s="42" t="s">
        <v>3035</v>
      </c>
      <c r="C638" s="42">
        <v>0</v>
      </c>
      <c r="D638" s="42">
        <v>0</v>
      </c>
      <c r="E638" s="42">
        <v>0</v>
      </c>
    </row>
    <row r="639" spans="1:5" ht="12.75" customHeight="1">
      <c r="A639" s="962" t="s">
        <v>819</v>
      </c>
      <c r="B639" s="42" t="s">
        <v>3036</v>
      </c>
      <c r="C639" s="42">
        <v>0</v>
      </c>
      <c r="D639" s="42">
        <v>0</v>
      </c>
      <c r="E639" s="42">
        <v>0</v>
      </c>
    </row>
    <row r="640" spans="1:5" ht="12.75" customHeight="1">
      <c r="A640" s="962" t="s">
        <v>819</v>
      </c>
      <c r="B640" s="42" t="s">
        <v>3037</v>
      </c>
      <c r="C640" s="42">
        <v>0</v>
      </c>
      <c r="D640" s="42">
        <v>0</v>
      </c>
      <c r="E640" s="42">
        <v>0</v>
      </c>
    </row>
    <row r="641" spans="1:5" ht="12.75" customHeight="1">
      <c r="A641" s="962" t="s">
        <v>819</v>
      </c>
      <c r="B641" s="42" t="s">
        <v>3038</v>
      </c>
      <c r="C641" s="42">
        <v>0</v>
      </c>
      <c r="D641" s="42">
        <v>0</v>
      </c>
      <c r="E641" s="42">
        <v>0</v>
      </c>
    </row>
    <row r="642" spans="1:5" ht="12.75" customHeight="1">
      <c r="A642" s="962" t="s">
        <v>819</v>
      </c>
      <c r="B642" s="42" t="s">
        <v>3039</v>
      </c>
      <c r="C642" s="42">
        <v>1</v>
      </c>
      <c r="D642" s="42">
        <v>1</v>
      </c>
      <c r="E642" s="42">
        <v>1</v>
      </c>
    </row>
    <row r="643" spans="1:5" ht="12.75" customHeight="1">
      <c r="A643" s="962" t="s">
        <v>819</v>
      </c>
      <c r="B643" s="42" t="s">
        <v>3040</v>
      </c>
      <c r="C643" s="42">
        <v>0</v>
      </c>
      <c r="D643" s="42">
        <v>0</v>
      </c>
      <c r="E643" s="42">
        <v>0</v>
      </c>
    </row>
    <row r="644" spans="1:5" ht="12.75" customHeight="1">
      <c r="A644" s="962" t="s">
        <v>819</v>
      </c>
      <c r="B644" s="42" t="s">
        <v>3041</v>
      </c>
      <c r="C644" s="42">
        <v>0</v>
      </c>
      <c r="D644" s="42">
        <v>0</v>
      </c>
      <c r="E644" s="42">
        <v>0</v>
      </c>
    </row>
    <row r="645" spans="1:5" ht="12.75" customHeight="1">
      <c r="A645" s="962" t="s">
        <v>832</v>
      </c>
      <c r="B645" s="42" t="s">
        <v>3042</v>
      </c>
      <c r="C645" s="42">
        <v>0</v>
      </c>
      <c r="D645" s="42">
        <v>0</v>
      </c>
      <c r="E645" s="42">
        <v>0</v>
      </c>
    </row>
    <row r="646" spans="1:5" ht="12.75" customHeight="1">
      <c r="A646" s="962" t="s">
        <v>832</v>
      </c>
      <c r="B646" s="42" t="s">
        <v>3043</v>
      </c>
      <c r="C646" s="42">
        <v>0</v>
      </c>
      <c r="D646" s="42">
        <v>0</v>
      </c>
      <c r="E646" s="42">
        <v>0</v>
      </c>
    </row>
    <row r="647" spans="1:5" ht="12.75" customHeight="1">
      <c r="A647" s="962" t="s">
        <v>832</v>
      </c>
      <c r="B647" s="42" t="s">
        <v>3044</v>
      </c>
      <c r="C647" s="42">
        <v>0</v>
      </c>
      <c r="D647" s="42">
        <v>0</v>
      </c>
      <c r="E647" s="42">
        <v>0</v>
      </c>
    </row>
    <row r="648" spans="1:5" ht="12.75" customHeight="1">
      <c r="A648" s="962" t="s">
        <v>832</v>
      </c>
      <c r="B648" s="42" t="s">
        <v>3045</v>
      </c>
      <c r="C648" s="42">
        <v>0</v>
      </c>
      <c r="D648" s="42">
        <v>0</v>
      </c>
      <c r="E648" s="42">
        <v>0</v>
      </c>
    </row>
    <row r="649" spans="1:5" ht="12.75" customHeight="1">
      <c r="A649" s="962" t="s">
        <v>832</v>
      </c>
      <c r="B649" s="42" t="s">
        <v>3046</v>
      </c>
      <c r="C649" s="42">
        <v>0</v>
      </c>
      <c r="D649" s="42">
        <v>0</v>
      </c>
      <c r="E649" s="42">
        <v>0</v>
      </c>
    </row>
    <row r="650" spans="1:5" ht="12.75" customHeight="1">
      <c r="A650" s="962" t="s">
        <v>832</v>
      </c>
      <c r="B650" s="42" t="s">
        <v>3047</v>
      </c>
      <c r="C650" s="42">
        <v>0</v>
      </c>
      <c r="D650" s="42">
        <v>0</v>
      </c>
      <c r="E650" s="42">
        <v>0</v>
      </c>
    </row>
    <row r="651" spans="1:5" ht="12.75" customHeight="1">
      <c r="A651" s="962" t="s">
        <v>832</v>
      </c>
      <c r="B651" s="42" t="s">
        <v>3048</v>
      </c>
      <c r="C651" s="42">
        <v>0</v>
      </c>
      <c r="D651" s="42">
        <v>0</v>
      </c>
      <c r="E651" s="42">
        <v>0</v>
      </c>
    </row>
    <row r="652" spans="1:5" ht="12.75" customHeight="1">
      <c r="A652" s="962" t="s">
        <v>832</v>
      </c>
      <c r="B652" s="42" t="s">
        <v>3049</v>
      </c>
      <c r="C652" s="42">
        <v>0</v>
      </c>
      <c r="D652" s="42">
        <v>0</v>
      </c>
      <c r="E652" s="42">
        <v>0</v>
      </c>
    </row>
    <row r="653" spans="1:5" ht="12.75" customHeight="1">
      <c r="A653" s="962" t="s">
        <v>832</v>
      </c>
      <c r="B653" s="42" t="s">
        <v>3050</v>
      </c>
      <c r="C653" s="42">
        <v>0</v>
      </c>
      <c r="D653" s="42">
        <v>0</v>
      </c>
      <c r="E653" s="42">
        <v>0</v>
      </c>
    </row>
    <row r="654" spans="1:5" ht="12.75" customHeight="1">
      <c r="A654" s="962" t="s">
        <v>832</v>
      </c>
      <c r="B654" s="42" t="s">
        <v>3051</v>
      </c>
      <c r="C654" s="42">
        <v>0</v>
      </c>
      <c r="D654" s="42">
        <v>0</v>
      </c>
      <c r="E654" s="42">
        <v>1</v>
      </c>
    </row>
    <row r="655" spans="1:5" ht="12.75" customHeight="1">
      <c r="A655" s="962" t="s">
        <v>832</v>
      </c>
      <c r="B655" s="42" t="s">
        <v>3052</v>
      </c>
      <c r="C655" s="42">
        <v>0</v>
      </c>
      <c r="D655" s="42">
        <v>0</v>
      </c>
      <c r="E655" s="42">
        <v>0</v>
      </c>
    </row>
    <row r="656" spans="1:5" ht="12.75" customHeight="1">
      <c r="A656" s="962" t="s">
        <v>832</v>
      </c>
      <c r="B656" s="42" t="s">
        <v>3053</v>
      </c>
      <c r="C656" s="42">
        <v>0</v>
      </c>
      <c r="D656" s="42">
        <v>0</v>
      </c>
      <c r="E656" s="42">
        <v>0</v>
      </c>
    </row>
    <row r="657" spans="1:5" ht="12.75" customHeight="1">
      <c r="A657" s="962" t="s">
        <v>832</v>
      </c>
      <c r="B657" s="42" t="s">
        <v>3054</v>
      </c>
      <c r="C657" s="42">
        <v>0</v>
      </c>
      <c r="D657" s="42">
        <v>0</v>
      </c>
      <c r="E657" s="42">
        <v>0</v>
      </c>
    </row>
    <row r="658" spans="1:5" ht="12.75" customHeight="1">
      <c r="A658" s="962" t="s">
        <v>832</v>
      </c>
      <c r="B658" s="42" t="s">
        <v>3055</v>
      </c>
      <c r="C658" s="42">
        <v>0</v>
      </c>
      <c r="D658" s="42">
        <v>0</v>
      </c>
      <c r="E658" s="42">
        <v>1</v>
      </c>
    </row>
    <row r="659" spans="1:5" ht="12.75" customHeight="1">
      <c r="A659" s="962" t="s">
        <v>832</v>
      </c>
      <c r="B659" s="42" t="s">
        <v>3056</v>
      </c>
      <c r="C659" s="42">
        <v>1</v>
      </c>
      <c r="D659" s="42">
        <v>1</v>
      </c>
      <c r="E659" s="42">
        <v>1</v>
      </c>
    </row>
    <row r="660" spans="1:5" ht="12.75" customHeight="1">
      <c r="A660" s="962" t="s">
        <v>832</v>
      </c>
      <c r="B660" s="42" t="s">
        <v>3057</v>
      </c>
      <c r="C660" s="42">
        <v>0</v>
      </c>
      <c r="D660" s="42">
        <v>1</v>
      </c>
      <c r="E660" s="42">
        <v>1</v>
      </c>
    </row>
    <row r="661" spans="1:5" ht="12.75" customHeight="1">
      <c r="A661" s="962" t="s">
        <v>832</v>
      </c>
      <c r="B661" s="42" t="s">
        <v>3058</v>
      </c>
      <c r="C661" s="42">
        <v>0</v>
      </c>
      <c r="D661" s="42">
        <v>1</v>
      </c>
      <c r="E661" s="42">
        <v>1</v>
      </c>
    </row>
    <row r="662" spans="1:5" ht="12.75" customHeight="1">
      <c r="A662" s="962" t="s">
        <v>832</v>
      </c>
      <c r="B662" s="42" t="s">
        <v>3059</v>
      </c>
      <c r="C662" s="42">
        <v>0</v>
      </c>
      <c r="D662" s="42">
        <v>1</v>
      </c>
      <c r="E662" s="42">
        <v>1</v>
      </c>
    </row>
    <row r="663" spans="1:5" ht="12.75" customHeight="1">
      <c r="A663" s="962" t="s">
        <v>832</v>
      </c>
      <c r="B663" s="42" t="s">
        <v>3060</v>
      </c>
      <c r="C663" s="42">
        <v>0</v>
      </c>
      <c r="D663" s="42">
        <v>0</v>
      </c>
      <c r="E663" s="42">
        <v>0</v>
      </c>
    </row>
    <row r="664" spans="1:5" ht="12.75" customHeight="1">
      <c r="A664" s="962" t="s">
        <v>832</v>
      </c>
      <c r="B664" s="42" t="s">
        <v>3061</v>
      </c>
      <c r="C664" s="42">
        <v>0</v>
      </c>
      <c r="D664" s="42">
        <v>0</v>
      </c>
      <c r="E664" s="42">
        <v>0</v>
      </c>
    </row>
    <row r="665" spans="1:5" ht="12.75" customHeight="1">
      <c r="A665" s="962" t="s">
        <v>832</v>
      </c>
      <c r="B665" s="42" t="s">
        <v>3062</v>
      </c>
      <c r="C665" s="42">
        <v>0</v>
      </c>
      <c r="D665" s="42">
        <v>0</v>
      </c>
      <c r="E665" s="42">
        <v>0</v>
      </c>
    </row>
    <row r="666" spans="1:5" ht="12.75" customHeight="1">
      <c r="A666" s="962" t="s">
        <v>832</v>
      </c>
      <c r="B666" s="42" t="s">
        <v>3063</v>
      </c>
      <c r="C666" s="42">
        <v>0</v>
      </c>
      <c r="D666" s="42">
        <v>0</v>
      </c>
      <c r="E666" s="42">
        <v>0</v>
      </c>
    </row>
    <row r="667" spans="1:5" ht="12.75" customHeight="1">
      <c r="A667" s="962" t="s">
        <v>832</v>
      </c>
      <c r="B667" s="42" t="s">
        <v>3064</v>
      </c>
      <c r="C667" s="42">
        <v>0</v>
      </c>
      <c r="D667" s="42">
        <v>0</v>
      </c>
      <c r="E667" s="42">
        <v>0</v>
      </c>
    </row>
    <row r="668" spans="1:5" ht="12.75" customHeight="1">
      <c r="A668" s="962" t="s">
        <v>832</v>
      </c>
      <c r="B668" s="42" t="s">
        <v>3065</v>
      </c>
      <c r="C668" s="42">
        <v>0</v>
      </c>
      <c r="D668" s="42">
        <v>0</v>
      </c>
      <c r="E668" s="42">
        <v>0</v>
      </c>
    </row>
    <row r="669" spans="1:5" ht="12.75" customHeight="1">
      <c r="A669" s="962" t="s">
        <v>832</v>
      </c>
      <c r="B669" s="42" t="s">
        <v>3066</v>
      </c>
      <c r="C669" s="42">
        <v>0</v>
      </c>
      <c r="D669" s="42">
        <v>0</v>
      </c>
      <c r="E669" s="42">
        <v>0</v>
      </c>
    </row>
    <row r="670" spans="1:5" ht="12.75" customHeight="1">
      <c r="A670" s="962" t="s">
        <v>832</v>
      </c>
      <c r="B670" s="42" t="s">
        <v>3067</v>
      </c>
      <c r="C670" s="42">
        <v>0</v>
      </c>
      <c r="D670" s="42">
        <v>0</v>
      </c>
      <c r="E670" s="42">
        <v>0</v>
      </c>
    </row>
    <row r="671" spans="1:5" ht="12.75" customHeight="1">
      <c r="A671" s="962" t="s">
        <v>832</v>
      </c>
      <c r="B671" s="42" t="s">
        <v>3068</v>
      </c>
      <c r="C671" s="42">
        <v>0</v>
      </c>
      <c r="D671" s="42">
        <v>0</v>
      </c>
      <c r="E671" s="42">
        <v>1</v>
      </c>
    </row>
    <row r="672" spans="1:5" ht="12.75" customHeight="1">
      <c r="A672" s="962" t="s">
        <v>832</v>
      </c>
      <c r="B672" s="42" t="s">
        <v>3069</v>
      </c>
      <c r="C672" s="42">
        <v>1</v>
      </c>
      <c r="D672" s="42">
        <v>1</v>
      </c>
      <c r="E672" s="42">
        <v>1</v>
      </c>
    </row>
    <row r="673" spans="1:5" ht="12.75" customHeight="1">
      <c r="A673" s="962" t="s">
        <v>832</v>
      </c>
      <c r="B673" s="42" t="s">
        <v>3070</v>
      </c>
      <c r="C673" s="42">
        <v>0</v>
      </c>
      <c r="D673" s="42">
        <v>1</v>
      </c>
      <c r="E673" s="42">
        <v>1</v>
      </c>
    </row>
    <row r="674" spans="1:5" ht="12.75" customHeight="1">
      <c r="A674" s="962" t="s">
        <v>832</v>
      </c>
      <c r="B674" s="42" t="s">
        <v>3071</v>
      </c>
      <c r="C674" s="42">
        <v>0</v>
      </c>
      <c r="D674" s="42">
        <v>0</v>
      </c>
      <c r="E674" s="42">
        <v>0</v>
      </c>
    </row>
    <row r="675" spans="1:5" ht="12.75" customHeight="1">
      <c r="A675" s="962" t="s">
        <v>832</v>
      </c>
      <c r="B675" s="42" t="s">
        <v>3072</v>
      </c>
      <c r="C675" s="42">
        <v>0</v>
      </c>
      <c r="D675" s="42">
        <v>0</v>
      </c>
      <c r="E675" s="42">
        <v>1</v>
      </c>
    </row>
    <row r="676" spans="1:5" ht="12.75" customHeight="1">
      <c r="A676" s="962" t="s">
        <v>832</v>
      </c>
      <c r="B676" s="42" t="s">
        <v>3073</v>
      </c>
      <c r="C676" s="42">
        <v>0</v>
      </c>
      <c r="D676" s="42">
        <v>0</v>
      </c>
      <c r="E676" s="42">
        <v>0</v>
      </c>
    </row>
    <row r="677" spans="1:5" ht="12.75" customHeight="1">
      <c r="A677" s="962" t="s">
        <v>832</v>
      </c>
      <c r="B677" s="42" t="s">
        <v>3074</v>
      </c>
      <c r="C677" s="42">
        <v>1</v>
      </c>
      <c r="D677" s="42">
        <v>1</v>
      </c>
      <c r="E677" s="42">
        <v>1</v>
      </c>
    </row>
    <row r="678" spans="1:5" ht="12.75" customHeight="1">
      <c r="A678" s="962" t="s">
        <v>832</v>
      </c>
      <c r="B678" s="42" t="s">
        <v>887</v>
      </c>
      <c r="C678" s="42">
        <v>1</v>
      </c>
      <c r="D678" s="42">
        <v>1</v>
      </c>
      <c r="E678" s="42">
        <v>1</v>
      </c>
    </row>
    <row r="679" spans="1:5" ht="12.75" customHeight="1">
      <c r="A679" s="962" t="s">
        <v>832</v>
      </c>
      <c r="B679" s="42" t="s">
        <v>3075</v>
      </c>
      <c r="C679" s="42">
        <v>0</v>
      </c>
      <c r="D679" s="42">
        <v>0</v>
      </c>
      <c r="E679" s="42">
        <v>0</v>
      </c>
    </row>
    <row r="680" spans="1:5" ht="12.75" customHeight="1">
      <c r="A680" s="962" t="s">
        <v>832</v>
      </c>
      <c r="B680" s="42" t="s">
        <v>3076</v>
      </c>
      <c r="C680" s="42">
        <v>0</v>
      </c>
      <c r="D680" s="42">
        <v>0</v>
      </c>
      <c r="E680" s="42">
        <v>0</v>
      </c>
    </row>
    <row r="681" spans="1:5" ht="12.75" customHeight="1">
      <c r="A681" s="962" t="s">
        <v>832</v>
      </c>
      <c r="B681" s="42" t="s">
        <v>3077</v>
      </c>
      <c r="C681" s="42">
        <v>0</v>
      </c>
      <c r="D681" s="42">
        <v>0</v>
      </c>
      <c r="E681" s="42">
        <v>0</v>
      </c>
    </row>
    <row r="682" spans="1:5" ht="12.75" customHeight="1">
      <c r="A682" s="962" t="s">
        <v>832</v>
      </c>
      <c r="B682" s="42" t="s">
        <v>3078</v>
      </c>
      <c r="C682" s="42">
        <v>0</v>
      </c>
      <c r="D682" s="42">
        <v>1</v>
      </c>
      <c r="E682" s="42">
        <v>0</v>
      </c>
    </row>
    <row r="683" spans="1:5" ht="12.75" customHeight="1">
      <c r="A683" s="962" t="s">
        <v>832</v>
      </c>
      <c r="B683" s="42" t="s">
        <v>3079</v>
      </c>
      <c r="C683" s="42">
        <v>0</v>
      </c>
      <c r="D683" s="42">
        <v>1</v>
      </c>
      <c r="E683" s="42">
        <v>1</v>
      </c>
    </row>
    <row r="684" spans="1:5" ht="12.75" customHeight="1">
      <c r="A684" s="962" t="s">
        <v>832</v>
      </c>
      <c r="B684" s="42" t="s">
        <v>3080</v>
      </c>
      <c r="C684" s="42">
        <v>0</v>
      </c>
      <c r="D684" s="42">
        <v>0</v>
      </c>
      <c r="E684" s="42">
        <v>0</v>
      </c>
    </row>
    <row r="685" spans="1:5" ht="12.75" customHeight="1">
      <c r="A685" s="962" t="s">
        <v>832</v>
      </c>
      <c r="B685" s="42" t="s">
        <v>3081</v>
      </c>
      <c r="C685" s="42">
        <v>0</v>
      </c>
      <c r="D685" s="42">
        <v>0</v>
      </c>
      <c r="E685" s="42">
        <v>0</v>
      </c>
    </row>
    <row r="686" spans="1:5" ht="12.75" customHeight="1">
      <c r="A686" s="962" t="s">
        <v>832</v>
      </c>
      <c r="B686" s="42" t="s">
        <v>3082</v>
      </c>
      <c r="C686" s="42">
        <v>0</v>
      </c>
      <c r="D686" s="42">
        <v>0</v>
      </c>
      <c r="E686" s="42">
        <v>0</v>
      </c>
    </row>
    <row r="687" spans="1:5" ht="12.75" customHeight="1">
      <c r="A687" s="962" t="s">
        <v>832</v>
      </c>
      <c r="B687" s="42" t="s">
        <v>3083</v>
      </c>
      <c r="C687" s="42">
        <v>0</v>
      </c>
      <c r="D687" s="42">
        <v>0</v>
      </c>
      <c r="E687" s="42">
        <v>0</v>
      </c>
    </row>
    <row r="688" spans="1:5" ht="12.75" customHeight="1">
      <c r="A688" s="962" t="s">
        <v>832</v>
      </c>
      <c r="B688" s="42" t="s">
        <v>3084</v>
      </c>
      <c r="C688" s="42">
        <v>0</v>
      </c>
      <c r="D688" s="42">
        <v>0</v>
      </c>
      <c r="E688" s="42">
        <v>0</v>
      </c>
    </row>
    <row r="689" spans="1:5" ht="12.75" customHeight="1">
      <c r="A689" s="962" t="s">
        <v>832</v>
      </c>
      <c r="B689" s="42" t="s">
        <v>3085</v>
      </c>
      <c r="C689" s="42">
        <v>0</v>
      </c>
      <c r="D689" s="42">
        <v>0</v>
      </c>
      <c r="E689" s="42">
        <v>0</v>
      </c>
    </row>
    <row r="690" spans="1:5" ht="12.75" customHeight="1">
      <c r="A690" s="962" t="s">
        <v>832</v>
      </c>
      <c r="B690" s="42" t="s">
        <v>3086</v>
      </c>
      <c r="C690" s="42">
        <v>0</v>
      </c>
      <c r="D690" s="42">
        <v>0</v>
      </c>
      <c r="E690" s="42">
        <v>0</v>
      </c>
    </row>
    <row r="691" spans="1:5" ht="12.75" customHeight="1">
      <c r="A691" s="962" t="s">
        <v>832</v>
      </c>
      <c r="B691" s="42" t="s">
        <v>3087</v>
      </c>
      <c r="C691" s="42">
        <v>0</v>
      </c>
      <c r="D691" s="42">
        <v>0</v>
      </c>
      <c r="E691" s="42">
        <v>0</v>
      </c>
    </row>
    <row r="692" spans="1:5" ht="12.75" customHeight="1">
      <c r="A692" s="962" t="s">
        <v>832</v>
      </c>
      <c r="B692" s="42" t="s">
        <v>3088</v>
      </c>
      <c r="C692" s="42">
        <v>0</v>
      </c>
      <c r="D692" s="42">
        <v>0</v>
      </c>
      <c r="E692" s="42">
        <v>0</v>
      </c>
    </row>
    <row r="693" spans="1:5" ht="12.75" customHeight="1">
      <c r="A693" s="962" t="s">
        <v>832</v>
      </c>
      <c r="B693" s="42" t="s">
        <v>3089</v>
      </c>
      <c r="C693" s="42">
        <v>0</v>
      </c>
      <c r="D693" s="42">
        <v>0</v>
      </c>
      <c r="E693" s="42">
        <v>1</v>
      </c>
    </row>
    <row r="694" spans="1:5" ht="12.75" customHeight="1">
      <c r="A694" s="962" t="s">
        <v>832</v>
      </c>
      <c r="B694" s="42" t="s">
        <v>3090</v>
      </c>
      <c r="C694" s="42">
        <v>0</v>
      </c>
      <c r="D694" s="42">
        <v>0</v>
      </c>
      <c r="E694" s="42">
        <v>0</v>
      </c>
    </row>
    <row r="695" spans="1:5" ht="12.75" customHeight="1">
      <c r="A695" s="962" t="s">
        <v>832</v>
      </c>
      <c r="B695" s="42" t="s">
        <v>3091</v>
      </c>
      <c r="C695" s="42">
        <v>0</v>
      </c>
      <c r="D695" s="42">
        <v>0</v>
      </c>
      <c r="E695" s="42">
        <v>0</v>
      </c>
    </row>
    <row r="696" spans="1:5" ht="12.75" customHeight="1">
      <c r="A696" s="962" t="s">
        <v>832</v>
      </c>
      <c r="B696" s="42" t="s">
        <v>3092</v>
      </c>
      <c r="C696" s="42">
        <v>0</v>
      </c>
      <c r="D696" s="42">
        <v>0</v>
      </c>
      <c r="E696" s="42">
        <v>1</v>
      </c>
    </row>
    <row r="697" spans="1:5" ht="12.75" customHeight="1">
      <c r="A697" s="962" t="s">
        <v>832</v>
      </c>
      <c r="B697" s="42" t="s">
        <v>3093</v>
      </c>
      <c r="C697" s="42">
        <v>0</v>
      </c>
      <c r="D697" s="42">
        <v>0</v>
      </c>
      <c r="E697" s="42">
        <v>0</v>
      </c>
    </row>
    <row r="698" spans="1:5" ht="12.75" customHeight="1">
      <c r="A698" s="962" t="s">
        <v>832</v>
      </c>
      <c r="B698" s="42" t="s">
        <v>3094</v>
      </c>
      <c r="C698" s="42">
        <v>0</v>
      </c>
      <c r="D698" s="42">
        <v>0</v>
      </c>
      <c r="E698" s="42">
        <v>0</v>
      </c>
    </row>
    <row r="699" spans="1:5" ht="12.75" customHeight="1">
      <c r="A699" s="962" t="s">
        <v>832</v>
      </c>
      <c r="B699" s="42" t="s">
        <v>3095</v>
      </c>
      <c r="C699" s="42">
        <v>0</v>
      </c>
      <c r="D699" s="42">
        <v>0</v>
      </c>
      <c r="E699" s="42">
        <v>0</v>
      </c>
    </row>
    <row r="700" spans="1:5" ht="12.75" customHeight="1">
      <c r="A700" s="962" t="s">
        <v>832</v>
      </c>
      <c r="B700" s="42" t="s">
        <v>3096</v>
      </c>
      <c r="C700" s="42">
        <v>1</v>
      </c>
      <c r="D700" s="42">
        <v>1</v>
      </c>
      <c r="E700" s="42">
        <v>1</v>
      </c>
    </row>
    <row r="701" spans="1:5" ht="12.75" customHeight="1">
      <c r="A701" s="962" t="s">
        <v>832</v>
      </c>
      <c r="B701" s="42" t="s">
        <v>3097</v>
      </c>
      <c r="C701" s="42">
        <v>0</v>
      </c>
      <c r="D701" s="42">
        <v>1</v>
      </c>
      <c r="E701" s="42">
        <v>0</v>
      </c>
    </row>
    <row r="702" spans="1:5" ht="12.75" customHeight="1">
      <c r="A702" s="962" t="s">
        <v>832</v>
      </c>
      <c r="B702" s="42" t="s">
        <v>3098</v>
      </c>
      <c r="C702" s="42">
        <v>0</v>
      </c>
      <c r="D702" s="42">
        <v>0</v>
      </c>
      <c r="E702" s="42">
        <v>0</v>
      </c>
    </row>
    <row r="703" spans="1:5" ht="12.75" customHeight="1">
      <c r="A703" s="962" t="s">
        <v>832</v>
      </c>
      <c r="B703" s="42" t="s">
        <v>3099</v>
      </c>
      <c r="C703" s="42">
        <v>0</v>
      </c>
      <c r="D703" s="42">
        <v>1</v>
      </c>
      <c r="E703" s="42">
        <v>1</v>
      </c>
    </row>
    <row r="704" spans="1:5" ht="12.75" customHeight="1">
      <c r="A704" s="962" t="s">
        <v>832</v>
      </c>
      <c r="B704" s="42" t="s">
        <v>3100</v>
      </c>
      <c r="C704" s="42">
        <v>0</v>
      </c>
      <c r="D704" s="42">
        <v>0</v>
      </c>
      <c r="E704" s="42">
        <v>0</v>
      </c>
    </row>
    <row r="705" spans="1:5" ht="12.75" customHeight="1">
      <c r="A705" s="962" t="s">
        <v>832</v>
      </c>
      <c r="B705" s="42" t="s">
        <v>3101</v>
      </c>
      <c r="C705" s="42">
        <v>0</v>
      </c>
      <c r="D705" s="42">
        <v>1</v>
      </c>
      <c r="E705" s="42">
        <v>0</v>
      </c>
    </row>
    <row r="706" spans="1:5" ht="12.75" customHeight="1">
      <c r="A706" s="962" t="s">
        <v>832</v>
      </c>
      <c r="B706" s="42" t="s">
        <v>3102</v>
      </c>
      <c r="C706" s="42">
        <v>0</v>
      </c>
      <c r="D706" s="42">
        <v>0</v>
      </c>
      <c r="E706" s="42">
        <v>0</v>
      </c>
    </row>
    <row r="707" spans="1:5" ht="12.75" customHeight="1">
      <c r="A707" s="962" t="s">
        <v>832</v>
      </c>
      <c r="B707" s="42" t="s">
        <v>3103</v>
      </c>
      <c r="C707" s="42">
        <v>0</v>
      </c>
      <c r="D707" s="42">
        <v>0</v>
      </c>
      <c r="E707" s="42">
        <v>0</v>
      </c>
    </row>
    <row r="708" spans="1:5" ht="12.75" customHeight="1">
      <c r="A708" s="962" t="s">
        <v>832</v>
      </c>
      <c r="B708" s="42" t="s">
        <v>3104</v>
      </c>
      <c r="C708" s="42">
        <v>0</v>
      </c>
      <c r="D708" s="42">
        <v>1</v>
      </c>
      <c r="E708" s="42">
        <v>1</v>
      </c>
    </row>
    <row r="709" spans="1:5" ht="12.75" customHeight="1">
      <c r="A709" s="962" t="s">
        <v>832</v>
      </c>
      <c r="B709" s="42" t="s">
        <v>3105</v>
      </c>
      <c r="C709" s="42">
        <v>0</v>
      </c>
      <c r="D709" s="42">
        <v>0</v>
      </c>
      <c r="E709" s="42">
        <v>0</v>
      </c>
    </row>
    <row r="710" spans="1:5" ht="12.75" customHeight="1">
      <c r="A710" s="962" t="s">
        <v>832</v>
      </c>
      <c r="B710" s="42" t="s">
        <v>3106</v>
      </c>
      <c r="C710" s="42">
        <v>0</v>
      </c>
      <c r="D710" s="42">
        <v>0</v>
      </c>
      <c r="E710" s="42">
        <v>0</v>
      </c>
    </row>
    <row r="711" spans="1:5" ht="12.75" customHeight="1">
      <c r="A711" s="962" t="s">
        <v>832</v>
      </c>
      <c r="B711" s="42" t="s">
        <v>3107</v>
      </c>
      <c r="C711" s="42">
        <v>0</v>
      </c>
      <c r="D711" s="42">
        <v>0</v>
      </c>
      <c r="E711" s="42">
        <v>0</v>
      </c>
    </row>
    <row r="712" spans="1:5" ht="12.75" customHeight="1">
      <c r="A712" s="962" t="s">
        <v>832</v>
      </c>
      <c r="B712" s="42" t="s">
        <v>3108</v>
      </c>
      <c r="C712" s="42">
        <v>0</v>
      </c>
      <c r="D712" s="42">
        <v>0</v>
      </c>
      <c r="E712" s="42">
        <v>0</v>
      </c>
    </row>
    <row r="713" spans="1:5" ht="12.75" customHeight="1">
      <c r="A713" s="962" t="s">
        <v>832</v>
      </c>
      <c r="B713" s="42" t="s">
        <v>3109</v>
      </c>
      <c r="C713" s="42">
        <v>0</v>
      </c>
      <c r="D713" s="42">
        <v>0</v>
      </c>
      <c r="E713" s="42">
        <v>0</v>
      </c>
    </row>
    <row r="714" spans="1:5" ht="12.75" customHeight="1">
      <c r="A714" s="962" t="s">
        <v>832</v>
      </c>
      <c r="B714" s="42" t="s">
        <v>3110</v>
      </c>
      <c r="C714" s="42">
        <v>1</v>
      </c>
      <c r="D714" s="42">
        <v>0</v>
      </c>
      <c r="E714" s="42">
        <v>0</v>
      </c>
    </row>
    <row r="715" spans="1:5" ht="12.75" customHeight="1">
      <c r="A715" s="962" t="s">
        <v>832</v>
      </c>
      <c r="B715" s="42" t="s">
        <v>3111</v>
      </c>
      <c r="C715" s="42">
        <v>0</v>
      </c>
      <c r="D715" s="42">
        <v>0</v>
      </c>
      <c r="E715" s="42">
        <v>0</v>
      </c>
    </row>
    <row r="716" spans="1:5" ht="12.75" customHeight="1">
      <c r="A716" s="962" t="s">
        <v>832</v>
      </c>
      <c r="B716" s="42" t="s">
        <v>3112</v>
      </c>
      <c r="C716" s="42">
        <v>0</v>
      </c>
      <c r="D716" s="42">
        <v>0</v>
      </c>
      <c r="E716" s="42">
        <v>0</v>
      </c>
    </row>
    <row r="717" spans="1:5" ht="12.75" customHeight="1">
      <c r="A717" s="962" t="s">
        <v>832</v>
      </c>
      <c r="B717" s="42" t="s">
        <v>3113</v>
      </c>
      <c r="C717" s="42">
        <v>0</v>
      </c>
      <c r="D717" s="42">
        <v>0</v>
      </c>
      <c r="E717" s="42">
        <v>1</v>
      </c>
    </row>
    <row r="718" spans="1:5" ht="12.75" customHeight="1">
      <c r="A718" s="962" t="s">
        <v>832</v>
      </c>
      <c r="B718" s="42" t="s">
        <v>3114</v>
      </c>
      <c r="C718" s="42">
        <v>0</v>
      </c>
      <c r="D718" s="42">
        <v>0</v>
      </c>
      <c r="E718" s="42">
        <v>0</v>
      </c>
    </row>
    <row r="719" spans="1:5" ht="12.75" customHeight="1">
      <c r="A719" s="962" t="s">
        <v>832</v>
      </c>
      <c r="B719" s="42" t="s">
        <v>3115</v>
      </c>
      <c r="C719" s="42">
        <v>0</v>
      </c>
      <c r="D719" s="42">
        <v>0</v>
      </c>
      <c r="E719" s="42">
        <v>0</v>
      </c>
    </row>
    <row r="720" spans="1:5" ht="12.75" customHeight="1">
      <c r="A720" s="962" t="s">
        <v>832</v>
      </c>
      <c r="B720" s="42" t="s">
        <v>3116</v>
      </c>
      <c r="C720" s="42">
        <v>0</v>
      </c>
      <c r="D720" s="42">
        <v>1</v>
      </c>
      <c r="E720" s="42">
        <v>0</v>
      </c>
    </row>
    <row r="721" spans="1:5" ht="12.75" customHeight="1">
      <c r="A721" s="962" t="s">
        <v>832</v>
      </c>
      <c r="B721" s="42" t="s">
        <v>3117</v>
      </c>
      <c r="C721" s="42">
        <v>0</v>
      </c>
      <c r="D721" s="42">
        <v>0</v>
      </c>
      <c r="E721" s="42">
        <v>0</v>
      </c>
    </row>
    <row r="722" spans="1:5" ht="12.75" customHeight="1">
      <c r="A722" s="962" t="s">
        <v>832</v>
      </c>
      <c r="B722" s="42" t="s">
        <v>3118</v>
      </c>
      <c r="C722" s="42">
        <v>0</v>
      </c>
      <c r="D722" s="42">
        <v>0</v>
      </c>
      <c r="E722" s="42">
        <v>0</v>
      </c>
    </row>
    <row r="723" spans="1:5" ht="12.75" customHeight="1">
      <c r="A723" s="962" t="s">
        <v>832</v>
      </c>
      <c r="B723" s="42" t="s">
        <v>3119</v>
      </c>
      <c r="C723" s="42">
        <v>0</v>
      </c>
      <c r="D723" s="42">
        <v>0</v>
      </c>
      <c r="E723" s="42">
        <v>0</v>
      </c>
    </row>
    <row r="724" spans="1:5" ht="12.75" customHeight="1">
      <c r="A724" s="962" t="s">
        <v>832</v>
      </c>
      <c r="B724" s="42" t="s">
        <v>3120</v>
      </c>
      <c r="C724" s="42">
        <v>0</v>
      </c>
      <c r="D724" s="42">
        <v>0</v>
      </c>
      <c r="E724" s="42">
        <v>0</v>
      </c>
    </row>
    <row r="725" spans="1:5" ht="12.75" customHeight="1">
      <c r="A725" s="962" t="s">
        <v>832</v>
      </c>
      <c r="B725" s="42" t="s">
        <v>3121</v>
      </c>
      <c r="C725" s="42">
        <v>0</v>
      </c>
      <c r="D725" s="42">
        <v>0</v>
      </c>
      <c r="E725" s="42">
        <v>0</v>
      </c>
    </row>
    <row r="726" spans="1:5" ht="12.75" customHeight="1">
      <c r="A726" s="962" t="s">
        <v>832</v>
      </c>
      <c r="B726" s="42" t="s">
        <v>3122</v>
      </c>
      <c r="C726" s="42">
        <v>0</v>
      </c>
      <c r="D726" s="42">
        <v>0</v>
      </c>
      <c r="E726" s="42">
        <v>0</v>
      </c>
    </row>
    <row r="727" spans="1:5" ht="12.75" customHeight="1">
      <c r="A727" s="962" t="s">
        <v>832</v>
      </c>
      <c r="B727" s="42" t="s">
        <v>3123</v>
      </c>
      <c r="C727" s="42">
        <v>0</v>
      </c>
      <c r="D727" s="42">
        <v>0</v>
      </c>
      <c r="E727" s="42">
        <v>0</v>
      </c>
    </row>
    <row r="728" spans="1:5" ht="12.75" customHeight="1">
      <c r="A728" s="962" t="s">
        <v>832</v>
      </c>
      <c r="B728" s="42" t="s">
        <v>3124</v>
      </c>
      <c r="C728" s="42">
        <v>0</v>
      </c>
      <c r="D728" s="42">
        <v>0</v>
      </c>
      <c r="E728" s="42">
        <v>0</v>
      </c>
    </row>
    <row r="729" spans="1:5" ht="12.75" customHeight="1">
      <c r="A729" s="962" t="s">
        <v>832</v>
      </c>
      <c r="B729" s="42" t="s">
        <v>3125</v>
      </c>
      <c r="C729" s="42">
        <v>0</v>
      </c>
      <c r="D729" s="42">
        <v>0</v>
      </c>
      <c r="E729" s="42">
        <v>1</v>
      </c>
    </row>
    <row r="730" spans="1:5" ht="12.75" customHeight="1">
      <c r="A730" s="962" t="s">
        <v>832</v>
      </c>
      <c r="B730" s="42" t="s">
        <v>3126</v>
      </c>
      <c r="C730" s="42">
        <v>0</v>
      </c>
      <c r="D730" s="42">
        <v>0</v>
      </c>
      <c r="E730" s="42">
        <v>0</v>
      </c>
    </row>
    <row r="731" spans="1:5" ht="12.75" customHeight="1">
      <c r="A731" s="962" t="s">
        <v>832</v>
      </c>
      <c r="B731" s="42" t="s">
        <v>3127</v>
      </c>
      <c r="C731" s="42">
        <v>0</v>
      </c>
      <c r="D731" s="42">
        <v>0</v>
      </c>
      <c r="E731" s="42">
        <v>1</v>
      </c>
    </row>
    <row r="732" spans="1:5" ht="12.75" customHeight="1">
      <c r="A732" s="962" t="s">
        <v>832</v>
      </c>
      <c r="B732" s="42" t="s">
        <v>3128</v>
      </c>
      <c r="C732" s="42">
        <v>1</v>
      </c>
      <c r="D732" s="42">
        <v>1</v>
      </c>
      <c r="E732" s="42">
        <v>1</v>
      </c>
    </row>
    <row r="733" spans="1:5" ht="12.75" customHeight="1">
      <c r="A733" s="962" t="s">
        <v>832</v>
      </c>
      <c r="B733" s="42" t="s">
        <v>3129</v>
      </c>
      <c r="C733" s="42">
        <v>0</v>
      </c>
      <c r="D733" s="42">
        <v>0</v>
      </c>
      <c r="E733" s="42">
        <v>0</v>
      </c>
    </row>
    <row r="734" spans="1:5" ht="12.75" customHeight="1">
      <c r="A734" s="962" t="s">
        <v>832</v>
      </c>
      <c r="B734" s="42" t="s">
        <v>3130</v>
      </c>
      <c r="C734" s="42">
        <v>1</v>
      </c>
      <c r="D734" s="42">
        <v>1</v>
      </c>
      <c r="E734" s="42">
        <v>1</v>
      </c>
    </row>
    <row r="735" spans="1:5" ht="12.75" customHeight="1">
      <c r="A735" s="962" t="s">
        <v>832</v>
      </c>
      <c r="B735" s="42" t="s">
        <v>3131</v>
      </c>
      <c r="C735" s="42">
        <v>0</v>
      </c>
      <c r="D735" s="42">
        <v>1</v>
      </c>
      <c r="E735" s="42">
        <v>1</v>
      </c>
    </row>
    <row r="736" spans="1:5" ht="12.75" customHeight="1">
      <c r="A736" s="962" t="s">
        <v>832</v>
      </c>
      <c r="B736" s="42" t="s">
        <v>3132</v>
      </c>
      <c r="C736" s="42">
        <v>0</v>
      </c>
      <c r="D736" s="42">
        <v>1</v>
      </c>
      <c r="E736" s="42">
        <v>1</v>
      </c>
    </row>
    <row r="737" spans="1:5" ht="12.75" customHeight="1">
      <c r="A737" s="962" t="s">
        <v>832</v>
      </c>
      <c r="B737" s="42" t="s">
        <v>3133</v>
      </c>
      <c r="C737" s="42">
        <v>0</v>
      </c>
      <c r="D737" s="42">
        <v>1</v>
      </c>
      <c r="E737" s="42">
        <v>1</v>
      </c>
    </row>
    <row r="738" spans="1:5" ht="12.75" customHeight="1">
      <c r="A738" s="962" t="s">
        <v>832</v>
      </c>
      <c r="B738" s="42" t="s">
        <v>3134</v>
      </c>
      <c r="C738" s="42">
        <v>0</v>
      </c>
      <c r="D738" s="42">
        <v>1</v>
      </c>
      <c r="E738" s="42">
        <v>1</v>
      </c>
    </row>
    <row r="739" spans="1:5" ht="12.75" customHeight="1">
      <c r="A739" s="962" t="s">
        <v>832</v>
      </c>
      <c r="B739" s="42" t="s">
        <v>3135</v>
      </c>
      <c r="C739" s="42">
        <v>0</v>
      </c>
      <c r="D739" s="42">
        <v>1</v>
      </c>
      <c r="E739" s="42">
        <v>1</v>
      </c>
    </row>
    <row r="740" spans="1:5" ht="12.75" customHeight="1">
      <c r="A740" s="962" t="s">
        <v>832</v>
      </c>
      <c r="B740" s="42" t="s">
        <v>3136</v>
      </c>
      <c r="C740" s="42">
        <v>0</v>
      </c>
      <c r="D740" s="42">
        <v>1</v>
      </c>
      <c r="E740" s="42">
        <v>1</v>
      </c>
    </row>
    <row r="741" spans="1:5" ht="12.75" customHeight="1">
      <c r="A741" s="962" t="s">
        <v>832</v>
      </c>
      <c r="B741" s="42" t="s">
        <v>3137</v>
      </c>
      <c r="C741" s="42">
        <v>0</v>
      </c>
      <c r="D741" s="42">
        <v>1</v>
      </c>
      <c r="E741" s="42">
        <v>1</v>
      </c>
    </row>
    <row r="742" spans="1:5" ht="12.75" customHeight="1">
      <c r="A742" s="962" t="s">
        <v>832</v>
      </c>
      <c r="B742" s="42" t="s">
        <v>3138</v>
      </c>
      <c r="C742" s="42">
        <v>0</v>
      </c>
      <c r="D742" s="42">
        <v>0</v>
      </c>
      <c r="E742" s="42">
        <v>0</v>
      </c>
    </row>
    <row r="743" spans="1:5" ht="12.75" customHeight="1">
      <c r="A743" s="962" t="s">
        <v>832</v>
      </c>
      <c r="B743" s="42" t="s">
        <v>3139</v>
      </c>
      <c r="C743" s="42">
        <v>0</v>
      </c>
      <c r="D743" s="42">
        <v>0</v>
      </c>
      <c r="E743" s="42">
        <v>0</v>
      </c>
    </row>
    <row r="744" spans="1:5" ht="12.75" customHeight="1">
      <c r="A744" s="962" t="s">
        <v>832</v>
      </c>
      <c r="B744" s="42" t="s">
        <v>3140</v>
      </c>
      <c r="C744" s="42">
        <v>0</v>
      </c>
      <c r="D744" s="42">
        <v>0</v>
      </c>
      <c r="E744" s="42">
        <v>0</v>
      </c>
    </row>
    <row r="745" spans="1:5" ht="12.75" customHeight="1">
      <c r="A745" s="962" t="s">
        <v>832</v>
      </c>
      <c r="B745" s="42" t="s">
        <v>3141</v>
      </c>
      <c r="C745" s="42">
        <v>0</v>
      </c>
      <c r="D745" s="42">
        <v>1</v>
      </c>
      <c r="E745" s="42">
        <v>1</v>
      </c>
    </row>
    <row r="746" spans="1:5" ht="12.75" customHeight="1">
      <c r="A746" s="962" t="s">
        <v>832</v>
      </c>
      <c r="B746" s="42" t="s">
        <v>3142</v>
      </c>
      <c r="C746" s="42">
        <v>0</v>
      </c>
      <c r="D746" s="42">
        <v>0</v>
      </c>
      <c r="E746" s="42">
        <v>0</v>
      </c>
    </row>
    <row r="747" spans="1:5" ht="12.75" customHeight="1">
      <c r="A747" s="962" t="s">
        <v>832</v>
      </c>
      <c r="B747" s="42" t="s">
        <v>3143</v>
      </c>
      <c r="C747" s="42">
        <v>0</v>
      </c>
      <c r="D747" s="42">
        <v>0</v>
      </c>
      <c r="E747" s="42">
        <v>0</v>
      </c>
    </row>
    <row r="748" spans="1:5" ht="12.75" customHeight="1">
      <c r="A748" s="962" t="s">
        <v>832</v>
      </c>
      <c r="B748" s="42" t="s">
        <v>3144</v>
      </c>
      <c r="C748" s="42">
        <v>0</v>
      </c>
      <c r="D748" s="42">
        <v>0</v>
      </c>
      <c r="E748" s="42">
        <v>0</v>
      </c>
    </row>
    <row r="749" spans="1:5" ht="12.75" customHeight="1">
      <c r="A749" s="962" t="s">
        <v>832</v>
      </c>
      <c r="B749" s="42" t="s">
        <v>3145</v>
      </c>
      <c r="C749" s="42">
        <v>0</v>
      </c>
      <c r="D749" s="42">
        <v>0</v>
      </c>
      <c r="E749" s="42">
        <v>0</v>
      </c>
    </row>
    <row r="750" spans="1:5" ht="12.75" customHeight="1">
      <c r="A750" s="962" t="s">
        <v>832</v>
      </c>
      <c r="B750" s="42" t="s">
        <v>3146</v>
      </c>
      <c r="C750" s="42">
        <v>0</v>
      </c>
      <c r="D750" s="42">
        <v>0</v>
      </c>
      <c r="E750" s="42">
        <v>0</v>
      </c>
    </row>
    <row r="751" spans="1:5" ht="12.75" customHeight="1">
      <c r="A751" s="962" t="s">
        <v>832</v>
      </c>
      <c r="B751" s="42" t="s">
        <v>3147</v>
      </c>
      <c r="C751" s="42">
        <v>0</v>
      </c>
      <c r="D751" s="42">
        <v>1</v>
      </c>
      <c r="E751" s="42">
        <v>0</v>
      </c>
    </row>
    <row r="752" spans="1:5" ht="12.75" customHeight="1">
      <c r="A752" s="962" t="s">
        <v>832</v>
      </c>
      <c r="B752" s="42" t="s">
        <v>3148</v>
      </c>
      <c r="C752" s="42">
        <v>0</v>
      </c>
      <c r="D752" s="42">
        <v>0</v>
      </c>
      <c r="E752" s="42">
        <v>0</v>
      </c>
    </row>
    <row r="753" spans="1:5" ht="12.75" customHeight="1">
      <c r="A753" s="962" t="s">
        <v>832</v>
      </c>
      <c r="B753" s="42" t="s">
        <v>3149</v>
      </c>
      <c r="C753" s="42">
        <v>0</v>
      </c>
      <c r="D753" s="42">
        <v>0</v>
      </c>
      <c r="E753" s="42">
        <v>0</v>
      </c>
    </row>
    <row r="754" spans="1:5" ht="12.75" customHeight="1">
      <c r="A754" s="962" t="s">
        <v>832</v>
      </c>
      <c r="B754" s="42" t="s">
        <v>3150</v>
      </c>
      <c r="C754" s="42">
        <v>0</v>
      </c>
      <c r="D754" s="42">
        <v>0</v>
      </c>
      <c r="E754" s="42">
        <v>0</v>
      </c>
    </row>
    <row r="755" spans="1:5" ht="12.75" customHeight="1">
      <c r="A755" s="962" t="s">
        <v>832</v>
      </c>
      <c r="B755" s="42" t="s">
        <v>3151</v>
      </c>
      <c r="C755" s="42">
        <v>0</v>
      </c>
      <c r="D755" s="42">
        <v>0</v>
      </c>
      <c r="E755" s="42">
        <v>0</v>
      </c>
    </row>
    <row r="756" spans="1:5" ht="12.75" customHeight="1">
      <c r="A756" s="962" t="s">
        <v>832</v>
      </c>
      <c r="B756" s="42" t="s">
        <v>3152</v>
      </c>
      <c r="C756" s="42">
        <v>0</v>
      </c>
      <c r="D756" s="42">
        <v>0</v>
      </c>
      <c r="E756" s="42">
        <v>0</v>
      </c>
    </row>
    <row r="757" spans="1:5" ht="12.75" customHeight="1">
      <c r="A757" s="962" t="s">
        <v>832</v>
      </c>
      <c r="B757" s="42" t="s">
        <v>3153</v>
      </c>
      <c r="C757" s="42">
        <v>0</v>
      </c>
      <c r="D757" s="42">
        <v>0</v>
      </c>
      <c r="E757" s="42">
        <v>0</v>
      </c>
    </row>
    <row r="758" spans="1:5" ht="12.75" customHeight="1">
      <c r="A758" s="962" t="s">
        <v>832</v>
      </c>
      <c r="B758" s="42" t="s">
        <v>3154</v>
      </c>
      <c r="C758" s="42">
        <v>0</v>
      </c>
      <c r="D758" s="42">
        <v>0</v>
      </c>
      <c r="E758" s="42">
        <v>0</v>
      </c>
    </row>
    <row r="759" spans="1:5" ht="12.75" customHeight="1">
      <c r="A759" s="962" t="s">
        <v>832</v>
      </c>
      <c r="B759" s="42" t="s">
        <v>3155</v>
      </c>
      <c r="C759" s="42">
        <v>0</v>
      </c>
      <c r="D759" s="42">
        <v>0</v>
      </c>
      <c r="E759" s="42">
        <v>0</v>
      </c>
    </row>
    <row r="760" spans="1:5" ht="12.75" customHeight="1">
      <c r="A760" s="962" t="s">
        <v>832</v>
      </c>
      <c r="B760" s="42" t="s">
        <v>3156</v>
      </c>
      <c r="C760" s="42">
        <v>0</v>
      </c>
      <c r="D760" s="42">
        <v>1</v>
      </c>
      <c r="E760" s="42">
        <v>1</v>
      </c>
    </row>
    <row r="761" spans="1:5" ht="12.75" customHeight="1">
      <c r="A761" s="962" t="s">
        <v>832</v>
      </c>
      <c r="B761" s="42" t="s">
        <v>3157</v>
      </c>
      <c r="C761" s="42">
        <v>0</v>
      </c>
      <c r="D761" s="42">
        <v>0</v>
      </c>
      <c r="E761" s="42">
        <v>0</v>
      </c>
    </row>
    <row r="762" spans="1:5" ht="12.75" customHeight="1">
      <c r="A762" s="962" t="s">
        <v>832</v>
      </c>
      <c r="B762" s="42" t="s">
        <v>3158</v>
      </c>
      <c r="C762" s="42">
        <v>0</v>
      </c>
      <c r="D762" s="42">
        <v>0</v>
      </c>
      <c r="E762" s="42">
        <v>0</v>
      </c>
    </row>
    <row r="763" spans="1:5" ht="12.75" customHeight="1">
      <c r="A763" s="962" t="s">
        <v>832</v>
      </c>
      <c r="B763" s="42" t="s">
        <v>3159</v>
      </c>
      <c r="C763" s="42">
        <v>0</v>
      </c>
      <c r="D763" s="42">
        <v>0</v>
      </c>
      <c r="E763" s="42">
        <v>0</v>
      </c>
    </row>
    <row r="764" spans="1:5" ht="12.75" customHeight="1">
      <c r="A764" s="962" t="s">
        <v>832</v>
      </c>
      <c r="B764" s="42" t="s">
        <v>3160</v>
      </c>
      <c r="C764" s="42">
        <v>0</v>
      </c>
      <c r="D764" s="42">
        <v>0</v>
      </c>
      <c r="E764" s="42">
        <v>0</v>
      </c>
    </row>
    <row r="765" spans="1:5" ht="12.75" customHeight="1">
      <c r="A765" s="962" t="s">
        <v>832</v>
      </c>
      <c r="B765" s="42" t="s">
        <v>3161</v>
      </c>
      <c r="C765" s="42">
        <v>0</v>
      </c>
      <c r="D765" s="42">
        <v>0</v>
      </c>
      <c r="E765" s="42">
        <v>0</v>
      </c>
    </row>
    <row r="766" spans="1:5" ht="12.75" customHeight="1">
      <c r="A766" s="962" t="s">
        <v>832</v>
      </c>
      <c r="B766" s="42" t="s">
        <v>3162</v>
      </c>
      <c r="C766" s="42">
        <v>0</v>
      </c>
      <c r="D766" s="42">
        <v>0</v>
      </c>
      <c r="E766" s="42">
        <v>0</v>
      </c>
    </row>
    <row r="767" spans="1:5" ht="12.75" customHeight="1">
      <c r="A767" s="962" t="s">
        <v>832</v>
      </c>
      <c r="B767" s="42" t="s">
        <v>3163</v>
      </c>
      <c r="C767" s="42">
        <v>0</v>
      </c>
      <c r="D767" s="42">
        <v>0</v>
      </c>
      <c r="E767" s="42">
        <v>0</v>
      </c>
    </row>
    <row r="768" spans="1:5" ht="12.75" customHeight="1">
      <c r="A768" s="962" t="s">
        <v>832</v>
      </c>
      <c r="B768" s="42" t="s">
        <v>3164</v>
      </c>
      <c r="C768" s="42">
        <v>0</v>
      </c>
      <c r="D768" s="42">
        <v>0</v>
      </c>
      <c r="E768" s="42">
        <v>0</v>
      </c>
    </row>
    <row r="769" spans="1:5" ht="12.75" customHeight="1">
      <c r="A769" s="962" t="s">
        <v>832</v>
      </c>
      <c r="B769" s="42" t="s">
        <v>3165</v>
      </c>
      <c r="C769" s="42">
        <v>0</v>
      </c>
      <c r="D769" s="42">
        <v>0</v>
      </c>
      <c r="E769" s="42">
        <v>0</v>
      </c>
    </row>
    <row r="770" spans="1:5" ht="12.75" customHeight="1">
      <c r="A770" s="962" t="s">
        <v>832</v>
      </c>
      <c r="B770" s="42" t="s">
        <v>3166</v>
      </c>
      <c r="C770" s="42">
        <v>0</v>
      </c>
      <c r="D770" s="42">
        <v>0</v>
      </c>
      <c r="E770" s="42">
        <v>0</v>
      </c>
    </row>
    <row r="771" spans="1:5" ht="12.75" customHeight="1">
      <c r="A771" s="962" t="s">
        <v>832</v>
      </c>
      <c r="B771" s="42" t="s">
        <v>3167</v>
      </c>
      <c r="C771" s="42">
        <v>0</v>
      </c>
      <c r="D771" s="42">
        <v>0</v>
      </c>
      <c r="E771" s="42">
        <v>1</v>
      </c>
    </row>
    <row r="772" spans="1:5" ht="12.75" customHeight="1">
      <c r="A772" s="962" t="s">
        <v>832</v>
      </c>
      <c r="B772" s="42" t="s">
        <v>3168</v>
      </c>
      <c r="C772" s="42">
        <v>0</v>
      </c>
      <c r="D772" s="42">
        <v>0</v>
      </c>
      <c r="E772" s="42">
        <v>1</v>
      </c>
    </row>
    <row r="773" spans="1:5" ht="12.75" customHeight="1">
      <c r="A773" s="962" t="s">
        <v>832</v>
      </c>
      <c r="B773" s="42" t="s">
        <v>3169</v>
      </c>
      <c r="C773" s="42">
        <v>0</v>
      </c>
      <c r="D773" s="42">
        <v>1</v>
      </c>
      <c r="E773" s="42">
        <v>0</v>
      </c>
    </row>
    <row r="774" spans="1:5" ht="12.75" customHeight="1">
      <c r="A774" s="962" t="s">
        <v>832</v>
      </c>
      <c r="B774" s="42" t="s">
        <v>3170</v>
      </c>
      <c r="C774" s="42">
        <v>0</v>
      </c>
      <c r="D774" s="42">
        <v>1</v>
      </c>
      <c r="E774" s="42">
        <v>0</v>
      </c>
    </row>
    <row r="775" spans="1:5" ht="12.75" customHeight="1">
      <c r="A775" s="962" t="s">
        <v>832</v>
      </c>
      <c r="B775" s="42" t="s">
        <v>3171</v>
      </c>
      <c r="C775" s="42">
        <v>0</v>
      </c>
      <c r="D775" s="42">
        <v>0</v>
      </c>
      <c r="E775" s="42">
        <v>0</v>
      </c>
    </row>
    <row r="776" spans="1:5" ht="12.75" customHeight="1">
      <c r="A776" s="962" t="s">
        <v>832</v>
      </c>
      <c r="B776" s="42" t="s">
        <v>3172</v>
      </c>
      <c r="C776" s="42">
        <v>0</v>
      </c>
      <c r="D776" s="42">
        <v>0</v>
      </c>
      <c r="E776" s="42">
        <v>0</v>
      </c>
    </row>
    <row r="777" spans="1:5" ht="12.75" customHeight="1">
      <c r="A777" s="962" t="s">
        <v>832</v>
      </c>
      <c r="B777" s="42" t="s">
        <v>3173</v>
      </c>
      <c r="C777" s="42">
        <v>0</v>
      </c>
      <c r="D777" s="42">
        <v>0</v>
      </c>
      <c r="E777" s="42">
        <v>0</v>
      </c>
    </row>
    <row r="778" spans="1:5" ht="12.75" customHeight="1">
      <c r="A778" s="962" t="s">
        <v>832</v>
      </c>
      <c r="B778" s="42" t="s">
        <v>3174</v>
      </c>
      <c r="C778" s="42">
        <v>0</v>
      </c>
      <c r="D778" s="42">
        <v>0</v>
      </c>
      <c r="E778" s="42">
        <v>0</v>
      </c>
    </row>
    <row r="779" spans="1:5" ht="12.75" customHeight="1">
      <c r="A779" s="962" t="s">
        <v>832</v>
      </c>
      <c r="B779" s="42" t="s">
        <v>3175</v>
      </c>
      <c r="C779" s="42">
        <v>0</v>
      </c>
      <c r="D779" s="42">
        <v>0</v>
      </c>
      <c r="E779" s="42">
        <v>0</v>
      </c>
    </row>
    <row r="780" spans="1:5" ht="12.75" customHeight="1">
      <c r="A780" s="962" t="s">
        <v>832</v>
      </c>
      <c r="B780" s="42" t="s">
        <v>3176</v>
      </c>
      <c r="C780" s="42">
        <v>0</v>
      </c>
      <c r="D780" s="42">
        <v>0</v>
      </c>
      <c r="E780" s="42">
        <v>0</v>
      </c>
    </row>
    <row r="781" spans="1:5" ht="12.75" customHeight="1">
      <c r="A781" s="962" t="s">
        <v>832</v>
      </c>
      <c r="B781" s="42" t="s">
        <v>3177</v>
      </c>
      <c r="C781" s="42">
        <v>0</v>
      </c>
      <c r="D781" s="42">
        <v>0</v>
      </c>
      <c r="E781" s="42">
        <v>0</v>
      </c>
    </row>
    <row r="782" spans="1:5" ht="12.75" customHeight="1">
      <c r="A782" s="962" t="s">
        <v>1095</v>
      </c>
      <c r="B782" s="42" t="s">
        <v>3178</v>
      </c>
      <c r="C782" s="42">
        <v>0</v>
      </c>
      <c r="D782" s="42">
        <v>0</v>
      </c>
      <c r="E782" s="42">
        <v>0</v>
      </c>
    </row>
    <row r="783" spans="1:5" ht="12.75" customHeight="1">
      <c r="A783" s="962" t="s">
        <v>1095</v>
      </c>
      <c r="B783" s="42" t="s">
        <v>3179</v>
      </c>
      <c r="C783" s="42">
        <v>0</v>
      </c>
      <c r="D783" s="42">
        <v>0</v>
      </c>
      <c r="E783" s="42">
        <v>0</v>
      </c>
    </row>
    <row r="784" spans="1:5" ht="12.75" customHeight="1">
      <c r="A784" s="962" t="s">
        <v>1095</v>
      </c>
      <c r="B784" s="42" t="s">
        <v>3180</v>
      </c>
      <c r="C784" s="42">
        <v>0</v>
      </c>
      <c r="D784" s="42">
        <v>0</v>
      </c>
      <c r="E784" s="42">
        <v>0</v>
      </c>
    </row>
    <row r="785" spans="1:5" ht="12.75" customHeight="1">
      <c r="A785" s="962" t="s">
        <v>1095</v>
      </c>
      <c r="B785" s="42" t="s">
        <v>3181</v>
      </c>
      <c r="C785" s="42">
        <v>0</v>
      </c>
      <c r="D785" s="42">
        <v>0</v>
      </c>
      <c r="E785" s="42">
        <v>0</v>
      </c>
    </row>
    <row r="786" spans="1:5" ht="12.75" customHeight="1">
      <c r="A786" s="962" t="s">
        <v>1095</v>
      </c>
      <c r="B786" s="42" t="s">
        <v>3182</v>
      </c>
      <c r="C786" s="42">
        <v>0</v>
      </c>
      <c r="D786" s="42">
        <v>0</v>
      </c>
      <c r="E786" s="42">
        <v>0</v>
      </c>
    </row>
    <row r="787" spans="1:5" ht="12.75" customHeight="1">
      <c r="A787" s="962" t="s">
        <v>1095</v>
      </c>
      <c r="B787" s="42" t="s">
        <v>3183</v>
      </c>
      <c r="C787" s="42">
        <v>0</v>
      </c>
      <c r="D787" s="42">
        <v>0</v>
      </c>
      <c r="E787" s="42">
        <v>0</v>
      </c>
    </row>
    <row r="788" spans="1:5" ht="12.75" customHeight="1">
      <c r="A788" s="962" t="s">
        <v>1095</v>
      </c>
      <c r="B788" s="42" t="s">
        <v>3184</v>
      </c>
      <c r="C788" s="42">
        <v>0</v>
      </c>
      <c r="D788" s="42">
        <v>0</v>
      </c>
      <c r="E788" s="42">
        <v>0</v>
      </c>
    </row>
    <row r="789" spans="1:5" ht="12.75" customHeight="1">
      <c r="A789" s="962" t="s">
        <v>1095</v>
      </c>
      <c r="B789" s="42" t="s">
        <v>3185</v>
      </c>
      <c r="C789" s="42">
        <v>0</v>
      </c>
      <c r="D789" s="42">
        <v>0</v>
      </c>
      <c r="E789" s="42">
        <v>0</v>
      </c>
    </row>
    <row r="790" spans="1:5" ht="12.75" customHeight="1">
      <c r="A790" s="962" t="s">
        <v>1095</v>
      </c>
      <c r="B790" s="42" t="s">
        <v>3186</v>
      </c>
      <c r="C790" s="42">
        <v>0</v>
      </c>
      <c r="D790" s="42">
        <v>0</v>
      </c>
      <c r="E790" s="42">
        <v>0</v>
      </c>
    </row>
    <row r="791" spans="1:5" ht="12.75" customHeight="1">
      <c r="A791" s="962" t="s">
        <v>1095</v>
      </c>
      <c r="B791" s="42" t="s">
        <v>3187</v>
      </c>
      <c r="C791" s="42">
        <v>0</v>
      </c>
      <c r="D791" s="42">
        <v>0</v>
      </c>
      <c r="E791" s="42">
        <v>0</v>
      </c>
    </row>
    <row r="792" spans="1:5" ht="12.75" customHeight="1">
      <c r="A792" s="962" t="s">
        <v>1095</v>
      </c>
      <c r="B792" s="42" t="s">
        <v>3188</v>
      </c>
      <c r="C792" s="42">
        <v>0</v>
      </c>
      <c r="D792" s="42">
        <v>0</v>
      </c>
      <c r="E792" s="42">
        <v>0</v>
      </c>
    </row>
    <row r="793" spans="1:5" ht="12.75" customHeight="1">
      <c r="A793" s="962" t="s">
        <v>1095</v>
      </c>
      <c r="B793" s="42" t="s">
        <v>3189</v>
      </c>
      <c r="C793" s="42">
        <v>0</v>
      </c>
      <c r="D793" s="42">
        <v>0</v>
      </c>
      <c r="E793" s="42">
        <v>0</v>
      </c>
    </row>
    <row r="794" spans="1:5" ht="12.75" customHeight="1">
      <c r="A794" s="962" t="s">
        <v>1095</v>
      </c>
      <c r="B794" s="42" t="s">
        <v>3190</v>
      </c>
      <c r="C794" s="42">
        <v>0</v>
      </c>
      <c r="D794" s="42">
        <v>0</v>
      </c>
      <c r="E794" s="42">
        <v>1</v>
      </c>
    </row>
    <row r="795" spans="1:5" ht="12.75" customHeight="1">
      <c r="A795" s="962" t="s">
        <v>1095</v>
      </c>
      <c r="B795" s="42" t="s">
        <v>3191</v>
      </c>
      <c r="C795" s="42">
        <v>0</v>
      </c>
      <c r="D795" s="42">
        <v>0</v>
      </c>
      <c r="E795" s="42">
        <v>0</v>
      </c>
    </row>
    <row r="796" spans="1:5" ht="12.75" customHeight="1">
      <c r="A796" s="962" t="s">
        <v>1095</v>
      </c>
      <c r="B796" s="42" t="s">
        <v>3192</v>
      </c>
      <c r="C796" s="42">
        <v>0</v>
      </c>
      <c r="D796" s="42">
        <v>0</v>
      </c>
      <c r="E796" s="42">
        <v>0</v>
      </c>
    </row>
    <row r="797" spans="1:5" ht="12.75" customHeight="1">
      <c r="A797" s="962" t="s">
        <v>1095</v>
      </c>
      <c r="B797" s="42" t="s">
        <v>3193</v>
      </c>
      <c r="C797" s="42">
        <v>0</v>
      </c>
      <c r="D797" s="42">
        <v>0</v>
      </c>
      <c r="E797" s="42">
        <v>0</v>
      </c>
    </row>
    <row r="798" spans="1:5" ht="12.75" customHeight="1">
      <c r="A798" s="962" t="s">
        <v>1095</v>
      </c>
      <c r="B798" s="42" t="s">
        <v>3194</v>
      </c>
      <c r="C798" s="42">
        <v>0</v>
      </c>
      <c r="D798" s="42">
        <v>0</v>
      </c>
      <c r="E798" s="42">
        <v>0</v>
      </c>
    </row>
    <row r="799" spans="1:5" ht="12.75" customHeight="1">
      <c r="A799" s="962" t="s">
        <v>1095</v>
      </c>
      <c r="B799" s="42" t="s">
        <v>3195</v>
      </c>
      <c r="C799" s="42">
        <v>0</v>
      </c>
      <c r="D799" s="42">
        <v>0</v>
      </c>
      <c r="E799" s="42">
        <v>0</v>
      </c>
    </row>
    <row r="800" spans="1:5" ht="12.75" customHeight="1">
      <c r="A800" s="962" t="s">
        <v>1095</v>
      </c>
      <c r="B800" s="42" t="s">
        <v>3196</v>
      </c>
      <c r="C800" s="42">
        <v>0</v>
      </c>
      <c r="D800" s="42">
        <v>0</v>
      </c>
      <c r="E800" s="42">
        <v>0</v>
      </c>
    </row>
    <row r="801" spans="1:5" ht="12.75" customHeight="1">
      <c r="A801" s="962" t="s">
        <v>1095</v>
      </c>
      <c r="B801" s="42" t="s">
        <v>3197</v>
      </c>
      <c r="C801" s="42">
        <v>0</v>
      </c>
      <c r="D801" s="42">
        <v>0</v>
      </c>
      <c r="E801" s="42">
        <v>0</v>
      </c>
    </row>
    <row r="802" spans="1:5" ht="12.75" customHeight="1">
      <c r="A802" s="962" t="s">
        <v>1095</v>
      </c>
      <c r="B802" s="42" t="s">
        <v>3198</v>
      </c>
      <c r="C802" s="42">
        <v>0</v>
      </c>
      <c r="D802" s="42">
        <v>0</v>
      </c>
      <c r="E802" s="42">
        <v>0</v>
      </c>
    </row>
    <row r="803" spans="1:5" ht="12.75" customHeight="1">
      <c r="A803" s="962" t="s">
        <v>1095</v>
      </c>
      <c r="B803" s="42" t="s">
        <v>3199</v>
      </c>
      <c r="C803" s="42">
        <v>0</v>
      </c>
      <c r="D803" s="42">
        <v>0</v>
      </c>
      <c r="E803" s="42">
        <v>0</v>
      </c>
    </row>
    <row r="804" spans="1:5" ht="12.75" customHeight="1">
      <c r="A804" s="962" t="s">
        <v>1095</v>
      </c>
      <c r="B804" s="42" t="s">
        <v>3200</v>
      </c>
      <c r="C804" s="42">
        <v>0</v>
      </c>
      <c r="D804" s="42">
        <v>0</v>
      </c>
      <c r="E804" s="42">
        <v>0</v>
      </c>
    </row>
    <row r="805" spans="1:5" ht="12.75" customHeight="1">
      <c r="A805" s="962" t="s">
        <v>1095</v>
      </c>
      <c r="B805" s="42" t="s">
        <v>3201</v>
      </c>
      <c r="C805" s="42">
        <v>0</v>
      </c>
      <c r="D805" s="42">
        <v>0</v>
      </c>
      <c r="E805" s="42">
        <v>0</v>
      </c>
    </row>
    <row r="806" spans="1:5" ht="12.75" customHeight="1">
      <c r="A806" s="962" t="s">
        <v>1095</v>
      </c>
      <c r="B806" s="42" t="s">
        <v>3202</v>
      </c>
      <c r="C806" s="42">
        <v>0</v>
      </c>
      <c r="D806" s="42">
        <v>0</v>
      </c>
      <c r="E806" s="42">
        <v>0</v>
      </c>
    </row>
    <row r="807" spans="1:5" ht="12.75" customHeight="1">
      <c r="A807" s="962" t="s">
        <v>1095</v>
      </c>
      <c r="B807" s="42" t="s">
        <v>3203</v>
      </c>
      <c r="C807" s="42">
        <v>0</v>
      </c>
      <c r="D807" s="42">
        <v>0</v>
      </c>
      <c r="E807" s="42">
        <v>0</v>
      </c>
    </row>
    <row r="808" spans="1:5" ht="12.75" customHeight="1">
      <c r="A808" s="962" t="s">
        <v>1095</v>
      </c>
      <c r="B808" s="42" t="s">
        <v>3204</v>
      </c>
      <c r="C808" s="42">
        <v>0</v>
      </c>
      <c r="D808" s="42">
        <v>0</v>
      </c>
      <c r="E808" s="42">
        <v>0</v>
      </c>
    </row>
    <row r="809" spans="1:5" ht="12.75" customHeight="1">
      <c r="A809" s="962" t="s">
        <v>1095</v>
      </c>
      <c r="B809" s="42" t="s">
        <v>3205</v>
      </c>
      <c r="C809" s="42">
        <v>0</v>
      </c>
      <c r="D809" s="42">
        <v>0</v>
      </c>
      <c r="E809" s="42">
        <v>0</v>
      </c>
    </row>
    <row r="810" spans="1:5" ht="12.75" customHeight="1">
      <c r="A810" s="962" t="s">
        <v>1095</v>
      </c>
      <c r="B810" s="42" t="s">
        <v>3206</v>
      </c>
      <c r="C810" s="42">
        <v>0</v>
      </c>
      <c r="D810" s="42">
        <v>0</v>
      </c>
      <c r="E810" s="42">
        <v>0</v>
      </c>
    </row>
    <row r="811" spans="1:5" ht="12.75" customHeight="1">
      <c r="A811" s="962" t="s">
        <v>1095</v>
      </c>
      <c r="B811" s="42" t="s">
        <v>3207</v>
      </c>
      <c r="C811" s="42">
        <v>0</v>
      </c>
      <c r="D811" s="42">
        <v>0</v>
      </c>
      <c r="E811" s="42">
        <v>0</v>
      </c>
    </row>
    <row r="812" spans="1:5" ht="12.75" customHeight="1">
      <c r="A812" s="962" t="s">
        <v>1095</v>
      </c>
      <c r="B812" s="42" t="s">
        <v>3208</v>
      </c>
      <c r="C812" s="42">
        <v>0</v>
      </c>
      <c r="D812" s="42">
        <v>0</v>
      </c>
      <c r="E812" s="42">
        <v>0</v>
      </c>
    </row>
    <row r="813" spans="1:5" ht="12.75" customHeight="1">
      <c r="A813" s="962" t="s">
        <v>1095</v>
      </c>
      <c r="B813" s="42" t="s">
        <v>3209</v>
      </c>
      <c r="C813" s="42">
        <v>0</v>
      </c>
      <c r="D813" s="42">
        <v>0</v>
      </c>
      <c r="E813" s="42">
        <v>0</v>
      </c>
    </row>
    <row r="814" spans="1:5" ht="12.75" customHeight="1">
      <c r="A814" s="962" t="s">
        <v>1095</v>
      </c>
      <c r="B814" s="42" t="s">
        <v>3210</v>
      </c>
      <c r="C814" s="42">
        <v>0</v>
      </c>
      <c r="D814" s="42">
        <v>0</v>
      </c>
      <c r="E814" s="42">
        <v>0</v>
      </c>
    </row>
    <row r="815" spans="1:5" ht="12.75" customHeight="1">
      <c r="A815" s="962" t="s">
        <v>1119</v>
      </c>
      <c r="B815" s="42" t="s">
        <v>3211</v>
      </c>
      <c r="C815" s="42">
        <v>0</v>
      </c>
      <c r="D815" s="42">
        <v>0</v>
      </c>
      <c r="E815" s="42">
        <v>0</v>
      </c>
    </row>
    <row r="816" spans="1:5" ht="12.75" customHeight="1">
      <c r="A816" s="962" t="s">
        <v>1119</v>
      </c>
      <c r="B816" s="42" t="s">
        <v>3212</v>
      </c>
      <c r="C816" s="42">
        <v>0</v>
      </c>
      <c r="D816" s="42">
        <v>0</v>
      </c>
      <c r="E816" s="42">
        <v>0</v>
      </c>
    </row>
    <row r="817" spans="1:5" ht="12.75" customHeight="1">
      <c r="A817" s="962" t="s">
        <v>1119</v>
      </c>
      <c r="B817" s="42" t="s">
        <v>3213</v>
      </c>
      <c r="C817" s="42">
        <v>0</v>
      </c>
      <c r="D817" s="42">
        <v>0</v>
      </c>
      <c r="E817" s="42">
        <v>0</v>
      </c>
    </row>
    <row r="818" spans="1:5" ht="12.75" customHeight="1">
      <c r="A818" s="962" t="s">
        <v>1119</v>
      </c>
      <c r="B818" s="42" t="s">
        <v>3214</v>
      </c>
      <c r="C818" s="42">
        <v>0</v>
      </c>
      <c r="D818" s="42">
        <v>1</v>
      </c>
      <c r="E818" s="42">
        <v>1</v>
      </c>
    </row>
    <row r="819" spans="1:5" ht="12.75" customHeight="1">
      <c r="A819" s="962" t="s">
        <v>1119</v>
      </c>
      <c r="B819" s="42" t="s">
        <v>3215</v>
      </c>
      <c r="C819" s="42">
        <v>0</v>
      </c>
      <c r="D819" s="42">
        <v>1</v>
      </c>
      <c r="E819" s="42">
        <v>1</v>
      </c>
    </row>
    <row r="820" spans="1:5" ht="12.75" customHeight="1">
      <c r="A820" s="962" t="s">
        <v>1119</v>
      </c>
      <c r="B820" s="42" t="s">
        <v>3216</v>
      </c>
      <c r="C820" s="42">
        <v>0</v>
      </c>
      <c r="D820" s="42">
        <v>1</v>
      </c>
      <c r="E820" s="42">
        <v>1</v>
      </c>
    </row>
    <row r="821" spans="1:5" ht="12.75" customHeight="1">
      <c r="A821" s="962" t="s">
        <v>1119</v>
      </c>
      <c r="B821" s="42" t="s">
        <v>3217</v>
      </c>
      <c r="C821" s="42">
        <v>0</v>
      </c>
      <c r="D821" s="42">
        <v>0</v>
      </c>
      <c r="E821" s="42">
        <v>0</v>
      </c>
    </row>
    <row r="822" spans="1:5" ht="12.75" customHeight="1">
      <c r="A822" s="962" t="s">
        <v>1119</v>
      </c>
      <c r="B822" s="42" t="s">
        <v>3218</v>
      </c>
      <c r="C822" s="42">
        <v>0</v>
      </c>
      <c r="D822" s="42">
        <v>0</v>
      </c>
      <c r="E822" s="42">
        <v>0</v>
      </c>
    </row>
    <row r="823" spans="1:5" ht="12.75" customHeight="1">
      <c r="A823" s="962" t="s">
        <v>1119</v>
      </c>
      <c r="B823" s="42" t="s">
        <v>3219</v>
      </c>
      <c r="C823" s="42">
        <v>1</v>
      </c>
      <c r="D823" s="42">
        <v>1</v>
      </c>
      <c r="E823" s="42">
        <v>1</v>
      </c>
    </row>
    <row r="824" spans="1:5" ht="12.75" customHeight="1">
      <c r="A824" s="962" t="s">
        <v>1119</v>
      </c>
      <c r="B824" s="42" t="s">
        <v>3220</v>
      </c>
      <c r="C824" s="42">
        <v>0</v>
      </c>
      <c r="D824" s="42">
        <v>1</v>
      </c>
      <c r="E824" s="42">
        <v>1</v>
      </c>
    </row>
    <row r="825" spans="1:5" ht="12.75" customHeight="1">
      <c r="A825" s="962" t="s">
        <v>1119</v>
      </c>
      <c r="B825" s="42" t="s">
        <v>3221</v>
      </c>
      <c r="C825" s="42">
        <v>0</v>
      </c>
      <c r="D825" s="42">
        <v>0</v>
      </c>
      <c r="E825" s="42">
        <v>0</v>
      </c>
    </row>
    <row r="826" spans="1:5" ht="12.75" customHeight="1">
      <c r="A826" s="962" t="s">
        <v>1119</v>
      </c>
      <c r="B826" s="42" t="s">
        <v>3222</v>
      </c>
      <c r="C826" s="42">
        <v>1</v>
      </c>
      <c r="D826" s="42">
        <v>1</v>
      </c>
      <c r="E826" s="42">
        <v>1</v>
      </c>
    </row>
    <row r="827" spans="1:5" ht="12.75" customHeight="1">
      <c r="A827" s="962" t="s">
        <v>1119</v>
      </c>
      <c r="B827" s="42" t="s">
        <v>3223</v>
      </c>
      <c r="C827" s="42">
        <v>0</v>
      </c>
      <c r="D827" s="42">
        <v>1</v>
      </c>
      <c r="E827" s="42">
        <v>1</v>
      </c>
    </row>
    <row r="828" spans="1:5" ht="12.75" customHeight="1">
      <c r="A828" s="962" t="s">
        <v>1119</v>
      </c>
      <c r="B828" s="42" t="s">
        <v>3224</v>
      </c>
      <c r="C828" s="42">
        <v>0</v>
      </c>
      <c r="D828" s="42">
        <v>0</v>
      </c>
      <c r="E828" s="42">
        <v>0</v>
      </c>
    </row>
    <row r="829" spans="1:5" ht="12.75" customHeight="1">
      <c r="A829" s="962" t="s">
        <v>1119</v>
      </c>
      <c r="B829" s="42" t="s">
        <v>3225</v>
      </c>
      <c r="C829" s="42">
        <v>0</v>
      </c>
      <c r="D829" s="42">
        <v>0</v>
      </c>
      <c r="E829" s="42">
        <v>0</v>
      </c>
    </row>
    <row r="830" spans="1:5" ht="12.75" customHeight="1">
      <c r="A830" s="962" t="s">
        <v>1119</v>
      </c>
      <c r="B830" s="42" t="s">
        <v>3226</v>
      </c>
      <c r="C830" s="42">
        <v>0</v>
      </c>
      <c r="D830" s="42">
        <v>1</v>
      </c>
      <c r="E830" s="42">
        <v>1</v>
      </c>
    </row>
    <row r="831" spans="1:5" ht="12.75" customHeight="1">
      <c r="A831" s="962" t="s">
        <v>1119</v>
      </c>
      <c r="B831" s="42" t="s">
        <v>3227</v>
      </c>
      <c r="C831" s="42">
        <v>0</v>
      </c>
      <c r="D831" s="42">
        <v>0</v>
      </c>
      <c r="E831" s="42">
        <v>0</v>
      </c>
    </row>
    <row r="832" spans="1:5" ht="12.75" customHeight="1">
      <c r="A832" s="962" t="s">
        <v>1119</v>
      </c>
      <c r="B832" s="42" t="s">
        <v>3228</v>
      </c>
      <c r="C832" s="42">
        <v>0</v>
      </c>
      <c r="D832" s="42">
        <v>0</v>
      </c>
      <c r="E832" s="42">
        <v>0</v>
      </c>
    </row>
    <row r="833" spans="1:5" ht="12.75" customHeight="1">
      <c r="A833" s="962" t="s">
        <v>1119</v>
      </c>
      <c r="B833" s="42" t="s">
        <v>3229</v>
      </c>
      <c r="C833" s="42">
        <v>1</v>
      </c>
      <c r="D833" s="42">
        <v>1</v>
      </c>
      <c r="E833" s="42">
        <v>1</v>
      </c>
    </row>
    <row r="834" spans="1:5" ht="12.75" customHeight="1">
      <c r="A834" s="962" t="s">
        <v>1119</v>
      </c>
      <c r="B834" s="42" t="s">
        <v>3230</v>
      </c>
      <c r="C834" s="42">
        <v>0</v>
      </c>
      <c r="D834" s="42">
        <v>0</v>
      </c>
      <c r="E834" s="42">
        <v>0</v>
      </c>
    </row>
    <row r="835" spans="1:5" ht="12.75" customHeight="1">
      <c r="A835" s="962" t="s">
        <v>1119</v>
      </c>
      <c r="B835" s="42" t="s">
        <v>3231</v>
      </c>
      <c r="C835" s="42">
        <v>0</v>
      </c>
      <c r="D835" s="42">
        <v>0</v>
      </c>
      <c r="E835" s="42">
        <v>1</v>
      </c>
    </row>
    <row r="836" spans="1:5" ht="12.75" customHeight="1">
      <c r="A836" s="962" t="s">
        <v>1119</v>
      </c>
      <c r="B836" s="42" t="s">
        <v>3232</v>
      </c>
      <c r="C836" s="42">
        <v>0</v>
      </c>
      <c r="D836" s="42">
        <v>0</v>
      </c>
      <c r="E836" s="42">
        <v>1</v>
      </c>
    </row>
    <row r="837" spans="1:5" ht="12.75" customHeight="1">
      <c r="A837" s="962" t="s">
        <v>1119</v>
      </c>
      <c r="B837" s="42" t="s">
        <v>3233</v>
      </c>
      <c r="C837" s="42">
        <v>0</v>
      </c>
      <c r="D837" s="42">
        <v>0</v>
      </c>
      <c r="E837" s="42">
        <v>1</v>
      </c>
    </row>
    <row r="838" spans="1:5" ht="12.75" customHeight="1">
      <c r="A838" s="962" t="s">
        <v>1119</v>
      </c>
      <c r="B838" s="42" t="s">
        <v>3234</v>
      </c>
      <c r="C838" s="42">
        <v>0</v>
      </c>
      <c r="D838" s="42">
        <v>0</v>
      </c>
      <c r="E838" s="42">
        <v>1</v>
      </c>
    </row>
    <row r="839" spans="1:5" ht="12.75" customHeight="1">
      <c r="A839" s="962" t="s">
        <v>1119</v>
      </c>
      <c r="B839" s="42" t="s">
        <v>3235</v>
      </c>
      <c r="C839" s="42">
        <v>0</v>
      </c>
      <c r="D839" s="42">
        <v>0</v>
      </c>
      <c r="E839" s="42">
        <v>1</v>
      </c>
    </row>
    <row r="840" spans="1:5" ht="12.75" customHeight="1">
      <c r="A840" s="962" t="s">
        <v>1119</v>
      </c>
      <c r="B840" s="42" t="s">
        <v>3236</v>
      </c>
      <c r="C840" s="42">
        <v>0</v>
      </c>
      <c r="D840" s="42">
        <v>0</v>
      </c>
      <c r="E840" s="42">
        <v>1</v>
      </c>
    </row>
    <row r="841" spans="1:5" ht="12.75" customHeight="1">
      <c r="A841" s="962" t="s">
        <v>1119</v>
      </c>
      <c r="B841" s="42" t="s">
        <v>3237</v>
      </c>
      <c r="C841" s="42">
        <v>0</v>
      </c>
      <c r="D841" s="42">
        <v>0</v>
      </c>
      <c r="E841" s="42">
        <v>1</v>
      </c>
    </row>
    <row r="842" spans="1:5" ht="12.75" customHeight="1">
      <c r="A842" s="962" t="s">
        <v>1119</v>
      </c>
      <c r="B842" s="42" t="s">
        <v>3238</v>
      </c>
      <c r="C842" s="42">
        <v>0</v>
      </c>
      <c r="D842" s="42">
        <v>0</v>
      </c>
      <c r="E842" s="42">
        <v>1</v>
      </c>
    </row>
    <row r="843" spans="1:5" ht="12.75" customHeight="1">
      <c r="A843" s="962" t="s">
        <v>1119</v>
      </c>
      <c r="B843" s="42" t="s">
        <v>3239</v>
      </c>
      <c r="C843" s="42">
        <v>0</v>
      </c>
      <c r="D843" s="42">
        <v>0</v>
      </c>
      <c r="E843" s="42">
        <v>1</v>
      </c>
    </row>
    <row r="844" spans="1:5" ht="12.75" customHeight="1">
      <c r="A844" s="962" t="s">
        <v>1119</v>
      </c>
      <c r="B844" s="42" t="s">
        <v>3240</v>
      </c>
      <c r="C844" s="42">
        <v>0</v>
      </c>
      <c r="D844" s="42">
        <v>0</v>
      </c>
      <c r="E844" s="42">
        <v>1</v>
      </c>
    </row>
    <row r="845" spans="1:5" ht="12.75" customHeight="1">
      <c r="A845" s="962" t="s">
        <v>1119</v>
      </c>
      <c r="B845" s="42" t="s">
        <v>3241</v>
      </c>
      <c r="C845" s="42">
        <v>0</v>
      </c>
      <c r="D845" s="42">
        <v>0</v>
      </c>
      <c r="E845" s="42">
        <v>1</v>
      </c>
    </row>
    <row r="846" spans="1:5" ht="12.75" customHeight="1">
      <c r="A846" s="962" t="s">
        <v>1119</v>
      </c>
      <c r="B846" s="42" t="s">
        <v>3242</v>
      </c>
      <c r="C846" s="42">
        <v>0</v>
      </c>
      <c r="D846" s="42">
        <v>0</v>
      </c>
      <c r="E846" s="42">
        <v>1</v>
      </c>
    </row>
    <row r="847" spans="1:5" ht="12.75" customHeight="1">
      <c r="A847" s="962" t="s">
        <v>1119</v>
      </c>
      <c r="B847" s="42" t="s">
        <v>3243</v>
      </c>
      <c r="C847" s="42">
        <v>0</v>
      </c>
      <c r="D847" s="42">
        <v>0</v>
      </c>
      <c r="E847" s="42">
        <v>1</v>
      </c>
    </row>
    <row r="848" spans="1:5" ht="12.75" customHeight="1">
      <c r="A848" s="962" t="s">
        <v>1119</v>
      </c>
      <c r="B848" s="42" t="s">
        <v>3244</v>
      </c>
      <c r="C848" s="42">
        <v>0</v>
      </c>
      <c r="D848" s="42">
        <v>0</v>
      </c>
      <c r="E848" s="42">
        <v>1</v>
      </c>
    </row>
    <row r="849" spans="1:5" ht="12.75" customHeight="1">
      <c r="A849" s="962" t="s">
        <v>1119</v>
      </c>
      <c r="B849" s="42" t="s">
        <v>3245</v>
      </c>
      <c r="C849" s="42">
        <v>0</v>
      </c>
      <c r="D849" s="42">
        <v>0</v>
      </c>
      <c r="E849" s="42">
        <v>1</v>
      </c>
    </row>
    <row r="850" spans="1:5" ht="12.75" customHeight="1">
      <c r="A850" s="962" t="s">
        <v>1119</v>
      </c>
      <c r="B850" s="42" t="s">
        <v>3246</v>
      </c>
      <c r="C850" s="42">
        <v>0</v>
      </c>
      <c r="D850" s="42">
        <v>0</v>
      </c>
      <c r="E850" s="42">
        <v>1</v>
      </c>
    </row>
    <row r="851" spans="1:5" ht="12.75" customHeight="1">
      <c r="A851" s="962" t="s">
        <v>1119</v>
      </c>
      <c r="B851" s="42" t="s">
        <v>3247</v>
      </c>
      <c r="C851" s="42">
        <v>0</v>
      </c>
      <c r="D851" s="42">
        <v>0</v>
      </c>
      <c r="E851" s="42">
        <v>1</v>
      </c>
    </row>
    <row r="852" spans="1:5" ht="12.75" customHeight="1">
      <c r="A852" s="962" t="s">
        <v>1119</v>
      </c>
      <c r="B852" s="42" t="s">
        <v>3248</v>
      </c>
      <c r="C852" s="42">
        <v>0</v>
      </c>
      <c r="D852" s="42">
        <v>0</v>
      </c>
      <c r="E852" s="42">
        <v>1</v>
      </c>
    </row>
    <row r="853" spans="1:5" ht="12.75" customHeight="1">
      <c r="A853" s="962" t="s">
        <v>1119</v>
      </c>
      <c r="B853" s="42" t="s">
        <v>3249</v>
      </c>
      <c r="C853" s="42">
        <v>1</v>
      </c>
      <c r="D853" s="42">
        <v>1</v>
      </c>
      <c r="E853" s="42">
        <v>1</v>
      </c>
    </row>
    <row r="854" spans="1:5" ht="12.75" customHeight="1">
      <c r="A854" s="962" t="s">
        <v>1119</v>
      </c>
      <c r="B854" s="42" t="s">
        <v>3250</v>
      </c>
      <c r="C854" s="42">
        <v>0</v>
      </c>
      <c r="D854" s="42">
        <v>0</v>
      </c>
      <c r="E854" s="42">
        <v>1</v>
      </c>
    </row>
    <row r="855" spans="1:5" ht="12.75" customHeight="1">
      <c r="A855" s="962" t="s">
        <v>1119</v>
      </c>
      <c r="B855" s="42" t="s">
        <v>3251</v>
      </c>
      <c r="C855" s="42">
        <v>0</v>
      </c>
      <c r="D855" s="42">
        <v>0</v>
      </c>
      <c r="E855" s="42">
        <v>1</v>
      </c>
    </row>
    <row r="856" spans="1:5" ht="12.75" customHeight="1">
      <c r="A856" s="962" t="s">
        <v>1119</v>
      </c>
      <c r="B856" s="42" t="s">
        <v>3252</v>
      </c>
      <c r="C856" s="42">
        <v>1</v>
      </c>
      <c r="D856" s="42">
        <v>1</v>
      </c>
      <c r="E856" s="42">
        <v>1</v>
      </c>
    </row>
    <row r="857" spans="1:5" ht="12.75" customHeight="1">
      <c r="A857" s="962" t="s">
        <v>1119</v>
      </c>
      <c r="B857" s="42" t="s">
        <v>3253</v>
      </c>
      <c r="C857" s="42">
        <v>0</v>
      </c>
      <c r="D857" s="42">
        <v>0</v>
      </c>
      <c r="E857" s="42">
        <v>1</v>
      </c>
    </row>
    <row r="858" spans="1:5" ht="12.75" customHeight="1">
      <c r="A858" s="962" t="s">
        <v>1119</v>
      </c>
      <c r="B858" s="42" t="s">
        <v>44</v>
      </c>
      <c r="C858" s="42">
        <v>0</v>
      </c>
      <c r="D858" s="42">
        <v>1</v>
      </c>
      <c r="E858" s="42">
        <v>0</v>
      </c>
    </row>
    <row r="859" spans="1:5" ht="12.75" customHeight="1">
      <c r="A859" s="962" t="s">
        <v>1119</v>
      </c>
      <c r="B859" s="42" t="s">
        <v>3254</v>
      </c>
      <c r="C859" s="42">
        <v>1</v>
      </c>
      <c r="D859" s="42">
        <v>1</v>
      </c>
      <c r="E859" s="42">
        <v>1</v>
      </c>
    </row>
    <row r="860" spans="1:5" ht="12.75" customHeight="1">
      <c r="A860" s="962" t="s">
        <v>1119</v>
      </c>
      <c r="B860" s="42" t="s">
        <v>1215</v>
      </c>
      <c r="C860" s="42">
        <v>1</v>
      </c>
      <c r="D860" s="42">
        <v>1</v>
      </c>
      <c r="E860" s="42">
        <v>1</v>
      </c>
    </row>
    <row r="861" spans="1:5" ht="12.75" customHeight="1">
      <c r="A861" s="962" t="s">
        <v>1119</v>
      </c>
      <c r="B861" s="42" t="s">
        <v>3255</v>
      </c>
      <c r="C861" s="42">
        <v>0</v>
      </c>
      <c r="D861" s="42">
        <v>0</v>
      </c>
      <c r="E861" s="42">
        <v>0</v>
      </c>
    </row>
    <row r="862" spans="1:5" ht="12.75" customHeight="1">
      <c r="A862" s="962" t="s">
        <v>1119</v>
      </c>
      <c r="B862" s="42" t="s">
        <v>3256</v>
      </c>
      <c r="C862" s="42">
        <v>0</v>
      </c>
      <c r="D862" s="42">
        <v>0</v>
      </c>
      <c r="E862" s="42">
        <v>1</v>
      </c>
    </row>
    <row r="863" spans="1:5" ht="12.75" customHeight="1">
      <c r="A863" s="962" t="s">
        <v>1119</v>
      </c>
      <c r="B863" s="42" t="s">
        <v>3257</v>
      </c>
      <c r="C863" s="42">
        <v>0</v>
      </c>
      <c r="D863" s="42">
        <v>0</v>
      </c>
      <c r="E863" s="42">
        <v>1</v>
      </c>
    </row>
    <row r="864" spans="1:5" ht="12.75" customHeight="1">
      <c r="A864" s="962" t="s">
        <v>1119</v>
      </c>
      <c r="B864" s="42" t="s">
        <v>3258</v>
      </c>
      <c r="C864" s="42">
        <v>0</v>
      </c>
      <c r="D864" s="42">
        <v>0</v>
      </c>
      <c r="E864" s="42">
        <v>1</v>
      </c>
    </row>
    <row r="865" spans="1:5" ht="12.75" customHeight="1">
      <c r="A865" s="962" t="s">
        <v>1119</v>
      </c>
      <c r="B865" s="42" t="s">
        <v>3259</v>
      </c>
      <c r="C865" s="42">
        <v>0</v>
      </c>
      <c r="D865" s="42">
        <v>0</v>
      </c>
      <c r="E865" s="42">
        <v>1</v>
      </c>
    </row>
    <row r="866" spans="1:5" ht="12.75" customHeight="1">
      <c r="A866" s="962" t="s">
        <v>1119</v>
      </c>
      <c r="B866" s="42" t="s">
        <v>3260</v>
      </c>
      <c r="C866" s="42">
        <v>0</v>
      </c>
      <c r="D866" s="42">
        <v>0</v>
      </c>
      <c r="E866" s="42">
        <v>1</v>
      </c>
    </row>
    <row r="867" spans="1:5" ht="12.75" customHeight="1">
      <c r="A867" s="962" t="s">
        <v>1119</v>
      </c>
      <c r="B867" s="42" t="s">
        <v>3261</v>
      </c>
      <c r="C867" s="42">
        <v>0</v>
      </c>
      <c r="D867" s="42">
        <v>0</v>
      </c>
      <c r="E867" s="42">
        <v>1</v>
      </c>
    </row>
    <row r="868" spans="1:5" ht="12.75" customHeight="1">
      <c r="A868" s="962" t="s">
        <v>1119</v>
      </c>
      <c r="B868" s="42" t="s">
        <v>3262</v>
      </c>
      <c r="C868" s="42">
        <v>0</v>
      </c>
      <c r="D868" s="42">
        <v>0</v>
      </c>
      <c r="E868" s="42">
        <v>0</v>
      </c>
    </row>
    <row r="869" spans="1:5" ht="12.75" customHeight="1">
      <c r="A869" s="962" t="s">
        <v>1119</v>
      </c>
      <c r="B869" s="42" t="s">
        <v>3263</v>
      </c>
      <c r="C869" s="42">
        <v>0</v>
      </c>
      <c r="D869" s="42">
        <v>0</v>
      </c>
      <c r="E869" s="42">
        <v>0</v>
      </c>
    </row>
    <row r="870" spans="1:5" ht="12.75" customHeight="1">
      <c r="A870" s="962" t="s">
        <v>1119</v>
      </c>
      <c r="B870" s="42" t="s">
        <v>3264</v>
      </c>
      <c r="C870" s="42">
        <v>0</v>
      </c>
      <c r="D870" s="42">
        <v>0</v>
      </c>
      <c r="E870" s="42">
        <v>0</v>
      </c>
    </row>
    <row r="871" spans="1:5" ht="12.75" customHeight="1">
      <c r="A871" s="962" t="s">
        <v>1119</v>
      </c>
      <c r="B871" s="42" t="s">
        <v>3265</v>
      </c>
      <c r="C871" s="42">
        <v>0</v>
      </c>
      <c r="D871" s="42">
        <v>0</v>
      </c>
      <c r="E871" s="42">
        <v>1</v>
      </c>
    </row>
    <row r="872" spans="1:5" ht="12.75" customHeight="1">
      <c r="A872" s="962" t="s">
        <v>1119</v>
      </c>
      <c r="B872" s="42" t="s">
        <v>3266</v>
      </c>
      <c r="C872" s="42">
        <v>0</v>
      </c>
      <c r="D872" s="42">
        <v>0</v>
      </c>
      <c r="E872" s="42">
        <v>1</v>
      </c>
    </row>
    <row r="873" spans="1:5" ht="12.75" customHeight="1">
      <c r="A873" s="962" t="s">
        <v>1119</v>
      </c>
      <c r="B873" s="42" t="s">
        <v>3267</v>
      </c>
      <c r="C873" s="42">
        <v>0</v>
      </c>
      <c r="D873" s="42">
        <v>0</v>
      </c>
      <c r="E873" s="42">
        <v>0</v>
      </c>
    </row>
    <row r="874" spans="1:5" ht="12.75" customHeight="1">
      <c r="A874" s="962" t="s">
        <v>1119</v>
      </c>
      <c r="B874" s="42" t="s">
        <v>3268</v>
      </c>
      <c r="C874" s="42">
        <v>0</v>
      </c>
      <c r="D874" s="42">
        <v>0</v>
      </c>
      <c r="E874" s="42">
        <v>0</v>
      </c>
    </row>
    <row r="875" spans="1:5" ht="12.75" customHeight="1">
      <c r="A875" s="962" t="s">
        <v>1119</v>
      </c>
      <c r="B875" s="42" t="s">
        <v>3269</v>
      </c>
      <c r="C875" s="42">
        <v>0</v>
      </c>
      <c r="D875" s="42">
        <v>0</v>
      </c>
      <c r="E875" s="42">
        <v>1</v>
      </c>
    </row>
    <row r="876" spans="1:5" ht="12.75" customHeight="1">
      <c r="A876" s="962" t="s">
        <v>1119</v>
      </c>
      <c r="B876" s="42" t="s">
        <v>3270</v>
      </c>
      <c r="C876" s="42">
        <v>0</v>
      </c>
      <c r="D876" s="42">
        <v>0</v>
      </c>
      <c r="E876" s="42">
        <v>1</v>
      </c>
    </row>
    <row r="877" spans="1:5" ht="12.75" customHeight="1">
      <c r="A877" s="962" t="s">
        <v>1119</v>
      </c>
      <c r="B877" s="42" t="s">
        <v>3271</v>
      </c>
      <c r="C877" s="42">
        <v>0</v>
      </c>
      <c r="D877" s="42">
        <v>0</v>
      </c>
      <c r="E877" s="42">
        <v>0</v>
      </c>
    </row>
    <row r="878" spans="1:5" ht="12.75" customHeight="1">
      <c r="A878" s="962" t="s">
        <v>1119</v>
      </c>
      <c r="B878" s="42" t="s">
        <v>3272</v>
      </c>
      <c r="C878" s="42">
        <v>0</v>
      </c>
      <c r="D878" s="42">
        <v>0</v>
      </c>
      <c r="E878" s="42">
        <v>0</v>
      </c>
    </row>
    <row r="879" spans="1:5" ht="12.75" customHeight="1">
      <c r="A879" s="962" t="s">
        <v>1119</v>
      </c>
      <c r="B879" s="42" t="s">
        <v>3273</v>
      </c>
      <c r="C879" s="42">
        <v>0</v>
      </c>
      <c r="D879" s="42">
        <v>0</v>
      </c>
      <c r="E879" s="42">
        <v>0</v>
      </c>
    </row>
    <row r="880" spans="1:5" ht="12.75" customHeight="1">
      <c r="A880" s="962" t="s">
        <v>1119</v>
      </c>
      <c r="B880" s="42" t="s">
        <v>3274</v>
      </c>
      <c r="C880" s="42">
        <v>0</v>
      </c>
      <c r="D880" s="42">
        <v>0</v>
      </c>
      <c r="E880" s="42">
        <v>0</v>
      </c>
    </row>
    <row r="881" spans="1:5" ht="12.75" customHeight="1">
      <c r="A881" s="962" t="s">
        <v>1119</v>
      </c>
      <c r="B881" s="42" t="s">
        <v>3275</v>
      </c>
      <c r="C881" s="42">
        <v>0</v>
      </c>
      <c r="D881" s="42">
        <v>0</v>
      </c>
      <c r="E881" s="42">
        <v>0</v>
      </c>
    </row>
    <row r="882" spans="1:5" ht="12.75" customHeight="1">
      <c r="A882" s="962" t="s">
        <v>1119</v>
      </c>
      <c r="B882" s="42" t="s">
        <v>3276</v>
      </c>
      <c r="C882" s="42">
        <v>0</v>
      </c>
      <c r="D882" s="42">
        <v>0</v>
      </c>
      <c r="E882" s="42">
        <v>0</v>
      </c>
    </row>
    <row r="883" spans="1:5" ht="12.75" customHeight="1">
      <c r="A883" s="962" t="s">
        <v>1119</v>
      </c>
      <c r="B883" s="42" t="s">
        <v>3277</v>
      </c>
      <c r="C883" s="42">
        <v>0</v>
      </c>
      <c r="D883" s="42">
        <v>0</v>
      </c>
      <c r="E883" s="42">
        <v>0</v>
      </c>
    </row>
    <row r="884" spans="1:5" ht="12.75" customHeight="1">
      <c r="A884" s="962" t="s">
        <v>1119</v>
      </c>
      <c r="B884" s="42" t="s">
        <v>3278</v>
      </c>
      <c r="C884" s="42">
        <v>0</v>
      </c>
      <c r="D884" s="42">
        <v>0</v>
      </c>
      <c r="E884" s="42">
        <v>0</v>
      </c>
    </row>
    <row r="885" spans="1:5" ht="12.75" customHeight="1">
      <c r="A885" s="962" t="s">
        <v>1119</v>
      </c>
      <c r="B885" s="42" t="s">
        <v>3279</v>
      </c>
      <c r="C885" s="42">
        <v>0</v>
      </c>
      <c r="D885" s="42">
        <v>0</v>
      </c>
      <c r="E885" s="42">
        <v>0</v>
      </c>
    </row>
    <row r="886" spans="1:5" ht="12.75" customHeight="1">
      <c r="A886" s="962" t="s">
        <v>1119</v>
      </c>
      <c r="B886" s="42" t="s">
        <v>3280</v>
      </c>
      <c r="C886" s="42">
        <v>0</v>
      </c>
      <c r="D886" s="42">
        <v>0</v>
      </c>
      <c r="E886" s="42">
        <v>1</v>
      </c>
    </row>
    <row r="887" spans="1:5" ht="12.75" customHeight="1">
      <c r="A887" s="962" t="s">
        <v>1119</v>
      </c>
      <c r="B887" s="42" t="s">
        <v>3281</v>
      </c>
      <c r="C887" s="42">
        <v>0</v>
      </c>
      <c r="D887" s="42">
        <v>0</v>
      </c>
      <c r="E887" s="42">
        <v>0</v>
      </c>
    </row>
    <row r="888" spans="1:5" ht="12.75" customHeight="1">
      <c r="A888" s="962" t="s">
        <v>1119</v>
      </c>
      <c r="B888" s="42" t="s">
        <v>2371</v>
      </c>
      <c r="C888" s="42">
        <v>1</v>
      </c>
      <c r="D888" s="42">
        <v>1</v>
      </c>
      <c r="E888" s="42">
        <v>1</v>
      </c>
    </row>
    <row r="889" spans="1:5" ht="12.75" customHeight="1">
      <c r="A889" s="962" t="s">
        <v>1119</v>
      </c>
      <c r="B889" s="42" t="s">
        <v>3282</v>
      </c>
      <c r="C889" s="42">
        <v>0</v>
      </c>
      <c r="D889" s="42">
        <v>1</v>
      </c>
      <c r="E889" s="42">
        <v>0</v>
      </c>
    </row>
    <row r="890" spans="1:5" ht="12.75" customHeight="1">
      <c r="A890" s="962" t="s">
        <v>1119</v>
      </c>
      <c r="B890" s="42" t="s">
        <v>3283</v>
      </c>
      <c r="C890" s="42">
        <v>0</v>
      </c>
      <c r="D890" s="42">
        <v>0</v>
      </c>
      <c r="E890" s="42">
        <v>0</v>
      </c>
    </row>
    <row r="891" spans="1:5" ht="12.75" customHeight="1">
      <c r="A891" s="962" t="s">
        <v>1119</v>
      </c>
      <c r="B891" s="42" t="s">
        <v>3284</v>
      </c>
      <c r="C891" s="42">
        <v>0</v>
      </c>
      <c r="D891" s="42">
        <v>0</v>
      </c>
      <c r="E891" s="42">
        <v>0</v>
      </c>
    </row>
    <row r="892" spans="1:5" ht="12.75" customHeight="1">
      <c r="A892" s="962" t="s">
        <v>1119</v>
      </c>
      <c r="B892" s="42" t="s">
        <v>3285</v>
      </c>
      <c r="C892" s="42">
        <v>0</v>
      </c>
      <c r="D892" s="42">
        <v>0</v>
      </c>
      <c r="E892" s="42">
        <v>0</v>
      </c>
    </row>
    <row r="893" spans="1:5" ht="12.75" customHeight="1">
      <c r="A893" s="962" t="s">
        <v>1119</v>
      </c>
      <c r="B893" s="42" t="s">
        <v>3286</v>
      </c>
      <c r="C893" s="42">
        <v>0</v>
      </c>
      <c r="D893" s="42">
        <v>0</v>
      </c>
      <c r="E893" s="42">
        <v>0</v>
      </c>
    </row>
    <row r="894" spans="1:5" ht="12.75" customHeight="1">
      <c r="A894" s="962" t="s">
        <v>1119</v>
      </c>
      <c r="B894" s="42" t="s">
        <v>3287</v>
      </c>
      <c r="C894" s="42">
        <v>0</v>
      </c>
      <c r="D894" s="42">
        <v>1</v>
      </c>
      <c r="E894" s="42">
        <v>1</v>
      </c>
    </row>
    <row r="895" spans="1:5" ht="12.75" customHeight="1">
      <c r="A895" s="962" t="s">
        <v>1119</v>
      </c>
      <c r="B895" s="42" t="s">
        <v>3288</v>
      </c>
      <c r="C895" s="42">
        <v>0</v>
      </c>
      <c r="D895" s="42">
        <v>0</v>
      </c>
      <c r="E895" s="42">
        <v>0</v>
      </c>
    </row>
    <row r="896" spans="1:5" ht="12.75" customHeight="1">
      <c r="A896" s="962" t="s">
        <v>1119</v>
      </c>
      <c r="B896" s="42" t="s">
        <v>3289</v>
      </c>
      <c r="C896" s="42">
        <v>0</v>
      </c>
      <c r="D896" s="42">
        <v>0</v>
      </c>
      <c r="E896" s="42">
        <v>0</v>
      </c>
    </row>
    <row r="897" spans="1:5" ht="12.75" customHeight="1">
      <c r="A897" s="962" t="s">
        <v>1119</v>
      </c>
      <c r="B897" s="42" t="s">
        <v>3290</v>
      </c>
      <c r="C897" s="42">
        <v>0</v>
      </c>
      <c r="D897" s="42">
        <v>0</v>
      </c>
      <c r="E897" s="42">
        <v>0</v>
      </c>
    </row>
    <row r="898" spans="1:5" ht="12.75" customHeight="1">
      <c r="A898" s="962" t="s">
        <v>1119</v>
      </c>
      <c r="B898" s="42" t="s">
        <v>3291</v>
      </c>
      <c r="C898" s="42">
        <v>0</v>
      </c>
      <c r="D898" s="42">
        <v>1</v>
      </c>
      <c r="E898" s="42">
        <v>1</v>
      </c>
    </row>
    <row r="899" spans="1:5" ht="12.75" customHeight="1">
      <c r="A899" s="962" t="s">
        <v>1119</v>
      </c>
      <c r="B899" s="42" t="s">
        <v>3292</v>
      </c>
      <c r="C899" s="42">
        <v>0</v>
      </c>
      <c r="D899" s="42">
        <v>0</v>
      </c>
      <c r="E899" s="42">
        <v>0</v>
      </c>
    </row>
    <row r="900" spans="1:5" ht="12.75" customHeight="1">
      <c r="A900" s="962" t="s">
        <v>1119</v>
      </c>
      <c r="B900" s="42" t="s">
        <v>3293</v>
      </c>
      <c r="C900" s="42">
        <v>0</v>
      </c>
      <c r="D900" s="42">
        <v>0</v>
      </c>
      <c r="E900" s="42">
        <v>0</v>
      </c>
    </row>
    <row r="901" spans="1:5" ht="12.75" customHeight="1">
      <c r="A901" s="962" t="s">
        <v>1119</v>
      </c>
      <c r="B901" s="42" t="s">
        <v>3294</v>
      </c>
      <c r="C901" s="42">
        <v>0</v>
      </c>
      <c r="D901" s="42">
        <v>0</v>
      </c>
      <c r="E901" s="42">
        <v>0</v>
      </c>
    </row>
    <row r="902" spans="1:5" ht="12.75" customHeight="1">
      <c r="A902" s="962" t="s">
        <v>1119</v>
      </c>
      <c r="B902" s="42" t="s">
        <v>3295</v>
      </c>
      <c r="C902" s="42">
        <v>1</v>
      </c>
      <c r="D902" s="42">
        <v>1</v>
      </c>
      <c r="E902" s="42">
        <v>0</v>
      </c>
    </row>
    <row r="903" spans="1:5" ht="12.75" customHeight="1">
      <c r="A903" s="962" t="s">
        <v>1119</v>
      </c>
      <c r="B903" s="42" t="s">
        <v>3296</v>
      </c>
      <c r="C903" s="42">
        <v>0</v>
      </c>
      <c r="D903" s="42">
        <v>0</v>
      </c>
      <c r="E903" s="42">
        <v>0</v>
      </c>
    </row>
    <row r="904" spans="1:5" ht="12.75" customHeight="1">
      <c r="A904" s="962" t="s">
        <v>1119</v>
      </c>
      <c r="B904" s="42" t="s">
        <v>3297</v>
      </c>
      <c r="C904" s="42">
        <v>0</v>
      </c>
      <c r="D904" s="42">
        <v>0</v>
      </c>
      <c r="E904" s="42">
        <v>0</v>
      </c>
    </row>
    <row r="905" spans="1:5" ht="12.75" customHeight="1">
      <c r="A905" s="962" t="s">
        <v>1119</v>
      </c>
      <c r="B905" s="42" t="s">
        <v>3298</v>
      </c>
      <c r="C905" s="42">
        <v>0</v>
      </c>
      <c r="D905" s="42">
        <v>0</v>
      </c>
      <c r="E905" s="42">
        <v>0</v>
      </c>
    </row>
    <row r="906" spans="1:5" ht="12.75" customHeight="1">
      <c r="A906" s="962" t="s">
        <v>1319</v>
      </c>
      <c r="B906" s="42" t="s">
        <v>3299</v>
      </c>
      <c r="C906" s="42">
        <v>0</v>
      </c>
      <c r="D906" s="42">
        <v>0</v>
      </c>
      <c r="E906" s="42">
        <v>0</v>
      </c>
    </row>
    <row r="907" spans="1:5" ht="12.75" customHeight="1">
      <c r="A907" s="962" t="s">
        <v>1319</v>
      </c>
      <c r="B907" s="42" t="s">
        <v>3300</v>
      </c>
      <c r="C907" s="42">
        <v>0</v>
      </c>
      <c r="D907" s="42">
        <v>0</v>
      </c>
      <c r="E907" s="42">
        <v>0</v>
      </c>
    </row>
    <row r="908" spans="1:5" ht="12.75" customHeight="1">
      <c r="A908" s="962" t="s">
        <v>1319</v>
      </c>
      <c r="B908" s="42" t="s">
        <v>3301</v>
      </c>
      <c r="C908" s="42">
        <v>0</v>
      </c>
      <c r="D908" s="42">
        <v>0</v>
      </c>
      <c r="E908" s="42">
        <v>0</v>
      </c>
    </row>
    <row r="909" spans="1:5" ht="12.75" customHeight="1">
      <c r="A909" s="962" t="s">
        <v>1319</v>
      </c>
      <c r="B909" s="42" t="s">
        <v>3302</v>
      </c>
      <c r="C909" s="42">
        <v>0</v>
      </c>
      <c r="D909" s="42">
        <v>0</v>
      </c>
      <c r="E909" s="42">
        <v>0</v>
      </c>
    </row>
    <row r="910" spans="1:5" ht="12.75" customHeight="1">
      <c r="A910" s="962" t="s">
        <v>1319</v>
      </c>
      <c r="B910" s="42" t="s">
        <v>3303</v>
      </c>
      <c r="C910" s="42">
        <v>0</v>
      </c>
      <c r="D910" s="42">
        <v>0</v>
      </c>
      <c r="E910" s="42">
        <v>0</v>
      </c>
    </row>
    <row r="911" spans="1:5" ht="12.75" customHeight="1">
      <c r="A911" s="962" t="s">
        <v>1319</v>
      </c>
      <c r="B911" s="42" t="s">
        <v>3304</v>
      </c>
      <c r="C911" s="42">
        <v>0</v>
      </c>
      <c r="D911" s="42">
        <v>0</v>
      </c>
      <c r="E911" s="42">
        <v>0</v>
      </c>
    </row>
    <row r="912" spans="1:5" ht="12.75" customHeight="1">
      <c r="A912" s="962" t="s">
        <v>1319</v>
      </c>
      <c r="B912" s="42" t="s">
        <v>3305</v>
      </c>
      <c r="C912" s="42">
        <v>0</v>
      </c>
      <c r="D912" s="42">
        <v>0</v>
      </c>
      <c r="E912" s="42">
        <v>0</v>
      </c>
    </row>
    <row r="913" spans="1:5" ht="12.75" customHeight="1">
      <c r="A913" s="962" t="s">
        <v>1319</v>
      </c>
      <c r="B913" s="42" t="s">
        <v>3306</v>
      </c>
      <c r="C913" s="42">
        <v>0</v>
      </c>
      <c r="D913" s="42">
        <v>0</v>
      </c>
      <c r="E913" s="42">
        <v>0</v>
      </c>
    </row>
    <row r="914" spans="1:5" ht="12.75" customHeight="1">
      <c r="A914" s="962" t="s">
        <v>1319</v>
      </c>
      <c r="B914" s="42" t="s">
        <v>3307</v>
      </c>
      <c r="C914" s="42">
        <v>0</v>
      </c>
      <c r="D914" s="42">
        <v>0</v>
      </c>
      <c r="E914" s="42">
        <v>0</v>
      </c>
    </row>
    <row r="915" spans="1:5" ht="12.75" customHeight="1">
      <c r="A915" s="962" t="s">
        <v>1319</v>
      </c>
      <c r="B915" s="42" t="s">
        <v>3308</v>
      </c>
      <c r="C915" s="42">
        <v>0</v>
      </c>
      <c r="D915" s="42">
        <v>0</v>
      </c>
      <c r="E915" s="42">
        <v>0</v>
      </c>
    </row>
    <row r="916" spans="1:5" ht="12.75" customHeight="1">
      <c r="A916" s="962" t="s">
        <v>1319</v>
      </c>
      <c r="B916" s="42" t="s">
        <v>3309</v>
      </c>
      <c r="C916" s="42">
        <v>1</v>
      </c>
      <c r="D916" s="42">
        <v>1</v>
      </c>
      <c r="E916" s="42">
        <v>1</v>
      </c>
    </row>
    <row r="917" spans="1:5" ht="12.75" customHeight="1">
      <c r="A917" s="962" t="s">
        <v>1319</v>
      </c>
      <c r="B917" s="42" t="s">
        <v>3310</v>
      </c>
      <c r="C917" s="42">
        <v>0</v>
      </c>
      <c r="D917" s="42">
        <v>0</v>
      </c>
      <c r="E917" s="42">
        <v>0</v>
      </c>
    </row>
    <row r="918" spans="1:5" ht="12.75" customHeight="1">
      <c r="A918" s="962" t="s">
        <v>1319</v>
      </c>
      <c r="B918" s="42" t="s">
        <v>3311</v>
      </c>
      <c r="C918" s="42">
        <v>0</v>
      </c>
      <c r="D918" s="42">
        <v>0</v>
      </c>
      <c r="E918" s="42">
        <v>0</v>
      </c>
    </row>
    <row r="919" spans="1:5" ht="12.75" customHeight="1">
      <c r="A919" s="962" t="s">
        <v>1319</v>
      </c>
      <c r="B919" s="42" t="s">
        <v>3312</v>
      </c>
      <c r="C919" s="42">
        <v>0</v>
      </c>
      <c r="D919" s="42">
        <v>0</v>
      </c>
      <c r="E919" s="42">
        <v>0</v>
      </c>
    </row>
    <row r="920" spans="1:5" ht="12.75" customHeight="1">
      <c r="A920" s="962" t="s">
        <v>1319</v>
      </c>
      <c r="B920" s="42" t="s">
        <v>3313</v>
      </c>
      <c r="C920" s="42">
        <v>0</v>
      </c>
      <c r="D920" s="42">
        <v>0</v>
      </c>
      <c r="E920" s="42">
        <v>0</v>
      </c>
    </row>
    <row r="921" spans="1:5" ht="12.75" customHeight="1">
      <c r="A921" s="962" t="s">
        <v>1319</v>
      </c>
      <c r="B921" s="42" t="s">
        <v>3314</v>
      </c>
      <c r="C921" s="42">
        <v>0</v>
      </c>
      <c r="D921" s="42">
        <v>0</v>
      </c>
      <c r="E921" s="42">
        <v>0</v>
      </c>
    </row>
    <row r="922" spans="1:5" ht="12.75" customHeight="1">
      <c r="A922" s="962" t="s">
        <v>1319</v>
      </c>
      <c r="B922" s="42" t="s">
        <v>3315</v>
      </c>
      <c r="C922" s="42">
        <v>0</v>
      </c>
      <c r="D922" s="42">
        <v>0</v>
      </c>
      <c r="E922" s="42">
        <v>0</v>
      </c>
    </row>
    <row r="923" spans="1:5" ht="12.75" customHeight="1">
      <c r="A923" s="962" t="s">
        <v>1319</v>
      </c>
      <c r="B923" s="42" t="s">
        <v>3316</v>
      </c>
      <c r="C923" s="42">
        <v>0</v>
      </c>
      <c r="D923" s="42">
        <v>0</v>
      </c>
      <c r="E923" s="42">
        <v>0</v>
      </c>
    </row>
    <row r="924" spans="1:5" ht="12.75" customHeight="1">
      <c r="A924" s="962" t="s">
        <v>1319</v>
      </c>
      <c r="B924" s="42" t="s">
        <v>3317</v>
      </c>
      <c r="C924" s="42">
        <v>0</v>
      </c>
      <c r="D924" s="42">
        <v>0</v>
      </c>
      <c r="E924" s="42">
        <v>0</v>
      </c>
    </row>
    <row r="925" spans="1:5" ht="12.75" customHeight="1">
      <c r="A925" s="962" t="s">
        <v>1319</v>
      </c>
      <c r="B925" s="42" t="s">
        <v>3318</v>
      </c>
      <c r="C925" s="42">
        <v>0</v>
      </c>
      <c r="D925" s="42">
        <v>0</v>
      </c>
      <c r="E925" s="42">
        <v>0</v>
      </c>
    </row>
    <row r="926" spans="1:5" ht="12.75" customHeight="1">
      <c r="A926" s="962" t="s">
        <v>1319</v>
      </c>
      <c r="B926" s="42" t="s">
        <v>3319</v>
      </c>
      <c r="C926" s="42">
        <v>0</v>
      </c>
      <c r="D926" s="42">
        <v>0</v>
      </c>
      <c r="E926" s="42">
        <v>0</v>
      </c>
    </row>
    <row r="927" spans="1:5" ht="12.75" customHeight="1">
      <c r="A927" s="962" t="s">
        <v>1319</v>
      </c>
      <c r="B927" s="42" t="s">
        <v>3320</v>
      </c>
      <c r="C927" s="42">
        <v>0</v>
      </c>
      <c r="D927" s="42">
        <v>0</v>
      </c>
      <c r="E927" s="42">
        <v>0</v>
      </c>
    </row>
    <row r="928" spans="1:5" ht="12.75" customHeight="1">
      <c r="A928" s="962" t="s">
        <v>1319</v>
      </c>
      <c r="B928" s="42" t="s">
        <v>3321</v>
      </c>
      <c r="C928" s="42">
        <v>0</v>
      </c>
      <c r="D928" s="42">
        <v>0</v>
      </c>
      <c r="E928" s="42">
        <v>0</v>
      </c>
    </row>
    <row r="929" spans="1:5" ht="12.75" customHeight="1">
      <c r="A929" s="962" t="s">
        <v>1319</v>
      </c>
      <c r="B929" s="42" t="s">
        <v>3322</v>
      </c>
      <c r="C929" s="42">
        <v>0</v>
      </c>
      <c r="D929" s="42">
        <v>0</v>
      </c>
      <c r="E929" s="42">
        <v>0</v>
      </c>
    </row>
    <row r="930" spans="1:5" ht="12.75" customHeight="1">
      <c r="A930" s="962" t="s">
        <v>1319</v>
      </c>
      <c r="B930" s="42" t="s">
        <v>3323</v>
      </c>
      <c r="C930" s="42">
        <v>0</v>
      </c>
      <c r="D930" s="42">
        <v>0</v>
      </c>
      <c r="E930" s="42">
        <v>0</v>
      </c>
    </row>
    <row r="931" spans="1:5" ht="12.75" customHeight="1">
      <c r="A931" s="962" t="s">
        <v>1319</v>
      </c>
      <c r="B931" s="42" t="s">
        <v>3324</v>
      </c>
      <c r="C931" s="42">
        <v>0</v>
      </c>
      <c r="D931" s="42">
        <v>0</v>
      </c>
      <c r="E931" s="42">
        <v>0</v>
      </c>
    </row>
    <row r="932" spans="1:5" ht="12.75" customHeight="1">
      <c r="A932" s="962" t="s">
        <v>1319</v>
      </c>
      <c r="B932" s="42" t="s">
        <v>3325</v>
      </c>
      <c r="C932" s="42">
        <v>0</v>
      </c>
      <c r="D932" s="42">
        <v>0</v>
      </c>
      <c r="E932" s="42">
        <v>0</v>
      </c>
    </row>
    <row r="933" spans="1:5" ht="12.75" customHeight="1">
      <c r="A933" s="962" t="s">
        <v>1319</v>
      </c>
      <c r="B933" s="42" t="s">
        <v>3326</v>
      </c>
      <c r="C933" s="42">
        <v>0</v>
      </c>
      <c r="D933" s="42">
        <v>0</v>
      </c>
      <c r="E933" s="42">
        <v>0</v>
      </c>
    </row>
    <row r="934" spans="1:5" ht="12.75" customHeight="1">
      <c r="A934" s="962" t="s">
        <v>1319</v>
      </c>
      <c r="B934" s="42" t="s">
        <v>3327</v>
      </c>
      <c r="C934" s="42">
        <v>0</v>
      </c>
      <c r="D934" s="42">
        <v>0</v>
      </c>
      <c r="E934" s="42">
        <v>0</v>
      </c>
    </row>
    <row r="935" spans="1:5" ht="12.75" customHeight="1">
      <c r="A935" s="962" t="s">
        <v>1319</v>
      </c>
      <c r="B935" s="42" t="s">
        <v>3328</v>
      </c>
      <c r="C935" s="42">
        <v>0</v>
      </c>
      <c r="D935" s="42">
        <v>0</v>
      </c>
      <c r="E935" s="42">
        <v>0</v>
      </c>
    </row>
    <row r="936" spans="1:5" ht="12.75" customHeight="1">
      <c r="A936" s="962" t="s">
        <v>1319</v>
      </c>
      <c r="B936" s="42" t="s">
        <v>3329</v>
      </c>
      <c r="C936" s="42">
        <v>0</v>
      </c>
      <c r="D936" s="42">
        <v>0</v>
      </c>
      <c r="E936" s="42">
        <v>0</v>
      </c>
    </row>
    <row r="937" spans="1:5" ht="12.75" customHeight="1">
      <c r="A937" s="962" t="s">
        <v>1319</v>
      </c>
      <c r="B937" s="42" t="s">
        <v>3330</v>
      </c>
      <c r="C937" s="42">
        <v>0</v>
      </c>
      <c r="D937" s="42">
        <v>0</v>
      </c>
      <c r="E937" s="42">
        <v>0</v>
      </c>
    </row>
    <row r="938" spans="1:5" ht="12.75" customHeight="1">
      <c r="A938" s="962" t="s">
        <v>1319</v>
      </c>
      <c r="B938" s="42" t="s">
        <v>3331</v>
      </c>
      <c r="C938" s="42">
        <v>0</v>
      </c>
      <c r="D938" s="42">
        <v>0</v>
      </c>
      <c r="E938" s="42">
        <v>0</v>
      </c>
    </row>
    <row r="939" spans="1:5" ht="12.75" customHeight="1">
      <c r="A939" s="962" t="s">
        <v>1319</v>
      </c>
      <c r="B939" s="42" t="s">
        <v>3332</v>
      </c>
      <c r="C939" s="42">
        <v>0</v>
      </c>
      <c r="D939" s="42">
        <v>0</v>
      </c>
      <c r="E939" s="42">
        <v>1</v>
      </c>
    </row>
    <row r="940" spans="1:5" ht="12.75" customHeight="1">
      <c r="A940" s="962" t="s">
        <v>1319</v>
      </c>
      <c r="B940" s="42" t="s">
        <v>3333</v>
      </c>
      <c r="C940" s="42">
        <v>0</v>
      </c>
      <c r="D940" s="42">
        <v>0</v>
      </c>
      <c r="E940" s="42">
        <v>0</v>
      </c>
    </row>
    <row r="941" spans="1:5" ht="12.75" customHeight="1">
      <c r="A941" s="962" t="s">
        <v>1319</v>
      </c>
      <c r="B941" s="42" t="s">
        <v>3334</v>
      </c>
      <c r="C941" s="42">
        <v>0</v>
      </c>
      <c r="D941" s="42">
        <v>0</v>
      </c>
      <c r="E941" s="42">
        <v>0</v>
      </c>
    </row>
    <row r="942" spans="1:5" ht="12.75" customHeight="1">
      <c r="A942" s="962" t="s">
        <v>1319</v>
      </c>
      <c r="B942" s="42" t="s">
        <v>1337</v>
      </c>
      <c r="C942" s="42">
        <v>0</v>
      </c>
      <c r="D942" s="42">
        <v>0</v>
      </c>
      <c r="E942" s="42">
        <v>0</v>
      </c>
    </row>
    <row r="943" spans="1:5" ht="12.75" customHeight="1">
      <c r="A943" s="962" t="s">
        <v>1319</v>
      </c>
      <c r="B943" s="42" t="s">
        <v>3335</v>
      </c>
      <c r="C943" s="42">
        <v>0</v>
      </c>
      <c r="D943" s="42">
        <v>0</v>
      </c>
      <c r="E943" s="42">
        <v>0</v>
      </c>
    </row>
    <row r="944" spans="1:5" ht="12.75" customHeight="1">
      <c r="A944" s="962" t="s">
        <v>1319</v>
      </c>
      <c r="B944" s="42" t="s">
        <v>3336</v>
      </c>
      <c r="C944" s="42">
        <v>0</v>
      </c>
      <c r="D944" s="42">
        <v>0</v>
      </c>
      <c r="E944" s="42">
        <v>0</v>
      </c>
    </row>
    <row r="945" spans="1:5" ht="12.75" customHeight="1">
      <c r="A945" s="962" t="s">
        <v>1319</v>
      </c>
      <c r="B945" s="42" t="s">
        <v>3337</v>
      </c>
      <c r="C945" s="42">
        <v>0</v>
      </c>
      <c r="D945" s="42">
        <v>0</v>
      </c>
      <c r="E945" s="42">
        <v>0</v>
      </c>
    </row>
    <row r="946" spans="1:5" ht="12.75" customHeight="1">
      <c r="A946" s="962" t="s">
        <v>1319</v>
      </c>
      <c r="B946" s="42" t="s">
        <v>3338</v>
      </c>
      <c r="C946" s="42">
        <v>1</v>
      </c>
      <c r="D946" s="42">
        <v>1</v>
      </c>
      <c r="E946" s="42">
        <v>1</v>
      </c>
    </row>
    <row r="947" spans="1:5" ht="12.75" customHeight="1">
      <c r="A947" s="962" t="s">
        <v>1319</v>
      </c>
      <c r="B947" s="42" t="s">
        <v>3339</v>
      </c>
      <c r="C947" s="42">
        <v>0</v>
      </c>
      <c r="D947" s="42">
        <v>0</v>
      </c>
      <c r="E947" s="42">
        <v>0</v>
      </c>
    </row>
    <row r="948" spans="1:5" ht="12.75" customHeight="1">
      <c r="A948" s="962" t="s">
        <v>1319</v>
      </c>
      <c r="B948" s="42" t="s">
        <v>3340</v>
      </c>
      <c r="C948" s="42">
        <v>0</v>
      </c>
      <c r="D948" s="42">
        <v>0</v>
      </c>
      <c r="E948" s="42">
        <v>0</v>
      </c>
    </row>
    <row r="949" spans="1:5" ht="12.75" customHeight="1">
      <c r="A949" s="962" t="s">
        <v>1319</v>
      </c>
      <c r="B949" s="42" t="s">
        <v>3341</v>
      </c>
      <c r="C949" s="42">
        <v>1</v>
      </c>
      <c r="D949" s="42">
        <v>1</v>
      </c>
      <c r="E949" s="42">
        <v>1</v>
      </c>
    </row>
    <row r="950" spans="1:5" ht="12.75" customHeight="1">
      <c r="A950" s="962" t="s">
        <v>1319</v>
      </c>
      <c r="B950" s="42" t="s">
        <v>3342</v>
      </c>
      <c r="C950" s="42">
        <v>0</v>
      </c>
      <c r="D950" s="42">
        <v>0</v>
      </c>
      <c r="E950" s="42">
        <v>0</v>
      </c>
    </row>
    <row r="951" spans="1:5" ht="12.75" customHeight="1">
      <c r="A951" s="962" t="s">
        <v>1319</v>
      </c>
      <c r="B951" s="42" t="s">
        <v>3343</v>
      </c>
      <c r="C951" s="42">
        <v>0</v>
      </c>
      <c r="D951" s="42">
        <v>0</v>
      </c>
      <c r="E951" s="42">
        <v>0</v>
      </c>
    </row>
    <row r="952" spans="1:5" ht="12.75" customHeight="1">
      <c r="A952" s="962" t="s">
        <v>1319</v>
      </c>
      <c r="B952" s="42" t="s">
        <v>3344</v>
      </c>
      <c r="C952" s="42">
        <v>0</v>
      </c>
      <c r="D952" s="42">
        <v>0</v>
      </c>
      <c r="E952" s="42">
        <v>0</v>
      </c>
    </row>
    <row r="953" spans="1:5" ht="12.75" customHeight="1">
      <c r="A953" s="962" t="s">
        <v>1319</v>
      </c>
      <c r="B953" s="42" t="s">
        <v>3345</v>
      </c>
      <c r="C953" s="42">
        <v>0</v>
      </c>
      <c r="D953" s="42">
        <v>0</v>
      </c>
      <c r="E953" s="42">
        <v>0</v>
      </c>
    </row>
    <row r="954" spans="1:5" ht="12.75" customHeight="1">
      <c r="A954" s="962" t="s">
        <v>1319</v>
      </c>
      <c r="B954" s="42" t="s">
        <v>3346</v>
      </c>
      <c r="C954" s="42">
        <v>0</v>
      </c>
      <c r="D954" s="42">
        <v>0</v>
      </c>
      <c r="E954" s="42">
        <v>0</v>
      </c>
    </row>
    <row r="955" spans="1:5" ht="12.75" customHeight="1">
      <c r="A955" s="962" t="s">
        <v>1319</v>
      </c>
      <c r="B955" s="42" t="s">
        <v>3347</v>
      </c>
      <c r="C955" s="42">
        <v>0</v>
      </c>
      <c r="D955" s="42">
        <v>0</v>
      </c>
      <c r="E955" s="42">
        <v>0</v>
      </c>
    </row>
    <row r="956" spans="1:5" ht="12.75" customHeight="1">
      <c r="A956" s="962" t="s">
        <v>1319</v>
      </c>
      <c r="B956" s="42" t="s">
        <v>3348</v>
      </c>
      <c r="C956" s="42">
        <v>0</v>
      </c>
      <c r="D956" s="42">
        <v>0</v>
      </c>
      <c r="E956" s="42">
        <v>0</v>
      </c>
    </row>
    <row r="957" spans="1:5" ht="12.75" customHeight="1">
      <c r="A957" s="962" t="s">
        <v>1319</v>
      </c>
      <c r="B957" s="42" t="s">
        <v>3349</v>
      </c>
      <c r="C957" s="42">
        <v>0</v>
      </c>
      <c r="D957" s="42">
        <v>0</v>
      </c>
      <c r="E957" s="42">
        <v>0</v>
      </c>
    </row>
    <row r="958" spans="1:5" ht="12.75" customHeight="1">
      <c r="A958" s="962" t="s">
        <v>1319</v>
      </c>
      <c r="B958" s="42" t="s">
        <v>3350</v>
      </c>
      <c r="C958" s="42">
        <v>0</v>
      </c>
      <c r="D958" s="42">
        <v>0</v>
      </c>
      <c r="E958" s="42">
        <v>0</v>
      </c>
    </row>
    <row r="959" spans="1:5" ht="12.75" customHeight="1">
      <c r="A959" s="962" t="s">
        <v>1319</v>
      </c>
      <c r="B959" s="42" t="s">
        <v>3351</v>
      </c>
      <c r="C959" s="42">
        <v>0</v>
      </c>
      <c r="D959" s="42">
        <v>0</v>
      </c>
      <c r="E959" s="42">
        <v>0</v>
      </c>
    </row>
    <row r="960" spans="1:5" ht="12.75" customHeight="1">
      <c r="A960" s="962" t="s">
        <v>1319</v>
      </c>
      <c r="B960" s="42" t="s">
        <v>3352</v>
      </c>
      <c r="C960" s="42">
        <v>0</v>
      </c>
      <c r="D960" s="42">
        <v>0</v>
      </c>
      <c r="E960" s="42">
        <v>0</v>
      </c>
    </row>
    <row r="961" spans="1:5" ht="12.75" customHeight="1">
      <c r="A961" s="962" t="s">
        <v>1319</v>
      </c>
      <c r="B961" s="42" t="s">
        <v>3353</v>
      </c>
      <c r="C961" s="42">
        <v>0</v>
      </c>
      <c r="D961" s="42">
        <v>0</v>
      </c>
      <c r="E961" s="42">
        <v>0</v>
      </c>
    </row>
    <row r="962" spans="1:5" ht="12.75" customHeight="1">
      <c r="A962" s="962" t="s">
        <v>1319</v>
      </c>
      <c r="B962" s="42" t="s">
        <v>3354</v>
      </c>
      <c r="C962" s="42">
        <v>0</v>
      </c>
      <c r="D962" s="42">
        <v>0</v>
      </c>
      <c r="E962" s="42">
        <v>0</v>
      </c>
    </row>
    <row r="963" spans="1:5" ht="12.75" customHeight="1">
      <c r="A963" s="962" t="s">
        <v>1319</v>
      </c>
      <c r="B963" s="42" t="s">
        <v>3355</v>
      </c>
      <c r="C963" s="42">
        <v>0</v>
      </c>
      <c r="D963" s="42">
        <v>0</v>
      </c>
      <c r="E963" s="42">
        <v>0</v>
      </c>
    </row>
    <row r="964" spans="1:5" ht="12.75" customHeight="1">
      <c r="A964" s="962" t="s">
        <v>1319</v>
      </c>
      <c r="B964" s="42" t="s">
        <v>3356</v>
      </c>
      <c r="C964" s="42">
        <v>0</v>
      </c>
      <c r="D964" s="42">
        <v>0</v>
      </c>
      <c r="E964" s="42">
        <v>0</v>
      </c>
    </row>
    <row r="965" spans="1:5" ht="12.75" customHeight="1">
      <c r="A965" s="962" t="s">
        <v>1319</v>
      </c>
      <c r="B965" s="42" t="s">
        <v>3357</v>
      </c>
      <c r="C965" s="42">
        <v>0</v>
      </c>
      <c r="D965" s="42">
        <v>0</v>
      </c>
      <c r="E965" s="42">
        <v>0</v>
      </c>
    </row>
    <row r="966" spans="1:5" ht="12.75" customHeight="1">
      <c r="A966" s="962" t="s">
        <v>1319</v>
      </c>
      <c r="B966" s="42" t="s">
        <v>3358</v>
      </c>
      <c r="C966" s="42">
        <v>0</v>
      </c>
      <c r="D966" s="42">
        <v>0</v>
      </c>
      <c r="E966" s="42">
        <v>0</v>
      </c>
    </row>
    <row r="967" spans="1:5" ht="12.75" customHeight="1">
      <c r="A967" s="962" t="s">
        <v>1319</v>
      </c>
      <c r="B967" s="42" t="s">
        <v>3359</v>
      </c>
      <c r="C967" s="42">
        <v>0</v>
      </c>
      <c r="D967" s="42">
        <v>0</v>
      </c>
      <c r="E967" s="42">
        <v>0</v>
      </c>
    </row>
    <row r="968" spans="1:5" ht="12.75" customHeight="1">
      <c r="A968" s="962" t="s">
        <v>1319</v>
      </c>
      <c r="B968" s="42" t="s">
        <v>3360</v>
      </c>
      <c r="C968" s="42">
        <v>0</v>
      </c>
      <c r="D968" s="42">
        <v>0</v>
      </c>
      <c r="E968" s="42">
        <v>0</v>
      </c>
    </row>
    <row r="969" spans="1:5" ht="12.75" customHeight="1">
      <c r="A969" s="962" t="s">
        <v>1319</v>
      </c>
      <c r="B969" s="42" t="s">
        <v>3361</v>
      </c>
      <c r="C969" s="42">
        <v>0</v>
      </c>
      <c r="D969" s="42">
        <v>0</v>
      </c>
      <c r="E969" s="42">
        <v>0</v>
      </c>
    </row>
    <row r="970" spans="1:5" ht="12.75" customHeight="1">
      <c r="A970" s="962" t="s">
        <v>1319</v>
      </c>
      <c r="B970" s="42" t="s">
        <v>3362</v>
      </c>
      <c r="C970" s="42">
        <v>0</v>
      </c>
      <c r="D970" s="42">
        <v>0</v>
      </c>
      <c r="E970" s="42">
        <v>0</v>
      </c>
    </row>
    <row r="971" spans="1:5" ht="12.75" customHeight="1">
      <c r="A971" s="962" t="s">
        <v>1319</v>
      </c>
      <c r="B971" s="42" t="s">
        <v>3363</v>
      </c>
      <c r="C971" s="42">
        <v>0</v>
      </c>
      <c r="D971" s="42">
        <v>0</v>
      </c>
      <c r="E971" s="42">
        <v>0</v>
      </c>
    </row>
    <row r="972" spans="1:5" ht="12.75" customHeight="1">
      <c r="A972" s="962" t="s">
        <v>1319</v>
      </c>
      <c r="B972" s="42" t="s">
        <v>3364</v>
      </c>
      <c r="C972" s="42">
        <v>0</v>
      </c>
      <c r="D972" s="42">
        <v>0</v>
      </c>
      <c r="E972" s="42">
        <v>0</v>
      </c>
    </row>
    <row r="973" spans="1:5" ht="12.75" customHeight="1">
      <c r="A973" s="962" t="s">
        <v>1319</v>
      </c>
      <c r="B973" s="42" t="s">
        <v>3365</v>
      </c>
      <c r="C973" s="42">
        <v>0</v>
      </c>
      <c r="D973" s="42">
        <v>0</v>
      </c>
      <c r="E973" s="42">
        <v>0</v>
      </c>
    </row>
    <row r="974" spans="1:5" ht="12.75" customHeight="1">
      <c r="A974" s="962" t="s">
        <v>1319</v>
      </c>
      <c r="B974" s="42" t="s">
        <v>3366</v>
      </c>
      <c r="C974" s="42">
        <v>0</v>
      </c>
      <c r="D974" s="42">
        <v>0</v>
      </c>
      <c r="E974" s="42">
        <v>0</v>
      </c>
    </row>
    <row r="975" spans="1:5" ht="12.75" customHeight="1">
      <c r="A975" s="962" t="s">
        <v>1319</v>
      </c>
      <c r="B975" s="42" t="s">
        <v>3367</v>
      </c>
      <c r="C975" s="42">
        <v>0</v>
      </c>
      <c r="D975" s="42">
        <v>0</v>
      </c>
      <c r="E975" s="42">
        <v>0</v>
      </c>
    </row>
    <row r="976" spans="1:5" ht="12.75" customHeight="1">
      <c r="A976" s="962" t="s">
        <v>1319</v>
      </c>
      <c r="B976" s="42" t="s">
        <v>3368</v>
      </c>
      <c r="C976" s="42">
        <v>1</v>
      </c>
      <c r="D976" s="42">
        <v>1</v>
      </c>
      <c r="E976" s="42">
        <v>1</v>
      </c>
    </row>
    <row r="977" spans="1:5" ht="12.75" customHeight="1">
      <c r="A977" s="962" t="s">
        <v>1319</v>
      </c>
      <c r="B977" s="42" t="s">
        <v>3369</v>
      </c>
      <c r="C977" s="42">
        <v>0</v>
      </c>
      <c r="D977" s="42">
        <v>0</v>
      </c>
      <c r="E977" s="42">
        <v>0</v>
      </c>
    </row>
    <row r="978" spans="1:5" ht="12.75" customHeight="1">
      <c r="A978" s="962" t="s">
        <v>1319</v>
      </c>
      <c r="B978" s="42" t="s">
        <v>3370</v>
      </c>
      <c r="C978" s="42">
        <v>0</v>
      </c>
      <c r="D978" s="42">
        <v>0</v>
      </c>
      <c r="E978" s="42">
        <v>0</v>
      </c>
    </row>
    <row r="979" spans="1:5" ht="12.75" customHeight="1">
      <c r="A979" s="962" t="s">
        <v>1319</v>
      </c>
      <c r="B979" s="42" t="s">
        <v>3371</v>
      </c>
      <c r="C979" s="42">
        <v>0</v>
      </c>
      <c r="D979" s="42">
        <v>0</v>
      </c>
      <c r="E979" s="42">
        <v>0</v>
      </c>
    </row>
    <row r="980" spans="1:5" ht="12.75" customHeight="1">
      <c r="A980" s="962" t="s">
        <v>1319</v>
      </c>
      <c r="B980" s="42" t="s">
        <v>3372</v>
      </c>
      <c r="C980" s="42">
        <v>0</v>
      </c>
      <c r="D980" s="42">
        <v>0</v>
      </c>
      <c r="E980" s="42">
        <v>0</v>
      </c>
    </row>
    <row r="981" spans="1:5" ht="12.75" customHeight="1">
      <c r="A981" s="962" t="s">
        <v>1319</v>
      </c>
      <c r="B981" s="42" t="s">
        <v>3373</v>
      </c>
      <c r="C981" s="42">
        <v>0</v>
      </c>
      <c r="D981" s="42">
        <v>0</v>
      </c>
      <c r="E981" s="42">
        <v>0</v>
      </c>
    </row>
    <row r="982" spans="1:5" ht="12.75" customHeight="1">
      <c r="A982" s="962" t="s">
        <v>1319</v>
      </c>
      <c r="B982" s="42" t="s">
        <v>3374</v>
      </c>
      <c r="C982" s="42">
        <v>0</v>
      </c>
      <c r="D982" s="42">
        <v>0</v>
      </c>
      <c r="E982" s="42">
        <v>0</v>
      </c>
    </row>
    <row r="983" spans="1:5" ht="12.75" customHeight="1">
      <c r="A983" s="962" t="s">
        <v>1319</v>
      </c>
      <c r="B983" s="42" t="s">
        <v>3375</v>
      </c>
      <c r="C983" s="42">
        <v>0</v>
      </c>
      <c r="D983" s="42">
        <v>0</v>
      </c>
      <c r="E983" s="42">
        <v>0</v>
      </c>
    </row>
    <row r="984" spans="1:5" ht="12.75" customHeight="1">
      <c r="A984" s="962" t="s">
        <v>1319</v>
      </c>
      <c r="B984" s="42" t="s">
        <v>3376</v>
      </c>
      <c r="C984" s="42">
        <v>0</v>
      </c>
      <c r="D984" s="42">
        <v>0</v>
      </c>
      <c r="E984" s="42">
        <v>0</v>
      </c>
    </row>
    <row r="985" spans="1:5" ht="12.75" customHeight="1">
      <c r="A985" s="962" t="s">
        <v>1319</v>
      </c>
      <c r="B985" s="42" t="s">
        <v>3377</v>
      </c>
      <c r="C985" s="42">
        <v>0</v>
      </c>
      <c r="D985" s="42">
        <v>0</v>
      </c>
      <c r="E985" s="42">
        <v>0</v>
      </c>
    </row>
    <row r="986" spans="1:5" ht="12.75" customHeight="1">
      <c r="A986" s="962" t="s">
        <v>1319</v>
      </c>
      <c r="B986" s="42" t="s">
        <v>3378</v>
      </c>
      <c r="C986" s="42">
        <v>0</v>
      </c>
      <c r="D986" s="42">
        <v>0</v>
      </c>
      <c r="E986" s="42">
        <v>0</v>
      </c>
    </row>
    <row r="987" spans="1:5" ht="12.75" customHeight="1">
      <c r="A987" s="962" t="s">
        <v>1319</v>
      </c>
      <c r="B987" s="42" t="s">
        <v>3379</v>
      </c>
      <c r="C987" s="42">
        <v>0</v>
      </c>
      <c r="D987" s="42">
        <v>0</v>
      </c>
      <c r="E987" s="42">
        <v>0</v>
      </c>
    </row>
    <row r="988" spans="1:5" ht="12.75" customHeight="1">
      <c r="A988" s="962" t="s">
        <v>1319</v>
      </c>
      <c r="B988" s="42" t="s">
        <v>3380</v>
      </c>
      <c r="C988" s="42">
        <v>0</v>
      </c>
      <c r="D988" s="42">
        <v>0</v>
      </c>
      <c r="E988" s="42">
        <v>0</v>
      </c>
    </row>
    <row r="989" spans="1:5" ht="12.75" customHeight="1">
      <c r="A989" s="962" t="s">
        <v>1319</v>
      </c>
      <c r="B989" s="42" t="s">
        <v>3381</v>
      </c>
      <c r="C989" s="42">
        <v>0</v>
      </c>
      <c r="D989" s="42">
        <v>0</v>
      </c>
      <c r="E989" s="42">
        <v>0</v>
      </c>
    </row>
    <row r="990" spans="1:5" ht="12.75" customHeight="1">
      <c r="A990" s="962" t="s">
        <v>1319</v>
      </c>
      <c r="B990" s="42" t="s">
        <v>3382</v>
      </c>
      <c r="C990" s="42">
        <v>0</v>
      </c>
      <c r="D990" s="42">
        <v>0</v>
      </c>
      <c r="E990" s="42">
        <v>0</v>
      </c>
    </row>
    <row r="991" spans="1:5" ht="12.75" customHeight="1">
      <c r="A991" s="962" t="s">
        <v>1319</v>
      </c>
      <c r="B991" s="42" t="s">
        <v>3383</v>
      </c>
      <c r="C991" s="42">
        <v>1</v>
      </c>
      <c r="D991" s="42">
        <v>1</v>
      </c>
      <c r="E991" s="42">
        <v>1</v>
      </c>
    </row>
    <row r="992" spans="1:5" ht="12.75" customHeight="1">
      <c r="A992" s="962" t="s">
        <v>1319</v>
      </c>
      <c r="B992" s="42" t="s">
        <v>3384</v>
      </c>
      <c r="C992" s="42">
        <v>0</v>
      </c>
      <c r="D992" s="42">
        <v>0</v>
      </c>
      <c r="E992" s="42">
        <v>0</v>
      </c>
    </row>
    <row r="993" spans="1:5" ht="12.75" customHeight="1">
      <c r="A993" s="962" t="s">
        <v>1319</v>
      </c>
      <c r="B993" s="42" t="s">
        <v>3385</v>
      </c>
      <c r="C993" s="42">
        <v>0</v>
      </c>
      <c r="D993" s="42">
        <v>0</v>
      </c>
      <c r="E993" s="42">
        <v>0</v>
      </c>
    </row>
    <row r="994" spans="1:5" ht="12.75" customHeight="1">
      <c r="A994" s="962" t="s">
        <v>1319</v>
      </c>
      <c r="B994" s="42" t="s">
        <v>3386</v>
      </c>
      <c r="C994" s="42">
        <v>0</v>
      </c>
      <c r="D994" s="42">
        <v>0</v>
      </c>
      <c r="E994" s="42">
        <v>0</v>
      </c>
    </row>
    <row r="995" spans="1:5" ht="12.75" customHeight="1">
      <c r="A995" s="962" t="s">
        <v>1319</v>
      </c>
      <c r="B995" s="42" t="s">
        <v>3387</v>
      </c>
      <c r="C995" s="42">
        <v>0</v>
      </c>
      <c r="D995" s="42">
        <v>0</v>
      </c>
      <c r="E995" s="42">
        <v>0</v>
      </c>
    </row>
    <row r="996" spans="1:5" ht="12.75" customHeight="1">
      <c r="A996" s="962" t="s">
        <v>1319</v>
      </c>
      <c r="B996" s="42" t="s">
        <v>3388</v>
      </c>
      <c r="C996" s="42">
        <v>0</v>
      </c>
      <c r="D996" s="42">
        <v>0</v>
      </c>
      <c r="E996" s="42">
        <v>0</v>
      </c>
    </row>
    <row r="997" spans="1:5" ht="12.75" customHeight="1">
      <c r="A997" s="962" t="s">
        <v>1319</v>
      </c>
      <c r="B997" s="42" t="s">
        <v>3389</v>
      </c>
      <c r="C997" s="42">
        <v>0</v>
      </c>
      <c r="D997" s="42">
        <v>0</v>
      </c>
      <c r="E997" s="42">
        <v>0</v>
      </c>
    </row>
    <row r="998" spans="1:5" ht="12.75" customHeight="1">
      <c r="A998" s="962" t="s">
        <v>1319</v>
      </c>
      <c r="B998" s="42" t="s">
        <v>3390</v>
      </c>
      <c r="C998" s="42">
        <v>0</v>
      </c>
      <c r="D998" s="42">
        <v>0</v>
      </c>
      <c r="E998" s="42">
        <v>0</v>
      </c>
    </row>
    <row r="999" spans="1:5" ht="12.75" customHeight="1">
      <c r="A999" s="962" t="s">
        <v>1319</v>
      </c>
      <c r="B999" s="42" t="s">
        <v>3391</v>
      </c>
      <c r="C999" s="42">
        <v>0</v>
      </c>
      <c r="D999" s="42">
        <v>0</v>
      </c>
      <c r="E999" s="42">
        <v>0</v>
      </c>
    </row>
    <row r="1000" spans="1:5" ht="12.75" customHeight="1">
      <c r="A1000" s="962" t="s">
        <v>1319</v>
      </c>
      <c r="B1000" s="42" t="s">
        <v>3392</v>
      </c>
      <c r="C1000" s="42">
        <v>0</v>
      </c>
      <c r="D1000" s="42">
        <v>0</v>
      </c>
      <c r="E1000" s="42">
        <v>0</v>
      </c>
    </row>
    <row r="1001" spans="1:5" ht="12.75" customHeight="1">
      <c r="A1001" s="962" t="s">
        <v>1319</v>
      </c>
      <c r="B1001" s="42" t="s">
        <v>3393</v>
      </c>
      <c r="C1001" s="42">
        <v>0</v>
      </c>
      <c r="D1001" s="42">
        <v>0</v>
      </c>
      <c r="E1001" s="42">
        <v>0</v>
      </c>
    </row>
    <row r="1002" spans="1:5" ht="12.75" customHeight="1">
      <c r="A1002" s="962" t="s">
        <v>1319</v>
      </c>
      <c r="B1002" s="42" t="s">
        <v>3394</v>
      </c>
      <c r="C1002" s="42">
        <v>0</v>
      </c>
      <c r="D1002" s="42">
        <v>0</v>
      </c>
      <c r="E1002" s="42">
        <v>0</v>
      </c>
    </row>
    <row r="1003" spans="1:5" ht="12.75" customHeight="1">
      <c r="A1003" s="962" t="s">
        <v>1319</v>
      </c>
      <c r="B1003" s="42" t="s">
        <v>3395</v>
      </c>
      <c r="C1003" s="42">
        <v>0</v>
      </c>
      <c r="D1003" s="42">
        <v>0</v>
      </c>
      <c r="E1003" s="42">
        <v>0</v>
      </c>
    </row>
    <row r="1004" spans="1:5" ht="12.75" customHeight="1">
      <c r="A1004" s="962" t="s">
        <v>1319</v>
      </c>
      <c r="B1004" s="42" t="s">
        <v>3396</v>
      </c>
      <c r="C1004" s="42">
        <v>0</v>
      </c>
      <c r="D1004" s="42">
        <v>0</v>
      </c>
      <c r="E1004" s="42">
        <v>0</v>
      </c>
    </row>
    <row r="1005" spans="1:5" ht="12.75" customHeight="1">
      <c r="A1005" s="962" t="s">
        <v>1319</v>
      </c>
      <c r="B1005" s="42" t="s">
        <v>3397</v>
      </c>
      <c r="C1005" s="42">
        <v>0</v>
      </c>
      <c r="D1005" s="42">
        <v>0</v>
      </c>
      <c r="E1005" s="42">
        <v>0</v>
      </c>
    </row>
    <row r="1006" spans="1:5" ht="12.75" customHeight="1">
      <c r="A1006" s="962" t="s">
        <v>1319</v>
      </c>
      <c r="B1006" s="42" t="s">
        <v>3398</v>
      </c>
      <c r="C1006" s="42">
        <v>0</v>
      </c>
      <c r="D1006" s="42">
        <v>0</v>
      </c>
      <c r="E1006" s="42">
        <v>0</v>
      </c>
    </row>
    <row r="1007" spans="1:5" ht="12.75" customHeight="1">
      <c r="A1007" s="962" t="s">
        <v>1319</v>
      </c>
      <c r="B1007" s="42" t="s">
        <v>3399</v>
      </c>
      <c r="C1007" s="42">
        <v>0</v>
      </c>
      <c r="D1007" s="42">
        <v>0</v>
      </c>
      <c r="E1007" s="42">
        <v>0</v>
      </c>
    </row>
    <row r="1008" spans="1:5" ht="12.75" customHeight="1">
      <c r="A1008" s="962" t="s">
        <v>1319</v>
      </c>
      <c r="B1008" s="42" t="s">
        <v>3400</v>
      </c>
      <c r="C1008" s="42">
        <v>0</v>
      </c>
      <c r="D1008" s="42">
        <v>0</v>
      </c>
      <c r="E1008" s="42">
        <v>0</v>
      </c>
    </row>
    <row r="1009" spans="1:5" ht="12.75" customHeight="1">
      <c r="A1009" s="962" t="s">
        <v>1319</v>
      </c>
      <c r="B1009" s="42" t="s">
        <v>3401</v>
      </c>
      <c r="C1009" s="42">
        <v>0</v>
      </c>
      <c r="D1009" s="42">
        <v>0</v>
      </c>
      <c r="E1009" s="42">
        <v>0</v>
      </c>
    </row>
    <row r="1010" spans="1:5" ht="12.75" customHeight="1">
      <c r="A1010" s="962" t="s">
        <v>1319</v>
      </c>
      <c r="B1010" s="42" t="s">
        <v>3402</v>
      </c>
      <c r="C1010" s="42">
        <v>0</v>
      </c>
      <c r="D1010" s="42">
        <v>0</v>
      </c>
      <c r="E1010" s="42">
        <v>0</v>
      </c>
    </row>
    <row r="1011" spans="1:5" ht="12.75" customHeight="1">
      <c r="A1011" s="962" t="s">
        <v>1319</v>
      </c>
      <c r="B1011" s="42" t="s">
        <v>3403</v>
      </c>
      <c r="C1011" s="42">
        <v>0</v>
      </c>
      <c r="D1011" s="42">
        <v>0</v>
      </c>
      <c r="E1011" s="42">
        <v>0</v>
      </c>
    </row>
    <row r="1012" spans="1:5" ht="12.75" customHeight="1">
      <c r="A1012" s="962" t="s">
        <v>1319</v>
      </c>
      <c r="B1012" s="42" t="s">
        <v>3404</v>
      </c>
      <c r="C1012" s="42">
        <v>0</v>
      </c>
      <c r="D1012" s="42">
        <v>0</v>
      </c>
      <c r="E1012" s="42">
        <v>0</v>
      </c>
    </row>
    <row r="1013" spans="1:5" ht="12.75" customHeight="1">
      <c r="A1013" s="962" t="s">
        <v>1319</v>
      </c>
      <c r="B1013" s="42" t="s">
        <v>3405</v>
      </c>
      <c r="C1013" s="42">
        <v>0</v>
      </c>
      <c r="D1013" s="42">
        <v>0</v>
      </c>
      <c r="E1013" s="42">
        <v>0</v>
      </c>
    </row>
    <row r="1014" spans="1:5" ht="12.75" customHeight="1">
      <c r="A1014" s="962" t="s">
        <v>1319</v>
      </c>
      <c r="B1014" s="42" t="s">
        <v>3406</v>
      </c>
      <c r="C1014" s="42">
        <v>0</v>
      </c>
      <c r="D1014" s="42">
        <v>0</v>
      </c>
      <c r="E1014" s="42">
        <v>0</v>
      </c>
    </row>
    <row r="1015" spans="1:5" ht="12.75" customHeight="1">
      <c r="A1015" s="962" t="s">
        <v>1319</v>
      </c>
      <c r="B1015" s="42" t="s">
        <v>3407</v>
      </c>
      <c r="C1015" s="42">
        <v>0</v>
      </c>
      <c r="D1015" s="42">
        <v>0</v>
      </c>
      <c r="E1015" s="42">
        <v>0</v>
      </c>
    </row>
    <row r="1016" spans="1:5" ht="12.75" customHeight="1">
      <c r="A1016" s="962" t="s">
        <v>1319</v>
      </c>
      <c r="B1016" s="42" t="s">
        <v>3408</v>
      </c>
      <c r="C1016" s="42">
        <v>0</v>
      </c>
      <c r="D1016" s="42">
        <v>0</v>
      </c>
      <c r="E1016" s="42">
        <v>0</v>
      </c>
    </row>
    <row r="1017" spans="1:5" ht="12.75" customHeight="1">
      <c r="A1017" s="962" t="s">
        <v>1319</v>
      </c>
      <c r="B1017" s="42" t="s">
        <v>3409</v>
      </c>
      <c r="C1017" s="42">
        <v>0</v>
      </c>
      <c r="D1017" s="42">
        <v>0</v>
      </c>
      <c r="E1017" s="42">
        <v>0</v>
      </c>
    </row>
    <row r="1018" spans="1:5" ht="12.75" customHeight="1">
      <c r="A1018" s="962" t="s">
        <v>1319</v>
      </c>
      <c r="B1018" s="42" t="s">
        <v>3410</v>
      </c>
      <c r="C1018" s="42">
        <v>0</v>
      </c>
      <c r="D1018" s="42">
        <v>0</v>
      </c>
      <c r="E1018" s="42">
        <v>0</v>
      </c>
    </row>
    <row r="1019" spans="1:5" ht="12.75" customHeight="1">
      <c r="A1019" s="962" t="s">
        <v>1319</v>
      </c>
      <c r="B1019" s="42" t="s">
        <v>3411</v>
      </c>
      <c r="C1019" s="42">
        <v>0</v>
      </c>
      <c r="D1019" s="42">
        <v>0</v>
      </c>
      <c r="E1019" s="42">
        <v>0</v>
      </c>
    </row>
    <row r="1020" spans="1:5" ht="12.75" customHeight="1">
      <c r="A1020" s="962" t="s">
        <v>1319</v>
      </c>
      <c r="B1020" s="42" t="s">
        <v>3412</v>
      </c>
      <c r="C1020" s="42">
        <v>0</v>
      </c>
      <c r="D1020" s="42">
        <v>0</v>
      </c>
      <c r="E1020" s="42">
        <v>0</v>
      </c>
    </row>
    <row r="1021" spans="1:5" ht="12.75" customHeight="1">
      <c r="A1021" s="962" t="s">
        <v>1319</v>
      </c>
      <c r="B1021" s="42" t="s">
        <v>3413</v>
      </c>
      <c r="C1021" s="42">
        <v>0</v>
      </c>
      <c r="D1021" s="42">
        <v>0</v>
      </c>
      <c r="E1021" s="42">
        <v>0</v>
      </c>
    </row>
    <row r="1022" spans="1:5" ht="12.75" customHeight="1">
      <c r="A1022" s="962" t="s">
        <v>1319</v>
      </c>
      <c r="B1022" s="42" t="s">
        <v>3414</v>
      </c>
      <c r="C1022" s="42">
        <v>0</v>
      </c>
      <c r="D1022" s="42">
        <v>0</v>
      </c>
      <c r="E1022" s="42">
        <v>0</v>
      </c>
    </row>
    <row r="1023" spans="1:5" ht="12.75" customHeight="1">
      <c r="A1023" s="962" t="s">
        <v>1319</v>
      </c>
      <c r="B1023" s="42" t="s">
        <v>3415</v>
      </c>
      <c r="C1023" s="42">
        <v>0</v>
      </c>
      <c r="D1023" s="42">
        <v>0</v>
      </c>
      <c r="E1023" s="42">
        <v>0</v>
      </c>
    </row>
    <row r="1024" spans="1:5" ht="12.75" customHeight="1">
      <c r="A1024" s="962" t="s">
        <v>1319</v>
      </c>
      <c r="B1024" s="42" t="s">
        <v>3416</v>
      </c>
      <c r="C1024" s="42">
        <v>0</v>
      </c>
      <c r="D1024" s="42">
        <v>0</v>
      </c>
      <c r="E1024" s="42">
        <v>0</v>
      </c>
    </row>
    <row r="1025" spans="1:5" ht="12.75" customHeight="1">
      <c r="A1025" s="962" t="s">
        <v>1319</v>
      </c>
      <c r="B1025" s="42" t="s">
        <v>3417</v>
      </c>
      <c r="C1025" s="42">
        <v>0</v>
      </c>
      <c r="D1025" s="42">
        <v>0</v>
      </c>
      <c r="E1025" s="42">
        <v>0</v>
      </c>
    </row>
    <row r="1026" spans="1:5" ht="12.75" customHeight="1">
      <c r="A1026" s="962" t="s">
        <v>1319</v>
      </c>
      <c r="B1026" s="42" t="s">
        <v>3418</v>
      </c>
      <c r="C1026" s="42">
        <v>0</v>
      </c>
      <c r="D1026" s="42">
        <v>0</v>
      </c>
      <c r="E1026" s="42">
        <v>0</v>
      </c>
    </row>
    <row r="1027" spans="1:5" ht="12.75" customHeight="1">
      <c r="A1027" s="962" t="s">
        <v>1319</v>
      </c>
      <c r="B1027" s="42" t="s">
        <v>3419</v>
      </c>
      <c r="C1027" s="42">
        <v>0</v>
      </c>
      <c r="D1027" s="42">
        <v>0</v>
      </c>
      <c r="E1027" s="42">
        <v>0</v>
      </c>
    </row>
    <row r="1028" spans="1:5" ht="12.75" customHeight="1">
      <c r="A1028" s="962" t="s">
        <v>1319</v>
      </c>
      <c r="B1028" s="42" t="s">
        <v>3420</v>
      </c>
      <c r="C1028" s="42">
        <v>0</v>
      </c>
      <c r="D1028" s="42">
        <v>0</v>
      </c>
      <c r="E1028" s="42">
        <v>0</v>
      </c>
    </row>
    <row r="1029" spans="1:5" ht="12.75" customHeight="1">
      <c r="A1029" s="962" t="s">
        <v>1319</v>
      </c>
      <c r="B1029" s="42" t="s">
        <v>3421</v>
      </c>
      <c r="C1029" s="42">
        <v>0</v>
      </c>
      <c r="D1029" s="42">
        <v>0</v>
      </c>
      <c r="E1029" s="42">
        <v>0</v>
      </c>
    </row>
    <row r="1030" spans="1:5" ht="12.75" customHeight="1">
      <c r="A1030" s="962" t="s">
        <v>1319</v>
      </c>
      <c r="B1030" s="42" t="s">
        <v>3422</v>
      </c>
      <c r="C1030" s="42">
        <v>0</v>
      </c>
      <c r="D1030" s="42">
        <v>0</v>
      </c>
      <c r="E1030" s="42">
        <v>1</v>
      </c>
    </row>
    <row r="1031" spans="1:5" ht="12.75" customHeight="1">
      <c r="A1031" s="962" t="s">
        <v>1319</v>
      </c>
      <c r="B1031" s="42" t="s">
        <v>3423</v>
      </c>
      <c r="C1031" s="42">
        <v>0</v>
      </c>
      <c r="D1031" s="42">
        <v>0</v>
      </c>
      <c r="E1031" s="42">
        <v>0</v>
      </c>
    </row>
    <row r="1032" spans="1:5" ht="12.75" customHeight="1">
      <c r="A1032" s="962" t="s">
        <v>1319</v>
      </c>
      <c r="B1032" s="42" t="s">
        <v>3424</v>
      </c>
      <c r="C1032" s="42">
        <v>0</v>
      </c>
      <c r="D1032" s="42">
        <v>0</v>
      </c>
      <c r="E1032" s="42">
        <v>0</v>
      </c>
    </row>
    <row r="1033" spans="1:5" ht="12.75" customHeight="1">
      <c r="A1033" s="962" t="s">
        <v>1319</v>
      </c>
      <c r="B1033" s="42" t="s">
        <v>3425</v>
      </c>
      <c r="C1033" s="42">
        <v>0</v>
      </c>
      <c r="D1033" s="42">
        <v>0</v>
      </c>
      <c r="E1033" s="42">
        <v>0</v>
      </c>
    </row>
    <row r="1034" spans="1:5" ht="12.75" customHeight="1">
      <c r="A1034" s="962" t="s">
        <v>1319</v>
      </c>
      <c r="B1034" s="42" t="s">
        <v>3426</v>
      </c>
      <c r="C1034" s="42">
        <v>0</v>
      </c>
      <c r="D1034" s="42">
        <v>0</v>
      </c>
      <c r="E1034" s="42">
        <v>0</v>
      </c>
    </row>
    <row r="1035" spans="1:5" ht="12.75" customHeight="1">
      <c r="A1035" s="962" t="s">
        <v>1319</v>
      </c>
      <c r="B1035" s="42" t="s">
        <v>3427</v>
      </c>
      <c r="C1035" s="42">
        <v>0</v>
      </c>
      <c r="D1035" s="42">
        <v>0</v>
      </c>
      <c r="E1035" s="42">
        <v>0</v>
      </c>
    </row>
    <row r="1036" spans="1:5" ht="12.75" customHeight="1">
      <c r="A1036" s="962" t="s">
        <v>1319</v>
      </c>
      <c r="B1036" s="42" t="s">
        <v>3428</v>
      </c>
      <c r="C1036" s="42">
        <v>0</v>
      </c>
      <c r="D1036" s="42">
        <v>0</v>
      </c>
      <c r="E1036" s="42">
        <v>0</v>
      </c>
    </row>
    <row r="1037" spans="1:5" ht="12.75" customHeight="1">
      <c r="A1037" s="962" t="s">
        <v>1319</v>
      </c>
      <c r="B1037" s="42" t="s">
        <v>3429</v>
      </c>
      <c r="C1037" s="42">
        <v>0</v>
      </c>
      <c r="D1037" s="42">
        <v>0</v>
      </c>
      <c r="E1037" s="42">
        <v>0</v>
      </c>
    </row>
    <row r="1038" spans="1:5" ht="12.75" customHeight="1">
      <c r="A1038" s="962" t="s">
        <v>1319</v>
      </c>
      <c r="B1038" s="42" t="s">
        <v>3430</v>
      </c>
      <c r="C1038" s="42">
        <v>0</v>
      </c>
      <c r="D1038" s="42">
        <v>0</v>
      </c>
      <c r="E1038" s="42">
        <v>0</v>
      </c>
    </row>
    <row r="1039" spans="1:5" ht="12.75" customHeight="1">
      <c r="A1039" s="962" t="s">
        <v>1319</v>
      </c>
      <c r="B1039" s="42" t="s">
        <v>3431</v>
      </c>
      <c r="C1039" s="42">
        <v>0</v>
      </c>
      <c r="D1039" s="42">
        <v>0</v>
      </c>
      <c r="E1039" s="42">
        <v>0</v>
      </c>
    </row>
    <row r="1040" spans="1:5" ht="12.75" customHeight="1">
      <c r="A1040" s="962" t="s">
        <v>1319</v>
      </c>
      <c r="B1040" s="42" t="s">
        <v>3432</v>
      </c>
      <c r="C1040" s="42">
        <v>0</v>
      </c>
      <c r="D1040" s="42">
        <v>0</v>
      </c>
      <c r="E1040" s="42">
        <v>0</v>
      </c>
    </row>
    <row r="1041" spans="1:5" ht="12.75" customHeight="1">
      <c r="A1041" s="962" t="s">
        <v>1319</v>
      </c>
      <c r="B1041" s="42" t="s">
        <v>3433</v>
      </c>
      <c r="C1041" s="42">
        <v>0</v>
      </c>
      <c r="D1041" s="42">
        <v>0</v>
      </c>
      <c r="E1041" s="42">
        <v>0</v>
      </c>
    </row>
    <row r="1042" spans="1:5" ht="12.75" customHeight="1">
      <c r="A1042" s="962" t="s">
        <v>1319</v>
      </c>
      <c r="B1042" s="42" t="s">
        <v>3434</v>
      </c>
      <c r="C1042" s="42">
        <v>0</v>
      </c>
      <c r="D1042" s="42">
        <v>0</v>
      </c>
      <c r="E1042" s="42">
        <v>0</v>
      </c>
    </row>
    <row r="1043" spans="1:5" ht="12.75" customHeight="1">
      <c r="A1043" s="962" t="s">
        <v>1319</v>
      </c>
      <c r="B1043" s="42" t="s">
        <v>3435</v>
      </c>
      <c r="C1043" s="42">
        <v>0</v>
      </c>
      <c r="D1043" s="42">
        <v>0</v>
      </c>
      <c r="E1043" s="42">
        <v>0</v>
      </c>
    </row>
    <row r="1044" spans="1:5" ht="12.75" customHeight="1">
      <c r="A1044" s="962" t="s">
        <v>1319</v>
      </c>
      <c r="B1044" s="42" t="s">
        <v>3436</v>
      </c>
      <c r="C1044" s="42">
        <v>0</v>
      </c>
      <c r="D1044" s="42">
        <v>0</v>
      </c>
      <c r="E1044" s="42">
        <v>0</v>
      </c>
    </row>
    <row r="1045" spans="1:5" ht="12.75" customHeight="1">
      <c r="A1045" s="962" t="s">
        <v>1319</v>
      </c>
      <c r="B1045" s="42" t="s">
        <v>3437</v>
      </c>
      <c r="C1045" s="42">
        <v>0</v>
      </c>
      <c r="D1045" s="42">
        <v>0</v>
      </c>
      <c r="E1045" s="42">
        <v>0</v>
      </c>
    </row>
    <row r="1046" spans="1:5" ht="12.75" customHeight="1">
      <c r="A1046" s="962" t="s">
        <v>1319</v>
      </c>
      <c r="B1046" s="42" t="s">
        <v>3438</v>
      </c>
      <c r="C1046" s="42">
        <v>0</v>
      </c>
      <c r="D1046" s="42">
        <v>0</v>
      </c>
      <c r="E1046" s="42">
        <v>0</v>
      </c>
    </row>
    <row r="1047" spans="1:5" ht="12.75" customHeight="1">
      <c r="A1047" s="962" t="s">
        <v>1319</v>
      </c>
      <c r="B1047" s="42" t="s">
        <v>3439</v>
      </c>
      <c r="C1047" s="42">
        <v>0</v>
      </c>
      <c r="D1047" s="42">
        <v>0</v>
      </c>
      <c r="E1047" s="42">
        <v>0</v>
      </c>
    </row>
    <row r="1048" spans="1:5" ht="12.75" customHeight="1">
      <c r="A1048" s="962" t="s">
        <v>1319</v>
      </c>
      <c r="B1048" s="42" t="s">
        <v>3440</v>
      </c>
      <c r="C1048" s="42">
        <v>0</v>
      </c>
      <c r="D1048" s="42">
        <v>0</v>
      </c>
      <c r="E1048" s="42">
        <v>0</v>
      </c>
    </row>
    <row r="1049" spans="1:5" ht="12.75" customHeight="1">
      <c r="A1049" s="962" t="s">
        <v>1319</v>
      </c>
      <c r="B1049" s="42" t="s">
        <v>3441</v>
      </c>
      <c r="C1049" s="42">
        <v>0</v>
      </c>
      <c r="D1049" s="42">
        <v>0</v>
      </c>
      <c r="E1049" s="42">
        <v>0</v>
      </c>
    </row>
    <row r="1050" spans="1:5" ht="12.75" customHeight="1">
      <c r="A1050" s="962" t="s">
        <v>1319</v>
      </c>
      <c r="B1050" s="42" t="s">
        <v>3442</v>
      </c>
      <c r="C1050" s="42">
        <v>0</v>
      </c>
      <c r="D1050" s="42">
        <v>0</v>
      </c>
      <c r="E1050" s="42">
        <v>0</v>
      </c>
    </row>
    <row r="1051" spans="1:5" ht="12.75" customHeight="1">
      <c r="A1051" s="962" t="s">
        <v>1319</v>
      </c>
      <c r="B1051" s="42" t="s">
        <v>3443</v>
      </c>
      <c r="C1051" s="42">
        <v>0</v>
      </c>
      <c r="D1051" s="42">
        <v>0</v>
      </c>
      <c r="E1051" s="42">
        <v>0</v>
      </c>
    </row>
    <row r="1052" spans="1:5" ht="12.75" customHeight="1">
      <c r="A1052" s="962" t="s">
        <v>1319</v>
      </c>
      <c r="B1052" s="42" t="s">
        <v>3444</v>
      </c>
      <c r="C1052" s="42">
        <v>0</v>
      </c>
      <c r="D1052" s="42">
        <v>0</v>
      </c>
      <c r="E1052" s="42">
        <v>0</v>
      </c>
    </row>
    <row r="1053" spans="1:5" ht="12.75" customHeight="1">
      <c r="A1053" s="962" t="s">
        <v>1319</v>
      </c>
      <c r="B1053" s="42" t="s">
        <v>3445</v>
      </c>
      <c r="C1053" s="42">
        <v>0</v>
      </c>
      <c r="D1053" s="42">
        <v>0</v>
      </c>
      <c r="E1053" s="42">
        <v>0</v>
      </c>
    </row>
    <row r="1054" spans="1:5" ht="12.75" customHeight="1">
      <c r="A1054" s="962" t="s">
        <v>1319</v>
      </c>
      <c r="B1054" s="42" t="s">
        <v>3446</v>
      </c>
      <c r="C1054" s="42">
        <v>0</v>
      </c>
      <c r="D1054" s="42">
        <v>0</v>
      </c>
      <c r="E1054" s="42">
        <v>0</v>
      </c>
    </row>
    <row r="1055" spans="1:5" ht="12.75" customHeight="1">
      <c r="A1055" s="962" t="s">
        <v>1319</v>
      </c>
      <c r="B1055" s="42" t="s">
        <v>3447</v>
      </c>
      <c r="C1055" s="42">
        <v>0</v>
      </c>
      <c r="D1055" s="42">
        <v>0</v>
      </c>
      <c r="E1055" s="42">
        <v>0</v>
      </c>
    </row>
    <row r="1056" spans="1:5" ht="12.75" customHeight="1">
      <c r="A1056" s="962" t="s">
        <v>1319</v>
      </c>
      <c r="B1056" s="42" t="s">
        <v>3448</v>
      </c>
      <c r="C1056" s="42">
        <v>0</v>
      </c>
      <c r="D1056" s="42">
        <v>0</v>
      </c>
      <c r="E1056" s="42">
        <v>0</v>
      </c>
    </row>
    <row r="1057" spans="1:5" ht="12.75" customHeight="1">
      <c r="A1057" s="962" t="s">
        <v>1319</v>
      </c>
      <c r="B1057" s="42" t="s">
        <v>3449</v>
      </c>
      <c r="C1057" s="42">
        <v>0</v>
      </c>
      <c r="D1057" s="42">
        <v>0</v>
      </c>
      <c r="E1057" s="42">
        <v>0</v>
      </c>
    </row>
    <row r="1058" spans="1:5" ht="12.75" customHeight="1">
      <c r="A1058" s="962" t="s">
        <v>1319</v>
      </c>
      <c r="B1058" s="42" t="s">
        <v>3450</v>
      </c>
      <c r="C1058" s="42">
        <v>0</v>
      </c>
      <c r="D1058" s="42">
        <v>0</v>
      </c>
      <c r="E1058" s="42">
        <v>0</v>
      </c>
    </row>
    <row r="1059" spans="1:5" ht="12.75" customHeight="1">
      <c r="A1059" s="962" t="s">
        <v>1319</v>
      </c>
      <c r="B1059" s="42" t="s">
        <v>3451</v>
      </c>
      <c r="C1059" s="42">
        <v>0</v>
      </c>
      <c r="D1059" s="42">
        <v>0</v>
      </c>
      <c r="E1059" s="42">
        <v>0</v>
      </c>
    </row>
    <row r="1060" spans="1:5" ht="12.75" customHeight="1">
      <c r="A1060" s="962" t="s">
        <v>1319</v>
      </c>
      <c r="B1060" s="42" t="s">
        <v>3452</v>
      </c>
      <c r="C1060" s="42">
        <v>0</v>
      </c>
      <c r="D1060" s="42">
        <v>0</v>
      </c>
      <c r="E1060" s="42">
        <v>0</v>
      </c>
    </row>
    <row r="1061" spans="1:5" ht="12.75" customHeight="1">
      <c r="A1061" s="962" t="s">
        <v>1319</v>
      </c>
      <c r="B1061" s="42" t="s">
        <v>3453</v>
      </c>
      <c r="C1061" s="42">
        <v>0</v>
      </c>
      <c r="D1061" s="42">
        <v>0</v>
      </c>
      <c r="E1061" s="42">
        <v>0</v>
      </c>
    </row>
    <row r="1062" spans="1:5" ht="12.75" customHeight="1">
      <c r="A1062" s="962" t="s">
        <v>1319</v>
      </c>
      <c r="B1062" s="42" t="s">
        <v>3454</v>
      </c>
      <c r="C1062" s="42">
        <v>0</v>
      </c>
      <c r="D1062" s="42">
        <v>0</v>
      </c>
      <c r="E1062" s="42">
        <v>0</v>
      </c>
    </row>
    <row r="1063" spans="1:5" ht="12.75" customHeight="1">
      <c r="A1063" s="962" t="s">
        <v>1319</v>
      </c>
      <c r="B1063" s="42" t="s">
        <v>3455</v>
      </c>
      <c r="C1063" s="42">
        <v>0</v>
      </c>
      <c r="D1063" s="42">
        <v>0</v>
      </c>
      <c r="E1063" s="42">
        <v>0</v>
      </c>
    </row>
    <row r="1064" spans="1:5" ht="12.75" customHeight="1">
      <c r="A1064" s="962" t="s">
        <v>1319</v>
      </c>
      <c r="B1064" s="42" t="s">
        <v>3456</v>
      </c>
      <c r="C1064" s="42">
        <v>0</v>
      </c>
      <c r="D1064" s="42">
        <v>0</v>
      </c>
      <c r="E1064" s="42">
        <v>0</v>
      </c>
    </row>
    <row r="1065" spans="1:5" ht="12.75" customHeight="1">
      <c r="A1065" s="962" t="s">
        <v>1319</v>
      </c>
      <c r="B1065" s="42" t="s">
        <v>3457</v>
      </c>
      <c r="C1065" s="42">
        <v>0</v>
      </c>
      <c r="D1065" s="42">
        <v>0</v>
      </c>
      <c r="E1065" s="42">
        <v>0</v>
      </c>
    </row>
    <row r="1066" spans="1:5" ht="12.75" customHeight="1">
      <c r="A1066" s="962" t="s">
        <v>1319</v>
      </c>
      <c r="B1066" s="42" t="s">
        <v>3458</v>
      </c>
      <c r="C1066" s="42">
        <v>0</v>
      </c>
      <c r="D1066" s="42">
        <v>0</v>
      </c>
      <c r="E1066" s="42">
        <v>0</v>
      </c>
    </row>
    <row r="1067" spans="1:5" ht="12.75" customHeight="1">
      <c r="A1067" s="962" t="s">
        <v>1319</v>
      </c>
      <c r="B1067" s="42" t="s">
        <v>3459</v>
      </c>
      <c r="C1067" s="42">
        <v>0</v>
      </c>
      <c r="D1067" s="42">
        <v>0</v>
      </c>
      <c r="E1067" s="42">
        <v>0</v>
      </c>
    </row>
    <row r="1068" spans="1:5" ht="12.75" customHeight="1">
      <c r="A1068" s="962" t="s">
        <v>1319</v>
      </c>
      <c r="B1068" s="42" t="s">
        <v>3460</v>
      </c>
      <c r="C1068" s="42">
        <v>0</v>
      </c>
      <c r="D1068" s="42">
        <v>0</v>
      </c>
      <c r="E1068" s="42">
        <v>0</v>
      </c>
    </row>
    <row r="1069" spans="1:5" ht="12.75" customHeight="1">
      <c r="A1069" s="962" t="s">
        <v>1319</v>
      </c>
      <c r="B1069" s="42" t="s">
        <v>3461</v>
      </c>
      <c r="C1069" s="42">
        <v>0</v>
      </c>
      <c r="D1069" s="42">
        <v>0</v>
      </c>
      <c r="E1069" s="42">
        <v>0</v>
      </c>
    </row>
    <row r="1070" spans="1:5" ht="12.75" customHeight="1">
      <c r="A1070" s="962" t="s">
        <v>1319</v>
      </c>
      <c r="B1070" s="42" t="s">
        <v>3462</v>
      </c>
      <c r="C1070" s="42">
        <v>0</v>
      </c>
      <c r="D1070" s="42">
        <v>0</v>
      </c>
      <c r="E1070" s="42">
        <v>0</v>
      </c>
    </row>
    <row r="1071" spans="1:5" ht="12.75" customHeight="1">
      <c r="A1071" s="962" t="s">
        <v>1319</v>
      </c>
      <c r="B1071" s="42" t="s">
        <v>3463</v>
      </c>
      <c r="C1071" s="42">
        <v>0</v>
      </c>
      <c r="D1071" s="42">
        <v>0</v>
      </c>
      <c r="E1071" s="42">
        <v>0</v>
      </c>
    </row>
    <row r="1072" spans="1:5" ht="12.75" customHeight="1">
      <c r="A1072" s="962" t="s">
        <v>1319</v>
      </c>
      <c r="B1072" s="42" t="s">
        <v>3464</v>
      </c>
      <c r="C1072" s="42">
        <v>0</v>
      </c>
      <c r="D1072" s="42">
        <v>0</v>
      </c>
      <c r="E1072" s="42">
        <v>0</v>
      </c>
    </row>
    <row r="1073" spans="1:5" ht="12.75" customHeight="1">
      <c r="A1073" s="962" t="s">
        <v>1319</v>
      </c>
      <c r="B1073" s="42" t="s">
        <v>3465</v>
      </c>
      <c r="C1073" s="42">
        <v>0</v>
      </c>
      <c r="D1073" s="42">
        <v>0</v>
      </c>
      <c r="E1073" s="42">
        <v>0</v>
      </c>
    </row>
    <row r="1074" spans="1:5" ht="12.75" customHeight="1">
      <c r="A1074" s="962" t="s">
        <v>1319</v>
      </c>
      <c r="B1074" s="42" t="s">
        <v>3466</v>
      </c>
      <c r="C1074" s="42">
        <v>0</v>
      </c>
      <c r="D1074" s="42">
        <v>0</v>
      </c>
      <c r="E1074" s="42">
        <v>0</v>
      </c>
    </row>
    <row r="1075" spans="1:5" ht="12.75" customHeight="1">
      <c r="A1075" s="962" t="s">
        <v>1319</v>
      </c>
      <c r="B1075" s="42" t="s">
        <v>3467</v>
      </c>
      <c r="C1075" s="42">
        <v>0</v>
      </c>
      <c r="D1075" s="42">
        <v>0</v>
      </c>
      <c r="E1075" s="42">
        <v>0</v>
      </c>
    </row>
    <row r="1076" spans="1:5" ht="12.75" customHeight="1">
      <c r="A1076" s="962" t="s">
        <v>1319</v>
      </c>
      <c r="B1076" s="42" t="s">
        <v>3468</v>
      </c>
      <c r="C1076" s="42">
        <v>0</v>
      </c>
      <c r="D1076" s="42">
        <v>0</v>
      </c>
      <c r="E1076" s="42">
        <v>0</v>
      </c>
    </row>
    <row r="1077" spans="1:5" ht="12.75" customHeight="1">
      <c r="A1077" s="962" t="s">
        <v>1319</v>
      </c>
      <c r="B1077" s="42" t="s">
        <v>3469</v>
      </c>
      <c r="C1077" s="42">
        <v>0</v>
      </c>
      <c r="D1077" s="42">
        <v>0</v>
      </c>
      <c r="E1077" s="42">
        <v>0</v>
      </c>
    </row>
    <row r="1078" spans="1:5" ht="12.75" customHeight="1">
      <c r="A1078" s="962" t="s">
        <v>1319</v>
      </c>
      <c r="B1078" s="42" t="s">
        <v>3470</v>
      </c>
      <c r="C1078" s="42">
        <v>0</v>
      </c>
      <c r="D1078" s="42">
        <v>0</v>
      </c>
      <c r="E1078" s="42">
        <v>0</v>
      </c>
    </row>
    <row r="1079" spans="1:5" ht="12.75" customHeight="1">
      <c r="A1079" s="962" t="s">
        <v>1319</v>
      </c>
      <c r="B1079" s="42" t="s">
        <v>3471</v>
      </c>
      <c r="C1079" s="42">
        <v>0</v>
      </c>
      <c r="D1079" s="42">
        <v>0</v>
      </c>
      <c r="E1079" s="42">
        <v>0</v>
      </c>
    </row>
    <row r="1080" spans="1:5" ht="12.75" customHeight="1">
      <c r="A1080" s="962" t="s">
        <v>1319</v>
      </c>
      <c r="B1080" s="42" t="s">
        <v>3472</v>
      </c>
      <c r="C1080" s="42">
        <v>0</v>
      </c>
      <c r="D1080" s="42">
        <v>0</v>
      </c>
      <c r="E1080" s="42">
        <v>0</v>
      </c>
    </row>
    <row r="1081" spans="1:5" ht="12.75" customHeight="1">
      <c r="A1081" s="962" t="s">
        <v>1319</v>
      </c>
      <c r="B1081" s="42" t="s">
        <v>3473</v>
      </c>
      <c r="C1081" s="42">
        <v>0</v>
      </c>
      <c r="D1081" s="42">
        <v>0</v>
      </c>
      <c r="E1081" s="42">
        <v>0</v>
      </c>
    </row>
    <row r="1082" spans="1:5" ht="12.75" customHeight="1">
      <c r="A1082" s="962" t="s">
        <v>1319</v>
      </c>
      <c r="B1082" s="42" t="s">
        <v>3474</v>
      </c>
      <c r="C1082" s="42">
        <v>0</v>
      </c>
      <c r="D1082" s="42">
        <v>0</v>
      </c>
      <c r="E1082" s="42">
        <v>0</v>
      </c>
    </row>
    <row r="1083" spans="1:5" ht="12.75" customHeight="1">
      <c r="A1083" s="962" t="s">
        <v>1319</v>
      </c>
      <c r="B1083" s="42" t="s">
        <v>3475</v>
      </c>
      <c r="C1083" s="42">
        <v>0</v>
      </c>
      <c r="D1083" s="42">
        <v>0</v>
      </c>
      <c r="E1083" s="42">
        <v>0</v>
      </c>
    </row>
    <row r="1084" spans="1:5" ht="12.75" customHeight="1">
      <c r="A1084" s="962" t="s">
        <v>1319</v>
      </c>
      <c r="B1084" s="42" t="s">
        <v>3476</v>
      </c>
      <c r="C1084" s="42">
        <v>0</v>
      </c>
      <c r="D1084" s="42">
        <v>0</v>
      </c>
      <c r="E1084" s="42">
        <v>0</v>
      </c>
    </row>
    <row r="1085" spans="1:5" ht="12.75" customHeight="1">
      <c r="A1085" s="962" t="s">
        <v>1319</v>
      </c>
      <c r="B1085" s="42" t="s">
        <v>3477</v>
      </c>
      <c r="C1085" s="42">
        <v>0</v>
      </c>
      <c r="D1085" s="42">
        <v>0</v>
      </c>
      <c r="E1085" s="42">
        <v>0</v>
      </c>
    </row>
    <row r="1086" spans="1:5" ht="12.75" customHeight="1">
      <c r="A1086" s="962" t="s">
        <v>1319</v>
      </c>
      <c r="B1086" s="42" t="s">
        <v>3478</v>
      </c>
      <c r="C1086" s="42">
        <v>0</v>
      </c>
      <c r="D1086" s="42">
        <v>0</v>
      </c>
      <c r="E1086" s="42">
        <v>0</v>
      </c>
    </row>
    <row r="1087" spans="1:5" ht="12.75" customHeight="1">
      <c r="A1087" s="962" t="s">
        <v>1319</v>
      </c>
      <c r="B1087" s="42" t="s">
        <v>3479</v>
      </c>
      <c r="C1087" s="42">
        <v>0</v>
      </c>
      <c r="D1087" s="42">
        <v>0</v>
      </c>
      <c r="E1087" s="42">
        <v>0</v>
      </c>
    </row>
    <row r="1088" spans="1:5" ht="12.75" customHeight="1">
      <c r="A1088" s="962" t="s">
        <v>1319</v>
      </c>
      <c r="B1088" s="42" t="s">
        <v>3480</v>
      </c>
      <c r="C1088" s="42">
        <v>0</v>
      </c>
      <c r="D1088" s="42">
        <v>0</v>
      </c>
      <c r="E1088" s="42">
        <v>0</v>
      </c>
    </row>
    <row r="1089" spans="1:5" ht="12.75" customHeight="1">
      <c r="A1089" s="962" t="s">
        <v>1319</v>
      </c>
      <c r="B1089" s="42" t="s">
        <v>3481</v>
      </c>
      <c r="C1089" s="42">
        <v>0</v>
      </c>
      <c r="D1089" s="42">
        <v>0</v>
      </c>
      <c r="E1089" s="42">
        <v>0</v>
      </c>
    </row>
    <row r="1090" spans="1:5" ht="12.75" customHeight="1">
      <c r="A1090" s="962" t="s">
        <v>1319</v>
      </c>
      <c r="B1090" s="42" t="s">
        <v>3482</v>
      </c>
      <c r="C1090" s="42">
        <v>0</v>
      </c>
      <c r="D1090" s="42">
        <v>0</v>
      </c>
      <c r="E1090" s="42">
        <v>0</v>
      </c>
    </row>
    <row r="1091" spans="1:5" ht="12.75" customHeight="1">
      <c r="A1091" s="962" t="s">
        <v>1319</v>
      </c>
      <c r="B1091" s="42" t="s">
        <v>3483</v>
      </c>
      <c r="C1091" s="42">
        <v>0</v>
      </c>
      <c r="D1091" s="42">
        <v>0</v>
      </c>
      <c r="E1091" s="42">
        <v>0</v>
      </c>
    </row>
    <row r="1092" spans="1:5" ht="12.75" customHeight="1">
      <c r="A1092" s="962" t="s">
        <v>1319</v>
      </c>
      <c r="B1092" s="42" t="s">
        <v>3484</v>
      </c>
      <c r="C1092" s="42">
        <v>0</v>
      </c>
      <c r="D1092" s="42">
        <v>0</v>
      </c>
      <c r="E1092" s="42">
        <v>0</v>
      </c>
    </row>
    <row r="1093" spans="1:5" ht="12.75" customHeight="1">
      <c r="A1093" s="962" t="s">
        <v>1319</v>
      </c>
      <c r="B1093" s="42" t="s">
        <v>3485</v>
      </c>
      <c r="C1093" s="42">
        <v>0</v>
      </c>
      <c r="D1093" s="42">
        <v>0</v>
      </c>
      <c r="E1093" s="42">
        <v>0</v>
      </c>
    </row>
    <row r="1094" spans="1:5" ht="12.75" customHeight="1">
      <c r="A1094" s="962" t="s">
        <v>1319</v>
      </c>
      <c r="B1094" s="42" t="s">
        <v>3486</v>
      </c>
      <c r="C1094" s="42">
        <v>0</v>
      </c>
      <c r="D1094" s="42">
        <v>0</v>
      </c>
      <c r="E1094" s="42">
        <v>0</v>
      </c>
    </row>
    <row r="1095" spans="1:5" ht="12.75" customHeight="1">
      <c r="A1095" s="962" t="s">
        <v>1319</v>
      </c>
      <c r="B1095" s="42" t="s">
        <v>3487</v>
      </c>
      <c r="C1095" s="42">
        <v>0</v>
      </c>
      <c r="D1095" s="42">
        <v>0</v>
      </c>
      <c r="E1095" s="42">
        <v>0</v>
      </c>
    </row>
    <row r="1096" spans="1:5" ht="12.75" customHeight="1">
      <c r="A1096" s="962" t="s">
        <v>1319</v>
      </c>
      <c r="B1096" s="42" t="s">
        <v>3488</v>
      </c>
      <c r="C1096" s="42">
        <v>0</v>
      </c>
      <c r="D1096" s="42">
        <v>0</v>
      </c>
      <c r="E1096" s="42">
        <v>0</v>
      </c>
    </row>
    <row r="1097" spans="1:5" ht="12.75" customHeight="1">
      <c r="A1097" s="962" t="s">
        <v>1319</v>
      </c>
      <c r="B1097" s="42" t="s">
        <v>3489</v>
      </c>
      <c r="C1097" s="42">
        <v>0</v>
      </c>
      <c r="D1097" s="42">
        <v>0</v>
      </c>
      <c r="E1097" s="42">
        <v>0</v>
      </c>
    </row>
    <row r="1098" spans="1:5" ht="12.75" customHeight="1">
      <c r="A1098" s="962" t="s">
        <v>1319</v>
      </c>
      <c r="B1098" s="42" t="s">
        <v>3490</v>
      </c>
      <c r="C1098" s="42">
        <v>0</v>
      </c>
      <c r="D1098" s="42">
        <v>0</v>
      </c>
      <c r="E1098" s="42">
        <v>0</v>
      </c>
    </row>
    <row r="1099" spans="1:5" ht="12.75" customHeight="1">
      <c r="A1099" s="962" t="s">
        <v>1319</v>
      </c>
      <c r="B1099" s="42" t="s">
        <v>3491</v>
      </c>
      <c r="C1099" s="42">
        <v>0</v>
      </c>
      <c r="D1099" s="42">
        <v>0</v>
      </c>
      <c r="E1099" s="42">
        <v>0</v>
      </c>
    </row>
    <row r="1100" spans="1:5" ht="12.75" customHeight="1">
      <c r="A1100" s="962" t="s">
        <v>1319</v>
      </c>
      <c r="B1100" s="42" t="s">
        <v>3492</v>
      </c>
      <c r="C1100" s="42">
        <v>0</v>
      </c>
      <c r="D1100" s="42">
        <v>0</v>
      </c>
      <c r="E1100" s="42">
        <v>0</v>
      </c>
    </row>
    <row r="1101" spans="1:5" ht="12.75" customHeight="1">
      <c r="A1101" s="962" t="s">
        <v>1319</v>
      </c>
      <c r="B1101" s="42" t="s">
        <v>3493</v>
      </c>
      <c r="C1101" s="42">
        <v>0</v>
      </c>
      <c r="D1101" s="42">
        <v>0</v>
      </c>
      <c r="E1101" s="42">
        <v>0</v>
      </c>
    </row>
    <row r="1102" spans="1:5" ht="12.75" customHeight="1">
      <c r="A1102" s="962" t="s">
        <v>1319</v>
      </c>
      <c r="B1102" s="42" t="s">
        <v>3494</v>
      </c>
      <c r="C1102" s="42">
        <v>0</v>
      </c>
      <c r="D1102" s="42">
        <v>0</v>
      </c>
      <c r="E1102" s="42">
        <v>0</v>
      </c>
    </row>
    <row r="1103" spans="1:5" ht="12.75" customHeight="1">
      <c r="A1103" s="962" t="s">
        <v>1319</v>
      </c>
      <c r="B1103" s="42" t="s">
        <v>3495</v>
      </c>
      <c r="C1103" s="42">
        <v>0</v>
      </c>
      <c r="D1103" s="42">
        <v>0</v>
      </c>
      <c r="E1103" s="42">
        <v>0</v>
      </c>
    </row>
    <row r="1104" spans="1:5" ht="12.75" customHeight="1">
      <c r="A1104" s="962" t="s">
        <v>1319</v>
      </c>
      <c r="B1104" s="42" t="s">
        <v>3496</v>
      </c>
      <c r="C1104" s="42">
        <v>0</v>
      </c>
      <c r="D1104" s="42">
        <v>0</v>
      </c>
      <c r="E1104" s="42">
        <v>0</v>
      </c>
    </row>
    <row r="1105" spans="1:5" ht="12.75" customHeight="1">
      <c r="A1105" s="962" t="s">
        <v>1319</v>
      </c>
      <c r="B1105" s="42" t="s">
        <v>3497</v>
      </c>
      <c r="C1105" s="42">
        <v>0</v>
      </c>
      <c r="D1105" s="42">
        <v>0</v>
      </c>
      <c r="E1105" s="42">
        <v>0</v>
      </c>
    </row>
    <row r="1106" spans="1:5" ht="12.75" customHeight="1">
      <c r="A1106" s="962" t="s">
        <v>1319</v>
      </c>
      <c r="B1106" s="42" t="s">
        <v>3498</v>
      </c>
      <c r="C1106" s="42">
        <v>0</v>
      </c>
      <c r="D1106" s="42">
        <v>0</v>
      </c>
      <c r="E1106" s="42">
        <v>0</v>
      </c>
    </row>
    <row r="1107" spans="1:5" ht="12.75" customHeight="1">
      <c r="A1107" s="962" t="s">
        <v>1319</v>
      </c>
      <c r="B1107" s="42" t="s">
        <v>3499</v>
      </c>
      <c r="C1107" s="42">
        <v>0</v>
      </c>
      <c r="D1107" s="42">
        <v>0</v>
      </c>
      <c r="E1107" s="42">
        <v>0</v>
      </c>
    </row>
    <row r="1108" spans="1:5" ht="12.75" customHeight="1">
      <c r="A1108" s="962" t="s">
        <v>1319</v>
      </c>
      <c r="B1108" s="42" t="s">
        <v>3500</v>
      </c>
      <c r="C1108" s="42">
        <v>0</v>
      </c>
      <c r="D1108" s="42">
        <v>0</v>
      </c>
      <c r="E1108" s="42">
        <v>0</v>
      </c>
    </row>
    <row r="1109" spans="1:5" ht="12.75" customHeight="1">
      <c r="A1109" s="962" t="s">
        <v>1319</v>
      </c>
      <c r="B1109" s="42" t="s">
        <v>3501</v>
      </c>
      <c r="C1109" s="42">
        <v>0</v>
      </c>
      <c r="D1109" s="42">
        <v>0</v>
      </c>
      <c r="E1109" s="42">
        <v>0</v>
      </c>
    </row>
    <row r="1110" spans="1:5" ht="12.75" customHeight="1">
      <c r="A1110" s="962" t="s">
        <v>1319</v>
      </c>
      <c r="B1110" s="42" t="s">
        <v>3502</v>
      </c>
      <c r="C1110" s="42">
        <v>0</v>
      </c>
      <c r="D1110" s="42">
        <v>0</v>
      </c>
      <c r="E1110" s="42">
        <v>0</v>
      </c>
    </row>
    <row r="1111" spans="1:5" ht="12.75" customHeight="1">
      <c r="A1111" s="962" t="s">
        <v>1319</v>
      </c>
      <c r="B1111" s="42" t="s">
        <v>3503</v>
      </c>
      <c r="C1111" s="42">
        <v>0</v>
      </c>
      <c r="D1111" s="42">
        <v>0</v>
      </c>
      <c r="E1111" s="42">
        <v>0</v>
      </c>
    </row>
    <row r="1112" spans="1:5" ht="12.75" customHeight="1">
      <c r="A1112" s="962" t="s">
        <v>1319</v>
      </c>
      <c r="B1112" s="42" t="s">
        <v>3504</v>
      </c>
      <c r="C1112" s="42">
        <v>0</v>
      </c>
      <c r="D1112" s="42">
        <v>0</v>
      </c>
      <c r="E1112" s="42">
        <v>0</v>
      </c>
    </row>
    <row r="1113" spans="1:5" ht="12.75" customHeight="1">
      <c r="A1113" s="962" t="s">
        <v>1319</v>
      </c>
      <c r="B1113" s="42" t="s">
        <v>3505</v>
      </c>
      <c r="C1113" s="42">
        <v>0</v>
      </c>
      <c r="D1113" s="42">
        <v>0</v>
      </c>
      <c r="E1113" s="42">
        <v>0</v>
      </c>
    </row>
    <row r="1114" spans="1:5" ht="12.75" customHeight="1">
      <c r="A1114" s="962" t="s">
        <v>1319</v>
      </c>
      <c r="B1114" s="42" t="s">
        <v>3506</v>
      </c>
      <c r="C1114" s="42">
        <v>1</v>
      </c>
      <c r="D1114" s="42">
        <v>1</v>
      </c>
      <c r="E1114" s="42">
        <v>1</v>
      </c>
    </row>
    <row r="1115" spans="1:5" ht="12.75" customHeight="1">
      <c r="A1115" s="962" t="s">
        <v>1319</v>
      </c>
      <c r="B1115" s="42" t="s">
        <v>3507</v>
      </c>
      <c r="C1115" s="42">
        <v>0</v>
      </c>
      <c r="D1115" s="42">
        <v>0</v>
      </c>
      <c r="E1115" s="42">
        <v>0</v>
      </c>
    </row>
    <row r="1116" spans="1:5" ht="12.75" customHeight="1">
      <c r="A1116" s="962" t="s">
        <v>1319</v>
      </c>
      <c r="B1116" s="42" t="s">
        <v>3508</v>
      </c>
      <c r="C1116" s="42">
        <v>0</v>
      </c>
      <c r="D1116" s="42">
        <v>0</v>
      </c>
      <c r="E1116" s="42">
        <v>0</v>
      </c>
    </row>
    <row r="1117" spans="1:5" ht="12.75" customHeight="1">
      <c r="A1117" s="962" t="s">
        <v>1319</v>
      </c>
      <c r="B1117" s="42" t="s">
        <v>3509</v>
      </c>
      <c r="C1117" s="42">
        <v>0</v>
      </c>
      <c r="D1117" s="42">
        <v>0</v>
      </c>
      <c r="E1117" s="42">
        <v>0</v>
      </c>
    </row>
    <row r="1118" spans="1:5" ht="12.75" customHeight="1">
      <c r="A1118" s="962" t="s">
        <v>3510</v>
      </c>
      <c r="B1118" s="42" t="s">
        <v>3511</v>
      </c>
      <c r="C1118" s="42">
        <v>0</v>
      </c>
      <c r="D1118" s="42">
        <v>0</v>
      </c>
      <c r="E1118" s="42">
        <v>0</v>
      </c>
    </row>
    <row r="1119" spans="1:5" ht="12.75" customHeight="1">
      <c r="A1119" s="962" t="s">
        <v>3510</v>
      </c>
      <c r="B1119" s="42" t="s">
        <v>3512</v>
      </c>
      <c r="C1119" s="42">
        <v>0</v>
      </c>
      <c r="D1119" s="42">
        <v>0</v>
      </c>
      <c r="E1119" s="42">
        <v>0</v>
      </c>
    </row>
    <row r="1120" spans="1:5" ht="12.75" customHeight="1">
      <c r="A1120" s="962" t="s">
        <v>3510</v>
      </c>
      <c r="B1120" s="42" t="s">
        <v>3513</v>
      </c>
      <c r="C1120" s="42">
        <v>0</v>
      </c>
      <c r="D1120" s="42">
        <v>0</v>
      </c>
      <c r="E1120" s="42">
        <v>0</v>
      </c>
    </row>
    <row r="1121" spans="1:5" ht="12.75" customHeight="1">
      <c r="A1121" s="962" t="s">
        <v>3510</v>
      </c>
      <c r="B1121" s="42" t="s">
        <v>3514</v>
      </c>
      <c r="C1121" s="42">
        <v>0</v>
      </c>
      <c r="D1121" s="42">
        <v>0</v>
      </c>
      <c r="E1121" s="42">
        <v>0</v>
      </c>
    </row>
    <row r="1122" spans="1:5" ht="12.75" customHeight="1">
      <c r="A1122" s="962" t="s">
        <v>1384</v>
      </c>
      <c r="B1122" s="42" t="s">
        <v>3515</v>
      </c>
      <c r="C1122" s="42">
        <v>0</v>
      </c>
      <c r="D1122" s="42">
        <v>0</v>
      </c>
      <c r="E1122" s="42">
        <v>0</v>
      </c>
    </row>
    <row r="1123" spans="1:5" ht="12.75" customHeight="1">
      <c r="A1123" s="962" t="s">
        <v>1384</v>
      </c>
      <c r="B1123" s="42" t="s">
        <v>3516</v>
      </c>
      <c r="C1123" s="42">
        <v>0</v>
      </c>
      <c r="D1123" s="42">
        <v>0</v>
      </c>
      <c r="E1123" s="42">
        <v>0</v>
      </c>
    </row>
    <row r="1124" spans="1:5" ht="12.75" customHeight="1">
      <c r="A1124" s="962" t="s">
        <v>1384</v>
      </c>
      <c r="B1124" s="42" t="s">
        <v>3517</v>
      </c>
      <c r="C1124" s="42">
        <v>0</v>
      </c>
      <c r="D1124" s="42">
        <v>0</v>
      </c>
      <c r="E1124" s="42">
        <v>0</v>
      </c>
    </row>
    <row r="1125" spans="1:5" ht="12.75" customHeight="1">
      <c r="A1125" s="962" t="s">
        <v>1384</v>
      </c>
      <c r="B1125" s="42" t="s">
        <v>3518</v>
      </c>
      <c r="C1125" s="42">
        <v>0</v>
      </c>
      <c r="D1125" s="42">
        <v>0</v>
      </c>
      <c r="E1125" s="42">
        <v>0</v>
      </c>
    </row>
    <row r="1126" spans="1:5" ht="12.75" customHeight="1">
      <c r="A1126" s="962" t="s">
        <v>1384</v>
      </c>
      <c r="B1126" s="42" t="s">
        <v>3519</v>
      </c>
      <c r="C1126" s="42">
        <v>0</v>
      </c>
      <c r="D1126" s="42">
        <v>0</v>
      </c>
      <c r="E1126" s="42">
        <v>0</v>
      </c>
    </row>
    <row r="1127" spans="1:5" ht="12.75" customHeight="1">
      <c r="A1127" s="962" t="s">
        <v>1384</v>
      </c>
      <c r="B1127" s="42" t="s">
        <v>3520</v>
      </c>
      <c r="C1127" s="42">
        <v>0</v>
      </c>
      <c r="D1127" s="42">
        <v>0</v>
      </c>
      <c r="E1127" s="42">
        <v>0</v>
      </c>
    </row>
    <row r="1128" spans="1:5" ht="12.75" customHeight="1">
      <c r="A1128" s="962" t="s">
        <v>1384</v>
      </c>
      <c r="B1128" s="42" t="s">
        <v>3521</v>
      </c>
      <c r="C1128" s="42">
        <v>1</v>
      </c>
      <c r="D1128" s="42">
        <v>1</v>
      </c>
      <c r="E1128" s="42">
        <v>1</v>
      </c>
    </row>
    <row r="1129" spans="1:5" ht="12.75" customHeight="1">
      <c r="A1129" s="962" t="s">
        <v>1384</v>
      </c>
      <c r="B1129" s="42" t="s">
        <v>3522</v>
      </c>
      <c r="C1129" s="42">
        <v>0</v>
      </c>
      <c r="D1129" s="42">
        <v>0</v>
      </c>
      <c r="E1129" s="42">
        <v>0</v>
      </c>
    </row>
    <row r="1130" spans="1:5" ht="12.75" customHeight="1">
      <c r="A1130" s="962" t="s">
        <v>1384</v>
      </c>
      <c r="B1130" s="42" t="s">
        <v>3523</v>
      </c>
      <c r="C1130" s="42">
        <v>0</v>
      </c>
      <c r="D1130" s="42">
        <v>0</v>
      </c>
      <c r="E1130" s="42">
        <v>0</v>
      </c>
    </row>
    <row r="1131" spans="1:5" ht="12.75" customHeight="1">
      <c r="A1131" s="962" t="s">
        <v>1384</v>
      </c>
      <c r="B1131" s="42" t="s">
        <v>3524</v>
      </c>
      <c r="C1131" s="42">
        <v>0</v>
      </c>
      <c r="D1131" s="42">
        <v>0</v>
      </c>
      <c r="E1131" s="42">
        <v>0</v>
      </c>
    </row>
    <row r="1132" spans="1:5" ht="12.75" customHeight="1">
      <c r="A1132" s="962" t="s">
        <v>1384</v>
      </c>
      <c r="B1132" s="42" t="s">
        <v>3525</v>
      </c>
      <c r="C1132" s="42">
        <v>0</v>
      </c>
      <c r="D1132" s="42">
        <v>0</v>
      </c>
      <c r="E1132" s="42">
        <v>0</v>
      </c>
    </row>
    <row r="1133" spans="1:5" ht="12.75" customHeight="1">
      <c r="A1133" s="962" t="s">
        <v>1384</v>
      </c>
      <c r="B1133" s="42" t="s">
        <v>3526</v>
      </c>
      <c r="C1133" s="42">
        <v>0</v>
      </c>
      <c r="D1133" s="42">
        <v>0</v>
      </c>
      <c r="E1133" s="42">
        <v>0</v>
      </c>
    </row>
    <row r="1134" spans="1:5" ht="12.75" customHeight="1">
      <c r="A1134" s="962" t="s">
        <v>1384</v>
      </c>
      <c r="B1134" s="42" t="s">
        <v>3527</v>
      </c>
      <c r="C1134" s="42">
        <v>0</v>
      </c>
      <c r="D1134" s="42">
        <v>0</v>
      </c>
      <c r="E1134" s="42">
        <v>0</v>
      </c>
    </row>
    <row r="1135" spans="1:5" ht="12.75" customHeight="1">
      <c r="A1135" s="962" t="s">
        <v>1384</v>
      </c>
      <c r="B1135" s="42" t="s">
        <v>3528</v>
      </c>
      <c r="C1135" s="42">
        <v>0</v>
      </c>
      <c r="D1135" s="42">
        <v>0</v>
      </c>
      <c r="E1135" s="42">
        <v>0</v>
      </c>
    </row>
    <row r="1136" spans="1:5" ht="12.75" customHeight="1">
      <c r="A1136" s="962" t="s">
        <v>1384</v>
      </c>
      <c r="B1136" s="42" t="s">
        <v>3529</v>
      </c>
      <c r="C1136" s="42">
        <v>0</v>
      </c>
      <c r="D1136" s="42">
        <v>0</v>
      </c>
      <c r="E1136" s="42">
        <v>0</v>
      </c>
    </row>
    <row r="1137" spans="1:5" ht="12.75" customHeight="1">
      <c r="A1137" s="962" t="s">
        <v>1384</v>
      </c>
      <c r="B1137" s="42" t="s">
        <v>3530</v>
      </c>
      <c r="C1137" s="42">
        <v>0</v>
      </c>
      <c r="D1137" s="42">
        <v>0</v>
      </c>
      <c r="E1137" s="42">
        <v>0</v>
      </c>
    </row>
    <row r="1138" spans="1:5" ht="12.75" customHeight="1">
      <c r="A1138" s="962" t="s">
        <v>1384</v>
      </c>
      <c r="B1138" s="42" t="s">
        <v>3531</v>
      </c>
      <c r="C1138" s="42">
        <v>0</v>
      </c>
      <c r="D1138" s="42">
        <v>0</v>
      </c>
      <c r="E1138" s="42">
        <v>0</v>
      </c>
    </row>
    <row r="1139" spans="1:5" ht="12.75" customHeight="1">
      <c r="A1139" s="962" t="s">
        <v>1384</v>
      </c>
      <c r="B1139" s="42" t="s">
        <v>3532</v>
      </c>
      <c r="C1139" s="42">
        <v>0</v>
      </c>
      <c r="D1139" s="42">
        <v>0</v>
      </c>
      <c r="E1139" s="42">
        <v>0</v>
      </c>
    </row>
    <row r="1140" spans="1:5" ht="12.75" customHeight="1">
      <c r="A1140" s="962" t="s">
        <v>1384</v>
      </c>
      <c r="B1140" s="42" t="s">
        <v>3533</v>
      </c>
      <c r="C1140" s="42">
        <v>0</v>
      </c>
      <c r="D1140" s="42">
        <v>0</v>
      </c>
      <c r="E1140" s="42">
        <v>0</v>
      </c>
    </row>
    <row r="1141" spans="1:5" ht="12.75" customHeight="1">
      <c r="A1141" s="962" t="s">
        <v>1384</v>
      </c>
      <c r="B1141" s="42" t="s">
        <v>3534</v>
      </c>
      <c r="C1141" s="42">
        <v>0</v>
      </c>
      <c r="D1141" s="42">
        <v>0</v>
      </c>
      <c r="E1141" s="42">
        <v>0</v>
      </c>
    </row>
    <row r="1142" spans="1:5" ht="12.75" customHeight="1">
      <c r="A1142" s="962" t="s">
        <v>1384</v>
      </c>
      <c r="B1142" s="42" t="s">
        <v>3535</v>
      </c>
      <c r="C1142" s="42">
        <v>0</v>
      </c>
      <c r="D1142" s="42">
        <v>0</v>
      </c>
      <c r="E1142" s="42">
        <v>0</v>
      </c>
    </row>
    <row r="1143" spans="1:5" ht="12.75" customHeight="1">
      <c r="A1143" s="962" t="s">
        <v>1384</v>
      </c>
      <c r="B1143" s="42" t="s">
        <v>3536</v>
      </c>
      <c r="C1143" s="42">
        <v>0</v>
      </c>
      <c r="D1143" s="42">
        <v>0</v>
      </c>
      <c r="E1143" s="42">
        <v>0</v>
      </c>
    </row>
    <row r="1144" spans="1:5" ht="12.75" customHeight="1">
      <c r="A1144" s="962" t="s">
        <v>1384</v>
      </c>
      <c r="B1144" s="42" t="s">
        <v>3537</v>
      </c>
      <c r="C1144" s="42">
        <v>0</v>
      </c>
      <c r="D1144" s="42">
        <v>0</v>
      </c>
      <c r="E1144" s="42">
        <v>0</v>
      </c>
    </row>
    <row r="1145" spans="1:5" ht="12.75" customHeight="1">
      <c r="A1145" s="962" t="s">
        <v>1384</v>
      </c>
      <c r="B1145" s="42" t="s">
        <v>3538</v>
      </c>
      <c r="C1145" s="42">
        <v>0</v>
      </c>
      <c r="D1145" s="42">
        <v>0</v>
      </c>
      <c r="E1145" s="42">
        <v>0</v>
      </c>
    </row>
    <row r="1146" spans="1:5" ht="12.75" customHeight="1">
      <c r="A1146" s="962" t="s">
        <v>1384</v>
      </c>
      <c r="B1146" s="42" t="s">
        <v>3539</v>
      </c>
      <c r="C1146" s="42">
        <v>0</v>
      </c>
      <c r="D1146" s="42">
        <v>0</v>
      </c>
      <c r="E1146" s="42">
        <v>0</v>
      </c>
    </row>
    <row r="1147" spans="1:5" ht="12.75" customHeight="1">
      <c r="A1147" s="962" t="s">
        <v>1384</v>
      </c>
      <c r="B1147" s="42" t="s">
        <v>3540</v>
      </c>
      <c r="C1147" s="42">
        <v>0</v>
      </c>
      <c r="D1147" s="42">
        <v>0</v>
      </c>
      <c r="E1147" s="42">
        <v>0</v>
      </c>
    </row>
    <row r="1148" spans="1:5" ht="12.75" customHeight="1">
      <c r="A1148" s="962" t="s">
        <v>1384</v>
      </c>
      <c r="B1148" s="42" t="s">
        <v>3541</v>
      </c>
      <c r="C1148" s="42">
        <v>0</v>
      </c>
      <c r="D1148" s="42">
        <v>0</v>
      </c>
      <c r="E1148" s="42">
        <v>0</v>
      </c>
    </row>
    <row r="1149" spans="1:5" ht="12.75" customHeight="1">
      <c r="A1149" s="962" t="s">
        <v>1384</v>
      </c>
      <c r="B1149" s="42" t="s">
        <v>3542</v>
      </c>
      <c r="C1149" s="42">
        <v>0</v>
      </c>
      <c r="D1149" s="42">
        <v>0</v>
      </c>
      <c r="E1149" s="42">
        <v>0</v>
      </c>
    </row>
    <row r="1150" spans="1:5" ht="12.75" customHeight="1">
      <c r="A1150" s="962" t="s">
        <v>1384</v>
      </c>
      <c r="B1150" s="42" t="s">
        <v>3543</v>
      </c>
      <c r="C1150" s="42">
        <v>0</v>
      </c>
      <c r="D1150" s="42">
        <v>0</v>
      </c>
      <c r="E1150" s="42">
        <v>0</v>
      </c>
    </row>
    <row r="1151" spans="1:5" ht="12.75" customHeight="1">
      <c r="A1151" s="962" t="s">
        <v>1384</v>
      </c>
      <c r="B1151" s="42" t="s">
        <v>3544</v>
      </c>
      <c r="C1151" s="42">
        <v>0</v>
      </c>
      <c r="D1151" s="42">
        <v>0</v>
      </c>
      <c r="E1151" s="42">
        <v>0</v>
      </c>
    </row>
    <row r="1152" spans="1:5" ht="12.75" customHeight="1">
      <c r="A1152" s="962" t="s">
        <v>1384</v>
      </c>
      <c r="B1152" s="42" t="s">
        <v>3545</v>
      </c>
      <c r="C1152" s="42">
        <v>0</v>
      </c>
      <c r="D1152" s="42">
        <v>0</v>
      </c>
      <c r="E1152" s="42">
        <v>0</v>
      </c>
    </row>
    <row r="1153" spans="1:5" ht="12.75" customHeight="1">
      <c r="A1153" s="962" t="s">
        <v>1384</v>
      </c>
      <c r="B1153" s="42" t="s">
        <v>3546</v>
      </c>
      <c r="C1153" s="42">
        <v>0</v>
      </c>
      <c r="D1153" s="42">
        <v>0</v>
      </c>
      <c r="E1153" s="42">
        <v>0</v>
      </c>
    </row>
    <row r="1154" spans="1:5" ht="12.75" customHeight="1">
      <c r="A1154" s="962" t="s">
        <v>1384</v>
      </c>
      <c r="B1154" s="42" t="s">
        <v>3547</v>
      </c>
      <c r="C1154" s="42">
        <v>0</v>
      </c>
      <c r="D1154" s="42">
        <v>0</v>
      </c>
      <c r="E1154" s="42">
        <v>0</v>
      </c>
    </row>
    <row r="1155" spans="1:5" ht="12.75" customHeight="1">
      <c r="A1155" s="962" t="s">
        <v>1384</v>
      </c>
      <c r="B1155" s="42" t="s">
        <v>3548</v>
      </c>
      <c r="C1155" s="42">
        <v>0</v>
      </c>
      <c r="D1155" s="42">
        <v>0</v>
      </c>
      <c r="E1155" s="42">
        <v>0</v>
      </c>
    </row>
    <row r="1156" spans="1:5" ht="12.75" customHeight="1">
      <c r="A1156" s="962" t="s">
        <v>1384</v>
      </c>
      <c r="B1156" s="42" t="s">
        <v>3549</v>
      </c>
      <c r="C1156" s="42">
        <v>0</v>
      </c>
      <c r="D1156" s="42">
        <v>0</v>
      </c>
      <c r="E1156" s="42">
        <v>0</v>
      </c>
    </row>
    <row r="1157" spans="1:5" ht="12.75" customHeight="1">
      <c r="A1157" s="962" t="s">
        <v>1384</v>
      </c>
      <c r="B1157" s="42" t="s">
        <v>3550</v>
      </c>
      <c r="C1157" s="42">
        <v>0</v>
      </c>
      <c r="D1157" s="42">
        <v>0</v>
      </c>
      <c r="E1157" s="42">
        <v>0</v>
      </c>
    </row>
    <row r="1158" spans="1:5" ht="12.75" customHeight="1">
      <c r="A1158" s="962" t="s">
        <v>1384</v>
      </c>
      <c r="B1158" s="42" t="s">
        <v>3551</v>
      </c>
      <c r="C1158" s="42">
        <v>0</v>
      </c>
      <c r="D1158" s="42">
        <v>0</v>
      </c>
      <c r="E1158" s="42">
        <v>0</v>
      </c>
    </row>
    <row r="1159" spans="1:5" ht="12.75" customHeight="1">
      <c r="A1159" s="962" t="s">
        <v>1384</v>
      </c>
      <c r="B1159" s="42" t="s">
        <v>3552</v>
      </c>
      <c r="C1159" s="42">
        <v>0</v>
      </c>
      <c r="D1159" s="42">
        <v>0</v>
      </c>
      <c r="E1159" s="42">
        <v>0</v>
      </c>
    </row>
    <row r="1160" spans="1:5" ht="12.75" customHeight="1">
      <c r="A1160" s="962" t="s">
        <v>1384</v>
      </c>
      <c r="B1160" s="42" t="s">
        <v>3553</v>
      </c>
      <c r="C1160" s="42">
        <v>0</v>
      </c>
      <c r="D1160" s="42">
        <v>0</v>
      </c>
      <c r="E1160" s="42">
        <v>0</v>
      </c>
    </row>
    <row r="1161" spans="1:5" ht="12.75" customHeight="1">
      <c r="A1161" s="962" t="s">
        <v>1384</v>
      </c>
      <c r="B1161" s="42" t="s">
        <v>3554</v>
      </c>
      <c r="C1161" s="42">
        <v>0</v>
      </c>
      <c r="D1161" s="42">
        <v>0</v>
      </c>
      <c r="E1161" s="42">
        <v>0</v>
      </c>
    </row>
    <row r="1162" spans="1:5" ht="12.75" customHeight="1">
      <c r="A1162" s="962" t="s">
        <v>1384</v>
      </c>
      <c r="B1162" s="42" t="s">
        <v>3555</v>
      </c>
      <c r="C1162" s="42">
        <v>0</v>
      </c>
      <c r="D1162" s="42">
        <v>0</v>
      </c>
      <c r="E1162" s="42">
        <v>0</v>
      </c>
    </row>
    <row r="1163" spans="1:5" ht="12.75" customHeight="1">
      <c r="A1163" s="962" t="s">
        <v>1384</v>
      </c>
      <c r="B1163" s="42" t="s">
        <v>3556</v>
      </c>
      <c r="C1163" s="42">
        <v>0</v>
      </c>
      <c r="D1163" s="42">
        <v>0</v>
      </c>
      <c r="E1163" s="42">
        <v>0</v>
      </c>
    </row>
    <row r="1164" spans="1:5" ht="12.75" customHeight="1">
      <c r="A1164" s="962" t="s">
        <v>1384</v>
      </c>
      <c r="B1164" s="42" t="s">
        <v>3557</v>
      </c>
      <c r="C1164" s="42">
        <v>0</v>
      </c>
      <c r="D1164" s="42">
        <v>0</v>
      </c>
      <c r="E1164" s="42">
        <v>0</v>
      </c>
    </row>
    <row r="1165" spans="1:5" ht="12.75" customHeight="1">
      <c r="A1165" s="962" t="s">
        <v>1384</v>
      </c>
      <c r="B1165" s="42" t="s">
        <v>3558</v>
      </c>
      <c r="C1165" s="42">
        <v>0</v>
      </c>
      <c r="D1165" s="42">
        <v>0</v>
      </c>
      <c r="E1165" s="42">
        <v>0</v>
      </c>
    </row>
    <row r="1166" spans="1:5" ht="12.75" customHeight="1">
      <c r="A1166" s="962" t="s">
        <v>1384</v>
      </c>
      <c r="B1166" s="42" t="s">
        <v>3559</v>
      </c>
      <c r="C1166" s="42">
        <v>0</v>
      </c>
      <c r="D1166" s="42">
        <v>0</v>
      </c>
      <c r="E1166" s="42">
        <v>0</v>
      </c>
    </row>
    <row r="1167" spans="1:5" ht="12.75" customHeight="1">
      <c r="A1167" s="962" t="s">
        <v>1384</v>
      </c>
      <c r="B1167" s="42" t="s">
        <v>3560</v>
      </c>
      <c r="C1167" s="42">
        <v>0</v>
      </c>
      <c r="D1167" s="42">
        <v>0</v>
      </c>
      <c r="E1167" s="42">
        <v>0</v>
      </c>
    </row>
    <row r="1168" spans="1:5" ht="12.75" customHeight="1">
      <c r="A1168" s="962" t="s">
        <v>1384</v>
      </c>
      <c r="B1168" s="42" t="s">
        <v>3561</v>
      </c>
      <c r="C1168" s="42">
        <v>0</v>
      </c>
      <c r="D1168" s="42">
        <v>0</v>
      </c>
      <c r="E1168" s="42">
        <v>0</v>
      </c>
    </row>
    <row r="1169" spans="1:5" ht="12.75" customHeight="1">
      <c r="A1169" s="962" t="s">
        <v>1384</v>
      </c>
      <c r="B1169" s="42" t="s">
        <v>3562</v>
      </c>
      <c r="C1169" s="42">
        <v>0</v>
      </c>
      <c r="D1169" s="42">
        <v>0</v>
      </c>
      <c r="E1169" s="42">
        <v>0</v>
      </c>
    </row>
    <row r="1170" spans="1:5" ht="12.75" customHeight="1">
      <c r="A1170" s="962" t="s">
        <v>1384</v>
      </c>
      <c r="B1170" s="42" t="s">
        <v>3563</v>
      </c>
      <c r="C1170" s="42">
        <v>0</v>
      </c>
      <c r="D1170" s="42">
        <v>0</v>
      </c>
      <c r="E1170" s="42">
        <v>0</v>
      </c>
    </row>
    <row r="1171" spans="1:5" ht="12.75" customHeight="1">
      <c r="A1171" s="962" t="s">
        <v>1384</v>
      </c>
      <c r="B1171" s="42" t="s">
        <v>3564</v>
      </c>
      <c r="C1171" s="42">
        <v>0</v>
      </c>
      <c r="D1171" s="42">
        <v>0</v>
      </c>
      <c r="E1171" s="42">
        <v>0</v>
      </c>
    </row>
    <row r="1172" spans="1:5" ht="12.75" customHeight="1">
      <c r="A1172" s="962" t="s">
        <v>1384</v>
      </c>
      <c r="B1172" s="42" t="s">
        <v>3565</v>
      </c>
      <c r="C1172" s="42">
        <v>0</v>
      </c>
      <c r="D1172" s="42">
        <v>0</v>
      </c>
      <c r="E1172" s="42">
        <v>0</v>
      </c>
    </row>
    <row r="1173" spans="1:5" ht="12.75" customHeight="1">
      <c r="A1173" s="962" t="s">
        <v>1384</v>
      </c>
      <c r="B1173" s="42" t="s">
        <v>3566</v>
      </c>
      <c r="C1173" s="42">
        <v>0</v>
      </c>
      <c r="D1173" s="42">
        <v>0</v>
      </c>
      <c r="E1173" s="42">
        <v>0</v>
      </c>
    </row>
    <row r="1174" spans="1:5" ht="12.75" customHeight="1">
      <c r="A1174" s="962" t="s">
        <v>1384</v>
      </c>
      <c r="B1174" s="42" t="s">
        <v>1395</v>
      </c>
      <c r="C1174" s="42">
        <v>1</v>
      </c>
      <c r="D1174" s="42">
        <v>1</v>
      </c>
      <c r="E1174" s="42">
        <v>1</v>
      </c>
    </row>
    <row r="1175" spans="1:5" ht="12.75" customHeight="1">
      <c r="A1175" s="962" t="s">
        <v>1384</v>
      </c>
      <c r="B1175" s="42" t="s">
        <v>3567</v>
      </c>
      <c r="C1175" s="42">
        <v>0</v>
      </c>
      <c r="D1175" s="42">
        <v>0</v>
      </c>
      <c r="E1175" s="42">
        <v>0</v>
      </c>
    </row>
    <row r="1176" spans="1:5" ht="12.75" customHeight="1">
      <c r="A1176" s="962" t="s">
        <v>1384</v>
      </c>
      <c r="B1176" s="42" t="s">
        <v>3568</v>
      </c>
      <c r="C1176" s="42">
        <v>0</v>
      </c>
      <c r="D1176" s="42">
        <v>0</v>
      </c>
      <c r="E1176" s="42">
        <v>0</v>
      </c>
    </row>
    <row r="1177" spans="1:5" ht="12.75" customHeight="1">
      <c r="A1177" s="962" t="s">
        <v>1384</v>
      </c>
      <c r="B1177" s="42" t="s">
        <v>3569</v>
      </c>
      <c r="C1177" s="42">
        <v>0</v>
      </c>
      <c r="D1177" s="42">
        <v>0</v>
      </c>
      <c r="E1177" s="42">
        <v>0</v>
      </c>
    </row>
    <row r="1178" spans="1:5" ht="12.75" customHeight="1">
      <c r="A1178" s="962" t="s">
        <v>1384</v>
      </c>
      <c r="B1178" s="42" t="s">
        <v>3570</v>
      </c>
      <c r="C1178" s="42">
        <v>0</v>
      </c>
      <c r="D1178" s="42">
        <v>0</v>
      </c>
      <c r="E1178" s="42">
        <v>0</v>
      </c>
    </row>
    <row r="1179" spans="1:5" ht="12.75" customHeight="1">
      <c r="A1179" s="962" t="s">
        <v>1384</v>
      </c>
      <c r="B1179" s="42" t="s">
        <v>3571</v>
      </c>
      <c r="C1179" s="42">
        <v>0</v>
      </c>
      <c r="D1179" s="42">
        <v>0</v>
      </c>
      <c r="E1179" s="42">
        <v>0</v>
      </c>
    </row>
    <row r="1180" spans="1:5" ht="12.75" customHeight="1">
      <c r="A1180" s="962" t="s">
        <v>1384</v>
      </c>
      <c r="B1180" s="42" t="s">
        <v>3572</v>
      </c>
      <c r="C1180" s="42">
        <v>0</v>
      </c>
      <c r="D1180" s="42">
        <v>0</v>
      </c>
      <c r="E1180" s="42">
        <v>0</v>
      </c>
    </row>
    <row r="1181" spans="1:5" ht="12.75" customHeight="1">
      <c r="A1181" s="962" t="s">
        <v>1384</v>
      </c>
      <c r="B1181" s="42" t="s">
        <v>3573</v>
      </c>
      <c r="C1181" s="42">
        <v>0</v>
      </c>
      <c r="D1181" s="42">
        <v>0</v>
      </c>
      <c r="E1181" s="42">
        <v>0</v>
      </c>
    </row>
    <row r="1182" spans="1:5" ht="12.75" customHeight="1">
      <c r="A1182" s="962" t="s">
        <v>1384</v>
      </c>
      <c r="B1182" s="42" t="s">
        <v>3574</v>
      </c>
      <c r="C1182" s="42">
        <v>0</v>
      </c>
      <c r="D1182" s="42">
        <v>0</v>
      </c>
      <c r="E1182" s="42">
        <v>0</v>
      </c>
    </row>
    <row r="1183" spans="1:5" ht="12.75" customHeight="1">
      <c r="A1183" s="962" t="s">
        <v>1384</v>
      </c>
      <c r="B1183" s="42" t="s">
        <v>3575</v>
      </c>
      <c r="C1183" s="42">
        <v>0</v>
      </c>
      <c r="D1183" s="42">
        <v>0</v>
      </c>
      <c r="E1183" s="42">
        <v>0</v>
      </c>
    </row>
    <row r="1184" spans="1:5" ht="12.75" customHeight="1">
      <c r="A1184" s="962" t="s">
        <v>1384</v>
      </c>
      <c r="B1184" s="42" t="s">
        <v>3576</v>
      </c>
      <c r="C1184" s="42">
        <v>0</v>
      </c>
      <c r="D1184" s="42">
        <v>0</v>
      </c>
      <c r="E1184" s="42">
        <v>0</v>
      </c>
    </row>
    <row r="1185" spans="1:5" ht="12.75" customHeight="1">
      <c r="A1185" s="962" t="s">
        <v>1384</v>
      </c>
      <c r="B1185" s="42" t="s">
        <v>3577</v>
      </c>
      <c r="C1185" s="42">
        <v>0</v>
      </c>
      <c r="D1185" s="42">
        <v>0</v>
      </c>
      <c r="E1185" s="42">
        <v>0</v>
      </c>
    </row>
    <row r="1186" spans="1:5" ht="12.75" customHeight="1">
      <c r="A1186" s="962" t="s">
        <v>1384</v>
      </c>
      <c r="B1186" s="42" t="s">
        <v>3578</v>
      </c>
      <c r="C1186" s="42">
        <v>0</v>
      </c>
      <c r="D1186" s="42">
        <v>0</v>
      </c>
      <c r="E1186" s="42">
        <v>0</v>
      </c>
    </row>
    <row r="1187" spans="1:5" ht="12.75" customHeight="1">
      <c r="A1187" s="962" t="s">
        <v>1384</v>
      </c>
      <c r="B1187" s="42" t="s">
        <v>3579</v>
      </c>
      <c r="C1187" s="42">
        <v>0</v>
      </c>
      <c r="D1187" s="42">
        <v>0</v>
      </c>
      <c r="E1187" s="42">
        <v>0</v>
      </c>
    </row>
    <row r="1188" spans="1:5" ht="12.75" customHeight="1">
      <c r="A1188" s="962" t="s">
        <v>1384</v>
      </c>
      <c r="B1188" s="42" t="s">
        <v>3580</v>
      </c>
      <c r="C1188" s="42">
        <v>0</v>
      </c>
      <c r="D1188" s="42">
        <v>0</v>
      </c>
      <c r="E1188" s="42">
        <v>0</v>
      </c>
    </row>
    <row r="1189" spans="1:5" ht="12.75" customHeight="1">
      <c r="A1189" s="962" t="s">
        <v>1384</v>
      </c>
      <c r="B1189" s="42" t="s">
        <v>3581</v>
      </c>
      <c r="C1189" s="42">
        <v>0</v>
      </c>
      <c r="D1189" s="42">
        <v>0</v>
      </c>
      <c r="E1189" s="42">
        <v>0</v>
      </c>
    </row>
    <row r="1190" spans="1:5" ht="12.75" customHeight="1">
      <c r="A1190" s="962" t="s">
        <v>1384</v>
      </c>
      <c r="B1190" s="42" t="s">
        <v>3582</v>
      </c>
      <c r="C1190" s="42">
        <v>0</v>
      </c>
      <c r="D1190" s="42">
        <v>0</v>
      </c>
      <c r="E1190" s="42">
        <v>0</v>
      </c>
    </row>
    <row r="1191" spans="1:5" ht="12.75" customHeight="1">
      <c r="A1191" s="962" t="s">
        <v>1384</v>
      </c>
      <c r="B1191" s="42" t="s">
        <v>3583</v>
      </c>
      <c r="C1191" s="42">
        <v>0</v>
      </c>
      <c r="D1191" s="42">
        <v>0</v>
      </c>
      <c r="E1191" s="42">
        <v>0</v>
      </c>
    </row>
    <row r="1192" spans="1:5" ht="12.75" customHeight="1">
      <c r="A1192" s="962" t="s">
        <v>1384</v>
      </c>
      <c r="B1192" s="42" t="s">
        <v>3584</v>
      </c>
      <c r="C1192" s="42">
        <v>0</v>
      </c>
      <c r="D1192" s="42">
        <v>0</v>
      </c>
      <c r="E1192" s="42">
        <v>0</v>
      </c>
    </row>
    <row r="1193" spans="1:5" ht="12.75" customHeight="1">
      <c r="A1193" s="962" t="s">
        <v>1384</v>
      </c>
      <c r="B1193" s="42" t="s">
        <v>3585</v>
      </c>
      <c r="C1193" s="42">
        <v>0</v>
      </c>
      <c r="D1193" s="42">
        <v>0</v>
      </c>
      <c r="E1193" s="42">
        <v>0</v>
      </c>
    </row>
    <row r="1194" spans="1:5" ht="12.75" customHeight="1">
      <c r="A1194" s="962" t="s">
        <v>1384</v>
      </c>
      <c r="B1194" s="42" t="s">
        <v>3586</v>
      </c>
      <c r="C1194" s="42">
        <v>0</v>
      </c>
      <c r="D1194" s="42">
        <v>0</v>
      </c>
      <c r="E1194" s="42">
        <v>0</v>
      </c>
    </row>
    <row r="1195" spans="1:5" ht="12.75" customHeight="1">
      <c r="A1195" s="962" t="s">
        <v>1384</v>
      </c>
      <c r="B1195" s="42" t="s">
        <v>3587</v>
      </c>
      <c r="C1195" s="42">
        <v>0</v>
      </c>
      <c r="D1195" s="42">
        <v>0</v>
      </c>
      <c r="E1195" s="42">
        <v>0</v>
      </c>
    </row>
    <row r="1196" spans="1:5" ht="12.75" customHeight="1">
      <c r="A1196" s="962" t="s">
        <v>1384</v>
      </c>
      <c r="B1196" s="42" t="s">
        <v>3588</v>
      </c>
      <c r="C1196" s="42">
        <v>1</v>
      </c>
      <c r="D1196" s="42">
        <v>1</v>
      </c>
      <c r="E1196" s="42">
        <v>1</v>
      </c>
    </row>
    <row r="1197" spans="1:5" ht="12.75" customHeight="1">
      <c r="A1197" s="962" t="s">
        <v>1384</v>
      </c>
      <c r="B1197" s="42" t="s">
        <v>3589</v>
      </c>
      <c r="C1197" s="42">
        <v>0</v>
      </c>
      <c r="D1197" s="42">
        <v>0</v>
      </c>
      <c r="E1197" s="42">
        <v>0</v>
      </c>
    </row>
    <row r="1198" spans="1:5" ht="12.75" customHeight="1">
      <c r="A1198" s="962" t="s">
        <v>1401</v>
      </c>
      <c r="B1198" s="42" t="s">
        <v>3590</v>
      </c>
      <c r="C1198" s="42">
        <v>1</v>
      </c>
      <c r="D1198" s="42">
        <v>1</v>
      </c>
      <c r="E1198" s="42">
        <v>1</v>
      </c>
    </row>
    <row r="1199" spans="1:5" ht="12.75" customHeight="1">
      <c r="A1199" s="962" t="s">
        <v>1401</v>
      </c>
      <c r="B1199" s="42" t="s">
        <v>3591</v>
      </c>
      <c r="C1199" s="42">
        <v>1</v>
      </c>
      <c r="D1199" s="42">
        <v>1</v>
      </c>
      <c r="E1199" s="42">
        <v>1</v>
      </c>
    </row>
    <row r="1200" spans="1:5" ht="12.75" customHeight="1">
      <c r="A1200" s="962" t="s">
        <v>1401</v>
      </c>
      <c r="B1200" s="42" t="s">
        <v>3592</v>
      </c>
      <c r="C1200" s="42">
        <v>0</v>
      </c>
      <c r="D1200" s="42">
        <v>0</v>
      </c>
      <c r="E1200" s="42">
        <v>0</v>
      </c>
    </row>
    <row r="1201" spans="1:5" ht="12.75" customHeight="1">
      <c r="A1201" s="962" t="s">
        <v>1401</v>
      </c>
      <c r="B1201" s="42" t="s">
        <v>3593</v>
      </c>
      <c r="C1201" s="42">
        <v>1</v>
      </c>
      <c r="D1201" s="42">
        <v>1</v>
      </c>
      <c r="E1201" s="42">
        <v>1</v>
      </c>
    </row>
    <row r="1202" spans="1:5" ht="12.75" customHeight="1">
      <c r="A1202" s="962" t="s">
        <v>1401</v>
      </c>
      <c r="B1202" s="42" t="s">
        <v>3594</v>
      </c>
      <c r="C1202" s="42">
        <v>0</v>
      </c>
      <c r="D1202" s="42">
        <v>0</v>
      </c>
      <c r="E1202" s="42">
        <v>0</v>
      </c>
    </row>
    <row r="1203" spans="1:5" ht="12.75" customHeight="1">
      <c r="A1203" s="962" t="s">
        <v>1401</v>
      </c>
      <c r="B1203" s="42" t="s">
        <v>3595</v>
      </c>
      <c r="C1203" s="42">
        <v>0</v>
      </c>
      <c r="D1203" s="42">
        <v>0</v>
      </c>
      <c r="E1203" s="42">
        <v>0</v>
      </c>
    </row>
    <row r="1204" spans="1:5" ht="12.75" customHeight="1">
      <c r="A1204" s="962" t="s">
        <v>1401</v>
      </c>
      <c r="B1204" s="42" t="s">
        <v>3596</v>
      </c>
      <c r="C1204" s="42">
        <v>0</v>
      </c>
      <c r="D1204" s="42">
        <v>0</v>
      </c>
      <c r="E1204" s="42">
        <v>0</v>
      </c>
    </row>
    <row r="1205" spans="1:5" ht="12.75" customHeight="1">
      <c r="A1205" s="962" t="s">
        <v>1401</v>
      </c>
      <c r="B1205" s="42" t="s">
        <v>3597</v>
      </c>
      <c r="C1205" s="42">
        <v>0</v>
      </c>
      <c r="D1205" s="42">
        <v>0</v>
      </c>
      <c r="E1205" s="42">
        <v>0</v>
      </c>
    </row>
    <row r="1206" spans="1:5" ht="12.75" customHeight="1">
      <c r="A1206" s="962" t="s">
        <v>1401</v>
      </c>
      <c r="B1206" s="42" t="s">
        <v>3598</v>
      </c>
      <c r="C1206" s="42">
        <v>0</v>
      </c>
      <c r="D1206" s="42">
        <v>0</v>
      </c>
      <c r="E1206" s="42">
        <v>0</v>
      </c>
    </row>
    <row r="1207" spans="1:5" ht="12.75" customHeight="1">
      <c r="A1207" s="962" t="s">
        <v>1401</v>
      </c>
      <c r="B1207" s="42" t="s">
        <v>3599</v>
      </c>
      <c r="C1207" s="42">
        <v>0</v>
      </c>
      <c r="D1207" s="42">
        <v>0</v>
      </c>
      <c r="E1207" s="42">
        <v>0</v>
      </c>
    </row>
    <row r="1208" spans="1:5" ht="12.75" customHeight="1">
      <c r="A1208" s="962" t="s">
        <v>1401</v>
      </c>
      <c r="B1208" s="42" t="s">
        <v>3600</v>
      </c>
      <c r="C1208" s="42">
        <v>0</v>
      </c>
      <c r="D1208" s="42">
        <v>0</v>
      </c>
      <c r="E1208" s="42">
        <v>0</v>
      </c>
    </row>
    <row r="1209" spans="1:5" ht="12.75" customHeight="1">
      <c r="A1209" s="962" t="s">
        <v>1401</v>
      </c>
      <c r="B1209" s="42" t="s">
        <v>3601</v>
      </c>
      <c r="C1209" s="42">
        <v>1</v>
      </c>
      <c r="D1209" s="42">
        <v>0</v>
      </c>
      <c r="E1209" s="42">
        <v>0</v>
      </c>
    </row>
    <row r="1210" spans="1:5" ht="12.75" customHeight="1">
      <c r="A1210" s="962" t="s">
        <v>1401</v>
      </c>
      <c r="B1210" s="42" t="s">
        <v>3602</v>
      </c>
      <c r="C1210" s="42">
        <v>1</v>
      </c>
      <c r="D1210" s="42">
        <v>1</v>
      </c>
      <c r="E1210" s="42">
        <v>1</v>
      </c>
    </row>
    <row r="1211" spans="1:5" ht="12.75" customHeight="1">
      <c r="A1211" s="962" t="s">
        <v>1401</v>
      </c>
      <c r="B1211" s="42" t="s">
        <v>3603</v>
      </c>
      <c r="C1211" s="42">
        <v>0</v>
      </c>
      <c r="D1211" s="42">
        <v>0</v>
      </c>
      <c r="E1211" s="42">
        <v>0</v>
      </c>
    </row>
    <row r="1212" spans="1:5" ht="12.75" customHeight="1">
      <c r="A1212" s="962" t="s">
        <v>1401</v>
      </c>
      <c r="B1212" s="42" t="s">
        <v>3604</v>
      </c>
      <c r="C1212" s="42">
        <v>0</v>
      </c>
      <c r="D1212" s="42">
        <v>0</v>
      </c>
      <c r="E1212" s="42">
        <v>0</v>
      </c>
    </row>
    <row r="1213" spans="1:5" ht="12.75" customHeight="1">
      <c r="A1213" s="962" t="s">
        <v>1401</v>
      </c>
      <c r="B1213" s="42" t="s">
        <v>3605</v>
      </c>
      <c r="C1213" s="42">
        <v>0</v>
      </c>
      <c r="D1213" s="42">
        <v>0</v>
      </c>
      <c r="E1213" s="42">
        <v>0</v>
      </c>
    </row>
    <row r="1214" spans="1:5" ht="12.75" customHeight="1">
      <c r="A1214" s="962" t="s">
        <v>1401</v>
      </c>
      <c r="B1214" s="42" t="s">
        <v>3606</v>
      </c>
      <c r="C1214" s="42">
        <v>0</v>
      </c>
      <c r="D1214" s="42">
        <v>0</v>
      </c>
      <c r="E1214" s="42">
        <v>0</v>
      </c>
    </row>
    <row r="1215" spans="1:5" ht="12.75" customHeight="1">
      <c r="A1215" s="962" t="s">
        <v>1401</v>
      </c>
      <c r="B1215" s="42" t="s">
        <v>3607</v>
      </c>
      <c r="C1215" s="42">
        <v>0</v>
      </c>
      <c r="D1215" s="42">
        <v>0</v>
      </c>
      <c r="E1215" s="42">
        <v>0</v>
      </c>
    </row>
    <row r="1216" spans="1:5" ht="12.75" customHeight="1">
      <c r="A1216" s="962" t="s">
        <v>1401</v>
      </c>
      <c r="B1216" s="42" t="s">
        <v>3608</v>
      </c>
      <c r="C1216" s="42">
        <v>0</v>
      </c>
      <c r="D1216" s="42">
        <v>0</v>
      </c>
      <c r="E1216" s="42">
        <v>0</v>
      </c>
    </row>
    <row r="1217" spans="1:5" ht="12.75" customHeight="1">
      <c r="A1217" s="962" t="s">
        <v>1401</v>
      </c>
      <c r="B1217" s="42" t="s">
        <v>3609</v>
      </c>
      <c r="C1217" s="42">
        <v>0</v>
      </c>
      <c r="D1217" s="42">
        <v>0</v>
      </c>
      <c r="E1217" s="42">
        <v>0</v>
      </c>
    </row>
    <row r="1218" spans="1:5" ht="12.75" customHeight="1">
      <c r="A1218" s="962" t="s">
        <v>1401</v>
      </c>
      <c r="B1218" s="42" t="s">
        <v>3610</v>
      </c>
      <c r="C1218" s="42">
        <v>0</v>
      </c>
      <c r="D1218" s="42">
        <v>0</v>
      </c>
      <c r="E1218" s="42">
        <v>0</v>
      </c>
    </row>
    <row r="1219" spans="1:5" ht="12.75" customHeight="1">
      <c r="A1219" s="962" t="s">
        <v>1401</v>
      </c>
      <c r="B1219" s="42" t="s">
        <v>3611</v>
      </c>
      <c r="C1219" s="42">
        <v>0</v>
      </c>
      <c r="D1219" s="42">
        <v>0</v>
      </c>
      <c r="E1219" s="42">
        <v>0</v>
      </c>
    </row>
    <row r="1220" spans="1:5" ht="12.75" customHeight="1">
      <c r="A1220" s="962" t="s">
        <v>1608</v>
      </c>
      <c r="B1220" s="42" t="s">
        <v>3612</v>
      </c>
      <c r="C1220" s="42">
        <v>0</v>
      </c>
      <c r="D1220" s="42">
        <v>0</v>
      </c>
      <c r="E1220" s="42">
        <v>0</v>
      </c>
    </row>
    <row r="1221" spans="1:5" ht="12.75" customHeight="1">
      <c r="A1221" s="962" t="s">
        <v>1608</v>
      </c>
      <c r="B1221" s="42" t="s">
        <v>3613</v>
      </c>
      <c r="C1221" s="42">
        <v>0</v>
      </c>
      <c r="D1221" s="42">
        <v>0</v>
      </c>
      <c r="E1221" s="42">
        <v>0</v>
      </c>
    </row>
    <row r="1222" spans="1:5" ht="12.75" customHeight="1">
      <c r="A1222" s="962" t="s">
        <v>1608</v>
      </c>
      <c r="B1222" s="42" t="s">
        <v>3614</v>
      </c>
      <c r="C1222" s="42">
        <v>0</v>
      </c>
      <c r="D1222" s="42">
        <v>0</v>
      </c>
      <c r="E1222" s="42">
        <v>0</v>
      </c>
    </row>
    <row r="1223" spans="1:5" ht="12.75" customHeight="1">
      <c r="A1223" s="962" t="s">
        <v>1608</v>
      </c>
      <c r="B1223" s="42" t="s">
        <v>3615</v>
      </c>
      <c r="C1223" s="42">
        <v>0</v>
      </c>
      <c r="D1223" s="42">
        <v>0</v>
      </c>
      <c r="E1223" s="42">
        <v>0</v>
      </c>
    </row>
    <row r="1224" spans="1:5" ht="12.75" customHeight="1">
      <c r="A1224" s="962" t="s">
        <v>1608</v>
      </c>
      <c r="B1224" s="42" t="s">
        <v>3616</v>
      </c>
      <c r="C1224" s="42">
        <v>0</v>
      </c>
      <c r="D1224" s="42">
        <v>0</v>
      </c>
      <c r="E1224" s="42">
        <v>0</v>
      </c>
    </row>
    <row r="1225" spans="1:5" ht="12.75" customHeight="1">
      <c r="A1225" s="962" t="s">
        <v>1608</v>
      </c>
      <c r="B1225" s="42" t="s">
        <v>3617</v>
      </c>
      <c r="C1225" s="42">
        <v>0</v>
      </c>
      <c r="D1225" s="42">
        <v>0</v>
      </c>
      <c r="E1225" s="42">
        <v>0</v>
      </c>
    </row>
    <row r="1226" spans="1:5" ht="12.75" customHeight="1">
      <c r="A1226" s="962" t="s">
        <v>1608</v>
      </c>
      <c r="B1226" s="42" t="s">
        <v>3618</v>
      </c>
      <c r="C1226" s="42">
        <v>0</v>
      </c>
      <c r="D1226" s="42">
        <v>0</v>
      </c>
      <c r="E1226" s="42">
        <v>0</v>
      </c>
    </row>
    <row r="1227" spans="1:5" ht="12.75" customHeight="1">
      <c r="A1227" s="962" t="s">
        <v>1608</v>
      </c>
      <c r="B1227" s="42" t="s">
        <v>3619</v>
      </c>
      <c r="C1227" s="42">
        <v>0</v>
      </c>
      <c r="D1227" s="42">
        <v>0</v>
      </c>
      <c r="E1227" s="42">
        <v>0</v>
      </c>
    </row>
    <row r="1228" spans="1:5" ht="12.75" customHeight="1">
      <c r="A1228" s="962" t="s">
        <v>1608</v>
      </c>
      <c r="B1228" s="42" t="s">
        <v>3620</v>
      </c>
      <c r="C1228" s="42">
        <v>0</v>
      </c>
      <c r="D1228" s="42">
        <v>0</v>
      </c>
      <c r="E1228" s="42">
        <v>0</v>
      </c>
    </row>
    <row r="1229" spans="1:5" ht="12.75" customHeight="1">
      <c r="A1229" s="962" t="s">
        <v>1608</v>
      </c>
      <c r="B1229" s="42" t="s">
        <v>3621</v>
      </c>
      <c r="C1229" s="42">
        <v>0</v>
      </c>
      <c r="D1229" s="42">
        <v>0</v>
      </c>
      <c r="E1229" s="42">
        <v>0</v>
      </c>
    </row>
    <row r="1230" spans="1:5" ht="12.75" customHeight="1">
      <c r="A1230" s="962" t="s">
        <v>1608</v>
      </c>
      <c r="B1230" s="42" t="s">
        <v>3622</v>
      </c>
      <c r="C1230" s="42">
        <v>0</v>
      </c>
      <c r="D1230" s="42">
        <v>0</v>
      </c>
      <c r="E1230" s="42">
        <v>0</v>
      </c>
    </row>
    <row r="1231" spans="1:5" ht="12.75" customHeight="1">
      <c r="A1231" s="962" t="s">
        <v>1608</v>
      </c>
      <c r="B1231" s="42" t="s">
        <v>3623</v>
      </c>
      <c r="C1231" s="42">
        <v>0</v>
      </c>
      <c r="D1231" s="42">
        <v>0</v>
      </c>
      <c r="E1231" s="42">
        <v>0</v>
      </c>
    </row>
    <row r="1232" spans="1:5" ht="12.75" customHeight="1">
      <c r="A1232" s="962" t="s">
        <v>1608</v>
      </c>
      <c r="B1232" s="42" t="s">
        <v>3624</v>
      </c>
      <c r="C1232" s="42">
        <v>0</v>
      </c>
      <c r="D1232" s="42">
        <v>0</v>
      </c>
      <c r="E1232" s="42">
        <v>0</v>
      </c>
    </row>
    <row r="1233" spans="1:5" ht="12.75" customHeight="1">
      <c r="A1233" s="962" t="s">
        <v>1608</v>
      </c>
      <c r="B1233" s="42" t="s">
        <v>3625</v>
      </c>
      <c r="C1233" s="42">
        <v>0</v>
      </c>
      <c r="D1233" s="42">
        <v>0</v>
      </c>
      <c r="E1233" s="42">
        <v>0</v>
      </c>
    </row>
    <row r="1234" spans="1:5" ht="12.75" customHeight="1">
      <c r="A1234" s="962" t="s">
        <v>1608</v>
      </c>
      <c r="B1234" s="42" t="s">
        <v>3626</v>
      </c>
      <c r="C1234" s="42">
        <v>0</v>
      </c>
      <c r="D1234" s="42">
        <v>0</v>
      </c>
      <c r="E1234" s="42">
        <v>0</v>
      </c>
    </row>
    <row r="1235" spans="1:5" ht="12.75" customHeight="1">
      <c r="A1235" s="962" t="s">
        <v>1608</v>
      </c>
      <c r="B1235" s="42" t="s">
        <v>3627</v>
      </c>
      <c r="C1235" s="42">
        <v>0</v>
      </c>
      <c r="D1235" s="42">
        <v>0</v>
      </c>
      <c r="E1235" s="42">
        <v>0</v>
      </c>
    </row>
    <row r="1236" spans="1:5" ht="12.75" customHeight="1">
      <c r="A1236" s="962" t="s">
        <v>1608</v>
      </c>
      <c r="B1236" s="42" t="s">
        <v>3628</v>
      </c>
      <c r="C1236" s="42">
        <v>0</v>
      </c>
      <c r="D1236" s="42">
        <v>0</v>
      </c>
      <c r="E1236" s="42">
        <v>0</v>
      </c>
    </row>
    <row r="1237" spans="1:5" ht="12.75" customHeight="1">
      <c r="A1237" s="962" t="s">
        <v>1608</v>
      </c>
      <c r="B1237" s="42" t="s">
        <v>3629</v>
      </c>
      <c r="C1237" s="42">
        <v>0</v>
      </c>
      <c r="D1237" s="42">
        <v>0</v>
      </c>
      <c r="E1237" s="42">
        <v>0</v>
      </c>
    </row>
    <row r="1238" spans="1:5" ht="12.75" customHeight="1">
      <c r="A1238" s="962" t="s">
        <v>1608</v>
      </c>
      <c r="B1238" s="42" t="s">
        <v>3630</v>
      </c>
      <c r="C1238" s="42">
        <v>0</v>
      </c>
      <c r="D1238" s="42">
        <v>0</v>
      </c>
      <c r="E1238" s="42">
        <v>0</v>
      </c>
    </row>
    <row r="1239" spans="1:5" ht="12.75" customHeight="1">
      <c r="A1239" s="962" t="s">
        <v>1608</v>
      </c>
      <c r="B1239" s="42" t="s">
        <v>3631</v>
      </c>
      <c r="C1239" s="42">
        <v>0</v>
      </c>
      <c r="D1239" s="42">
        <v>0</v>
      </c>
      <c r="E1239" s="42">
        <v>0</v>
      </c>
    </row>
    <row r="1240" spans="1:5" ht="12.75" customHeight="1">
      <c r="A1240" s="962" t="s">
        <v>1608</v>
      </c>
      <c r="B1240" s="42" t="s">
        <v>3632</v>
      </c>
      <c r="C1240" s="42">
        <v>0</v>
      </c>
      <c r="D1240" s="42">
        <v>0</v>
      </c>
      <c r="E1240" s="42">
        <v>0</v>
      </c>
    </row>
    <row r="1241" spans="1:5" ht="12.75" customHeight="1">
      <c r="A1241" s="962" t="s">
        <v>1608</v>
      </c>
      <c r="B1241" s="42" t="s">
        <v>3633</v>
      </c>
      <c r="C1241" s="42">
        <v>0</v>
      </c>
      <c r="D1241" s="42">
        <v>0</v>
      </c>
      <c r="E1241" s="42">
        <v>0</v>
      </c>
    </row>
    <row r="1242" spans="1:5" ht="12.75" customHeight="1">
      <c r="A1242" s="962" t="s">
        <v>1608</v>
      </c>
      <c r="B1242" s="42" t="s">
        <v>3634</v>
      </c>
      <c r="C1242" s="42">
        <v>0</v>
      </c>
      <c r="D1242" s="42">
        <v>0</v>
      </c>
      <c r="E1242" s="42">
        <v>0</v>
      </c>
    </row>
    <row r="1243" spans="1:5" ht="12.75" customHeight="1">
      <c r="A1243" s="962" t="s">
        <v>1608</v>
      </c>
      <c r="B1243" s="42" t="s">
        <v>3635</v>
      </c>
      <c r="C1243" s="42">
        <v>0</v>
      </c>
      <c r="D1243" s="42">
        <v>0</v>
      </c>
      <c r="E1243" s="42">
        <v>0</v>
      </c>
    </row>
    <row r="1244" spans="1:5" ht="12.75" customHeight="1">
      <c r="A1244" s="962" t="s">
        <v>1608</v>
      </c>
      <c r="B1244" s="42" t="s">
        <v>3636</v>
      </c>
      <c r="C1244" s="42">
        <v>0</v>
      </c>
      <c r="D1244" s="42">
        <v>0</v>
      </c>
      <c r="E1244" s="42">
        <v>0</v>
      </c>
    </row>
    <row r="1245" spans="1:5" ht="12.75" customHeight="1">
      <c r="A1245" s="962" t="s">
        <v>1608</v>
      </c>
      <c r="B1245" s="42" t="s">
        <v>3637</v>
      </c>
      <c r="C1245" s="42">
        <v>0</v>
      </c>
      <c r="D1245" s="42">
        <v>0</v>
      </c>
      <c r="E1245" s="42">
        <v>0</v>
      </c>
    </row>
    <row r="1246" spans="1:5" ht="12.75" customHeight="1">
      <c r="A1246" s="962" t="s">
        <v>1608</v>
      </c>
      <c r="B1246" s="42" t="s">
        <v>3638</v>
      </c>
      <c r="C1246" s="42">
        <v>0</v>
      </c>
      <c r="D1246" s="42">
        <v>0</v>
      </c>
      <c r="E1246" s="42">
        <v>0</v>
      </c>
    </row>
    <row r="1247" spans="1:5" ht="12.75" customHeight="1">
      <c r="A1247" s="962" t="s">
        <v>1608</v>
      </c>
      <c r="B1247" s="42" t="s">
        <v>3639</v>
      </c>
      <c r="C1247" s="42">
        <v>0</v>
      </c>
      <c r="D1247" s="42">
        <v>0</v>
      </c>
      <c r="E1247" s="42">
        <v>0</v>
      </c>
    </row>
    <row r="1248" spans="1:5" ht="12.75" customHeight="1">
      <c r="A1248" s="962" t="s">
        <v>1608</v>
      </c>
      <c r="B1248" s="42" t="s">
        <v>3640</v>
      </c>
      <c r="C1248" s="42">
        <v>0</v>
      </c>
      <c r="D1248" s="42">
        <v>0</v>
      </c>
      <c r="E1248" s="42">
        <v>0</v>
      </c>
    </row>
    <row r="1249" spans="1:5" ht="12.75" customHeight="1">
      <c r="A1249" s="962" t="s">
        <v>1608</v>
      </c>
      <c r="B1249" s="42" t="s">
        <v>3641</v>
      </c>
      <c r="C1249" s="42">
        <v>0</v>
      </c>
      <c r="D1249" s="42">
        <v>0</v>
      </c>
      <c r="E1249" s="42">
        <v>0</v>
      </c>
    </row>
    <row r="1250" spans="1:5" ht="12.75" customHeight="1">
      <c r="A1250" s="962" t="s">
        <v>1608</v>
      </c>
      <c r="B1250" s="42" t="s">
        <v>3642</v>
      </c>
      <c r="C1250" s="42">
        <v>0</v>
      </c>
      <c r="D1250" s="42">
        <v>0</v>
      </c>
      <c r="E1250" s="42">
        <v>0</v>
      </c>
    </row>
    <row r="1251" spans="1:5" ht="12.75" customHeight="1">
      <c r="A1251" s="962" t="s">
        <v>1608</v>
      </c>
      <c r="B1251" s="42" t="s">
        <v>3643</v>
      </c>
      <c r="C1251" s="42">
        <v>0</v>
      </c>
      <c r="D1251" s="42">
        <v>0</v>
      </c>
      <c r="E1251" s="42">
        <v>0</v>
      </c>
    </row>
    <row r="1252" spans="1:5" ht="12.75" customHeight="1">
      <c r="A1252" s="962" t="s">
        <v>1608</v>
      </c>
      <c r="B1252" s="42" t="s">
        <v>3644</v>
      </c>
      <c r="C1252" s="42">
        <v>0</v>
      </c>
      <c r="D1252" s="42">
        <v>0</v>
      </c>
      <c r="E1252" s="42">
        <v>0</v>
      </c>
    </row>
    <row r="1253" spans="1:5" ht="12.75" customHeight="1">
      <c r="A1253" s="962" t="s">
        <v>1608</v>
      </c>
      <c r="B1253" s="42" t="s">
        <v>3645</v>
      </c>
      <c r="C1253" s="42">
        <v>0</v>
      </c>
      <c r="D1253" s="42">
        <v>0</v>
      </c>
      <c r="E1253" s="42">
        <v>0</v>
      </c>
    </row>
    <row r="1254" spans="1:5" ht="12.75" customHeight="1">
      <c r="A1254" s="962" t="s">
        <v>1608</v>
      </c>
      <c r="B1254" s="42" t="s">
        <v>3646</v>
      </c>
      <c r="C1254" s="42">
        <v>0</v>
      </c>
      <c r="D1254" s="42">
        <v>0</v>
      </c>
      <c r="E1254" s="42">
        <v>0</v>
      </c>
    </row>
    <row r="1255" spans="1:5" ht="12.75" customHeight="1">
      <c r="A1255" s="962" t="s">
        <v>1608</v>
      </c>
      <c r="B1255" s="42" t="s">
        <v>3647</v>
      </c>
      <c r="C1255" s="42">
        <v>0</v>
      </c>
      <c r="D1255" s="42">
        <v>0</v>
      </c>
      <c r="E1255" s="42">
        <v>0</v>
      </c>
    </row>
    <row r="1256" spans="1:5" ht="12.75" customHeight="1">
      <c r="A1256" s="962" t="s">
        <v>1608</v>
      </c>
      <c r="B1256" s="42" t="s">
        <v>3648</v>
      </c>
      <c r="C1256" s="42">
        <v>0</v>
      </c>
      <c r="D1256" s="42">
        <v>0</v>
      </c>
      <c r="E1256" s="42">
        <v>0</v>
      </c>
    </row>
    <row r="1257" spans="1:5" ht="12.75" customHeight="1">
      <c r="A1257" s="962" t="s">
        <v>1608</v>
      </c>
      <c r="B1257" s="42" t="s">
        <v>3649</v>
      </c>
      <c r="C1257" s="42">
        <v>0</v>
      </c>
      <c r="D1257" s="42">
        <v>0</v>
      </c>
      <c r="E1257" s="42">
        <v>0</v>
      </c>
    </row>
    <row r="1258" spans="1:5" ht="12.75" customHeight="1">
      <c r="A1258" s="962" t="s">
        <v>1608</v>
      </c>
      <c r="B1258" s="42" t="s">
        <v>3650</v>
      </c>
      <c r="C1258" s="42">
        <v>0</v>
      </c>
      <c r="D1258" s="42">
        <v>0</v>
      </c>
      <c r="E1258" s="42">
        <v>0</v>
      </c>
    </row>
    <row r="1259" spans="1:5" ht="12.75" customHeight="1">
      <c r="A1259" s="962" t="s">
        <v>1608</v>
      </c>
      <c r="B1259" s="42" t="s">
        <v>3651</v>
      </c>
      <c r="C1259" s="42">
        <v>0</v>
      </c>
      <c r="D1259" s="42">
        <v>0</v>
      </c>
      <c r="E1259" s="42">
        <v>0</v>
      </c>
    </row>
    <row r="1260" spans="1:5" ht="12.75" customHeight="1">
      <c r="A1260" s="962" t="s">
        <v>1608</v>
      </c>
      <c r="B1260" s="42" t="s">
        <v>3652</v>
      </c>
      <c r="C1260" s="42">
        <v>0</v>
      </c>
      <c r="D1260" s="42">
        <v>0</v>
      </c>
      <c r="E1260" s="42">
        <v>0</v>
      </c>
    </row>
    <row r="1261" spans="1:5" ht="12.75" customHeight="1">
      <c r="A1261" s="962" t="s">
        <v>1608</v>
      </c>
      <c r="B1261" s="42" t="s">
        <v>3653</v>
      </c>
      <c r="C1261" s="42">
        <v>0</v>
      </c>
      <c r="D1261" s="42">
        <v>0</v>
      </c>
      <c r="E1261" s="42">
        <v>0</v>
      </c>
    </row>
    <row r="1262" spans="1:5" ht="12.75" customHeight="1">
      <c r="A1262" s="962" t="s">
        <v>1608</v>
      </c>
      <c r="B1262" s="42" t="s">
        <v>3654</v>
      </c>
      <c r="C1262" s="42">
        <v>0</v>
      </c>
      <c r="D1262" s="42">
        <v>0</v>
      </c>
      <c r="E1262" s="42">
        <v>0</v>
      </c>
    </row>
    <row r="1263" spans="1:5" ht="12.75" customHeight="1">
      <c r="A1263" s="962" t="s">
        <v>1608</v>
      </c>
      <c r="B1263" s="42" t="s">
        <v>3655</v>
      </c>
      <c r="C1263" s="42">
        <v>0</v>
      </c>
      <c r="D1263" s="42">
        <v>0</v>
      </c>
      <c r="E1263" s="42">
        <v>0</v>
      </c>
    </row>
    <row r="1264" spans="1:5" ht="12.75" customHeight="1">
      <c r="A1264" s="962" t="s">
        <v>1608</v>
      </c>
      <c r="B1264" s="42" t="s">
        <v>3656</v>
      </c>
      <c r="C1264" s="42">
        <v>0</v>
      </c>
      <c r="D1264" s="42">
        <v>0</v>
      </c>
      <c r="E1264" s="42">
        <v>0</v>
      </c>
    </row>
    <row r="1265" spans="1:5" ht="12.75" customHeight="1">
      <c r="A1265" s="962" t="s">
        <v>1608</v>
      </c>
      <c r="B1265" s="42" t="s">
        <v>3657</v>
      </c>
      <c r="C1265" s="42">
        <v>0</v>
      </c>
      <c r="D1265" s="42">
        <v>0</v>
      </c>
      <c r="E1265" s="42">
        <v>0</v>
      </c>
    </row>
    <row r="1266" spans="1:5" ht="12.75" customHeight="1">
      <c r="A1266" s="962" t="s">
        <v>1608</v>
      </c>
      <c r="B1266" s="42" t="s">
        <v>3658</v>
      </c>
      <c r="C1266" s="42">
        <v>0</v>
      </c>
      <c r="D1266" s="42">
        <v>0</v>
      </c>
      <c r="E1266" s="42">
        <v>0</v>
      </c>
    </row>
    <row r="1267" spans="1:5" ht="12.75" customHeight="1">
      <c r="A1267" s="962" t="s">
        <v>1608</v>
      </c>
      <c r="B1267" s="42" t="s">
        <v>3658</v>
      </c>
      <c r="C1267" s="42">
        <v>0</v>
      </c>
      <c r="D1267" s="42">
        <v>0</v>
      </c>
      <c r="E1267" s="42">
        <v>0</v>
      </c>
    </row>
    <row r="1268" spans="1:5" ht="12.75" customHeight="1">
      <c r="A1268" s="962" t="s">
        <v>1608</v>
      </c>
      <c r="B1268" s="42" t="s">
        <v>3659</v>
      </c>
      <c r="C1268" s="42">
        <v>0</v>
      </c>
      <c r="D1268" s="42">
        <v>0</v>
      </c>
      <c r="E1268" s="42">
        <v>0</v>
      </c>
    </row>
    <row r="1269" spans="1:5" ht="12.75" customHeight="1">
      <c r="A1269" s="962" t="s">
        <v>1608</v>
      </c>
      <c r="B1269" s="42" t="s">
        <v>3660</v>
      </c>
      <c r="C1269" s="42">
        <v>0</v>
      </c>
      <c r="D1269" s="42">
        <v>0</v>
      </c>
      <c r="E1269" s="42">
        <v>0</v>
      </c>
    </row>
    <row r="1270" spans="1:5" ht="12.75" customHeight="1">
      <c r="A1270" s="962" t="s">
        <v>1608</v>
      </c>
      <c r="B1270" s="42" t="s">
        <v>3661</v>
      </c>
      <c r="C1270" s="42">
        <v>0</v>
      </c>
      <c r="D1270" s="42">
        <v>0</v>
      </c>
      <c r="E1270" s="42">
        <v>0</v>
      </c>
    </row>
    <row r="1271" spans="1:5" ht="12.75" customHeight="1">
      <c r="A1271" s="962" t="s">
        <v>1608</v>
      </c>
      <c r="B1271" s="42" t="s">
        <v>3662</v>
      </c>
      <c r="C1271" s="42">
        <v>0</v>
      </c>
      <c r="D1271" s="42">
        <v>0</v>
      </c>
      <c r="E1271" s="42">
        <v>0</v>
      </c>
    </row>
    <row r="1272" spans="1:5" ht="12.75" customHeight="1">
      <c r="A1272" s="962" t="s">
        <v>1608</v>
      </c>
      <c r="B1272" s="42" t="s">
        <v>3663</v>
      </c>
      <c r="C1272" s="42">
        <v>0</v>
      </c>
      <c r="D1272" s="42">
        <v>0</v>
      </c>
      <c r="E1272" s="42">
        <v>0</v>
      </c>
    </row>
    <row r="1273" spans="1:5" ht="12.75" customHeight="1">
      <c r="A1273" s="962" t="s">
        <v>1608</v>
      </c>
      <c r="B1273" s="42" t="s">
        <v>3664</v>
      </c>
      <c r="C1273" s="42">
        <v>0</v>
      </c>
      <c r="D1273" s="42">
        <v>0</v>
      </c>
      <c r="E1273" s="42">
        <v>0</v>
      </c>
    </row>
    <row r="1274" spans="1:5" ht="12.75" customHeight="1">
      <c r="A1274" s="962" t="s">
        <v>1608</v>
      </c>
      <c r="B1274" s="42" t="s">
        <v>3665</v>
      </c>
      <c r="C1274" s="42">
        <v>0</v>
      </c>
      <c r="D1274" s="42">
        <v>0</v>
      </c>
      <c r="E1274" s="42">
        <v>0</v>
      </c>
    </row>
    <row r="1275" spans="1:5" ht="12.75" customHeight="1">
      <c r="A1275" s="962" t="s">
        <v>1608</v>
      </c>
      <c r="B1275" s="42" t="s">
        <v>3666</v>
      </c>
      <c r="C1275" s="42">
        <v>0</v>
      </c>
      <c r="D1275" s="42">
        <v>0</v>
      </c>
      <c r="E1275" s="42">
        <v>0</v>
      </c>
    </row>
    <row r="1276" spans="1:5" ht="12.75" customHeight="1">
      <c r="A1276" s="962" t="s">
        <v>1608</v>
      </c>
      <c r="B1276" s="42" t="s">
        <v>3667</v>
      </c>
      <c r="C1276" s="42">
        <v>0</v>
      </c>
      <c r="D1276" s="42">
        <v>0</v>
      </c>
      <c r="E1276" s="42">
        <v>0</v>
      </c>
    </row>
    <row r="1277" spans="1:5" ht="12.75" customHeight="1">
      <c r="A1277" s="962" t="s">
        <v>1608</v>
      </c>
      <c r="B1277" s="42" t="s">
        <v>3668</v>
      </c>
      <c r="C1277" s="42">
        <v>0</v>
      </c>
      <c r="D1277" s="42">
        <v>0</v>
      </c>
      <c r="E1277" s="42">
        <v>0</v>
      </c>
    </row>
    <row r="1278" spans="1:5" ht="12.75" customHeight="1">
      <c r="A1278" s="962" t="s">
        <v>1608</v>
      </c>
      <c r="B1278" s="42" t="s">
        <v>3669</v>
      </c>
      <c r="C1278" s="42">
        <v>0</v>
      </c>
      <c r="D1278" s="42">
        <v>0</v>
      </c>
      <c r="E1278" s="42">
        <v>0</v>
      </c>
    </row>
    <row r="1279" spans="1:5" ht="12.75" customHeight="1">
      <c r="A1279" s="962" t="s">
        <v>1608</v>
      </c>
      <c r="B1279" s="42" t="s">
        <v>3670</v>
      </c>
      <c r="C1279" s="42">
        <v>0</v>
      </c>
      <c r="D1279" s="42">
        <v>0</v>
      </c>
      <c r="E1279" s="42">
        <v>0</v>
      </c>
    </row>
    <row r="1280" spans="1:5" ht="12.75" customHeight="1">
      <c r="A1280" s="962" t="s">
        <v>1608</v>
      </c>
      <c r="B1280" s="42" t="s">
        <v>3671</v>
      </c>
      <c r="C1280" s="42">
        <v>0</v>
      </c>
      <c r="D1280" s="42">
        <v>0</v>
      </c>
      <c r="E1280" s="42">
        <v>0</v>
      </c>
    </row>
    <row r="1281" spans="1:5" ht="12.75" customHeight="1">
      <c r="A1281" s="962" t="s">
        <v>1608</v>
      </c>
      <c r="B1281" s="42" t="s">
        <v>3672</v>
      </c>
      <c r="C1281" s="42">
        <v>0</v>
      </c>
      <c r="D1281" s="42">
        <v>0</v>
      </c>
      <c r="E1281" s="42">
        <v>0</v>
      </c>
    </row>
    <row r="1282" spans="1:5" ht="12.75" customHeight="1">
      <c r="A1282" s="962" t="s">
        <v>1608</v>
      </c>
      <c r="B1282" s="42" t="s">
        <v>3673</v>
      </c>
      <c r="C1282" s="42">
        <v>0</v>
      </c>
      <c r="D1282" s="42">
        <v>0</v>
      </c>
      <c r="E1282" s="42">
        <v>0</v>
      </c>
    </row>
    <row r="1283" spans="1:5" ht="12.75" customHeight="1">
      <c r="A1283" s="962" t="s">
        <v>1608</v>
      </c>
      <c r="B1283" s="42" t="s">
        <v>3674</v>
      </c>
      <c r="C1283" s="42">
        <v>0</v>
      </c>
      <c r="D1283" s="42">
        <v>0</v>
      </c>
      <c r="E1283" s="42">
        <v>0</v>
      </c>
    </row>
    <row r="1284" spans="1:5" ht="12.75" customHeight="1">
      <c r="A1284" s="962" t="s">
        <v>1608</v>
      </c>
      <c r="B1284" s="42" t="s">
        <v>3675</v>
      </c>
      <c r="C1284" s="42">
        <v>0</v>
      </c>
      <c r="D1284" s="42">
        <v>0</v>
      </c>
      <c r="E1284" s="42">
        <v>0</v>
      </c>
    </row>
    <row r="1285" spans="1:5" ht="12.75" customHeight="1">
      <c r="A1285" s="962" t="s">
        <v>1608</v>
      </c>
      <c r="B1285" s="42" t="s">
        <v>3676</v>
      </c>
      <c r="C1285" s="42">
        <v>0</v>
      </c>
      <c r="D1285" s="42">
        <v>0</v>
      </c>
      <c r="E1285" s="42">
        <v>0</v>
      </c>
    </row>
    <row r="1286" spans="1:5" ht="12.75" customHeight="1">
      <c r="A1286" s="962" t="s">
        <v>1608</v>
      </c>
      <c r="B1286" s="42" t="s">
        <v>3677</v>
      </c>
      <c r="C1286" s="42">
        <v>0</v>
      </c>
      <c r="D1286" s="42">
        <v>0</v>
      </c>
      <c r="E1286" s="42">
        <v>0</v>
      </c>
    </row>
    <row r="1287" spans="1:5" ht="12.75" customHeight="1">
      <c r="A1287" s="962" t="s">
        <v>1608</v>
      </c>
      <c r="B1287" s="42" t="s">
        <v>3678</v>
      </c>
      <c r="C1287" s="42">
        <v>0</v>
      </c>
      <c r="D1287" s="42">
        <v>0</v>
      </c>
      <c r="E1287" s="42">
        <v>0</v>
      </c>
    </row>
    <row r="1288" spans="1:5" ht="12.75" customHeight="1">
      <c r="A1288" s="962" t="s">
        <v>1608</v>
      </c>
      <c r="B1288" s="42" t="s">
        <v>3679</v>
      </c>
      <c r="C1288" s="42">
        <v>0</v>
      </c>
      <c r="D1288" s="42">
        <v>0</v>
      </c>
      <c r="E1288" s="42">
        <v>0</v>
      </c>
    </row>
    <row r="1289" spans="1:5" ht="12.75" customHeight="1">
      <c r="A1289" s="962" t="s">
        <v>1608</v>
      </c>
      <c r="B1289" s="42" t="s">
        <v>3680</v>
      </c>
      <c r="C1289" s="42">
        <v>0</v>
      </c>
      <c r="D1289" s="42">
        <v>0</v>
      </c>
      <c r="E1289" s="42">
        <v>0</v>
      </c>
    </row>
    <row r="1290" spans="1:5" ht="12.75" customHeight="1">
      <c r="A1290" s="962" t="s">
        <v>1608</v>
      </c>
      <c r="B1290" s="42" t="s">
        <v>3681</v>
      </c>
      <c r="C1290" s="42">
        <v>0</v>
      </c>
      <c r="D1290" s="42">
        <v>0</v>
      </c>
      <c r="E1290" s="42">
        <v>0</v>
      </c>
    </row>
    <row r="1291" spans="1:5" ht="12.75" customHeight="1">
      <c r="A1291" s="962" t="s">
        <v>1608</v>
      </c>
      <c r="B1291" s="42" t="s">
        <v>3682</v>
      </c>
      <c r="C1291" s="42">
        <v>0</v>
      </c>
      <c r="D1291" s="42">
        <v>0</v>
      </c>
      <c r="E1291" s="42">
        <v>0</v>
      </c>
    </row>
    <row r="1292" spans="1:5" ht="12.75" customHeight="1">
      <c r="A1292" s="962" t="s">
        <v>1608</v>
      </c>
      <c r="B1292" s="42" t="s">
        <v>3683</v>
      </c>
      <c r="C1292" s="42">
        <v>0</v>
      </c>
      <c r="D1292" s="42">
        <v>0</v>
      </c>
      <c r="E1292" s="42">
        <v>0</v>
      </c>
    </row>
    <row r="1293" spans="1:5" ht="12.75" customHeight="1">
      <c r="A1293" s="962" t="s">
        <v>1608</v>
      </c>
      <c r="B1293" s="42" t="s">
        <v>3684</v>
      </c>
      <c r="C1293" s="42">
        <v>0</v>
      </c>
      <c r="D1293" s="42">
        <v>0</v>
      </c>
      <c r="E1293" s="42">
        <v>0</v>
      </c>
    </row>
    <row r="1294" spans="1:5" ht="12.75" customHeight="1">
      <c r="A1294" s="962" t="s">
        <v>1608</v>
      </c>
      <c r="B1294" s="42" t="s">
        <v>3685</v>
      </c>
      <c r="C1294" s="42">
        <v>0</v>
      </c>
      <c r="D1294" s="42">
        <v>0</v>
      </c>
      <c r="E1294" s="42">
        <v>0</v>
      </c>
    </row>
    <row r="1295" spans="1:5" ht="12.75" customHeight="1">
      <c r="A1295" s="962" t="s">
        <v>1608</v>
      </c>
      <c r="B1295" s="42" t="s">
        <v>3686</v>
      </c>
      <c r="C1295" s="42">
        <v>0</v>
      </c>
      <c r="D1295" s="42">
        <v>0</v>
      </c>
      <c r="E1295" s="42">
        <v>0</v>
      </c>
    </row>
    <row r="1296" spans="1:5" ht="12.75" customHeight="1">
      <c r="A1296" s="962" t="s">
        <v>1608</v>
      </c>
      <c r="B1296" s="42" t="s">
        <v>3687</v>
      </c>
      <c r="C1296" s="42">
        <v>0</v>
      </c>
      <c r="D1296" s="42">
        <v>0</v>
      </c>
      <c r="E1296" s="42">
        <v>0</v>
      </c>
    </row>
    <row r="1297" spans="1:5" ht="12.75" customHeight="1">
      <c r="A1297" s="962" t="s">
        <v>3688</v>
      </c>
      <c r="B1297" s="42" t="s">
        <v>3689</v>
      </c>
      <c r="C1297" s="42">
        <v>0</v>
      </c>
      <c r="D1297" s="42">
        <v>0</v>
      </c>
      <c r="E1297" s="42">
        <v>0</v>
      </c>
    </row>
    <row r="1298" spans="1:5" ht="12.75" customHeight="1">
      <c r="A1298" s="962" t="s">
        <v>3688</v>
      </c>
      <c r="B1298" s="42" t="s">
        <v>3690</v>
      </c>
      <c r="C1298" s="42">
        <v>0</v>
      </c>
      <c r="D1298" s="42">
        <v>0</v>
      </c>
      <c r="E1298" s="42">
        <v>1</v>
      </c>
    </row>
    <row r="1299" spans="1:5" ht="12.75" customHeight="1">
      <c r="A1299" s="962" t="s">
        <v>3688</v>
      </c>
      <c r="B1299" s="42" t="s">
        <v>3691</v>
      </c>
      <c r="C1299" s="42">
        <v>0</v>
      </c>
      <c r="D1299" s="42">
        <v>0</v>
      </c>
      <c r="E1299" s="42">
        <v>0</v>
      </c>
    </row>
    <row r="1300" spans="1:5" ht="12.75" customHeight="1">
      <c r="A1300" s="962" t="s">
        <v>3688</v>
      </c>
      <c r="B1300" s="42" t="s">
        <v>3692</v>
      </c>
      <c r="C1300" s="42">
        <v>0</v>
      </c>
      <c r="D1300" s="42">
        <v>0</v>
      </c>
      <c r="E1300" s="42">
        <v>0</v>
      </c>
    </row>
    <row r="1301" spans="1:5" ht="12.75" customHeight="1">
      <c r="A1301" s="962" t="s">
        <v>3688</v>
      </c>
      <c r="B1301" s="42" t="s">
        <v>3693</v>
      </c>
      <c r="C1301" s="42">
        <v>0</v>
      </c>
      <c r="D1301" s="42">
        <v>0</v>
      </c>
      <c r="E1301" s="42">
        <v>0</v>
      </c>
    </row>
    <row r="1302" spans="1:5" ht="12.75" customHeight="1">
      <c r="A1302" s="962" t="s">
        <v>3688</v>
      </c>
      <c r="B1302" s="42" t="s">
        <v>3694</v>
      </c>
      <c r="C1302" s="42">
        <v>0</v>
      </c>
      <c r="D1302" s="42">
        <v>0</v>
      </c>
      <c r="E1302" s="42">
        <v>0</v>
      </c>
    </row>
    <row r="1303" spans="1:5" ht="12.75" customHeight="1">
      <c r="A1303" s="962" t="s">
        <v>3688</v>
      </c>
      <c r="B1303" s="42" t="s">
        <v>3695</v>
      </c>
      <c r="C1303" s="42">
        <v>0</v>
      </c>
      <c r="D1303" s="42">
        <v>0</v>
      </c>
      <c r="E1303" s="42">
        <v>0</v>
      </c>
    </row>
    <row r="1304" spans="1:5" ht="12.75" customHeight="1">
      <c r="A1304" s="962" t="s">
        <v>3688</v>
      </c>
      <c r="B1304" s="42" t="s">
        <v>3696</v>
      </c>
      <c r="C1304" s="42">
        <v>0</v>
      </c>
      <c r="D1304" s="42">
        <v>0</v>
      </c>
      <c r="E1304" s="42">
        <v>0</v>
      </c>
    </row>
    <row r="1305" spans="1:5" ht="12.75" customHeight="1">
      <c r="A1305" s="962" t="s">
        <v>3688</v>
      </c>
      <c r="B1305" s="42" t="s">
        <v>3697</v>
      </c>
      <c r="C1305" s="42">
        <v>0</v>
      </c>
      <c r="D1305" s="42">
        <v>0</v>
      </c>
      <c r="E1305" s="42">
        <v>0</v>
      </c>
    </row>
    <row r="1306" spans="1:5" ht="12.75" customHeight="1">
      <c r="A1306" s="962" t="s">
        <v>3688</v>
      </c>
      <c r="B1306" s="42" t="s">
        <v>3698</v>
      </c>
      <c r="C1306" s="42">
        <v>0</v>
      </c>
      <c r="D1306" s="42">
        <v>0</v>
      </c>
      <c r="E1306" s="42">
        <v>0</v>
      </c>
    </row>
    <row r="1307" spans="1:5" ht="12.75" customHeight="1">
      <c r="A1307" s="962" t="s">
        <v>3688</v>
      </c>
      <c r="B1307" s="42" t="s">
        <v>3699</v>
      </c>
      <c r="C1307" s="42">
        <v>0</v>
      </c>
      <c r="D1307" s="42">
        <v>0</v>
      </c>
      <c r="E1307" s="42">
        <v>0</v>
      </c>
    </row>
    <row r="1308" spans="1:5" ht="12.75" customHeight="1">
      <c r="A1308" s="962" t="s">
        <v>3688</v>
      </c>
      <c r="B1308" s="42" t="s">
        <v>3700</v>
      </c>
      <c r="C1308" s="42">
        <v>0</v>
      </c>
      <c r="D1308" s="42">
        <v>0</v>
      </c>
      <c r="E1308" s="42">
        <v>0</v>
      </c>
    </row>
    <row r="1309" spans="1:5" ht="12.75" customHeight="1">
      <c r="A1309" s="962" t="s">
        <v>3688</v>
      </c>
      <c r="B1309" s="42" t="s">
        <v>3701</v>
      </c>
      <c r="C1309" s="42">
        <v>0</v>
      </c>
      <c r="D1309" s="42">
        <v>0</v>
      </c>
      <c r="E1309" s="42">
        <v>0</v>
      </c>
    </row>
    <row r="1310" spans="1:5" ht="12.75" customHeight="1">
      <c r="A1310" s="962" t="s">
        <v>3688</v>
      </c>
      <c r="B1310" s="42" t="s">
        <v>3702</v>
      </c>
      <c r="C1310" s="42">
        <v>0</v>
      </c>
      <c r="D1310" s="42">
        <v>0</v>
      </c>
      <c r="E1310" s="42">
        <v>0</v>
      </c>
    </row>
    <row r="1311" spans="1:5" ht="12.75" customHeight="1">
      <c r="A1311" s="962" t="s">
        <v>3688</v>
      </c>
      <c r="B1311" s="42" t="s">
        <v>3703</v>
      </c>
      <c r="C1311" s="42">
        <v>0</v>
      </c>
      <c r="D1311" s="42">
        <v>0</v>
      </c>
      <c r="E1311" s="42">
        <v>0</v>
      </c>
    </row>
    <row r="1312" spans="1:5" ht="12.75" customHeight="1">
      <c r="A1312" s="962" t="s">
        <v>3688</v>
      </c>
      <c r="B1312" s="42" t="s">
        <v>3704</v>
      </c>
      <c r="C1312" s="42">
        <v>0</v>
      </c>
      <c r="D1312" s="42">
        <v>0</v>
      </c>
      <c r="E1312" s="42">
        <v>0</v>
      </c>
    </row>
    <row r="1313" spans="1:5" ht="12.75" customHeight="1">
      <c r="A1313" s="962" t="s">
        <v>3688</v>
      </c>
      <c r="B1313" s="42" t="s">
        <v>3705</v>
      </c>
      <c r="C1313" s="42">
        <v>0</v>
      </c>
      <c r="D1313" s="42">
        <v>0</v>
      </c>
      <c r="E1313" s="42">
        <v>0</v>
      </c>
    </row>
    <row r="1314" spans="1:5" ht="12.75" customHeight="1">
      <c r="A1314" s="962" t="s">
        <v>3688</v>
      </c>
      <c r="B1314" s="42" t="s">
        <v>3706</v>
      </c>
      <c r="C1314" s="42">
        <v>0</v>
      </c>
      <c r="D1314" s="42">
        <v>0</v>
      </c>
      <c r="E1314" s="42">
        <v>0</v>
      </c>
    </row>
    <row r="1315" spans="1:5" ht="12.75" customHeight="1">
      <c r="A1315" s="962" t="s">
        <v>3688</v>
      </c>
      <c r="B1315" s="42" t="s">
        <v>3707</v>
      </c>
      <c r="C1315" s="42">
        <v>0</v>
      </c>
      <c r="D1315" s="42">
        <v>0</v>
      </c>
      <c r="E1315" s="42">
        <v>1</v>
      </c>
    </row>
    <row r="1316" spans="1:5" ht="12.75" customHeight="1">
      <c r="A1316" s="962" t="s">
        <v>3688</v>
      </c>
      <c r="B1316" s="42" t="s">
        <v>3708</v>
      </c>
      <c r="C1316" s="42">
        <v>0</v>
      </c>
      <c r="D1316" s="42">
        <v>0</v>
      </c>
      <c r="E1316" s="42">
        <v>0</v>
      </c>
    </row>
    <row r="1317" spans="1:5" ht="12.75" customHeight="1">
      <c r="A1317" s="962" t="s">
        <v>3688</v>
      </c>
      <c r="B1317" s="42" t="s">
        <v>3709</v>
      </c>
      <c r="C1317" s="42">
        <v>0</v>
      </c>
      <c r="D1317" s="42">
        <v>0</v>
      </c>
      <c r="E1317" s="42">
        <v>0</v>
      </c>
    </row>
    <row r="1318" spans="1:5" ht="12.75" customHeight="1">
      <c r="A1318" s="962" t="s">
        <v>3688</v>
      </c>
      <c r="B1318" s="42" t="s">
        <v>3710</v>
      </c>
      <c r="C1318" s="42">
        <v>0</v>
      </c>
      <c r="D1318" s="42">
        <v>0</v>
      </c>
      <c r="E1318" s="42">
        <v>0</v>
      </c>
    </row>
    <row r="1319" spans="1:5" ht="12.75" customHeight="1">
      <c r="A1319" s="962" t="s">
        <v>3688</v>
      </c>
      <c r="B1319" s="42" t="s">
        <v>3711</v>
      </c>
      <c r="C1319" s="42">
        <v>0</v>
      </c>
      <c r="D1319" s="42">
        <v>0</v>
      </c>
      <c r="E1319" s="42">
        <v>0</v>
      </c>
    </row>
    <row r="1320" spans="1:5" ht="12.75" customHeight="1">
      <c r="A1320" s="962" t="s">
        <v>3688</v>
      </c>
      <c r="B1320" s="42" t="s">
        <v>3712</v>
      </c>
      <c r="C1320" s="42">
        <v>0</v>
      </c>
      <c r="D1320" s="42">
        <v>0</v>
      </c>
      <c r="E1320" s="42">
        <v>0</v>
      </c>
    </row>
    <row r="1321" spans="1:5" ht="12.75" customHeight="1">
      <c r="A1321" s="964" t="s">
        <v>3688</v>
      </c>
      <c r="B1321" s="446" t="s">
        <v>3713</v>
      </c>
      <c r="C1321" s="446">
        <v>0</v>
      </c>
      <c r="D1321" s="446">
        <v>0</v>
      </c>
      <c r="E1321" s="446">
        <v>0</v>
      </c>
    </row>
  </sheetData>
  <conditionalFormatting sqref="C1:E1">
    <cfRule type="cellIs" dxfId="235" priority="1" operator="equal">
      <formula>1</formula>
    </cfRule>
  </conditionalFormatting>
  <conditionalFormatting sqref="C5:E1321">
    <cfRule type="cellIs" dxfId="234" priority="5" operator="equal">
      <formula>1</formula>
    </cfRule>
    <cfRule type="cellIs" dxfId="233" priority="6" operator="equal">
      <formula>""</formula>
    </cfRule>
  </conditionalFormatting>
  <hyperlinks>
    <hyperlink ref="A2" r:id="rId1" xr:uid="{1192A882-1AFD-44B7-843E-A4A5FA9B287E}"/>
  </hyperlinks>
  <pageMargins left="0.7" right="0.7" top="0.75" bottom="0.75" header="0.3" footer="0.3"/>
  <pageSetup paperSize="9" orientation="portrait" horizontalDpi="300" verticalDpi="300" r:id="rId2"/>
  <headerFooter>
    <oddHeader>&amp;C&amp;"Calibri"&amp;12&amp;KC00000 OFFICIAL&amp;1#_x000D_</oddHeader>
    <oddFooter>&amp;C_x000D_&amp;1#&amp;"Calibri"&amp;12&amp;KC00000 OFFICIAL</oddFooter>
  </headerFooter>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973AF"/>
  </sheetPr>
  <dimension ref="A1:CS121"/>
  <sheetViews>
    <sheetView zoomScale="80" zoomScaleNormal="80" workbookViewId="0">
      <selection sqref="A1:F1"/>
    </sheetView>
  </sheetViews>
  <sheetFormatPr defaultRowHeight="15" customHeight="1"/>
  <cols>
    <col min="1" max="1" width="79.5703125" customWidth="1"/>
    <col min="2" max="47" width="10.85546875" customWidth="1"/>
    <col min="48" max="49" width="13.42578125" customWidth="1"/>
    <col min="50" max="50" width="13.7109375" customWidth="1"/>
    <col min="51" max="51" width="16.28515625" customWidth="1"/>
    <col min="52" max="52" width="77.42578125" customWidth="1"/>
  </cols>
  <sheetData>
    <row r="1" spans="1:97" s="637" customFormat="1" ht="30" customHeight="1">
      <c r="A1" s="1042" t="s">
        <v>3714</v>
      </c>
      <c r="B1" s="1042"/>
      <c r="C1" s="1042"/>
      <c r="D1" s="1042"/>
      <c r="E1" s="1042"/>
      <c r="F1" s="1042"/>
      <c r="G1" s="634" t="s">
        <v>1100</v>
      </c>
      <c r="H1" s="634" t="s">
        <v>1100</v>
      </c>
      <c r="I1" s="634" t="s">
        <v>1100</v>
      </c>
      <c r="J1" s="634" t="s">
        <v>1100</v>
      </c>
      <c r="K1" s="634" t="s">
        <v>1100</v>
      </c>
      <c r="L1" s="634" t="s">
        <v>1100</v>
      </c>
      <c r="M1" s="634" t="s">
        <v>1100</v>
      </c>
      <c r="N1" s="634" t="s">
        <v>1100</v>
      </c>
      <c r="O1" s="634" t="s">
        <v>1100</v>
      </c>
      <c r="P1" s="634" t="s">
        <v>1100</v>
      </c>
      <c r="Q1" s="634" t="s">
        <v>1100</v>
      </c>
      <c r="R1" s="634" t="s">
        <v>1100</v>
      </c>
      <c r="S1" s="634" t="s">
        <v>1100</v>
      </c>
      <c r="T1" s="634" t="s">
        <v>1100</v>
      </c>
      <c r="U1" s="634" t="s">
        <v>1100</v>
      </c>
      <c r="V1" s="634" t="s">
        <v>1100</v>
      </c>
      <c r="W1" s="634" t="s">
        <v>1100</v>
      </c>
      <c r="X1" s="634" t="s">
        <v>1100</v>
      </c>
      <c r="Y1" s="634" t="s">
        <v>1100</v>
      </c>
      <c r="Z1" s="634" t="s">
        <v>1100</v>
      </c>
      <c r="AA1" s="634" t="s">
        <v>1100</v>
      </c>
      <c r="AB1" s="634" t="s">
        <v>1100</v>
      </c>
      <c r="AC1" s="634" t="s">
        <v>1100</v>
      </c>
      <c r="AD1" s="634" t="s">
        <v>1100</v>
      </c>
      <c r="AE1" s="634" t="s">
        <v>1100</v>
      </c>
      <c r="AF1" s="634" t="s">
        <v>1100</v>
      </c>
      <c r="AG1" s="634" t="s">
        <v>1100</v>
      </c>
      <c r="AH1" s="634" t="s">
        <v>1100</v>
      </c>
      <c r="AI1" s="634" t="s">
        <v>1100</v>
      </c>
      <c r="AJ1" s="634" t="s">
        <v>1100</v>
      </c>
      <c r="AK1" s="634" t="s">
        <v>1100</v>
      </c>
      <c r="AL1" s="634" t="s">
        <v>1100</v>
      </c>
      <c r="AM1" s="634" t="s">
        <v>1100</v>
      </c>
      <c r="AN1" s="634" t="s">
        <v>1100</v>
      </c>
      <c r="AO1" s="635" t="s">
        <v>1100</v>
      </c>
      <c r="AP1" s="635" t="s">
        <v>1100</v>
      </c>
      <c r="AQ1" s="635" t="s">
        <v>1100</v>
      </c>
      <c r="AR1" s="635" t="s">
        <v>1100</v>
      </c>
      <c r="AS1" s="635" t="s">
        <v>1100</v>
      </c>
      <c r="AT1" s="635" t="s">
        <v>1100</v>
      </c>
      <c r="AU1" s="635" t="s">
        <v>1100</v>
      </c>
      <c r="AV1" s="635" t="s">
        <v>1100</v>
      </c>
      <c r="AW1" s="635"/>
      <c r="AX1" s="635" t="s">
        <v>1100</v>
      </c>
      <c r="AY1" s="635" t="s">
        <v>1100</v>
      </c>
      <c r="AZ1" s="772"/>
      <c r="BA1" s="636"/>
      <c r="BB1" s="636"/>
      <c r="BC1" s="636"/>
      <c r="BD1" s="636"/>
      <c r="BE1" s="636"/>
      <c r="BF1" s="636"/>
      <c r="BG1" s="636"/>
      <c r="BH1" s="636"/>
      <c r="BI1" s="636"/>
      <c r="BJ1" s="636"/>
      <c r="BK1" s="636"/>
      <c r="BL1" s="636"/>
      <c r="BM1" s="636"/>
      <c r="BN1" s="636"/>
      <c r="BO1" s="636"/>
      <c r="BP1" s="636"/>
      <c r="BQ1" s="636"/>
      <c r="BR1" s="636"/>
      <c r="BS1" s="636"/>
      <c r="BT1" s="636"/>
      <c r="BU1" s="636"/>
      <c r="BV1" s="636"/>
      <c r="BW1" s="636"/>
      <c r="BX1" s="636"/>
      <c r="BY1" s="636"/>
      <c r="BZ1" s="636"/>
      <c r="CA1" s="636"/>
      <c r="CB1" s="636"/>
      <c r="CC1" s="636"/>
      <c r="CD1" s="636"/>
      <c r="CE1" s="636"/>
      <c r="CF1" s="636"/>
      <c r="CG1" s="636"/>
      <c r="CH1" s="636"/>
      <c r="CI1" s="636"/>
      <c r="CJ1" s="636"/>
      <c r="CK1" s="636"/>
      <c r="CL1" s="636"/>
      <c r="CM1" s="636"/>
      <c r="CN1" s="636"/>
      <c r="CO1" s="636"/>
      <c r="CP1" s="636"/>
      <c r="CQ1" s="636"/>
      <c r="CR1" s="636"/>
      <c r="CS1" s="636"/>
    </row>
    <row r="2" spans="1:97" ht="15" customHeight="1">
      <c r="A2" s="49" t="s">
        <v>3715</v>
      </c>
      <c r="B2" s="143" t="s">
        <v>1100</v>
      </c>
      <c r="C2" s="143" t="s">
        <v>1100</v>
      </c>
      <c r="D2" s="143" t="s">
        <v>1100</v>
      </c>
      <c r="E2" s="143" t="s">
        <v>1100</v>
      </c>
      <c r="F2" s="143" t="s">
        <v>1100</v>
      </c>
      <c r="G2" s="143" t="s">
        <v>1100</v>
      </c>
      <c r="H2" s="144" t="s">
        <v>1100</v>
      </c>
      <c r="I2" s="143" t="s">
        <v>1100</v>
      </c>
      <c r="J2" s="143" t="s">
        <v>1100</v>
      </c>
      <c r="K2" s="143" t="s">
        <v>1100</v>
      </c>
      <c r="L2" s="143" t="s">
        <v>1100</v>
      </c>
      <c r="M2" s="145" t="s">
        <v>1100</v>
      </c>
      <c r="N2" s="146" t="s">
        <v>1100</v>
      </c>
      <c r="O2" s="146" t="s">
        <v>1100</v>
      </c>
      <c r="P2" s="146" t="s">
        <v>1100</v>
      </c>
      <c r="Q2" s="146" t="s">
        <v>1100</v>
      </c>
      <c r="R2" s="146" t="s">
        <v>1100</v>
      </c>
      <c r="S2" s="146" t="s">
        <v>1100</v>
      </c>
      <c r="T2" s="146" t="s">
        <v>1100</v>
      </c>
      <c r="U2" s="146" t="s">
        <v>1100</v>
      </c>
      <c r="V2" s="146" t="s">
        <v>1100</v>
      </c>
      <c r="W2" s="146" t="s">
        <v>1100</v>
      </c>
      <c r="X2" s="146" t="s">
        <v>1100</v>
      </c>
      <c r="Y2" s="146" t="s">
        <v>1100</v>
      </c>
      <c r="Z2" s="146" t="s">
        <v>1100</v>
      </c>
      <c r="AA2" s="146" t="s">
        <v>1100</v>
      </c>
      <c r="AB2" s="85" t="s">
        <v>1100</v>
      </c>
      <c r="AC2" s="146" t="s">
        <v>1100</v>
      </c>
      <c r="AD2" s="146" t="s">
        <v>1100</v>
      </c>
      <c r="AE2" s="146" t="s">
        <v>1100</v>
      </c>
      <c r="AF2" s="146" t="s">
        <v>1100</v>
      </c>
      <c r="AG2" s="146" t="s">
        <v>1100</v>
      </c>
      <c r="AH2" s="146" t="s">
        <v>1100</v>
      </c>
      <c r="AI2" s="146" t="s">
        <v>1100</v>
      </c>
      <c r="AJ2" s="146" t="s">
        <v>1100</v>
      </c>
      <c r="AK2" s="146" t="s">
        <v>1100</v>
      </c>
      <c r="AL2" s="146" t="s">
        <v>1100</v>
      </c>
      <c r="AM2" s="146" t="s">
        <v>1100</v>
      </c>
      <c r="AN2" s="146" t="s">
        <v>1100</v>
      </c>
      <c r="AO2" s="146" t="s">
        <v>1100</v>
      </c>
      <c r="AP2" s="146" t="s">
        <v>1100</v>
      </c>
      <c r="AQ2" s="146" t="s">
        <v>1100</v>
      </c>
      <c r="AR2" s="146" t="s">
        <v>1100</v>
      </c>
      <c r="AS2" s="146" t="s">
        <v>1100</v>
      </c>
      <c r="AT2" s="146" t="s">
        <v>1100</v>
      </c>
      <c r="AU2" s="146" t="s">
        <v>1100</v>
      </c>
      <c r="AV2" s="146" t="s">
        <v>1100</v>
      </c>
      <c r="AW2" s="146"/>
      <c r="AX2" s="146" t="s">
        <v>1100</v>
      </c>
      <c r="AY2" s="146" t="s">
        <v>1100</v>
      </c>
      <c r="AZ2" s="773"/>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row>
    <row r="3" spans="1:97" ht="15" customHeight="1">
      <c r="A3" s="618" t="s">
        <v>3716</v>
      </c>
    </row>
    <row r="4" spans="1:97" ht="15" customHeight="1">
      <c r="A4" s="618" t="s">
        <v>3717</v>
      </c>
    </row>
    <row r="5" spans="1:97" ht="15" customHeight="1">
      <c r="A5" s="618" t="s">
        <v>3718</v>
      </c>
    </row>
    <row r="6" spans="1:97" ht="15" customHeight="1">
      <c r="A6" s="618" t="s">
        <v>3719</v>
      </c>
    </row>
    <row r="7" spans="1:97" ht="15" customHeight="1">
      <c r="A7" s="618" t="s">
        <v>3720</v>
      </c>
    </row>
    <row r="8" spans="1:97" ht="15" customHeight="1">
      <c r="A8" s="618" t="s">
        <v>3721</v>
      </c>
    </row>
    <row r="9" spans="1:97" ht="15" customHeight="1">
      <c r="A9" s="618" t="s">
        <v>3722</v>
      </c>
    </row>
    <row r="10" spans="1:97" ht="15" customHeight="1">
      <c r="A10" s="618" t="s">
        <v>3723</v>
      </c>
    </row>
    <row r="11" spans="1:97" ht="15" customHeight="1">
      <c r="A11" s="618" t="s">
        <v>3724</v>
      </c>
    </row>
    <row r="12" spans="1:97" ht="15" customHeight="1">
      <c r="A12" s="619"/>
    </row>
    <row r="13" spans="1:97" ht="30">
      <c r="A13" s="57" t="s">
        <v>3725</v>
      </c>
      <c r="B13" s="88" t="s">
        <v>1100</v>
      </c>
      <c r="C13" s="88" t="s">
        <v>1100</v>
      </c>
      <c r="D13" s="88" t="s">
        <v>1100</v>
      </c>
      <c r="E13" s="88" t="s">
        <v>1100</v>
      </c>
      <c r="F13" s="88" t="s">
        <v>1100</v>
      </c>
      <c r="G13" s="88" t="s">
        <v>1100</v>
      </c>
      <c r="H13" s="88" t="s">
        <v>1100</v>
      </c>
      <c r="I13" s="88" t="s">
        <v>1100</v>
      </c>
      <c r="J13" s="88" t="s">
        <v>1100</v>
      </c>
      <c r="K13" s="88" t="s">
        <v>1100</v>
      </c>
      <c r="L13" s="88" t="s">
        <v>1100</v>
      </c>
      <c r="M13" s="393" t="s">
        <v>1100</v>
      </c>
      <c r="N13" s="393" t="s">
        <v>1100</v>
      </c>
      <c r="O13" s="393" t="s">
        <v>1100</v>
      </c>
      <c r="P13" s="393" t="s">
        <v>1100</v>
      </c>
      <c r="Q13" s="393" t="s">
        <v>1100</v>
      </c>
      <c r="R13" s="393" t="s">
        <v>1100</v>
      </c>
      <c r="S13" s="393" t="s">
        <v>1100</v>
      </c>
      <c r="T13" s="393" t="s">
        <v>1100</v>
      </c>
      <c r="U13" s="393" t="s">
        <v>1100</v>
      </c>
      <c r="V13" s="393" t="s">
        <v>1100</v>
      </c>
      <c r="W13" s="393" t="s">
        <v>1100</v>
      </c>
      <c r="X13" s="393" t="s">
        <v>1100</v>
      </c>
      <c r="Y13" s="393" t="s">
        <v>1100</v>
      </c>
      <c r="Z13" s="393" t="s">
        <v>1100</v>
      </c>
      <c r="AA13" s="393" t="s">
        <v>1100</v>
      </c>
      <c r="AB13" s="393" t="s">
        <v>1100</v>
      </c>
      <c r="AC13" s="393" t="s">
        <v>1100</v>
      </c>
      <c r="AD13" s="393" t="s">
        <v>1100</v>
      </c>
      <c r="AE13" s="393" t="s">
        <v>1100</v>
      </c>
      <c r="AF13" s="393" t="s">
        <v>1100</v>
      </c>
      <c r="AG13" s="393" t="s">
        <v>1100</v>
      </c>
      <c r="AH13" s="393" t="s">
        <v>1100</v>
      </c>
      <c r="AI13" s="393" t="s">
        <v>1100</v>
      </c>
      <c r="AJ13" s="393" t="s">
        <v>1100</v>
      </c>
      <c r="AK13" s="393" t="s">
        <v>1100</v>
      </c>
      <c r="AL13" s="393" t="s">
        <v>1100</v>
      </c>
      <c r="AM13" s="393" t="s">
        <v>1100</v>
      </c>
      <c r="AN13" s="393" t="s">
        <v>1100</v>
      </c>
      <c r="AO13" s="393" t="s">
        <v>1100</v>
      </c>
      <c r="AP13" s="393" t="s">
        <v>1100</v>
      </c>
      <c r="AQ13" s="393" t="s">
        <v>1100</v>
      </c>
      <c r="AR13" s="393" t="s">
        <v>1100</v>
      </c>
      <c r="AS13" s="393"/>
      <c r="AT13" s="393" t="s">
        <v>1100</v>
      </c>
      <c r="AU13" s="545"/>
      <c r="AV13" s="394" t="s">
        <v>201</v>
      </c>
      <c r="AW13" s="395" t="s">
        <v>202</v>
      </c>
      <c r="AX13" s="396" t="s">
        <v>1100</v>
      </c>
    </row>
    <row r="14" spans="1:97" ht="26.25">
      <c r="A14" s="59" t="s">
        <v>1638</v>
      </c>
      <c r="B14" s="181" t="s">
        <v>207</v>
      </c>
      <c r="C14" s="181" t="s">
        <v>194</v>
      </c>
      <c r="D14" s="181" t="s">
        <v>191</v>
      </c>
      <c r="E14" s="181" t="s">
        <v>188</v>
      </c>
      <c r="F14" s="181" t="s">
        <v>185</v>
      </c>
      <c r="G14" s="181" t="s">
        <v>181</v>
      </c>
      <c r="H14" s="181" t="s">
        <v>178</v>
      </c>
      <c r="I14" s="181" t="s">
        <v>175</v>
      </c>
      <c r="J14" s="181" t="s">
        <v>171</v>
      </c>
      <c r="K14" s="181" t="s">
        <v>168</v>
      </c>
      <c r="L14" s="181" t="s">
        <v>166</v>
      </c>
      <c r="M14" s="181" t="s">
        <v>163</v>
      </c>
      <c r="N14" s="181" t="s">
        <v>160</v>
      </c>
      <c r="O14" s="181" t="s">
        <v>157</v>
      </c>
      <c r="P14" s="181" t="s">
        <v>153</v>
      </c>
      <c r="Q14" s="181" t="s">
        <v>149</v>
      </c>
      <c r="R14" s="181" t="s">
        <v>146</v>
      </c>
      <c r="S14" s="181" t="s">
        <v>142</v>
      </c>
      <c r="T14" s="181" t="s">
        <v>139</v>
      </c>
      <c r="U14" s="181" t="s">
        <v>136</v>
      </c>
      <c r="V14" s="181" t="s">
        <v>132</v>
      </c>
      <c r="W14" s="181" t="s">
        <v>208</v>
      </c>
      <c r="X14" s="181" t="s">
        <v>126</v>
      </c>
      <c r="Y14" s="181" t="s">
        <v>123</v>
      </c>
      <c r="Z14" s="181" t="s">
        <v>120</v>
      </c>
      <c r="AA14" s="181" t="s">
        <v>117</v>
      </c>
      <c r="AB14" s="181" t="s">
        <v>114</v>
      </c>
      <c r="AC14" s="181" t="s">
        <v>111</v>
      </c>
      <c r="AD14" s="181" t="s">
        <v>108</v>
      </c>
      <c r="AE14" s="181" t="s">
        <v>104</v>
      </c>
      <c r="AF14" s="181" t="s">
        <v>101</v>
      </c>
      <c r="AG14" s="181" t="s">
        <v>98</v>
      </c>
      <c r="AH14" s="181" t="s">
        <v>95</v>
      </c>
      <c r="AI14" s="181" t="s">
        <v>91</v>
      </c>
      <c r="AJ14" s="181" t="s">
        <v>87</v>
      </c>
      <c r="AK14" s="181" t="s">
        <v>83</v>
      </c>
      <c r="AL14" s="181" t="s">
        <v>79</v>
      </c>
      <c r="AM14" s="181" t="s">
        <v>75</v>
      </c>
      <c r="AN14" s="181" t="s">
        <v>72</v>
      </c>
      <c r="AO14" s="181" t="s">
        <v>69</v>
      </c>
      <c r="AP14" s="181" t="s">
        <v>66</v>
      </c>
      <c r="AQ14" s="181" t="s">
        <v>62</v>
      </c>
      <c r="AR14" s="181" t="s">
        <v>59</v>
      </c>
      <c r="AS14" s="181" t="s">
        <v>55</v>
      </c>
      <c r="AT14" s="181" t="s">
        <v>52</v>
      </c>
      <c r="AU14" s="185" t="s">
        <v>49</v>
      </c>
      <c r="AV14" s="476" t="s">
        <v>46</v>
      </c>
      <c r="AW14" s="186" t="s">
        <v>42</v>
      </c>
      <c r="AX14" s="186" t="s">
        <v>3726</v>
      </c>
      <c r="AZ14" s="640" t="s">
        <v>227</v>
      </c>
    </row>
    <row r="15" spans="1:97" ht="15" customHeight="1">
      <c r="A15" s="397" t="s">
        <v>3727</v>
      </c>
      <c r="B15" s="397" t="s">
        <v>1100</v>
      </c>
      <c r="C15" s="397" t="s">
        <v>1100</v>
      </c>
      <c r="D15" s="397" t="s">
        <v>1100</v>
      </c>
      <c r="E15" s="397" t="s">
        <v>1100</v>
      </c>
      <c r="F15" s="397" t="s">
        <v>1100</v>
      </c>
      <c r="G15" s="397" t="s">
        <v>1100</v>
      </c>
      <c r="H15" s="397" t="s">
        <v>1100</v>
      </c>
      <c r="I15" s="397" t="s">
        <v>1100</v>
      </c>
      <c r="J15" s="397" t="s">
        <v>1100</v>
      </c>
      <c r="K15" s="397" t="s">
        <v>1100</v>
      </c>
      <c r="L15" s="397" t="s">
        <v>1100</v>
      </c>
      <c r="M15" s="397" t="s">
        <v>1100</v>
      </c>
      <c r="N15" s="397" t="s">
        <v>1100</v>
      </c>
      <c r="O15" s="397" t="s">
        <v>1100</v>
      </c>
      <c r="P15" s="397" t="s">
        <v>1100</v>
      </c>
      <c r="Q15" s="397" t="s">
        <v>1100</v>
      </c>
      <c r="R15" s="397" t="s">
        <v>1100</v>
      </c>
      <c r="S15" s="397" t="s">
        <v>1100</v>
      </c>
      <c r="T15" s="397" t="s">
        <v>1100</v>
      </c>
      <c r="U15" s="397" t="s">
        <v>1100</v>
      </c>
      <c r="V15" s="397" t="s">
        <v>1100</v>
      </c>
      <c r="W15" s="397" t="s">
        <v>1100</v>
      </c>
      <c r="X15" s="397" t="s">
        <v>1100</v>
      </c>
      <c r="Y15" s="397" t="s">
        <v>1100</v>
      </c>
      <c r="Z15" s="397" t="s">
        <v>1100</v>
      </c>
      <c r="AA15" s="397" t="s">
        <v>1100</v>
      </c>
      <c r="AB15" s="397" t="s">
        <v>1100</v>
      </c>
      <c r="AC15" s="397" t="s">
        <v>1100</v>
      </c>
      <c r="AD15" s="397" t="s">
        <v>1100</v>
      </c>
      <c r="AE15" s="397" t="s">
        <v>1100</v>
      </c>
      <c r="AF15" s="397" t="s">
        <v>1100</v>
      </c>
      <c r="AG15" s="398" t="s">
        <v>1100</v>
      </c>
      <c r="AH15" s="398" t="s">
        <v>1100</v>
      </c>
      <c r="AI15" s="398" t="s">
        <v>1100</v>
      </c>
      <c r="AJ15" s="398" t="s">
        <v>1100</v>
      </c>
      <c r="AK15" s="398" t="s">
        <v>1100</v>
      </c>
      <c r="AL15" s="398" t="s">
        <v>1100</v>
      </c>
      <c r="AM15" s="399" t="s">
        <v>1100</v>
      </c>
      <c r="AN15" s="399" t="s">
        <v>1100</v>
      </c>
      <c r="AO15" s="399" t="s">
        <v>1100</v>
      </c>
      <c r="AP15" s="399" t="s">
        <v>1100</v>
      </c>
      <c r="AQ15" s="399" t="s">
        <v>1100</v>
      </c>
      <c r="AR15" s="399" t="s">
        <v>1100</v>
      </c>
      <c r="AS15" s="399" t="s">
        <v>1100</v>
      </c>
      <c r="AT15" s="399" t="s">
        <v>1100</v>
      </c>
      <c r="AU15" s="399" t="s">
        <v>1100</v>
      </c>
      <c r="AV15" s="546"/>
      <c r="AW15" s="400"/>
      <c r="AX15" s="400" t="s">
        <v>1100</v>
      </c>
      <c r="AZ15" s="1039" t="s">
        <v>3728</v>
      </c>
    </row>
    <row r="16" spans="1:97" ht="15" customHeight="1">
      <c r="A16" s="401" t="s">
        <v>3729</v>
      </c>
      <c r="B16" s="401" t="s">
        <v>1100</v>
      </c>
      <c r="C16" s="401" t="s">
        <v>1100</v>
      </c>
      <c r="D16" s="401" t="s">
        <v>1100</v>
      </c>
      <c r="E16" s="401" t="s">
        <v>1100</v>
      </c>
      <c r="F16" s="401" t="s">
        <v>1100</v>
      </c>
      <c r="G16" s="401" t="s">
        <v>1100</v>
      </c>
      <c r="H16" s="401" t="s">
        <v>1100</v>
      </c>
      <c r="I16" s="401" t="s">
        <v>1100</v>
      </c>
      <c r="J16" s="401" t="s">
        <v>1100</v>
      </c>
      <c r="K16" s="401" t="s">
        <v>1100</v>
      </c>
      <c r="L16" s="401" t="s">
        <v>1100</v>
      </c>
      <c r="M16" s="401" t="s">
        <v>1100</v>
      </c>
      <c r="N16" s="401" t="s">
        <v>1100</v>
      </c>
      <c r="O16" s="401" t="s">
        <v>1100</v>
      </c>
      <c r="P16" s="401" t="s">
        <v>1100</v>
      </c>
      <c r="Q16" s="401" t="s">
        <v>1100</v>
      </c>
      <c r="R16" s="401" t="s">
        <v>1100</v>
      </c>
      <c r="S16" s="401" t="s">
        <v>1100</v>
      </c>
      <c r="T16" s="401" t="s">
        <v>1100</v>
      </c>
      <c r="U16" s="401" t="s">
        <v>1100</v>
      </c>
      <c r="V16" s="401" t="s">
        <v>1100</v>
      </c>
      <c r="W16" s="401" t="s">
        <v>1100</v>
      </c>
      <c r="X16" s="401" t="s">
        <v>1100</v>
      </c>
      <c r="Y16" s="401" t="s">
        <v>1100</v>
      </c>
      <c r="Z16" s="401" t="s">
        <v>1100</v>
      </c>
      <c r="AA16" s="401" t="s">
        <v>1100</v>
      </c>
      <c r="AB16" s="401" t="s">
        <v>1100</v>
      </c>
      <c r="AC16" s="401" t="s">
        <v>1100</v>
      </c>
      <c r="AD16" s="401" t="s">
        <v>1100</v>
      </c>
      <c r="AE16" s="401" t="s">
        <v>1100</v>
      </c>
      <c r="AF16" s="401" t="s">
        <v>1100</v>
      </c>
      <c r="AG16" s="401" t="s">
        <v>1100</v>
      </c>
      <c r="AH16" s="401" t="s">
        <v>1100</v>
      </c>
      <c r="AI16" s="401" t="s">
        <v>1100</v>
      </c>
      <c r="AJ16" s="401" t="s">
        <v>1100</v>
      </c>
      <c r="AK16" s="401" t="s">
        <v>1100</v>
      </c>
      <c r="AL16" s="401" t="s">
        <v>1100</v>
      </c>
      <c r="AM16" s="401" t="s">
        <v>1100</v>
      </c>
      <c r="AN16" s="401" t="s">
        <v>1100</v>
      </c>
      <c r="AO16" s="401" t="s">
        <v>1100</v>
      </c>
      <c r="AP16" s="401" t="s">
        <v>1100</v>
      </c>
      <c r="AQ16" s="401" t="s">
        <v>1100</v>
      </c>
      <c r="AR16" s="401" t="s">
        <v>1100</v>
      </c>
      <c r="AS16" s="401" t="s">
        <v>1100</v>
      </c>
      <c r="AT16" s="401" t="s">
        <v>1100</v>
      </c>
      <c r="AU16" s="401" t="s">
        <v>1100</v>
      </c>
      <c r="AV16" s="403"/>
      <c r="AW16" s="403"/>
      <c r="AX16" s="404" t="s">
        <v>1100</v>
      </c>
      <c r="AZ16" s="1040"/>
    </row>
    <row r="17" spans="1:50" ht="15" customHeight="1">
      <c r="A17" s="405" t="s">
        <v>2206</v>
      </c>
      <c r="B17" s="406">
        <f>SUMIF('R&amp;D'!$BH$5:$BH$665,"Government (CSIRO)",'R&amp;D'!C$5:C$665)</f>
        <v>184.5</v>
      </c>
      <c r="C17" s="406">
        <f>SUMIF('R&amp;D'!$BH$5:$BH$665,"Government (CSIRO)",'R&amp;D'!D$5:D$665)</f>
        <v>211.3</v>
      </c>
      <c r="D17" s="406">
        <f>SUMIF('R&amp;D'!$BH$5:$BH$665,"Government (CSIRO)",'R&amp;D'!E$5:E$665)</f>
        <v>247.1</v>
      </c>
      <c r="E17" s="406">
        <f>SUMIF('R&amp;D'!$BH$5:$BH$665,"Government (CSIRO)",'R&amp;D'!F$5:F$665)</f>
        <v>290.89999999999998</v>
      </c>
      <c r="F17" s="406">
        <f>SUMIF('R&amp;D'!$BH$5:$BH$665,"Government (CSIRO)",'R&amp;D'!G$5:G$665)</f>
        <v>328.2</v>
      </c>
      <c r="G17" s="406">
        <f>SUMIF('R&amp;D'!$BH$5:$BH$665,"Government (CSIRO)",'R&amp;D'!H$5:H$665)</f>
        <v>331.6</v>
      </c>
      <c r="H17" s="406">
        <f>SUMIF('R&amp;D'!$BH$5:$BH$665,"Government (CSIRO)",'R&amp;D'!I$5:I$665)</f>
        <v>324.89999999999998</v>
      </c>
      <c r="I17" s="406">
        <f>SUMIF('R&amp;D'!$BH$5:$BH$665,"Government (CSIRO)",'R&amp;D'!J$5:J$665)</f>
        <v>344.3</v>
      </c>
      <c r="J17" s="406">
        <f>SUMIF('R&amp;D'!$BH$5:$BH$665,"Government (CSIRO)",'R&amp;D'!K$5:K$665)</f>
        <v>367.8</v>
      </c>
      <c r="K17" s="406">
        <f>SUMIF('R&amp;D'!$BH$5:$BH$665,"Government (CSIRO)",'R&amp;D'!L$5:L$665)</f>
        <v>347.8</v>
      </c>
      <c r="L17" s="406">
        <f>SUMIF('R&amp;D'!$BH$5:$BH$665,"Government (CSIRO)",'R&amp;D'!M$5:M$665)</f>
        <v>348.1</v>
      </c>
      <c r="M17" s="406">
        <f>SUMIF('R&amp;D'!$BH$5:$BH$665,"Government (CSIRO)",'R&amp;D'!N$5:N$665)</f>
        <v>375.2</v>
      </c>
      <c r="N17" s="406">
        <f>SUMIF('R&amp;D'!$BH$5:$BH$665,"Government (CSIRO)",'R&amp;D'!O$5:O$665)</f>
        <v>414.4</v>
      </c>
      <c r="O17" s="406">
        <f>SUMIF('R&amp;D'!$BH$5:$BH$665,"Government (CSIRO)",'R&amp;D'!P$5:P$665)</f>
        <v>446.3</v>
      </c>
      <c r="P17" s="406">
        <f>SUMIF('R&amp;D'!$BH$5:$BH$665,"Government (CSIRO)",'R&amp;D'!Q$5:Q$665)</f>
        <v>456.2</v>
      </c>
      <c r="Q17" s="406">
        <f>SUMIF('R&amp;D'!$BH$5:$BH$665,"Government (CSIRO)",'R&amp;D'!R$5:R$665)</f>
        <v>460.4</v>
      </c>
      <c r="R17" s="406">
        <f>SUMIF('R&amp;D'!$BH$5:$BH$665,"Government (CSIRO)",'R&amp;D'!S$5:S$665)</f>
        <v>461.6</v>
      </c>
      <c r="S17" s="406">
        <f>SUMIF('R&amp;D'!$BH$5:$BH$665,"Government (CSIRO)",'R&amp;D'!T$5:T$665)</f>
        <v>417.6</v>
      </c>
      <c r="T17" s="406">
        <f>SUMIF('R&amp;D'!$BH$5:$BH$665,"Government (CSIRO)",'R&amp;D'!U$5:U$665)</f>
        <v>444.5</v>
      </c>
      <c r="U17" s="406">
        <f>SUMIF('R&amp;D'!$BH$5:$BH$665,"Government (CSIRO)",'R&amp;D'!V$5:V$665)</f>
        <v>466.8</v>
      </c>
      <c r="V17" s="406">
        <f>SUMIF('R&amp;D'!$BH$5:$BH$665,"Government (CSIRO)",'R&amp;D'!W$5:W$665)</f>
        <v>475.4</v>
      </c>
      <c r="W17" s="406">
        <f>SUMIF('R&amp;D'!$BH$5:$BH$665,"Government (CSIRO)",'R&amp;D'!X$5:X$665)</f>
        <v>499.99900000000002</v>
      </c>
      <c r="X17" s="406">
        <f>SUMIF('R&amp;D'!$BH$5:$BH$665,"Government (CSIRO)",'R&amp;D'!Y$5:Y$665)</f>
        <v>496.7</v>
      </c>
      <c r="Y17" s="406">
        <f>SUMIF('R&amp;D'!$BH$5:$BH$665,"Government (CSIRO)",'R&amp;D'!Z$5:Z$665)</f>
        <v>509.6</v>
      </c>
      <c r="Z17" s="406">
        <f>SUMIF('R&amp;D'!$BH$5:$BH$665,"Government (CSIRO)",'R&amp;D'!AA$5:AA$665)</f>
        <v>532.05600000000004</v>
      </c>
      <c r="AA17" s="406">
        <f>SUMIF('R&amp;D'!$BH$5:$BH$665,"Government (CSIRO)",'R&amp;D'!AB$5:AB$665)</f>
        <v>568.64599999999996</v>
      </c>
      <c r="AB17" s="406">
        <f>SUMIF('R&amp;D'!$BH$5:$BH$665,"Government (CSIRO)",'R&amp;D'!AC$5:AC$665)</f>
        <v>577.1</v>
      </c>
      <c r="AC17" s="406">
        <f>SUMIF('R&amp;D'!$BH$5:$BH$665,"Government (CSIRO)",'R&amp;D'!AD$5:AD$665)</f>
        <v>593.9</v>
      </c>
      <c r="AD17" s="406">
        <f>SUMIF('R&amp;D'!$BH$5:$BH$665,"Government (CSIRO)",'R&amp;D'!AE$5:AE$665)</f>
        <v>610.1</v>
      </c>
      <c r="AE17" s="406">
        <f>SUMIF('R&amp;D'!$BH$5:$BH$665,"Government (CSIRO)",'R&amp;D'!AF$5:AF$665)</f>
        <v>663.1</v>
      </c>
      <c r="AF17" s="406">
        <f>SUMIF('R&amp;D'!$BH$5:$BH$665,"Government (CSIRO)",'R&amp;D'!AG$5:AG$665)</f>
        <v>675.79</v>
      </c>
      <c r="AG17" s="406">
        <f>SUMIF('R&amp;D'!$BH$5:$BH$665,"Government (CSIRO)",'R&amp;D'!AH$5:AH$665)</f>
        <v>704.88400000000001</v>
      </c>
      <c r="AH17" s="406">
        <f>SUMIF('R&amp;D'!$BH$5:$BH$665,"Government (CSIRO)",'R&amp;D'!AI$5:AI$665)</f>
        <v>720.41499999999996</v>
      </c>
      <c r="AI17" s="406">
        <f>SUMIF('R&amp;D'!$BH$5:$BH$665,"Government (CSIRO)",'R&amp;D'!AJ$5:AJ$665)</f>
        <v>724.93899999999996</v>
      </c>
      <c r="AJ17" s="406">
        <f>SUMIF('R&amp;D'!$BH$5:$BH$665,"Government (CSIRO)",'R&amp;D'!AK$5:AK$665)</f>
        <v>733.81700000000001</v>
      </c>
      <c r="AK17" s="406">
        <f>SUMIF('R&amp;D'!$BH$5:$BH$665,"Government (CSIRO)",'R&amp;D'!AL$5:AL$665)</f>
        <v>778.17700000000002</v>
      </c>
      <c r="AL17" s="406">
        <f>SUMIF('R&amp;D'!$BH$5:$BH$665,"Government (CSIRO)",'R&amp;D'!AM$5:AM$665)</f>
        <v>745.26800000000003</v>
      </c>
      <c r="AM17" s="406">
        <f>SUMIF('R&amp;D'!$BH$5:$BH$665,"Government (CSIRO)",'R&amp;D'!AN$5:AN$665)</f>
        <v>750.28099999999995</v>
      </c>
      <c r="AN17" s="406">
        <f>SUMIF('R&amp;D'!$BH$5:$BH$665,"Government (CSIRO)",'R&amp;D'!AO$5:AO$665)</f>
        <v>787.26700000000005</v>
      </c>
      <c r="AO17" s="406">
        <f>SUMIF('R&amp;D'!$BH$5:$BH$665,"Government (CSIRO)",'R&amp;D'!AP$5:AP$665)</f>
        <v>793.54899999999998</v>
      </c>
      <c r="AP17" s="406">
        <f>SUMIF('R&amp;D'!$BH$5:$BH$665,"Government (CSIRO)",'R&amp;D'!AQ$5:AQ$665)</f>
        <v>834.56100000000004</v>
      </c>
      <c r="AQ17" s="406">
        <f>SUMIF('R&amp;D'!$BH$5:$BH$665,"Government (CSIRO)",'R&amp;D'!AR$5:AR$665)</f>
        <v>837.87300000000005</v>
      </c>
      <c r="AR17" s="406">
        <f>SUMIF('R&amp;D'!$BH$5:$BH$665,"Government (CSIRO)",'R&amp;D'!AS$5:AS$665)</f>
        <v>960.53700000000003</v>
      </c>
      <c r="AS17" s="406">
        <f>SUMIF('R&amp;D'!$BH$5:$BH$665,"Government (CSIRO)",'R&amp;D'!AT$5:AT$665)</f>
        <v>950.29100000000005</v>
      </c>
      <c r="AT17" s="406">
        <f>SUMIF('R&amp;D'!$BH$5:$BH$665,"Government (CSIRO)",'R&amp;D'!AU$5:AU$665)</f>
        <v>1001.068</v>
      </c>
      <c r="AU17" s="406">
        <f>SUMIF('R&amp;D'!$BH$5:$BH$665,"Government (CSIRO)",'R&amp;D'!AV$5:AV$665)</f>
        <v>1014.385</v>
      </c>
      <c r="AV17" s="547">
        <f>SUMIF('R&amp;D'!$BH$5:$BH$665,"Government (CSIRO)",'R&amp;D'!AW$5:AW$665)</f>
        <v>931.399</v>
      </c>
      <c r="AW17" s="408">
        <f>SUMIF('R&amp;D'!$BH$5:$BH$665,"Government (CSIRO)",'R&amp;D'!AX$5:AX$665)</f>
        <v>985.17399999999998</v>
      </c>
      <c r="AX17" s="409">
        <f>AW17/$AW$45</f>
        <v>6.5072123855014194E-2</v>
      </c>
    </row>
    <row r="18" spans="1:50" ht="15" customHeight="1">
      <c r="A18" s="75" t="s">
        <v>3730</v>
      </c>
      <c r="B18" s="406">
        <f>SUMIF('R&amp;D'!$BH$5:$BH$665,"Government (DST Group)",'R&amp;D'!C$5:C$665)</f>
        <v>77.8</v>
      </c>
      <c r="C18" s="406">
        <f>SUMIF('R&amp;D'!$BH$5:$BH$665,"Government (DST Group)",'R&amp;D'!D$5:D$665)</f>
        <v>85.9</v>
      </c>
      <c r="D18" s="406">
        <f>SUMIF('R&amp;D'!$BH$5:$BH$665,"Government (DST Group)",'R&amp;D'!E$5:E$665)</f>
        <v>95.4</v>
      </c>
      <c r="E18" s="406">
        <f>SUMIF('R&amp;D'!$BH$5:$BH$665,"Government (DST Group)",'R&amp;D'!F$5:F$665)</f>
        <v>126.1</v>
      </c>
      <c r="F18" s="406">
        <f>SUMIF('R&amp;D'!$BH$5:$BH$665,"Government (DST Group)",'R&amp;D'!G$5:G$665)</f>
        <v>138.80000000000001</v>
      </c>
      <c r="G18" s="406">
        <f>SUMIF('R&amp;D'!$BH$5:$BH$665,"Government (DST Group)",'R&amp;D'!H$5:H$665)</f>
        <v>146.6</v>
      </c>
      <c r="H18" s="406">
        <f>SUMIF('R&amp;D'!$BH$5:$BH$665,"Government (DST Group)",'R&amp;D'!I$5:I$665)</f>
        <v>158.4</v>
      </c>
      <c r="I18" s="406">
        <f>SUMIF('R&amp;D'!$BH$5:$BH$665,"Government (DST Group)",'R&amp;D'!J$5:J$665)</f>
        <v>165.9</v>
      </c>
      <c r="J18" s="406">
        <f>SUMIF('R&amp;D'!$BH$5:$BH$665,"Government (DST Group)",'R&amp;D'!K$5:K$665)</f>
        <v>191.4</v>
      </c>
      <c r="K18" s="406">
        <f>SUMIF('R&amp;D'!$BH$5:$BH$665,"Government (DST Group)",'R&amp;D'!L$5:L$665)</f>
        <v>195.1</v>
      </c>
      <c r="L18" s="406">
        <f>SUMIF('R&amp;D'!$BH$5:$BH$665,"Government (DST Group)",'R&amp;D'!M$5:M$665)</f>
        <v>219</v>
      </c>
      <c r="M18" s="406">
        <f>SUMIF('R&amp;D'!$BH$5:$BH$665,"Government (DST Group)",'R&amp;D'!N$5:N$665)</f>
        <v>235</v>
      </c>
      <c r="N18" s="406">
        <f>SUMIF('R&amp;D'!$BH$5:$BH$665,"Government (DST Group)",'R&amp;D'!O$5:O$665)</f>
        <v>237.1</v>
      </c>
      <c r="O18" s="406">
        <f>SUMIF('R&amp;D'!$BH$5:$BH$665,"Government (DST Group)",'R&amp;D'!P$5:P$665)</f>
        <v>242.4</v>
      </c>
      <c r="P18" s="406">
        <f>SUMIF('R&amp;D'!$BH$5:$BH$665,"Government (DST Group)",'R&amp;D'!Q$5:Q$665)</f>
        <v>241.5</v>
      </c>
      <c r="Q18" s="406">
        <f>SUMIF('R&amp;D'!$BH$5:$BH$665,"Government (DST Group)",'R&amp;D'!R$5:R$665)</f>
        <v>268.5</v>
      </c>
      <c r="R18" s="406">
        <f>SUMIF('R&amp;D'!$BH$5:$BH$665,"Government (DST Group)",'R&amp;D'!S$5:S$665)</f>
        <v>247.4</v>
      </c>
      <c r="S18" s="406">
        <f>SUMIF('R&amp;D'!$BH$5:$BH$665,"Government (DST Group)",'R&amp;D'!T$5:T$665)</f>
        <v>267.60000000000002</v>
      </c>
      <c r="T18" s="406">
        <f>SUMIF('R&amp;D'!$BH$5:$BH$665,"Government (DST Group)",'R&amp;D'!U$5:U$665)</f>
        <v>254.9</v>
      </c>
      <c r="U18" s="406">
        <f>SUMIF('R&amp;D'!$BH$5:$BH$665,"Government (DST Group)",'R&amp;D'!V$5:V$665)</f>
        <v>212.1</v>
      </c>
      <c r="V18" s="406">
        <f>SUMIF('R&amp;D'!$BH$5:$BH$665,"Government (DST Group)",'R&amp;D'!W$5:W$665)</f>
        <v>221.3</v>
      </c>
      <c r="W18" s="406">
        <f>SUMIF('R&amp;D'!$BH$5:$BH$665,"Government (DST Group)",'R&amp;D'!X$5:X$665)</f>
        <v>237.6</v>
      </c>
      <c r="X18" s="406">
        <f>SUMIF('R&amp;D'!$BH$5:$BH$665,"Government (DST Group)",'R&amp;D'!Y$5:Y$665)</f>
        <v>261</v>
      </c>
      <c r="Y18" s="406">
        <f>SUMIF('R&amp;D'!$BH$5:$BH$665,"Government (DST Group)",'R&amp;D'!Z$5:Z$665)</f>
        <v>275</v>
      </c>
      <c r="Z18" s="406">
        <f>SUMIF('R&amp;D'!$BH$5:$BH$665,"Government (DST Group)",'R&amp;D'!AA$5:AA$665)</f>
        <v>283.39999999999998</v>
      </c>
      <c r="AA18" s="406">
        <f>SUMIF('R&amp;D'!$BH$5:$BH$665,"Government (DST Group)",'R&amp;D'!AB$5:AB$665)</f>
        <v>293.89999999999998</v>
      </c>
      <c r="AB18" s="406">
        <f>SUMIF('R&amp;D'!$BH$5:$BH$665,"Government (DST Group)",'R&amp;D'!AC$5:AC$665)</f>
        <v>315.39999999999998</v>
      </c>
      <c r="AC18" s="406">
        <f>SUMIF('R&amp;D'!$BH$5:$BH$665,"Government (DST Group)",'R&amp;D'!AD$5:AD$665)</f>
        <v>351.13099999999997</v>
      </c>
      <c r="AD18" s="406">
        <f>SUMIF('R&amp;D'!$BH$5:$BH$665,"Government (DST Group)",'R&amp;D'!AE$5:AE$665)</f>
        <v>408.1</v>
      </c>
      <c r="AE18" s="406">
        <f>SUMIF('R&amp;D'!$BH$5:$BH$665,"Government (DST Group)",'R&amp;D'!AF$5:AF$665)</f>
        <v>406.04</v>
      </c>
      <c r="AF18" s="406">
        <f>SUMIF('R&amp;D'!$BH$5:$BH$665,"Government (DST Group)",'R&amp;D'!AG$5:AG$665)</f>
        <v>379.54599999999999</v>
      </c>
      <c r="AG18" s="406">
        <f>SUMIF('R&amp;D'!$BH$5:$BH$665,"Government (DST Group)",'R&amp;D'!AH$5:AH$665)</f>
        <v>407.60599999999999</v>
      </c>
      <c r="AH18" s="406">
        <f>SUMIF('R&amp;D'!$BH$5:$BH$665,"Government (DST Group)",'R&amp;D'!AI$5:AI$665)</f>
        <v>421.71499999999997</v>
      </c>
      <c r="AI18" s="406">
        <f>SUMIF('R&amp;D'!$BH$5:$BH$665,"Government (DST Group)",'R&amp;D'!AJ$5:AJ$665)</f>
        <v>450.91199999999998</v>
      </c>
      <c r="AJ18" s="406">
        <f>SUMIF('R&amp;D'!$BH$5:$BH$665,"Government (DST Group)",'R&amp;D'!AK$5:AK$665)</f>
        <v>434.07</v>
      </c>
      <c r="AK18" s="406">
        <f>SUMIF('R&amp;D'!$BH$5:$BH$665,"Government (DST Group)",'R&amp;D'!AL$5:AL$665)</f>
        <v>425.66399999999999</v>
      </c>
      <c r="AL18" s="406">
        <f>SUMIF('R&amp;D'!$BH$5:$BH$665,"Government (DST Group)",'R&amp;D'!AM$5:AM$665)</f>
        <v>439.76600000000002</v>
      </c>
      <c r="AM18" s="406">
        <f>SUMIF('R&amp;D'!$BH$5:$BH$665,"Government (DST Group)",'R&amp;D'!AN$5:AN$665)</f>
        <v>503.483</v>
      </c>
      <c r="AN18" s="406">
        <f>SUMIF('R&amp;D'!$BH$5:$BH$665,"Government (DST Group)",'R&amp;D'!AO$5:AO$665)</f>
        <v>447.46800000000002</v>
      </c>
      <c r="AO18" s="406">
        <f>SUMIF('R&amp;D'!$BH$5:$BH$665,"Government (DST Group)",'R&amp;D'!AP$5:AP$665)</f>
        <v>471.86599999999999</v>
      </c>
      <c r="AP18" s="406">
        <f>SUMIF('R&amp;D'!$BH$5:$BH$665,"Government (DST Group)",'R&amp;D'!AQ$5:AQ$665)</f>
        <v>468.75400000000002</v>
      </c>
      <c r="AQ18" s="406">
        <f>SUMIF('R&amp;D'!$BH$5:$BH$665,"Government (DST Group)",'R&amp;D'!AR$5:AR$665)</f>
        <v>377.71199999999999</v>
      </c>
      <c r="AR18" s="406">
        <f>SUMIF('R&amp;D'!$BH$5:$BH$665,"Government (DST Group)",'R&amp;D'!AS$5:AS$665)</f>
        <v>441.72700000000003</v>
      </c>
      <c r="AS18" s="406">
        <f>SUMIF('R&amp;D'!$BH$5:$BH$665,"Government (DST Group)",'R&amp;D'!AT$5:AT$665)</f>
        <v>493.64499999999998</v>
      </c>
      <c r="AT18" s="406">
        <f>SUMIF('R&amp;D'!$BH$5:$BH$665,"Government (DST Group)",'R&amp;D'!AU$5:AU$665)</f>
        <v>512.95899999999995</v>
      </c>
      <c r="AU18" s="406">
        <f>SUMIF('R&amp;D'!$BH$5:$BH$665,"Government (DST Group)",'R&amp;D'!AV$5:AV$665)</f>
        <v>488.39400000000001</v>
      </c>
      <c r="AV18" s="547">
        <f>SUMIF('R&amp;D'!$BH$5:$BH$665,"Government (DST Group)",'R&amp;D'!AW$5:AW$665)</f>
        <v>547.65</v>
      </c>
      <c r="AW18" s="408">
        <f>SUMIF('R&amp;D'!$BH$5:$BH$665,"Government (DST Group)",'R&amp;D'!AX$5:AX$665)</f>
        <v>560.46</v>
      </c>
      <c r="AX18" s="409">
        <f>AW18/$AW$45</f>
        <v>3.7019168731392889E-2</v>
      </c>
    </row>
    <row r="19" spans="1:50" ht="15" customHeight="1">
      <c r="A19" s="75" t="s">
        <v>3731</v>
      </c>
      <c r="B19" s="406">
        <f>SUMIF('R&amp;D'!$BH$5:$BH$665,"Government (Other R&amp;D)",'R&amp;D'!C$5:C$665)</f>
        <v>56.7</v>
      </c>
      <c r="C19" s="406">
        <f>SUMIF('R&amp;D'!$BH$5:$BH$665,"Government (Other R&amp;D)",'R&amp;D'!D$5:D$665)</f>
        <v>72.900000000000006</v>
      </c>
      <c r="D19" s="406">
        <f>SUMIF('R&amp;D'!$BH$5:$BH$665,"Government (Other R&amp;D)",'R&amp;D'!E$5:E$665)</f>
        <v>84.7</v>
      </c>
      <c r="E19" s="406">
        <f>SUMIF('R&amp;D'!$BH$5:$BH$665,"Government (Other R&amp;D)",'R&amp;D'!F$5:F$665)</f>
        <v>93.9</v>
      </c>
      <c r="F19" s="406">
        <f>SUMIF('R&amp;D'!$BH$5:$BH$665,"Government (Other R&amp;D)",'R&amp;D'!G$5:G$665)</f>
        <v>108.9</v>
      </c>
      <c r="G19" s="406">
        <f>SUMIF('R&amp;D'!$BH$5:$BH$665,"Government (Other R&amp;D)",'R&amp;D'!H$5:H$665)</f>
        <v>114.9</v>
      </c>
      <c r="H19" s="406">
        <f>SUMIF('R&amp;D'!$BH$5:$BH$665,"Government (Other R&amp;D)",'R&amp;D'!I$5:I$665)</f>
        <v>129.69999999999999</v>
      </c>
      <c r="I19" s="406">
        <f>SUMIF('R&amp;D'!$BH$5:$BH$665,"Government (Other R&amp;D)",'R&amp;D'!J$5:J$665)</f>
        <v>144.69999999999999</v>
      </c>
      <c r="J19" s="406">
        <f>SUMIF('R&amp;D'!$BH$5:$BH$665,"Government (Other R&amp;D)",'R&amp;D'!K$5:K$665)</f>
        <v>153.79999999999998</v>
      </c>
      <c r="K19" s="406">
        <f>SUMIF('R&amp;D'!$BH$5:$BH$665,"Government (Other R&amp;D)",'R&amp;D'!L$5:L$665)</f>
        <v>164.4</v>
      </c>
      <c r="L19" s="406">
        <f>SUMIF('R&amp;D'!$BH$5:$BH$665,"Government (Other R&amp;D)",'R&amp;D'!M$5:M$665)</f>
        <v>170</v>
      </c>
      <c r="M19" s="406">
        <f>SUMIF('R&amp;D'!$BH$5:$BH$665,"Government (Other R&amp;D)",'R&amp;D'!N$5:N$665)</f>
        <v>191.20000000000002</v>
      </c>
      <c r="N19" s="406">
        <f>SUMIF('R&amp;D'!$BH$5:$BH$665,"Government (Other R&amp;D)",'R&amp;D'!O$5:O$665)</f>
        <v>209.9</v>
      </c>
      <c r="O19" s="406">
        <f>SUMIF('R&amp;D'!$BH$5:$BH$665,"Government (Other R&amp;D)",'R&amp;D'!P$5:P$665)</f>
        <v>219.4</v>
      </c>
      <c r="P19" s="406">
        <f>SUMIF('R&amp;D'!$BH$5:$BH$665,"Government (Other R&amp;D)",'R&amp;D'!Q$5:Q$665)</f>
        <v>225.49999999999997</v>
      </c>
      <c r="Q19" s="406">
        <f>SUMIF('R&amp;D'!$BH$5:$BH$665,"Government (Other R&amp;D)",'R&amp;D'!R$5:R$665)</f>
        <v>216.2</v>
      </c>
      <c r="R19" s="406">
        <f>SUMIF('R&amp;D'!$BH$5:$BH$665,"Government (Other R&amp;D)",'R&amp;D'!S$5:S$665)</f>
        <v>218.39999999999998</v>
      </c>
      <c r="S19" s="406">
        <f>SUMIF('R&amp;D'!$BH$5:$BH$665,"Government (Other R&amp;D)",'R&amp;D'!T$5:T$665)</f>
        <v>227.4</v>
      </c>
      <c r="T19" s="406">
        <f>SUMIF('R&amp;D'!$BH$5:$BH$665,"Government (Other R&amp;D)",'R&amp;D'!U$5:U$665)</f>
        <v>270.60000000000002</v>
      </c>
      <c r="U19" s="406">
        <f>SUMIF('R&amp;D'!$BH$5:$BH$665,"Government (Other R&amp;D)",'R&amp;D'!V$5:V$665)</f>
        <v>247.1</v>
      </c>
      <c r="V19" s="406">
        <f>SUMIF('R&amp;D'!$BH$5:$BH$665,"Government (Other R&amp;D)",'R&amp;D'!W$5:W$665)</f>
        <v>234.7</v>
      </c>
      <c r="W19" s="406">
        <f>SUMIF('R&amp;D'!$BH$5:$BH$665,"Government (Other R&amp;D)",'R&amp;D'!X$5:X$665)</f>
        <v>265.93</v>
      </c>
      <c r="X19" s="406">
        <f>SUMIF('R&amp;D'!$BH$5:$BH$665,"Government (Other R&amp;D)",'R&amp;D'!Y$5:Y$665)</f>
        <v>373.84499999999997</v>
      </c>
      <c r="Y19" s="406">
        <f>SUMIF('R&amp;D'!$BH$5:$BH$665,"Government (Other R&amp;D)",'R&amp;D'!Z$5:Z$665)</f>
        <v>421.56900000000002</v>
      </c>
      <c r="Z19" s="406">
        <f>SUMIF('R&amp;D'!$BH$5:$BH$665,"Government (Other R&amp;D)",'R&amp;D'!AA$5:AA$665)</f>
        <v>444.93000000000006</v>
      </c>
      <c r="AA19" s="406">
        <f>SUMIF('R&amp;D'!$BH$5:$BH$665,"Government (Other R&amp;D)",'R&amp;D'!AB$5:AB$665)</f>
        <v>563.78438500000004</v>
      </c>
      <c r="AB19" s="406">
        <f>SUMIF('R&amp;D'!$BH$5:$BH$665,"Government (Other R&amp;D)",'R&amp;D'!AC$5:AC$665)</f>
        <v>487.49554599999999</v>
      </c>
      <c r="AC19" s="406">
        <f>SUMIF('R&amp;D'!$BH$5:$BH$665,"Government (Other R&amp;D)",'R&amp;D'!AD$5:AD$665)</f>
        <v>481.29393499999998</v>
      </c>
      <c r="AD19" s="406">
        <f>SUMIF('R&amp;D'!$BH$5:$BH$665,"Government (Other R&amp;D)",'R&amp;D'!AE$5:AE$665)</f>
        <v>486.22497099999993</v>
      </c>
      <c r="AE19" s="406">
        <f>SUMIF('R&amp;D'!$BH$5:$BH$665,"Government (Other R&amp;D)",'R&amp;D'!AF$5:AF$665)</f>
        <v>568.36672899999996</v>
      </c>
      <c r="AF19" s="406">
        <f>SUMIF('R&amp;D'!$BH$5:$BH$665,"Government (Other R&amp;D)",'R&amp;D'!AG$5:AG$665)</f>
        <v>561.14441800000009</v>
      </c>
      <c r="AG19" s="406">
        <f>SUMIF('R&amp;D'!$BH$5:$BH$665,"Government (Other R&amp;D)",'R&amp;D'!AH$5:AH$665)</f>
        <v>596.11276799999996</v>
      </c>
      <c r="AH19" s="406">
        <f>SUMIF('R&amp;D'!$BH$5:$BH$665,"Government (Other R&amp;D)",'R&amp;D'!AI$5:AI$665)</f>
        <v>614.62604199999998</v>
      </c>
      <c r="AI19" s="406">
        <f>SUMIF('R&amp;D'!$BH$5:$BH$665,"Government (Other R&amp;D)",'R&amp;D'!AJ$5:AJ$665)</f>
        <v>616.47399999999993</v>
      </c>
      <c r="AJ19" s="406">
        <f>SUMIF('R&amp;D'!$BH$5:$BH$665,"Government (Other R&amp;D)",'R&amp;D'!AK$5:AK$665)</f>
        <v>689.08500000000004</v>
      </c>
      <c r="AK19" s="406">
        <f>SUMIF('R&amp;D'!$BH$5:$BH$665,"Government (Other R&amp;D)",'R&amp;D'!AL$5:AL$665)</f>
        <v>691.86000000000013</v>
      </c>
      <c r="AL19" s="406">
        <f>SUMIF('R&amp;D'!$BH$5:$BH$665,"Government (Other R&amp;D)",'R&amp;D'!AM$5:AM$665)</f>
        <v>722.61400000000003</v>
      </c>
      <c r="AM19" s="406">
        <f>SUMIF('R&amp;D'!$BH$5:$BH$665,"Government (Other R&amp;D)",'R&amp;D'!AN$5:AN$665)</f>
        <v>640.9346579999999</v>
      </c>
      <c r="AN19" s="406">
        <f>SUMIF('R&amp;D'!$BH$5:$BH$665,"Government (Other R&amp;D)",'R&amp;D'!AO$5:AO$665)</f>
        <v>718.47711800000013</v>
      </c>
      <c r="AO19" s="406">
        <f>SUMIF('R&amp;D'!$BH$5:$BH$665,"Government (Other R&amp;D)",'R&amp;D'!AP$5:AP$665)</f>
        <v>763.83024999999986</v>
      </c>
      <c r="AP19" s="406">
        <f>SUMIF('R&amp;D'!$BH$5:$BH$665,"Government (Other R&amp;D)",'R&amp;D'!AQ$5:AQ$665)</f>
        <v>819.90899999999999</v>
      </c>
      <c r="AQ19" s="406">
        <f>SUMIF('R&amp;D'!$BH$5:$BH$665,"Government (Other R&amp;D)",'R&amp;D'!AR$5:AR$665)</f>
        <v>869.03899999999999</v>
      </c>
      <c r="AR19" s="406">
        <f>SUMIF('R&amp;D'!$BH$5:$BH$665,"Government (Other R&amp;D)",'R&amp;D'!AS$5:AS$665)</f>
        <v>896.11902600000019</v>
      </c>
      <c r="AS19" s="406">
        <f>SUMIF('R&amp;D'!$BH$5:$BH$665,"Government (Other R&amp;D)",'R&amp;D'!AT$5:AT$665)</f>
        <v>844.0266459999998</v>
      </c>
      <c r="AT19" s="406">
        <f>SUMIF('R&amp;D'!$BH$5:$BH$665,"Government (Other R&amp;D)",'R&amp;D'!AU$5:AU$665)</f>
        <v>849.83000000000015</v>
      </c>
      <c r="AU19" s="406">
        <f>SUMIF('R&amp;D'!$BH$5:$BH$665,"Government (Other R&amp;D)",'R&amp;D'!AV$5:AV$665)</f>
        <v>902.25699000000043</v>
      </c>
      <c r="AV19" s="547">
        <f>SUMIF('R&amp;D'!$BH$5:$BH$665,"Government (Other R&amp;D)",'R&amp;D'!AW$5:AW$665)</f>
        <v>941.29237489896673</v>
      </c>
      <c r="AW19" s="408">
        <f>SUMIF('R&amp;D'!$BH$5:$BH$665,"Government (Other R&amp;D)",'R&amp;D'!AX$5:AX$665)</f>
        <v>951.00407286175459</v>
      </c>
      <c r="AX19" s="409">
        <f>AW19/$AW$45</f>
        <v>6.2815152263339308E-2</v>
      </c>
    </row>
    <row r="20" spans="1:50" ht="15" customHeight="1">
      <c r="A20" s="68" t="s">
        <v>3732</v>
      </c>
      <c r="B20" s="69">
        <f t="shared" ref="B20:AW20" si="0">SUM(B17:B19)</f>
        <v>319</v>
      </c>
      <c r="C20" s="69">
        <f t="shared" si="0"/>
        <v>370.1</v>
      </c>
      <c r="D20" s="69">
        <f t="shared" si="0"/>
        <v>427.2</v>
      </c>
      <c r="E20" s="69">
        <f t="shared" si="0"/>
        <v>510.9</v>
      </c>
      <c r="F20" s="69">
        <f t="shared" si="0"/>
        <v>575.9</v>
      </c>
      <c r="G20" s="69">
        <f t="shared" si="0"/>
        <v>593.1</v>
      </c>
      <c r="H20" s="69">
        <f t="shared" si="0"/>
        <v>613</v>
      </c>
      <c r="I20" s="69">
        <f t="shared" si="0"/>
        <v>654.90000000000009</v>
      </c>
      <c r="J20" s="69">
        <f t="shared" si="0"/>
        <v>713</v>
      </c>
      <c r="K20" s="69">
        <f t="shared" si="0"/>
        <v>707.3</v>
      </c>
      <c r="L20" s="69">
        <f t="shared" si="0"/>
        <v>737.1</v>
      </c>
      <c r="M20" s="69">
        <f t="shared" si="0"/>
        <v>801.40000000000009</v>
      </c>
      <c r="N20" s="69">
        <f t="shared" si="0"/>
        <v>861.4</v>
      </c>
      <c r="O20" s="69">
        <f t="shared" si="0"/>
        <v>908.1</v>
      </c>
      <c r="P20" s="69">
        <f t="shared" si="0"/>
        <v>923.2</v>
      </c>
      <c r="Q20" s="69">
        <f t="shared" si="0"/>
        <v>945.09999999999991</v>
      </c>
      <c r="R20" s="69">
        <f t="shared" si="0"/>
        <v>927.4</v>
      </c>
      <c r="S20" s="69">
        <f t="shared" si="0"/>
        <v>912.6</v>
      </c>
      <c r="T20" s="69">
        <f t="shared" si="0"/>
        <v>970</v>
      </c>
      <c r="U20" s="69">
        <f t="shared" si="0"/>
        <v>926</v>
      </c>
      <c r="V20" s="69">
        <f t="shared" si="0"/>
        <v>931.40000000000009</v>
      </c>
      <c r="W20" s="69">
        <f t="shared" si="0"/>
        <v>1003.529</v>
      </c>
      <c r="X20" s="69">
        <f t="shared" si="0"/>
        <v>1131.5450000000001</v>
      </c>
      <c r="Y20" s="69">
        <f t="shared" si="0"/>
        <v>1206.1690000000001</v>
      </c>
      <c r="Z20" s="69">
        <f t="shared" si="0"/>
        <v>1260.386</v>
      </c>
      <c r="AA20" s="69">
        <f t="shared" si="0"/>
        <v>1426.330385</v>
      </c>
      <c r="AB20" s="69">
        <f t="shared" si="0"/>
        <v>1379.9955460000001</v>
      </c>
      <c r="AC20" s="69">
        <f t="shared" si="0"/>
        <v>1426.3249349999999</v>
      </c>
      <c r="AD20" s="69">
        <f t="shared" si="0"/>
        <v>1504.4249709999999</v>
      </c>
      <c r="AE20" s="69">
        <f t="shared" si="0"/>
        <v>1637.5067290000002</v>
      </c>
      <c r="AF20" s="69">
        <f t="shared" si="0"/>
        <v>1616.4804180000001</v>
      </c>
      <c r="AG20" s="69">
        <f t="shared" si="0"/>
        <v>1708.602768</v>
      </c>
      <c r="AH20" s="69">
        <f t="shared" si="0"/>
        <v>1756.756042</v>
      </c>
      <c r="AI20" s="69">
        <f t="shared" si="0"/>
        <v>1792.3249999999998</v>
      </c>
      <c r="AJ20" s="69">
        <f t="shared" si="0"/>
        <v>1856.972</v>
      </c>
      <c r="AK20" s="69">
        <f t="shared" si="0"/>
        <v>1895.701</v>
      </c>
      <c r="AL20" s="69">
        <f t="shared" si="0"/>
        <v>1907.6480000000001</v>
      </c>
      <c r="AM20" s="69">
        <f t="shared" si="0"/>
        <v>1894.6986579999998</v>
      </c>
      <c r="AN20" s="69">
        <f t="shared" si="0"/>
        <v>1953.2121180000004</v>
      </c>
      <c r="AO20" s="69">
        <f t="shared" si="0"/>
        <v>2029.2452499999999</v>
      </c>
      <c r="AP20" s="69">
        <f t="shared" si="0"/>
        <v>2123.2240000000002</v>
      </c>
      <c r="AQ20" s="69">
        <f t="shared" si="0"/>
        <v>2084.6239999999998</v>
      </c>
      <c r="AR20" s="69">
        <f t="shared" si="0"/>
        <v>2298.3830260000004</v>
      </c>
      <c r="AS20" s="69">
        <f t="shared" si="0"/>
        <v>2287.9626459999999</v>
      </c>
      <c r="AT20" s="69">
        <f t="shared" si="0"/>
        <v>2363.857</v>
      </c>
      <c r="AU20" s="69">
        <f t="shared" si="0"/>
        <v>2405.0359900000003</v>
      </c>
      <c r="AV20" s="548">
        <f t="shared" si="0"/>
        <v>2420.3413748989669</v>
      </c>
      <c r="AW20" s="71">
        <f t="shared" si="0"/>
        <v>2496.6380728617546</v>
      </c>
      <c r="AX20" s="410">
        <f>AW20/$AW$45</f>
        <v>0.1649064448497464</v>
      </c>
    </row>
    <row r="21" spans="1:50" ht="15" customHeight="1">
      <c r="A21" s="397" t="s">
        <v>3733</v>
      </c>
      <c r="B21" s="411"/>
      <c r="C21" s="411"/>
      <c r="D21" s="411"/>
      <c r="E21" s="411"/>
      <c r="F21" s="411"/>
      <c r="G21" s="411"/>
      <c r="H21" s="411"/>
      <c r="I21" s="411"/>
      <c r="J21" s="411"/>
      <c r="K21" s="411"/>
      <c r="L21" s="411"/>
      <c r="M21" s="411"/>
      <c r="N21" s="411"/>
      <c r="O21" s="411"/>
      <c r="P21" s="411"/>
      <c r="Q21" s="411"/>
      <c r="R21" s="411"/>
      <c r="S21" s="411"/>
      <c r="T21" s="411"/>
      <c r="U21" s="411"/>
      <c r="V21" s="411"/>
      <c r="W21" s="411"/>
      <c r="X21" s="411"/>
      <c r="Y21" s="411"/>
      <c r="Z21" s="411"/>
      <c r="AA21" s="411"/>
      <c r="AB21" s="411"/>
      <c r="AC21" s="411"/>
      <c r="AD21" s="411"/>
      <c r="AE21" s="411"/>
      <c r="AF21" s="411"/>
      <c r="AG21" s="411"/>
      <c r="AH21" s="411"/>
      <c r="AI21" s="411"/>
      <c r="AJ21" s="411"/>
      <c r="AK21" s="411"/>
      <c r="AL21" s="411"/>
      <c r="AM21" s="411"/>
      <c r="AN21" s="411"/>
      <c r="AO21" s="411"/>
      <c r="AP21" s="411"/>
      <c r="AQ21" s="411"/>
      <c r="AR21" s="411"/>
      <c r="AS21" s="411"/>
      <c r="AT21" s="411"/>
      <c r="AU21" s="411"/>
      <c r="AV21" s="411"/>
      <c r="AW21" s="411"/>
      <c r="AX21" s="412"/>
    </row>
    <row r="22" spans="1:50" ht="15" customHeight="1">
      <c r="A22" s="401" t="s">
        <v>3734</v>
      </c>
      <c r="B22" s="413"/>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4"/>
      <c r="AU22" s="413"/>
      <c r="AV22" s="413"/>
      <c r="AW22" s="413"/>
      <c r="AX22" s="402"/>
    </row>
    <row r="23" spans="1:50" ht="15" customHeight="1">
      <c r="A23" s="75" t="s">
        <v>3735</v>
      </c>
      <c r="B23" s="406">
        <f>SUMIF('R&amp;D'!$BH$5:$BH$665,"Business (R&amp;D Tax Measures)",'R&amp;D'!C$5:C$665)</f>
        <v>0</v>
      </c>
      <c r="C23" s="406">
        <f>SUMIF('R&amp;D'!$BH$5:$BH$665,"Business (R&amp;D Tax Measures)",'R&amp;D'!D$5:D$665)</f>
        <v>0</v>
      </c>
      <c r="D23" s="406">
        <f>SUMIF('R&amp;D'!$BH$5:$BH$665,"Business (R&amp;D Tax Measures)",'R&amp;D'!E$5:E$665)</f>
        <v>0</v>
      </c>
      <c r="E23" s="406">
        <f>SUMIF('R&amp;D'!$BH$5:$BH$665,"Business (R&amp;D Tax Measures)",'R&amp;D'!F$5:F$665)</f>
        <v>0</v>
      </c>
      <c r="F23" s="406">
        <f>SUMIF('R&amp;D'!$BH$5:$BH$665,"Business (R&amp;D Tax Measures)",'R&amp;D'!G$5:G$665)</f>
        <v>0</v>
      </c>
      <c r="G23" s="406">
        <f>SUMIF('R&amp;D'!$BH$5:$BH$665,"Business (R&amp;D Tax Measures)",'R&amp;D'!H$5:H$665)</f>
        <v>0</v>
      </c>
      <c r="H23" s="406">
        <f>SUMIF('R&amp;D'!$BH$5:$BH$665,"Business (R&amp;D Tax Measures)",'R&amp;D'!I$5:I$665)</f>
        <v>20</v>
      </c>
      <c r="I23" s="406">
        <f>SUMIF('R&amp;D'!$BH$5:$BH$665,"Business (R&amp;D Tax Measures)",'R&amp;D'!J$5:J$665)</f>
        <v>167</v>
      </c>
      <c r="J23" s="406">
        <f>SUMIF('R&amp;D'!$BH$5:$BH$665,"Business (R&amp;D Tax Measures)",'R&amp;D'!K$5:K$665)</f>
        <v>206</v>
      </c>
      <c r="K23" s="406">
        <f>SUMIF('R&amp;D'!$BH$5:$BH$665,"Business (R&amp;D Tax Measures)",'R&amp;D'!L$5:L$665)</f>
        <v>235</v>
      </c>
      <c r="L23" s="406">
        <f>SUMIF('R&amp;D'!$BH$5:$BH$665,"Business (R&amp;D Tax Measures)",'R&amp;D'!M$5:M$665)</f>
        <v>208</v>
      </c>
      <c r="M23" s="406">
        <f>SUMIF('R&amp;D'!$BH$5:$BH$665,"Business (R&amp;D Tax Measures)",'R&amp;D'!N$5:N$665)</f>
        <v>293</v>
      </c>
      <c r="N23" s="406">
        <f>SUMIF('R&amp;D'!$BH$5:$BH$665,"Business (R&amp;D Tax Measures)",'R&amp;D'!O$5:O$665)</f>
        <v>360</v>
      </c>
      <c r="O23" s="406">
        <f>SUMIF('R&amp;D'!$BH$5:$BH$665,"Business (R&amp;D Tax Measures)",'R&amp;D'!P$5:P$665)</f>
        <v>432</v>
      </c>
      <c r="P23" s="406">
        <f>SUMIF('R&amp;D'!$BH$5:$BH$665,"Business (R&amp;D Tax Measures)",'R&amp;D'!Q$5:Q$665)</f>
        <v>505</v>
      </c>
      <c r="Q23" s="406">
        <f>SUMIF('R&amp;D'!$BH$5:$BH$665,"Business (R&amp;D Tax Measures)",'R&amp;D'!R$5:R$665)</f>
        <v>685</v>
      </c>
      <c r="R23" s="406">
        <f>SUMIF('R&amp;D'!$BH$5:$BH$665,"Business (R&amp;D Tax Measures)",'R&amp;D'!S$5:S$665)</f>
        <v>698</v>
      </c>
      <c r="S23" s="406">
        <f>SUMIF('R&amp;D'!$BH$5:$BH$665,"Business (R&amp;D Tax Measures)",'R&amp;D'!T$5:T$665)</f>
        <v>825</v>
      </c>
      <c r="T23" s="406">
        <f>SUMIF('R&amp;D'!$BH$5:$BH$665,"Business (R&amp;D Tax Measures)",'R&amp;D'!U$5:U$665)</f>
        <v>525</v>
      </c>
      <c r="U23" s="406">
        <f>SUMIF('R&amp;D'!$BH$5:$BH$665,"Business (R&amp;D Tax Measures)",'R&amp;D'!V$5:V$665)</f>
        <v>420</v>
      </c>
      <c r="V23" s="406">
        <f>SUMIF('R&amp;D'!$BH$5:$BH$665,"Business (R&amp;D Tax Measures)",'R&amp;D'!W$5:W$665)</f>
        <v>370</v>
      </c>
      <c r="W23" s="406">
        <f>SUMIF('R&amp;D'!$BH$5:$BH$665,"Business (R&amp;D Tax Measures)",'R&amp;D'!X$5:X$665)</f>
        <v>460</v>
      </c>
      <c r="X23" s="406">
        <f>SUMIF('R&amp;D'!$BH$5:$BH$665,"Business (R&amp;D Tax Measures)",'R&amp;D'!Y$5:Y$665)</f>
        <v>460</v>
      </c>
      <c r="Y23" s="406">
        <f>SUMIF('R&amp;D'!$BH$5:$BH$665,"Business (R&amp;D Tax Measures)",'R&amp;D'!Z$5:Z$665)</f>
        <v>370</v>
      </c>
      <c r="Z23" s="406">
        <f>SUMIF('R&amp;D'!$BH$5:$BH$665,"Business (R&amp;D Tax Measures)",'R&amp;D'!AA$5:AA$665)</f>
        <v>587</v>
      </c>
      <c r="AA23" s="406">
        <f>SUMIF('R&amp;D'!$BH$5:$BH$665,"Business (R&amp;D Tax Measures)",'R&amp;D'!AB$5:AB$665)</f>
        <v>665</v>
      </c>
      <c r="AB23" s="406">
        <f>SUMIF('R&amp;D'!$BH$5:$BH$665,"Business (R&amp;D Tax Measures)",'R&amp;D'!AC$5:AC$665)</f>
        <v>729</v>
      </c>
      <c r="AC23" s="406">
        <f>SUMIF('R&amp;D'!$BH$5:$BH$665,"Business (R&amp;D Tax Measures)",'R&amp;D'!AD$5:AD$665)</f>
        <v>897</v>
      </c>
      <c r="AD23" s="406">
        <f>SUMIF('R&amp;D'!$BH$5:$BH$665,"Business (R&amp;D Tax Measures)",'R&amp;D'!AE$5:AE$665)</f>
        <v>1005</v>
      </c>
      <c r="AE23" s="406">
        <f>SUMIF('R&amp;D'!$BH$5:$BH$665,"Business (R&amp;D Tax Measures)",'R&amp;D'!AF$5:AF$665)</f>
        <v>1236</v>
      </c>
      <c r="AF23" s="406">
        <f>SUMIF('R&amp;D'!$BH$5:$BH$665,"Business (R&amp;D Tax Measures)",'R&amp;D'!AG$5:AG$665)</f>
        <v>1749</v>
      </c>
      <c r="AG23" s="406">
        <f>SUMIF('R&amp;D'!$BH$5:$BH$665,"Business (R&amp;D Tax Measures)",'R&amp;D'!AH$5:AH$665)</f>
        <v>1765</v>
      </c>
      <c r="AH23" s="406">
        <f>SUMIF('R&amp;D'!$BH$5:$BH$665,"Business (R&amp;D Tax Measures)",'R&amp;D'!AI$5:AI$665)</f>
        <v>1895</v>
      </c>
      <c r="AI23" s="406">
        <f>SUMIF('R&amp;D'!$BH$5:$BH$665,"Business (R&amp;D Tax Measures)",'R&amp;D'!AJ$5:AJ$665)</f>
        <v>3005</v>
      </c>
      <c r="AJ23" s="406">
        <f>SUMIF('R&amp;D'!$BH$5:$BH$665,"Business (R&amp;D Tax Measures)",'R&amp;D'!AK$5:AK$665)</f>
        <v>2960</v>
      </c>
      <c r="AK23" s="406">
        <f>SUMIF('R&amp;D'!$BH$5:$BH$665,"Business (R&amp;D Tax Measures)",'R&amp;D'!AL$5:AL$665)</f>
        <v>2773</v>
      </c>
      <c r="AL23" s="406">
        <f>SUMIF('R&amp;D'!$BH$5:$BH$665,"Business (R&amp;D Tax Measures)",'R&amp;D'!AM$5:AM$665)</f>
        <v>2807</v>
      </c>
      <c r="AM23" s="406">
        <f>SUMIF('R&amp;D'!$BH$5:$BH$665,"Business (R&amp;D Tax Measures)",'R&amp;D'!AN$5:AN$665)</f>
        <v>2843</v>
      </c>
      <c r="AN23" s="406">
        <f>SUMIF('R&amp;D'!$BH$5:$BH$665,"Business (R&amp;D Tax Measures)",'R&amp;D'!AO$5:AO$665)</f>
        <v>2598</v>
      </c>
      <c r="AO23" s="406">
        <f>SUMIF('R&amp;D'!$BH$5:$BH$665,"Business (R&amp;D Tax Measures)",'R&amp;D'!AP$5:AP$665)</f>
        <v>2523</v>
      </c>
      <c r="AP23" s="406">
        <f>SUMIF('R&amp;D'!$BH$5:$BH$665,"Business (R&amp;D Tax Measures)",'R&amp;D'!AQ$5:AQ$665)</f>
        <v>2573</v>
      </c>
      <c r="AQ23" s="406">
        <f>SUMIF('R&amp;D'!$BH$5:$BH$665,"Business (R&amp;D Tax Measures)",'R&amp;D'!AR$5:AR$665)</f>
        <v>2598</v>
      </c>
      <c r="AR23" s="406">
        <f>SUMIF('R&amp;D'!$BH$5:$BH$665,"Business (R&amp;D Tax Measures)",'R&amp;D'!AS$5:AS$665)</f>
        <v>2866</v>
      </c>
      <c r="AS23" s="406">
        <f>SUMIF('R&amp;D'!$BH$5:$BH$665,"Business (R&amp;D Tax Measures)",'R&amp;D'!AT$5:AT$665)</f>
        <v>3754</v>
      </c>
      <c r="AT23" s="406">
        <f>SUMIF('R&amp;D'!$BH$5:$BH$665,"Business (R&amp;D Tax Measures)",'R&amp;D'!AU$5:AU$665)</f>
        <v>4124</v>
      </c>
      <c r="AU23" s="406">
        <f>SUMIF('R&amp;D'!$BH$5:$BH$665,"Business (R&amp;D Tax Measures)",'R&amp;D'!AV$5:AV$665)</f>
        <v>4398</v>
      </c>
      <c r="AV23" s="549">
        <f>SUMIF('R&amp;D'!$BH$5:$BH$665,"Business (R&amp;D Tax Measures)",'R&amp;D'!AW$5:AW$665)</f>
        <v>4608</v>
      </c>
      <c r="AW23" s="415">
        <f>SUMIF('R&amp;D'!$BH$5:$BH$665,"Business (R&amp;D Tax Measures)",'R&amp;D'!AX$5:AX$665)</f>
        <v>4587</v>
      </c>
      <c r="AX23" s="409">
        <f>AW23/$AW$45</f>
        <v>0.30297778069960246</v>
      </c>
    </row>
    <row r="24" spans="1:50" ht="15" customHeight="1">
      <c r="A24" s="75" t="s">
        <v>264</v>
      </c>
      <c r="B24" s="406">
        <f>SUMIF('R&amp;D'!$BH$5:$BH$665,"Business (Other R&amp;D)",'R&amp;D'!C$5:C$665)</f>
        <v>25.9</v>
      </c>
      <c r="C24" s="406">
        <f>SUMIF('R&amp;D'!$BH$5:$BH$665,"Business (Other R&amp;D)",'R&amp;D'!D$5:D$665)</f>
        <v>37.700000000000003</v>
      </c>
      <c r="D24" s="406">
        <f>SUMIF('R&amp;D'!$BH$5:$BH$665,"Business (Other R&amp;D)",'R&amp;D'!E$5:E$665)</f>
        <v>53.2</v>
      </c>
      <c r="E24" s="406">
        <f>SUMIF('R&amp;D'!$BH$5:$BH$665,"Business (Other R&amp;D)",'R&amp;D'!F$5:F$665)</f>
        <v>27.499999999999996</v>
      </c>
      <c r="F24" s="406">
        <f>SUMIF('R&amp;D'!$BH$5:$BH$665,"Business (Other R&amp;D)",'R&amp;D'!G$5:G$665)</f>
        <v>56.499999999999993</v>
      </c>
      <c r="G24" s="406">
        <f>SUMIF('R&amp;D'!$BH$5:$BH$665,"Business (Other R&amp;D)",'R&amp;D'!H$5:H$665)</f>
        <v>71.5</v>
      </c>
      <c r="H24" s="406">
        <f>SUMIF('R&amp;D'!$BH$5:$BH$665,"Business (Other R&amp;D)",'R&amp;D'!I$5:I$665)</f>
        <v>91.300000000000011</v>
      </c>
      <c r="I24" s="406">
        <f>SUMIF('R&amp;D'!$BH$5:$BH$665,"Business (Other R&amp;D)",'R&amp;D'!J$5:J$665)</f>
        <v>104.4</v>
      </c>
      <c r="J24" s="406">
        <f>SUMIF('R&amp;D'!$BH$5:$BH$665,"Business (Other R&amp;D)",'R&amp;D'!K$5:K$665)</f>
        <v>88.3</v>
      </c>
      <c r="K24" s="406">
        <f>SUMIF('R&amp;D'!$BH$5:$BH$665,"Business (Other R&amp;D)",'R&amp;D'!L$5:L$665)</f>
        <v>77.500000000000014</v>
      </c>
      <c r="L24" s="406">
        <f>SUMIF('R&amp;D'!$BH$5:$BH$665,"Business (Other R&amp;D)",'R&amp;D'!M$5:M$665)</f>
        <v>84.8</v>
      </c>
      <c r="M24" s="406">
        <f>SUMIF('R&amp;D'!$BH$5:$BH$665,"Business (Other R&amp;D)",'R&amp;D'!N$5:N$665)</f>
        <v>91.9</v>
      </c>
      <c r="N24" s="406">
        <f>SUMIF('R&amp;D'!$BH$5:$BH$665,"Business (Other R&amp;D)",'R&amp;D'!O$5:O$665)</f>
        <v>95.9</v>
      </c>
      <c r="O24" s="406">
        <f>SUMIF('R&amp;D'!$BH$5:$BH$665,"Business (Other R&amp;D)",'R&amp;D'!P$5:P$665)</f>
        <v>120.2</v>
      </c>
      <c r="P24" s="406">
        <f>SUMIF('R&amp;D'!$BH$5:$BH$665,"Business (Other R&amp;D)",'R&amp;D'!Q$5:Q$665)</f>
        <v>153.9</v>
      </c>
      <c r="Q24" s="406">
        <f>SUMIF('R&amp;D'!$BH$5:$BH$665,"Business (Other R&amp;D)",'R&amp;D'!R$5:R$665)</f>
        <v>123.7</v>
      </c>
      <c r="R24" s="406">
        <f>SUMIF('R&amp;D'!$BH$5:$BH$665,"Business (Other R&amp;D)",'R&amp;D'!S$5:S$665)</f>
        <v>133.30000000000001</v>
      </c>
      <c r="S24" s="406">
        <f>SUMIF('R&amp;D'!$BH$5:$BH$665,"Business (Other R&amp;D)",'R&amp;D'!T$5:T$665)</f>
        <v>129.4</v>
      </c>
      <c r="T24" s="406">
        <f>SUMIF('R&amp;D'!$BH$5:$BH$665,"Business (Other R&amp;D)",'R&amp;D'!U$5:U$665)</f>
        <v>127.80000000000001</v>
      </c>
      <c r="U24" s="406">
        <f>SUMIF('R&amp;D'!$BH$5:$BH$665,"Business (Other R&amp;D)",'R&amp;D'!V$5:V$665)</f>
        <v>136.4</v>
      </c>
      <c r="V24" s="406">
        <f>SUMIF('R&amp;D'!$BH$5:$BH$665,"Business (Other R&amp;D)",'R&amp;D'!W$5:W$665)</f>
        <v>205.7</v>
      </c>
      <c r="W24" s="406">
        <f>SUMIF('R&amp;D'!$BH$5:$BH$665,"Business (Other R&amp;D)",'R&amp;D'!X$5:X$665)</f>
        <v>253.60000000000002</v>
      </c>
      <c r="X24" s="406">
        <f>SUMIF('R&amp;D'!$BH$5:$BH$665,"Business (Other R&amp;D)",'R&amp;D'!Y$5:Y$665)</f>
        <v>279.29999999999995</v>
      </c>
      <c r="Y24" s="406">
        <f>SUMIF('R&amp;D'!$BH$5:$BH$665,"Business (Other R&amp;D)",'R&amp;D'!Z$5:Z$665)</f>
        <v>495</v>
      </c>
      <c r="Z24" s="406">
        <f>SUMIF('R&amp;D'!$BH$5:$BH$665,"Business (Other R&amp;D)",'R&amp;D'!AA$5:AA$665)</f>
        <v>368.74999999999994</v>
      </c>
      <c r="AA24" s="406">
        <f>SUMIF('R&amp;D'!$BH$5:$BH$665,"Business (Other R&amp;D)",'R&amp;D'!AB$5:AB$665)</f>
        <v>406.6</v>
      </c>
      <c r="AB24" s="406">
        <f>SUMIF('R&amp;D'!$BH$5:$BH$665,"Business (Other R&amp;D)",'R&amp;D'!AC$5:AC$665)</f>
        <v>338.9199999999999</v>
      </c>
      <c r="AC24" s="406">
        <f>SUMIF('R&amp;D'!$BH$5:$BH$665,"Business (Other R&amp;D)",'R&amp;D'!AD$5:AD$665)</f>
        <v>367.0209999999999</v>
      </c>
      <c r="AD24" s="406">
        <f>SUMIF('R&amp;D'!$BH$5:$BH$665,"Business (Other R&amp;D)",'R&amp;D'!AE$5:AE$665)</f>
        <v>407.93600000000004</v>
      </c>
      <c r="AE24" s="406">
        <f>SUMIF('R&amp;D'!$BH$5:$BH$665,"Business (Other R&amp;D)",'R&amp;D'!AF$5:AF$665)</f>
        <v>441.14300000000003</v>
      </c>
      <c r="AF24" s="406">
        <f>SUMIF('R&amp;D'!$BH$5:$BH$665,"Business (Other R&amp;D)",'R&amp;D'!AG$5:AG$665)</f>
        <v>425.99800000000005</v>
      </c>
      <c r="AG24" s="406">
        <f>SUMIF('R&amp;D'!$BH$5:$BH$665,"Business (Other R&amp;D)",'R&amp;D'!AH$5:AH$665)</f>
        <v>464.19999999999993</v>
      </c>
      <c r="AH24" s="406">
        <f>SUMIF('R&amp;D'!$BH$5:$BH$665,"Business (Other R&amp;D)",'R&amp;D'!AI$5:AI$665)</f>
        <v>382.839</v>
      </c>
      <c r="AI24" s="406">
        <f>SUMIF('R&amp;D'!$BH$5:$BH$665,"Business (Other R&amp;D)",'R&amp;D'!AJ$5:AJ$665)</f>
        <v>354.01299999999992</v>
      </c>
      <c r="AJ24" s="406">
        <f>SUMIF('R&amp;D'!$BH$5:$BH$665,"Business (Other R&amp;D)",'R&amp;D'!AK$5:AK$665)</f>
        <v>239.50700000000001</v>
      </c>
      <c r="AK24" s="406">
        <f>SUMIF('R&amp;D'!$BH$5:$BH$665,"Business (Other R&amp;D)",'R&amp;D'!AL$5:AL$665)</f>
        <v>214</v>
      </c>
      <c r="AL24" s="406">
        <f>SUMIF('R&amp;D'!$BH$5:$BH$665,"Business (Other R&amp;D)",'R&amp;D'!AM$5:AM$665)</f>
        <v>182.66499999999999</v>
      </c>
      <c r="AM24" s="406">
        <f>SUMIF('R&amp;D'!$BH$5:$BH$665,"Business (Other R&amp;D)",'R&amp;D'!AN$5:AN$665)</f>
        <v>147.39200000000002</v>
      </c>
      <c r="AN24" s="406">
        <f>SUMIF('R&amp;D'!$BH$5:$BH$665,"Business (Other R&amp;D)",'R&amp;D'!AO$5:AO$665)</f>
        <v>121.866</v>
      </c>
      <c r="AO24" s="406">
        <f>SUMIF('R&amp;D'!$BH$5:$BH$665,"Business (Other R&amp;D)",'R&amp;D'!AP$5:AP$665)</f>
        <v>95.882999999999996</v>
      </c>
      <c r="AP24" s="406">
        <f>SUMIF('R&amp;D'!$BH$5:$BH$665,"Business (Other R&amp;D)",'R&amp;D'!AQ$5:AQ$665)</f>
        <v>59.954999999999998</v>
      </c>
      <c r="AQ24" s="406">
        <f>SUMIF('R&amp;D'!$BH$5:$BH$665,"Business (Other R&amp;D)",'R&amp;D'!AR$5:AR$665)</f>
        <v>53.482999999999997</v>
      </c>
      <c r="AR24" s="406">
        <f>SUMIF('R&amp;D'!$BH$5:$BH$665,"Business (Other R&amp;D)",'R&amp;D'!AS$5:AS$665)</f>
        <v>33.238999999999997</v>
      </c>
      <c r="AS24" s="406">
        <f>SUMIF('R&amp;D'!$BH$5:$BH$665,"Business (Other R&amp;D)",'R&amp;D'!AT$5:AT$665)</f>
        <v>14.734999999999999</v>
      </c>
      <c r="AT24" s="406">
        <f>SUMIF('R&amp;D'!$BH$5:$BH$665,"Business (Other R&amp;D)",'R&amp;D'!AU$5:AU$665)</f>
        <v>45.605000000000004</v>
      </c>
      <c r="AU24" s="406">
        <f>SUMIF('R&amp;D'!$BH$5:$BH$665,"Business (Other R&amp;D)",'R&amp;D'!AV$5:AV$665)</f>
        <v>56.451999999999998</v>
      </c>
      <c r="AV24" s="547">
        <f>SUMIF('R&amp;D'!$BH$5:$BH$665,"Business (Other R&amp;D)",'R&amp;D'!AW$5:AW$665)</f>
        <v>33.752000000000002</v>
      </c>
      <c r="AW24" s="407">
        <f>SUMIF('R&amp;D'!$BH$5:$BH$665,"Business (Other R&amp;D)",'R&amp;D'!AX$5:AX$665)</f>
        <v>25.173999999999999</v>
      </c>
      <c r="AX24" s="409">
        <f>AW24/$AW$45</f>
        <v>1.6627779924420737E-3</v>
      </c>
    </row>
    <row r="25" spans="1:50" ht="15" customHeight="1">
      <c r="A25" s="68" t="s">
        <v>3732</v>
      </c>
      <c r="B25" s="69">
        <f t="shared" ref="B25:AW25" si="1">SUM(B23:B24)</f>
        <v>25.9</v>
      </c>
      <c r="C25" s="69">
        <f t="shared" si="1"/>
        <v>37.700000000000003</v>
      </c>
      <c r="D25" s="69">
        <f t="shared" si="1"/>
        <v>53.2</v>
      </c>
      <c r="E25" s="69">
        <f t="shared" si="1"/>
        <v>27.499999999999996</v>
      </c>
      <c r="F25" s="69">
        <f t="shared" si="1"/>
        <v>56.499999999999993</v>
      </c>
      <c r="G25" s="69">
        <f t="shared" si="1"/>
        <v>71.5</v>
      </c>
      <c r="H25" s="69">
        <f t="shared" si="1"/>
        <v>111.30000000000001</v>
      </c>
      <c r="I25" s="69">
        <f t="shared" si="1"/>
        <v>271.39999999999998</v>
      </c>
      <c r="J25" s="69">
        <f t="shared" si="1"/>
        <v>294.3</v>
      </c>
      <c r="K25" s="69">
        <f t="shared" si="1"/>
        <v>312.5</v>
      </c>
      <c r="L25" s="69">
        <f t="shared" si="1"/>
        <v>292.8</v>
      </c>
      <c r="M25" s="69">
        <f t="shared" si="1"/>
        <v>384.9</v>
      </c>
      <c r="N25" s="69">
        <f t="shared" si="1"/>
        <v>455.9</v>
      </c>
      <c r="O25" s="69">
        <f t="shared" si="1"/>
        <v>552.20000000000005</v>
      </c>
      <c r="P25" s="69">
        <f t="shared" si="1"/>
        <v>658.9</v>
      </c>
      <c r="Q25" s="69">
        <f t="shared" si="1"/>
        <v>808.7</v>
      </c>
      <c r="R25" s="69">
        <f t="shared" si="1"/>
        <v>831.3</v>
      </c>
      <c r="S25" s="69">
        <f t="shared" si="1"/>
        <v>954.4</v>
      </c>
      <c r="T25" s="69">
        <f t="shared" si="1"/>
        <v>652.79999999999995</v>
      </c>
      <c r="U25" s="69">
        <f t="shared" si="1"/>
        <v>556.4</v>
      </c>
      <c r="V25" s="69">
        <f t="shared" si="1"/>
        <v>575.70000000000005</v>
      </c>
      <c r="W25" s="69">
        <f t="shared" si="1"/>
        <v>713.6</v>
      </c>
      <c r="X25" s="69">
        <f t="shared" si="1"/>
        <v>739.3</v>
      </c>
      <c r="Y25" s="69">
        <f t="shared" si="1"/>
        <v>865</v>
      </c>
      <c r="Z25" s="69">
        <f t="shared" si="1"/>
        <v>955.75</v>
      </c>
      <c r="AA25" s="69">
        <f t="shared" si="1"/>
        <v>1071.5999999999999</v>
      </c>
      <c r="AB25" s="69">
        <f t="shared" si="1"/>
        <v>1067.9199999999998</v>
      </c>
      <c r="AC25" s="69">
        <f t="shared" si="1"/>
        <v>1264.021</v>
      </c>
      <c r="AD25" s="69">
        <f t="shared" si="1"/>
        <v>1412.9360000000001</v>
      </c>
      <c r="AE25" s="69">
        <f t="shared" si="1"/>
        <v>1677.143</v>
      </c>
      <c r="AF25" s="69">
        <f t="shared" si="1"/>
        <v>2174.998</v>
      </c>
      <c r="AG25" s="69">
        <f t="shared" si="1"/>
        <v>2229.1999999999998</v>
      </c>
      <c r="AH25" s="69">
        <f t="shared" si="1"/>
        <v>2277.8389999999999</v>
      </c>
      <c r="AI25" s="69">
        <f t="shared" si="1"/>
        <v>3359.0129999999999</v>
      </c>
      <c r="AJ25" s="69">
        <f t="shared" si="1"/>
        <v>3199.5070000000001</v>
      </c>
      <c r="AK25" s="69">
        <f t="shared" si="1"/>
        <v>2987</v>
      </c>
      <c r="AL25" s="69">
        <f t="shared" si="1"/>
        <v>2989.665</v>
      </c>
      <c r="AM25" s="69">
        <f t="shared" si="1"/>
        <v>2990.3919999999998</v>
      </c>
      <c r="AN25" s="69">
        <f t="shared" si="1"/>
        <v>2719.866</v>
      </c>
      <c r="AO25" s="69">
        <f t="shared" si="1"/>
        <v>2618.8829999999998</v>
      </c>
      <c r="AP25" s="69">
        <f t="shared" si="1"/>
        <v>2632.9549999999999</v>
      </c>
      <c r="AQ25" s="69">
        <f t="shared" si="1"/>
        <v>2651.4830000000002</v>
      </c>
      <c r="AR25" s="69">
        <f t="shared" si="1"/>
        <v>2899.239</v>
      </c>
      <c r="AS25" s="69">
        <f t="shared" si="1"/>
        <v>3768.7350000000001</v>
      </c>
      <c r="AT25" s="69">
        <f t="shared" si="1"/>
        <v>4169.6049999999996</v>
      </c>
      <c r="AU25" s="69">
        <f t="shared" si="1"/>
        <v>4454.4520000000002</v>
      </c>
      <c r="AV25" s="548">
        <f t="shared" si="1"/>
        <v>4641.7520000000004</v>
      </c>
      <c r="AW25" s="472">
        <f t="shared" si="1"/>
        <v>4612.174</v>
      </c>
      <c r="AX25" s="409">
        <f>AW25/$AW$45</f>
        <v>0.30464055869204454</v>
      </c>
    </row>
    <row r="26" spans="1:50" ht="15" customHeight="1">
      <c r="A26" s="401" t="s">
        <v>3736</v>
      </c>
      <c r="B26" s="413"/>
      <c r="C26" s="413"/>
      <c r="D26" s="413"/>
      <c r="E26" s="413"/>
      <c r="F26" s="413"/>
      <c r="G26" s="413"/>
      <c r="H26" s="413"/>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c r="AL26" s="413"/>
      <c r="AM26" s="413"/>
      <c r="AN26" s="413"/>
      <c r="AO26" s="413"/>
      <c r="AP26" s="413"/>
      <c r="AQ26" s="413"/>
      <c r="AR26" s="413"/>
      <c r="AS26" s="413"/>
      <c r="AT26" s="416"/>
      <c r="AU26" s="413"/>
      <c r="AV26" s="413"/>
      <c r="AW26" s="413"/>
      <c r="AX26" s="417"/>
    </row>
    <row r="27" spans="1:50" ht="15" customHeight="1">
      <c r="A27" s="75" t="s">
        <v>2172</v>
      </c>
      <c r="B27" s="406">
        <f>SUMIF('R&amp;D'!$BH$5:$BH$665,"Higher Ed. (ARC)",'R&amp;D'!C$5:C$665)</f>
        <v>0</v>
      </c>
      <c r="C27" s="406">
        <f>SUMIF('R&amp;D'!$BH$5:$BH$665,"Higher Ed. (ARC)",'R&amp;D'!D$5:D$665)</f>
        <v>0</v>
      </c>
      <c r="D27" s="406">
        <f>SUMIF('R&amp;D'!$BH$5:$BH$665,"Higher Ed. (ARC)",'R&amp;D'!E$5:E$665)</f>
        <v>0</v>
      </c>
      <c r="E27" s="406">
        <f>SUMIF('R&amp;D'!$BH$5:$BH$665,"Higher Ed. (ARC)",'R&amp;D'!F$5:F$665)</f>
        <v>0</v>
      </c>
      <c r="F27" s="406">
        <f>SUMIF('R&amp;D'!$BH$5:$BH$665,"Higher Ed. (ARC)",'R&amp;D'!G$5:G$665)</f>
        <v>0</v>
      </c>
      <c r="G27" s="406">
        <f>SUMIF('R&amp;D'!$BH$5:$BH$665,"Higher Ed. (ARC)",'R&amp;D'!H$5:H$665)</f>
        <v>0</v>
      </c>
      <c r="H27" s="406">
        <f>SUMIF('R&amp;D'!$BH$5:$BH$665,"Higher Ed. (ARC)",'R&amp;D'!I$5:I$665)</f>
        <v>0</v>
      </c>
      <c r="I27" s="406">
        <f>SUMIF('R&amp;D'!$BH$5:$BH$665,"Higher Ed. (ARC)",'R&amp;D'!J$5:J$665)</f>
        <v>0</v>
      </c>
      <c r="J27" s="406">
        <f>SUMIF('R&amp;D'!$BH$5:$BH$665,"Higher Ed. (ARC)",'R&amp;D'!K$5:K$665)</f>
        <v>0</v>
      </c>
      <c r="K27" s="406">
        <f>SUMIF('R&amp;D'!$BH$5:$BH$665,"Higher Ed. (ARC)",'R&amp;D'!L$5:L$665)</f>
        <v>0</v>
      </c>
      <c r="L27" s="406">
        <f>SUMIF('R&amp;D'!$BH$5:$BH$665,"Higher Ed. (ARC)",'R&amp;D'!M$5:M$665)</f>
        <v>0</v>
      </c>
      <c r="M27" s="406">
        <f>SUMIF('R&amp;D'!$BH$5:$BH$665,"Higher Ed. (ARC)",'R&amp;D'!N$5:N$665)</f>
        <v>0</v>
      </c>
      <c r="N27" s="406">
        <f>SUMIF('R&amp;D'!$BH$5:$BH$665,"Higher Ed. (ARC)",'R&amp;D'!O$5:O$665)</f>
        <v>0</v>
      </c>
      <c r="O27" s="406">
        <f>SUMIF('R&amp;D'!$BH$5:$BH$665,"Higher Ed. (ARC)",'R&amp;D'!P$5:P$665)</f>
        <v>0</v>
      </c>
      <c r="P27" s="406">
        <f>SUMIF('R&amp;D'!$BH$5:$BH$665,"Higher Ed. (ARC)",'R&amp;D'!Q$5:Q$665)</f>
        <v>0</v>
      </c>
      <c r="Q27" s="406">
        <f>SUMIF('R&amp;D'!$BH$5:$BH$665,"Higher Ed. (ARC)",'R&amp;D'!R$5:R$665)</f>
        <v>0</v>
      </c>
      <c r="R27" s="406">
        <f>SUMIF('R&amp;D'!$BH$5:$BH$665,"Higher Ed. (ARC)",'R&amp;D'!S$5:S$665)</f>
        <v>0</v>
      </c>
      <c r="S27" s="406">
        <f>SUMIF('R&amp;D'!$BH$5:$BH$665,"Higher Ed. (ARC)",'R&amp;D'!T$5:T$665)</f>
        <v>0</v>
      </c>
      <c r="T27" s="406">
        <f>SUMIF('R&amp;D'!$BH$5:$BH$665,"Higher Ed. (ARC)",'R&amp;D'!U$5:U$665)</f>
        <v>0</v>
      </c>
      <c r="U27" s="406">
        <f>SUMIF('R&amp;D'!$BH$5:$BH$665,"Higher Ed. (ARC)",'R&amp;D'!V$5:V$665)</f>
        <v>0</v>
      </c>
      <c r="V27" s="406">
        <f>SUMIF('R&amp;D'!$BH$5:$BH$665,"Higher Ed. (ARC)",'R&amp;D'!W$5:W$665)</f>
        <v>0</v>
      </c>
      <c r="W27" s="406">
        <f>SUMIF('R&amp;D'!$BH$5:$BH$665,"Higher Ed. (ARC)",'R&amp;D'!X$5:X$665)</f>
        <v>0</v>
      </c>
      <c r="X27" s="406">
        <f>SUMIF('R&amp;D'!$BH$5:$BH$665,"Higher Ed. (ARC)",'R&amp;D'!Y$5:Y$665)</f>
        <v>237.19399999999999</v>
      </c>
      <c r="Y27" s="406">
        <f>SUMIF('R&amp;D'!$BH$5:$BH$665,"Higher Ed. (ARC)",'R&amp;D'!Z$5:Z$665)</f>
        <v>261.74400000000003</v>
      </c>
      <c r="Z27" s="406">
        <f>SUMIF('R&amp;D'!$BH$5:$BH$665,"Higher Ed. (ARC)",'R&amp;D'!AA$5:AA$665)</f>
        <v>298.94099999999997</v>
      </c>
      <c r="AA27" s="406">
        <f>SUMIF('R&amp;D'!$BH$5:$BH$665,"Higher Ed. (ARC)",'R&amp;D'!AB$5:AB$665)</f>
        <v>399.6</v>
      </c>
      <c r="AB27" s="406">
        <f>SUMIF('R&amp;D'!$BH$5:$BH$665,"Higher Ed. (ARC)",'R&amp;D'!AC$5:AC$665)</f>
        <v>457.79300000000001</v>
      </c>
      <c r="AC27" s="406">
        <f>SUMIF('R&amp;D'!$BH$5:$BH$665,"Higher Ed. (ARC)",'R&amp;D'!AD$5:AD$665)</f>
        <v>566.43200000000002</v>
      </c>
      <c r="AD27" s="406">
        <f>SUMIF('R&amp;D'!$BH$5:$BH$665,"Higher Ed. (ARC)",'R&amp;D'!AE$5:AE$665)</f>
        <v>571.476</v>
      </c>
      <c r="AE27" s="406">
        <f>SUMIF('R&amp;D'!$BH$5:$BH$665,"Higher Ed. (ARC)",'R&amp;D'!AF$5:AF$665)</f>
        <v>573.08500000000004</v>
      </c>
      <c r="AF27" s="406">
        <f>SUMIF('R&amp;D'!$BH$5:$BH$665,"Higher Ed. (ARC)",'R&amp;D'!AG$5:AG$665)</f>
        <v>583.81700000000001</v>
      </c>
      <c r="AG27" s="406">
        <f>SUMIF('R&amp;D'!$BH$5:$BH$665,"Higher Ed. (ARC)",'R&amp;D'!AH$5:AH$665)</f>
        <v>647.57399999999996</v>
      </c>
      <c r="AH27" s="406">
        <f>SUMIF('R&amp;D'!$BH$5:$BH$665,"Higher Ed. (ARC)",'R&amp;D'!AI$5:AI$665)</f>
        <v>703.47299999999996</v>
      </c>
      <c r="AI27" s="406">
        <f>SUMIF('R&amp;D'!$BH$5:$BH$665,"Higher Ed. (ARC)",'R&amp;D'!AJ$5:AJ$665)</f>
        <v>797.87300000000005</v>
      </c>
      <c r="AJ27" s="406">
        <f>SUMIF('R&amp;D'!$BH$5:$BH$665,"Higher Ed. (ARC)",'R&amp;D'!AK$5:AK$665)</f>
        <v>873.23099999999999</v>
      </c>
      <c r="AK27" s="406">
        <f>SUMIF('R&amp;D'!$BH$5:$BH$665,"Higher Ed. (ARC)",'R&amp;D'!AL$5:AL$665)</f>
        <v>883.28399999999999</v>
      </c>
      <c r="AL27" s="406">
        <f>SUMIF('R&amp;D'!$BH$5:$BH$665,"Higher Ed. (ARC)",'R&amp;D'!AM$5:AM$665)</f>
        <v>852.89800000000002</v>
      </c>
      <c r="AM27" s="406">
        <f>SUMIF('R&amp;D'!$BH$5:$BH$665,"Higher Ed. (ARC)",'R&amp;D'!AN$5:AN$665)</f>
        <v>815.30399999999997</v>
      </c>
      <c r="AN27" s="406">
        <f>SUMIF('R&amp;D'!$BH$5:$BH$665,"Higher Ed. (ARC)",'R&amp;D'!AO$5:AO$665)</f>
        <v>743.66200000000003</v>
      </c>
      <c r="AO27" s="406">
        <f>SUMIF('R&amp;D'!$BH$5:$BH$665,"Higher Ed. (ARC)",'R&amp;D'!AP$5:AP$665)</f>
        <v>758.03</v>
      </c>
      <c r="AP27" s="406">
        <f>SUMIF('R&amp;D'!$BH$5:$BH$665,"Higher Ed. (ARC)",'R&amp;D'!AQ$5:AQ$665)</f>
        <v>753.351</v>
      </c>
      <c r="AQ27" s="406">
        <f>SUMIF('R&amp;D'!$BH$5:$BH$665,"Higher Ed. (ARC)",'R&amp;D'!AR$5:AR$665)</f>
        <v>762.54100000000005</v>
      </c>
      <c r="AR27" s="406">
        <f>SUMIF('R&amp;D'!$BH$5:$BH$665,"Higher Ed. (ARC)",'R&amp;D'!AS$5:AS$665)</f>
        <v>716.49199999999996</v>
      </c>
      <c r="AS27" s="406">
        <f>SUMIF('R&amp;D'!$BH$5:$BH$665,"Higher Ed. (ARC)",'R&amp;D'!AT$5:AT$665)</f>
        <v>803.69500000000005</v>
      </c>
      <c r="AT27" s="406">
        <f>SUMIF('R&amp;D'!$BH$5:$BH$665,"Higher Ed. (ARC)",'R&amp;D'!AU$5:AU$665)</f>
        <v>831.59400000000005</v>
      </c>
      <c r="AU27" s="406">
        <f>SUMIF('R&amp;D'!$BH$5:$BH$665,"Higher Ed. (ARC)",'R&amp;D'!AV$5:AV$665)</f>
        <v>850.34400000000005</v>
      </c>
      <c r="AV27" s="549">
        <f>SUMIF('R&amp;D'!$BH$5:$BH$665,"Higher Ed. (ARC)",'R&amp;D'!AW$5:AW$665)</f>
        <v>1027.3</v>
      </c>
      <c r="AW27" s="415">
        <f>SUMIF('R&amp;D'!$BH$5:$BH$665,"Higher Ed. (ARC)",'R&amp;D'!AX$5:AX$665)</f>
        <v>1036.2139999999999</v>
      </c>
      <c r="AX27" s="409">
        <f>AW27/$AW$45</f>
        <v>6.8443387410040954E-2</v>
      </c>
    </row>
    <row r="28" spans="1:50" ht="15" customHeight="1">
      <c r="A28" s="75" t="s">
        <v>3737</v>
      </c>
      <c r="B28" s="406">
        <f>B114</f>
        <v>0</v>
      </c>
      <c r="C28" s="406">
        <f t="shared" ref="C28:AW28" si="2">C114</f>
        <v>0</v>
      </c>
      <c r="D28" s="406">
        <f t="shared" si="2"/>
        <v>0</v>
      </c>
      <c r="E28" s="406">
        <f t="shared" si="2"/>
        <v>0</v>
      </c>
      <c r="F28" s="406">
        <f t="shared" si="2"/>
        <v>0</v>
      </c>
      <c r="G28" s="406">
        <f t="shared" si="2"/>
        <v>0</v>
      </c>
      <c r="H28" s="406">
        <f t="shared" si="2"/>
        <v>0</v>
      </c>
      <c r="I28" s="406">
        <f t="shared" si="2"/>
        <v>0</v>
      </c>
      <c r="J28" s="406">
        <f t="shared" si="2"/>
        <v>0</v>
      </c>
      <c r="K28" s="406">
        <f t="shared" si="2"/>
        <v>0</v>
      </c>
      <c r="L28" s="406">
        <f t="shared" si="2"/>
        <v>0</v>
      </c>
      <c r="M28" s="406">
        <f t="shared" si="2"/>
        <v>0</v>
      </c>
      <c r="N28" s="406">
        <f t="shared" si="2"/>
        <v>52.12616043999995</v>
      </c>
      <c r="O28" s="406">
        <f t="shared" si="2"/>
        <v>60.421368565000037</v>
      </c>
      <c r="P28" s="406">
        <f t="shared" si="2"/>
        <v>64.224837335000032</v>
      </c>
      <c r="Q28" s="406">
        <f t="shared" si="2"/>
        <v>66.133453994999925</v>
      </c>
      <c r="R28" s="406">
        <f t="shared" si="2"/>
        <v>73.426992349999949</v>
      </c>
      <c r="S28" s="406">
        <f t="shared" si="2"/>
        <v>83.299396089999973</v>
      </c>
      <c r="T28" s="406">
        <f t="shared" si="2"/>
        <v>93.867247209999846</v>
      </c>
      <c r="U28" s="406">
        <f t="shared" si="2"/>
        <v>105.08566727500005</v>
      </c>
      <c r="V28" s="406">
        <f t="shared" si="2"/>
        <v>121.62049149499994</v>
      </c>
      <c r="W28" s="406">
        <f t="shared" si="2"/>
        <v>106.36365841500002</v>
      </c>
      <c r="X28" s="406">
        <f t="shared" si="2"/>
        <v>135.24601899999999</v>
      </c>
      <c r="Y28" s="406">
        <f t="shared" si="2"/>
        <v>170.93245300000001</v>
      </c>
      <c r="Z28" s="406">
        <f t="shared" si="2"/>
        <v>206.45747299999999</v>
      </c>
      <c r="AA28" s="406">
        <f t="shared" si="2"/>
        <v>233.32600299999999</v>
      </c>
      <c r="AB28" s="406">
        <f t="shared" si="2"/>
        <v>263.165616</v>
      </c>
      <c r="AC28" s="406">
        <f t="shared" si="2"/>
        <v>294.74239299999999</v>
      </c>
      <c r="AD28" s="406">
        <f t="shared" si="2"/>
        <v>338.74041</v>
      </c>
      <c r="AE28" s="406">
        <f t="shared" si="2"/>
        <v>397.35491000000002</v>
      </c>
      <c r="AF28" s="406">
        <f t="shared" si="2"/>
        <v>464.32348500000001</v>
      </c>
      <c r="AG28" s="406">
        <f t="shared" si="2"/>
        <v>508.91072400000002</v>
      </c>
      <c r="AH28" s="406">
        <f t="shared" si="2"/>
        <v>550.82673599999998</v>
      </c>
      <c r="AI28" s="406">
        <f t="shared" si="2"/>
        <v>581.43846399999995</v>
      </c>
      <c r="AJ28" s="406">
        <f t="shared" si="2"/>
        <v>604.66869999999994</v>
      </c>
      <c r="AK28" s="406">
        <f t="shared" si="2"/>
        <v>640.31994404221632</v>
      </c>
      <c r="AL28" s="406">
        <f t="shared" si="2"/>
        <v>677.7767612125798</v>
      </c>
      <c r="AM28" s="406">
        <f t="shared" si="2"/>
        <v>614.98960905999991</v>
      </c>
      <c r="AN28" s="406">
        <f t="shared" si="2"/>
        <v>627.92744514999993</v>
      </c>
      <c r="AO28" s="406">
        <f t="shared" si="2"/>
        <v>635.62326110830907</v>
      </c>
      <c r="AP28" s="406">
        <f t="shared" si="2"/>
        <v>630.48442640970825</v>
      </c>
      <c r="AQ28" s="406">
        <f t="shared" si="2"/>
        <v>671.65247535878575</v>
      </c>
      <c r="AR28" s="406">
        <f t="shared" si="2"/>
        <v>664.05933857272794</v>
      </c>
      <c r="AS28" s="406">
        <f t="shared" si="2"/>
        <v>620.88627234455305</v>
      </c>
      <c r="AT28" s="406">
        <f t="shared" si="2"/>
        <v>669.33526846989935</v>
      </c>
      <c r="AU28" s="406">
        <f t="shared" si="2"/>
        <v>704.75873056582168</v>
      </c>
      <c r="AV28" s="547">
        <f t="shared" si="2"/>
        <v>733.27676711634263</v>
      </c>
      <c r="AW28" s="408">
        <f t="shared" si="2"/>
        <v>744.79574412669024</v>
      </c>
      <c r="AX28" s="409">
        <f>AW28/$AW$45</f>
        <v>4.9194803058646951E-2</v>
      </c>
    </row>
    <row r="29" spans="1:50" ht="15" customHeight="1">
      <c r="A29" s="75" t="s">
        <v>3738</v>
      </c>
      <c r="B29" s="406">
        <f>SUMIF('R&amp;D'!$BH$5:$BH$665,"Higher Ed. (Block Funding)",'R&amp;D'!C$5:C$665)</f>
        <v>0</v>
      </c>
      <c r="C29" s="406">
        <f>SUMIF('R&amp;D'!$BH$5:$BH$665,"Higher Ed. (Block Funding)",'R&amp;D'!D$5:D$665)</f>
        <v>0</v>
      </c>
      <c r="D29" s="406">
        <f>SUMIF('R&amp;D'!$BH$5:$BH$665,"Higher Ed. (Block Funding)",'R&amp;D'!E$5:E$665)</f>
        <v>0</v>
      </c>
      <c r="E29" s="406">
        <f>SUMIF('R&amp;D'!$BH$5:$BH$665,"Higher Ed. (Block Funding)",'R&amp;D'!F$5:F$665)</f>
        <v>0</v>
      </c>
      <c r="F29" s="406">
        <f>SUMIF('R&amp;D'!$BH$5:$BH$665,"Higher Ed. (Block Funding)",'R&amp;D'!G$5:G$665)</f>
        <v>0</v>
      </c>
      <c r="G29" s="406">
        <f>SUMIF('R&amp;D'!$BH$5:$BH$665,"Higher Ed. (Block Funding)",'R&amp;D'!H$5:H$665)</f>
        <v>0</v>
      </c>
      <c r="H29" s="406">
        <f>SUMIF('R&amp;D'!$BH$5:$BH$665,"Higher Ed. (Block Funding)",'R&amp;D'!I$5:I$665)</f>
        <v>0</v>
      </c>
      <c r="I29" s="406">
        <f>SUMIF('R&amp;D'!$BH$5:$BH$665,"Higher Ed. (Block Funding)",'R&amp;D'!J$5:J$665)</f>
        <v>0</v>
      </c>
      <c r="J29" s="406">
        <f>SUMIF('R&amp;D'!$BH$5:$BH$665,"Higher Ed. (Block Funding)",'R&amp;D'!K$5:K$665)</f>
        <v>0</v>
      </c>
      <c r="K29" s="406">
        <f>SUMIF('R&amp;D'!$BH$5:$BH$665,"Higher Ed. (Block Funding)",'R&amp;D'!L$5:L$665)</f>
        <v>0</v>
      </c>
      <c r="L29" s="406">
        <f>SUMIF('R&amp;D'!$BH$5:$BH$665,"Higher Ed. (Block Funding)",'R&amp;D'!M$5:M$665)</f>
        <v>0</v>
      </c>
      <c r="M29" s="406">
        <f>SUMIF('R&amp;D'!$BH$5:$BH$665,"Higher Ed. (Block Funding)",'R&amp;D'!N$5:N$665)</f>
        <v>0</v>
      </c>
      <c r="N29" s="406">
        <f>SUMIF('R&amp;D'!$BH$5:$BH$665,"Higher Ed. (Block Funding)",'R&amp;D'!O$5:O$665)</f>
        <v>0</v>
      </c>
      <c r="O29" s="406">
        <f>SUMIF('R&amp;D'!$BH$5:$BH$665,"Higher Ed. (Block Funding)",'R&amp;D'!P$5:P$665)</f>
        <v>0</v>
      </c>
      <c r="P29" s="406">
        <f>SUMIF('R&amp;D'!$BH$5:$BH$665,"Higher Ed. (Block Funding)",'R&amp;D'!Q$5:Q$665)</f>
        <v>0</v>
      </c>
      <c r="Q29" s="406">
        <f>SUMIF('R&amp;D'!$BH$5:$BH$665,"Higher Ed. (Block Funding)",'R&amp;D'!R$5:R$665)</f>
        <v>0</v>
      </c>
      <c r="R29" s="406">
        <f>SUMIF('R&amp;D'!$BH$5:$BH$665,"Higher Ed. (Block Funding)",'R&amp;D'!S$5:S$665)</f>
        <v>0</v>
      </c>
      <c r="S29" s="406">
        <f>SUMIF('R&amp;D'!$BH$5:$BH$665,"Higher Ed. (Block Funding)",'R&amp;D'!T$5:T$665)</f>
        <v>0</v>
      </c>
      <c r="T29" s="406">
        <f>SUMIF('R&amp;D'!$BH$5:$BH$665,"Higher Ed. (Block Funding)",'R&amp;D'!U$5:U$665)</f>
        <v>0</v>
      </c>
      <c r="U29" s="406">
        <f>SUMIF('R&amp;D'!$BH$5:$BH$665,"Higher Ed. (Block Funding)",'R&amp;D'!V$5:V$665)</f>
        <v>0</v>
      </c>
      <c r="V29" s="406">
        <f>SUMIF('R&amp;D'!$BH$5:$BH$665,"Higher Ed. (Block Funding)",'R&amp;D'!W$5:W$665)</f>
        <v>0</v>
      </c>
      <c r="W29" s="406">
        <f>SUMIF('R&amp;D'!$BH$5:$BH$665,"Higher Ed. (Block Funding)",'R&amp;D'!X$5:X$665)</f>
        <v>0</v>
      </c>
      <c r="X29" s="406">
        <f>SUMIF('R&amp;D'!$BH$5:$BH$665,"Higher Ed. (Block Funding)",'R&amp;D'!Y$5:Y$665)</f>
        <v>942.5</v>
      </c>
      <c r="Y29" s="406">
        <f>SUMIF('R&amp;D'!$BH$5:$BH$665,"Higher Ed. (Block Funding)",'R&amp;D'!Z$5:Z$665)</f>
        <v>1012.5</v>
      </c>
      <c r="Z29" s="406">
        <f>SUMIF('R&amp;D'!$BH$5:$BH$665,"Higher Ed. (Block Funding)",'R&amp;D'!AA$5:AA$665)</f>
        <v>1086.5</v>
      </c>
      <c r="AA29" s="406">
        <f>SUMIF('R&amp;D'!$BH$5:$BH$665,"Higher Ed. (Block Funding)",'R&amp;D'!AB$5:AB$665)</f>
        <v>1172.2</v>
      </c>
      <c r="AB29" s="406">
        <f>SUMIF('R&amp;D'!$BH$5:$BH$665,"Higher Ed. (Block Funding)",'R&amp;D'!AC$5:AC$665)</f>
        <v>1178.009</v>
      </c>
      <c r="AC29" s="406">
        <f>SUMIF('R&amp;D'!$BH$5:$BH$665,"Higher Ed. (Block Funding)",'R&amp;D'!AD$5:AD$665)</f>
        <v>1222.508</v>
      </c>
      <c r="AD29" s="406">
        <f>SUMIF('R&amp;D'!$BH$5:$BH$665,"Higher Ed. (Block Funding)",'R&amp;D'!AE$5:AE$665)</f>
        <v>1233.77</v>
      </c>
      <c r="AE29" s="406">
        <f>SUMIF('R&amp;D'!$BH$5:$BH$665,"Higher Ed. (Block Funding)",'R&amp;D'!AF$5:AF$665)</f>
        <v>1223.953</v>
      </c>
      <c r="AF29" s="406">
        <f>SUMIF('R&amp;D'!$BH$5:$BH$665,"Higher Ed. (Block Funding)",'R&amp;D'!AG$5:AG$665)</f>
        <v>1240.8920000000001</v>
      </c>
      <c r="AG29" s="406">
        <f>SUMIF('R&amp;D'!$BH$5:$BH$665,"Higher Ed. (Block Funding)",'R&amp;D'!AH$5:AH$665)</f>
        <v>1342.9079999999999</v>
      </c>
      <c r="AH29" s="406">
        <f>SUMIF('R&amp;D'!$BH$5:$BH$665,"Higher Ed. (Block Funding)",'R&amp;D'!AI$5:AI$665)</f>
        <v>1487.2190000000001</v>
      </c>
      <c r="AI29" s="406">
        <f>SUMIF('R&amp;D'!$BH$5:$BH$665,"Higher Ed. (Block Funding)",'R&amp;D'!AJ$5:AJ$665)</f>
        <v>1596.3689999999999</v>
      </c>
      <c r="AJ29" s="406">
        <f>SUMIF('R&amp;D'!$BH$5:$BH$665,"Higher Ed. (Block Funding)",'R&amp;D'!AK$5:AK$665)</f>
        <v>1623.0409999999999</v>
      </c>
      <c r="AK29" s="406">
        <f>SUMIF('R&amp;D'!$BH$5:$BH$665,"Higher Ed. (Block Funding)",'R&amp;D'!AL$5:AL$665)</f>
        <v>1685.66</v>
      </c>
      <c r="AL29" s="406">
        <f>SUMIF('R&amp;D'!$BH$5:$BH$665,"Higher Ed. (Block Funding)",'R&amp;D'!AM$5:AM$665)</f>
        <v>1755.9260000000002</v>
      </c>
      <c r="AM29" s="406">
        <f>SUMIF('R&amp;D'!$BH$5:$BH$665,"Higher Ed. (Block Funding)",'R&amp;D'!AN$5:AN$665)</f>
        <v>1829.943</v>
      </c>
      <c r="AN29" s="406">
        <f>SUMIF('R&amp;D'!$BH$5:$BH$665,"Higher Ed. (Block Funding)",'R&amp;D'!AO$5:AO$665)</f>
        <v>1777.885</v>
      </c>
      <c r="AO29" s="406">
        <f>SUMIF('R&amp;D'!$BH$5:$BH$665,"Higher Ed. (Block Funding)",'R&amp;D'!AP$5:AP$665)</f>
        <v>1943.204</v>
      </c>
      <c r="AP29" s="406">
        <f>SUMIF('R&amp;D'!$BH$5:$BH$665,"Higher Ed. (Block Funding)",'R&amp;D'!AQ$5:AQ$665)</f>
        <v>1921.1</v>
      </c>
      <c r="AQ29" s="406">
        <f>SUMIF('R&amp;D'!$BH$5:$BH$665,"Higher Ed. (Block Funding)",'R&amp;D'!AR$5:AR$665)</f>
        <v>1938.3899999999999</v>
      </c>
      <c r="AR29" s="406">
        <f>SUMIF('R&amp;D'!$BH$5:$BH$665,"Higher Ed. (Block Funding)",'R&amp;D'!AS$5:AS$665)</f>
        <v>2973.2799999999997</v>
      </c>
      <c r="AS29" s="406">
        <f>SUMIF('R&amp;D'!$BH$5:$BH$665,"Higher Ed. (Block Funding)",'R&amp;D'!AT$5:AT$665)</f>
        <v>1999.8400000000001</v>
      </c>
      <c r="AT29" s="406">
        <f>SUMIF('R&amp;D'!$BH$5:$BH$665,"Higher Ed. (Block Funding)",'R&amp;D'!AU$5:AU$665)</f>
        <v>2043.9540000000002</v>
      </c>
      <c r="AU29" s="406">
        <f>SUMIF('R&amp;D'!$BH$5:$BH$665,"Higher Ed. (Block Funding)",'R&amp;D'!AV$5:AV$665)</f>
        <v>2160.192</v>
      </c>
      <c r="AV29" s="547">
        <f>SUMIF('R&amp;D'!$BH$5:$BH$665,"Higher Ed. (Block Funding)",'R&amp;D'!AW$5:AW$665)</f>
        <v>2287.2249999999999</v>
      </c>
      <c r="AW29" s="407">
        <f>SUMIF('R&amp;D'!$BH$5:$BH$665,"Higher Ed. (Block Funding)",'R&amp;D'!AX$5:AX$665)</f>
        <v>2361.1689999999999</v>
      </c>
      <c r="AX29" s="409">
        <f>AW29/$AW$45</f>
        <v>0.1559585226676912</v>
      </c>
    </row>
    <row r="30" spans="1:50" ht="15" customHeight="1">
      <c r="A30" s="75" t="s">
        <v>3739</v>
      </c>
      <c r="B30" s="406">
        <f>SUMIF('R&amp;D'!$BH$5:$BH$665,"Higher Ed. (Former funding framework)",'R&amp;D'!C$5:C$665)</f>
        <v>300</v>
      </c>
      <c r="C30" s="406">
        <f>SUMIF('R&amp;D'!$BH$5:$BH$665,"Higher Ed. (Former funding framework)",'R&amp;D'!D$5:D$665)</f>
        <v>312.39999999999998</v>
      </c>
      <c r="D30" s="406">
        <f>SUMIF('R&amp;D'!$BH$5:$BH$665,"Higher Ed. (Former funding framework)",'R&amp;D'!E$5:E$665)</f>
        <v>354.6</v>
      </c>
      <c r="E30" s="406">
        <f>SUMIF('R&amp;D'!$BH$5:$BH$665,"Higher Ed. (Former funding framework)",'R&amp;D'!F$5:F$665)</f>
        <v>329.8</v>
      </c>
      <c r="F30" s="406">
        <f>SUMIF('R&amp;D'!$BH$5:$BH$665,"Higher Ed. (Former funding framework)",'R&amp;D'!G$5:G$665)</f>
        <v>368.29999999999995</v>
      </c>
      <c r="G30" s="406">
        <f>SUMIF('R&amp;D'!$BH$5:$BH$665,"Higher Ed. (Former funding framework)",'R&amp;D'!H$5:H$665)</f>
        <v>399.3</v>
      </c>
      <c r="H30" s="406">
        <f>SUMIF('R&amp;D'!$BH$5:$BH$665,"Higher Ed. (Former funding framework)",'R&amp;D'!I$5:I$665)</f>
        <v>495.70000000000005</v>
      </c>
      <c r="I30" s="406">
        <f>SUMIF('R&amp;D'!$BH$5:$BH$665,"Higher Ed. (Former funding framework)",'R&amp;D'!J$5:J$665)</f>
        <v>558.29999999999995</v>
      </c>
      <c r="J30" s="406">
        <f>SUMIF('R&amp;D'!$BH$5:$BH$665,"Higher Ed. (Former funding framework)",'R&amp;D'!K$5:K$665)</f>
        <v>599.09999999999991</v>
      </c>
      <c r="K30" s="406">
        <f>SUMIF('R&amp;D'!$BH$5:$BH$665,"Higher Ed. (Former funding framework)",'R&amp;D'!L$5:L$665)</f>
        <v>656</v>
      </c>
      <c r="L30" s="406">
        <f>SUMIF('R&amp;D'!$BH$5:$BH$665,"Higher Ed. (Former funding framework)",'R&amp;D'!M$5:M$665)</f>
        <v>740.50000000000011</v>
      </c>
      <c r="M30" s="406">
        <f>SUMIF('R&amp;D'!$BH$5:$BH$665,"Higher Ed. (Former funding framework)",'R&amp;D'!N$5:N$665)</f>
        <v>753.19999999999993</v>
      </c>
      <c r="N30" s="406">
        <f>SUMIF('R&amp;D'!$BH$5:$BH$665,"Higher Ed. (Former funding framework)",'R&amp;D'!O$5:O$665)</f>
        <v>801.90000000000009</v>
      </c>
      <c r="O30" s="406">
        <f>SUMIF('R&amp;D'!$BH$5:$BH$665,"Higher Ed. (Former funding framework)",'R&amp;D'!P$5:P$665)</f>
        <v>913.3</v>
      </c>
      <c r="P30" s="406">
        <f>SUMIF('R&amp;D'!$BH$5:$BH$665,"Higher Ed. (Former funding framework)",'R&amp;D'!Q$5:Q$665)</f>
        <v>1054</v>
      </c>
      <c r="Q30" s="406">
        <f>SUMIF('R&amp;D'!$BH$5:$BH$665,"Higher Ed. (Former funding framework)",'R&amp;D'!R$5:R$665)</f>
        <v>1150</v>
      </c>
      <c r="R30" s="406">
        <f>SUMIF('R&amp;D'!$BH$5:$BH$665,"Higher Ed. (Former funding framework)",'R&amp;D'!S$5:S$665)</f>
        <v>1230.3</v>
      </c>
      <c r="S30" s="406">
        <f>SUMIF('R&amp;D'!$BH$5:$BH$665,"Higher Ed. (Former funding framework)",'R&amp;D'!T$5:T$665)</f>
        <v>1352.4</v>
      </c>
      <c r="T30" s="406">
        <f>SUMIF('R&amp;D'!$BH$5:$BH$665,"Higher Ed. (Former funding framework)",'R&amp;D'!U$5:U$665)</f>
        <v>1458.5</v>
      </c>
      <c r="U30" s="406">
        <f>SUMIF('R&amp;D'!$BH$5:$BH$665,"Higher Ed. (Former funding framework)",'R&amp;D'!V$5:V$665)</f>
        <v>1524.4</v>
      </c>
      <c r="V30" s="406">
        <f>SUMIF('R&amp;D'!$BH$5:$BH$665,"Higher Ed. (Former funding framework)",'R&amp;D'!W$5:W$665)</f>
        <v>1586.2</v>
      </c>
      <c r="W30" s="406">
        <f>SUMIF('R&amp;D'!$BH$5:$BH$665,"Higher Ed. (Former funding framework)",'R&amp;D'!X$5:X$665)</f>
        <v>1624.9</v>
      </c>
      <c r="X30" s="406">
        <f>SUMIF('R&amp;D'!$BH$5:$BH$665,"Higher Ed. (Former funding framework)",'R&amp;D'!Y$5:Y$665)</f>
        <v>429.80250000000001</v>
      </c>
      <c r="Y30" s="406">
        <f>SUMIF('R&amp;D'!$BH$5:$BH$665,"Higher Ed. (Former funding framework)",'R&amp;D'!Z$5:Z$665)</f>
        <v>431.06799999999998</v>
      </c>
      <c r="Z30" s="406">
        <f>SUMIF('R&amp;D'!$BH$5:$BH$665,"Higher Ed. (Former funding framework)",'R&amp;D'!AA$5:AA$665)</f>
        <v>434.25799999999998</v>
      </c>
      <c r="AA30" s="406">
        <f>SUMIF('R&amp;D'!$BH$5:$BH$665,"Higher Ed. (Former funding framework)",'R&amp;D'!AB$5:AB$665)</f>
        <v>434.72199999999998</v>
      </c>
      <c r="AB30" s="406">
        <f>SUMIF('R&amp;D'!$BH$5:$BH$665,"Higher Ed. (Former funding framework)",'R&amp;D'!AC$5:AC$665)</f>
        <v>0</v>
      </c>
      <c r="AC30" s="406">
        <f>SUMIF('R&amp;D'!$BH$5:$BH$665,"Higher Ed. (Former funding framework)",'R&amp;D'!AD$5:AD$665)</f>
        <v>0</v>
      </c>
      <c r="AD30" s="406">
        <f>SUMIF('R&amp;D'!$BH$5:$BH$665,"Higher Ed. (Former funding framework)",'R&amp;D'!AE$5:AE$665)</f>
        <v>0</v>
      </c>
      <c r="AE30" s="406">
        <f>SUMIF('R&amp;D'!$BH$5:$BH$665,"Higher Ed. (Former funding framework)",'R&amp;D'!AF$5:AF$665)</f>
        <v>0</v>
      </c>
      <c r="AF30" s="406">
        <f>SUMIF('R&amp;D'!$BH$5:$BH$665,"Higher Ed. (Former funding framework)",'R&amp;D'!AG$5:AG$665)</f>
        <v>0</v>
      </c>
      <c r="AG30" s="406">
        <f>SUMIF('R&amp;D'!$BH$5:$BH$665,"Higher Ed. (Former funding framework)",'R&amp;D'!AH$5:AH$665)</f>
        <v>0</v>
      </c>
      <c r="AH30" s="406">
        <f>SUMIF('R&amp;D'!$BH$5:$BH$665,"Higher Ed. (Former funding framework)",'R&amp;D'!AI$5:AI$665)</f>
        <v>0</v>
      </c>
      <c r="AI30" s="406">
        <f>SUMIF('R&amp;D'!$BH$5:$BH$665,"Higher Ed. (Former funding framework)",'R&amp;D'!AJ$5:AJ$665)</f>
        <v>0</v>
      </c>
      <c r="AJ30" s="406">
        <f>SUMIF('R&amp;D'!$BH$5:$BH$665,"Higher Ed. (Former funding framework)",'R&amp;D'!AK$5:AK$665)</f>
        <v>0</v>
      </c>
      <c r="AK30" s="406">
        <f>SUMIF('R&amp;D'!$BH$5:$BH$665,"Higher Ed. (Former funding framework)",'R&amp;D'!AL$5:AL$665)</f>
        <v>0</v>
      </c>
      <c r="AL30" s="406">
        <f>SUMIF('R&amp;D'!$BH$5:$BH$665,"Higher Ed. (Former funding framework)",'R&amp;D'!AM$5:AM$665)</f>
        <v>0</v>
      </c>
      <c r="AM30" s="406">
        <f>SUMIF('R&amp;D'!$BH$5:$BH$665,"Higher Ed. (Former funding framework)",'R&amp;D'!AN$5:AN$665)</f>
        <v>0</v>
      </c>
      <c r="AN30" s="406">
        <f>SUMIF('R&amp;D'!$BH$5:$BH$665,"Higher Ed. (Former funding framework)",'R&amp;D'!AO$5:AO$665)</f>
        <v>0</v>
      </c>
      <c r="AO30" s="406">
        <f>SUMIF('R&amp;D'!$BH$5:$BH$665,"Higher Ed. (Former funding framework)",'R&amp;D'!AP$5:AP$665)</f>
        <v>0</v>
      </c>
      <c r="AP30" s="406">
        <f>SUMIF('R&amp;D'!$BH$5:$BH$665,"Higher Ed. (Former funding framework)",'R&amp;D'!AQ$5:AQ$665)</f>
        <v>0</v>
      </c>
      <c r="AQ30" s="406">
        <f>SUMIF('R&amp;D'!$BH$5:$BH$665,"Higher Ed. (Former funding framework)",'R&amp;D'!AR$5:AR$665)</f>
        <v>0</v>
      </c>
      <c r="AR30" s="406">
        <f>SUMIF('R&amp;D'!$BH$5:$BH$665,"Higher Ed. (Former funding framework)",'R&amp;D'!AS$5:AS$665)</f>
        <v>0</v>
      </c>
      <c r="AS30" s="406">
        <f>SUMIF('R&amp;D'!$BH$5:$BH$665,"Higher Ed. (Former funding framework)",'R&amp;D'!AT$5:AT$665)</f>
        <v>0</v>
      </c>
      <c r="AT30" s="406">
        <f>SUMIF('R&amp;D'!$BH$5:$BH$665,"Higher Ed. (Former funding framework)",'R&amp;D'!AU$5:AU$665)</f>
        <v>0</v>
      </c>
      <c r="AU30" s="406">
        <f>SUMIF('R&amp;D'!$BH$5:$BH$665,"Higher Ed. (Former funding framework)",'R&amp;D'!AV$5:AV$665)</f>
        <v>0</v>
      </c>
      <c r="AV30" s="547">
        <f>SUMIF('R&amp;D'!$BH$5:$BH$665,"Higher Ed. (Former funding framework)",'R&amp;D'!AW$5:AW$665)</f>
        <v>0</v>
      </c>
      <c r="AW30" s="407">
        <f>SUMIF('R&amp;D'!$BH$5:$BH$665,"Higher Ed. (Former funding framework)",'R&amp;D'!AX$5:AX$665)</f>
        <v>0</v>
      </c>
      <c r="AX30" s="409">
        <f t="shared" ref="AX30" si="3">AW30/$AW$45</f>
        <v>0</v>
      </c>
    </row>
    <row r="31" spans="1:50" ht="15" customHeight="1">
      <c r="A31" s="75" t="s">
        <v>3740</v>
      </c>
      <c r="B31" s="406">
        <f>SUMIF('R&amp;D'!$BH$5:$BH$665,"Higher Ed. (Other R&amp;D)",'R&amp;D'!C$5:C$665)</f>
        <v>0</v>
      </c>
      <c r="C31" s="406">
        <f>SUMIF('R&amp;D'!$BH$5:$BH$665,"Higher Ed. (Other R&amp;D)",'R&amp;D'!D$5:D$665)</f>
        <v>0</v>
      </c>
      <c r="D31" s="406">
        <f>SUMIF('R&amp;D'!$BH$5:$BH$665,"Higher Ed. (Other R&amp;D)",'R&amp;D'!E$5:E$665)</f>
        <v>0</v>
      </c>
      <c r="E31" s="406">
        <f>SUMIF('R&amp;D'!$BH$5:$BH$665,"Higher Ed. (Other R&amp;D)",'R&amp;D'!F$5:F$665)</f>
        <v>71</v>
      </c>
      <c r="F31" s="406">
        <f>SUMIF('R&amp;D'!$BH$5:$BH$665,"Higher Ed. (Other R&amp;D)",'R&amp;D'!G$5:G$665)</f>
        <v>76</v>
      </c>
      <c r="G31" s="406">
        <f>SUMIF('R&amp;D'!$BH$5:$BH$665,"Higher Ed. (Other R&amp;D)",'R&amp;D'!H$5:H$665)</f>
        <v>81</v>
      </c>
      <c r="H31" s="406">
        <f>SUMIF('R&amp;D'!$BH$5:$BH$665,"Higher Ed. (Other R&amp;D)",'R&amp;D'!I$5:I$665)</f>
        <v>87</v>
      </c>
      <c r="I31" s="406">
        <f>SUMIF('R&amp;D'!$BH$5:$BH$665,"Higher Ed. (Other R&amp;D)",'R&amp;D'!J$5:J$665)</f>
        <v>93</v>
      </c>
      <c r="J31" s="406">
        <f>SUMIF('R&amp;D'!$BH$5:$BH$665,"Higher Ed. (Other R&amp;D)",'R&amp;D'!K$5:K$665)</f>
        <v>97</v>
      </c>
      <c r="K31" s="406">
        <f>SUMIF('R&amp;D'!$BH$5:$BH$665,"Higher Ed. (Other R&amp;D)",'R&amp;D'!L$5:L$665)</f>
        <v>100</v>
      </c>
      <c r="L31" s="406">
        <f>SUMIF('R&amp;D'!$BH$5:$BH$665,"Higher Ed. (Other R&amp;D)",'R&amp;D'!M$5:M$665)</f>
        <v>108</v>
      </c>
      <c r="M31" s="406">
        <f>SUMIF('R&amp;D'!$BH$5:$BH$665,"Higher Ed. (Other R&amp;D)",'R&amp;D'!N$5:N$665)</f>
        <v>122.2</v>
      </c>
      <c r="N31" s="406">
        <f>SUMIF('R&amp;D'!$BH$5:$BH$665,"Higher Ed. (Other R&amp;D)",'R&amp;D'!O$5:O$665)</f>
        <v>136.6</v>
      </c>
      <c r="O31" s="406">
        <f>SUMIF('R&amp;D'!$BH$5:$BH$665,"Higher Ed. (Other R&amp;D)",'R&amp;D'!P$5:P$665)</f>
        <v>145</v>
      </c>
      <c r="P31" s="406">
        <f>SUMIF('R&amp;D'!$BH$5:$BH$665,"Higher Ed. (Other R&amp;D)",'R&amp;D'!Q$5:Q$665)</f>
        <v>148.1</v>
      </c>
      <c r="Q31" s="406">
        <f>SUMIF('R&amp;D'!$BH$5:$BH$665,"Higher Ed. (Other R&amp;D)",'R&amp;D'!R$5:R$665)</f>
        <v>149.4</v>
      </c>
      <c r="R31" s="406">
        <f>SUMIF('R&amp;D'!$BH$5:$BH$665,"Higher Ed. (Other R&amp;D)",'R&amp;D'!S$5:S$665)</f>
        <v>150.5</v>
      </c>
      <c r="S31" s="406">
        <f>SUMIF('R&amp;D'!$BH$5:$BH$665,"Higher Ed. (Other R&amp;D)",'R&amp;D'!T$5:T$665)</f>
        <v>152.9</v>
      </c>
      <c r="T31" s="406">
        <f>SUMIF('R&amp;D'!$BH$5:$BH$665,"Higher Ed. (Other R&amp;D)",'R&amp;D'!U$5:U$665)</f>
        <v>154.69999999999999</v>
      </c>
      <c r="U31" s="406">
        <f>SUMIF('R&amp;D'!$BH$5:$BH$665,"Higher Ed. (Other R&amp;D)",'R&amp;D'!V$5:V$665)</f>
        <v>153.5</v>
      </c>
      <c r="V31" s="406">
        <f>SUMIF('R&amp;D'!$BH$5:$BH$665,"Higher Ed. (Other R&amp;D)",'R&amp;D'!W$5:W$665)</f>
        <v>153.5</v>
      </c>
      <c r="W31" s="406">
        <f>SUMIF('R&amp;D'!$BH$5:$BH$665,"Higher Ed. (Other R&amp;D)",'R&amp;D'!X$5:X$665)</f>
        <v>175.17500000000001</v>
      </c>
      <c r="X31" s="406">
        <f>SUMIF('R&amp;D'!$BH$5:$BH$665,"Higher Ed. (Other R&amp;D)",'R&amp;D'!Y$5:Y$665)</f>
        <v>184.14749999999998</v>
      </c>
      <c r="Y31" s="406">
        <f>SUMIF('R&amp;D'!$BH$5:$BH$665,"Higher Ed. (Other R&amp;D)",'R&amp;D'!Z$5:Z$665)</f>
        <v>165.43199999999999</v>
      </c>
      <c r="Z31" s="406">
        <f>SUMIF('R&amp;D'!$BH$5:$BH$665,"Higher Ed. (Other R&amp;D)",'R&amp;D'!AA$5:AA$665)</f>
        <v>151.74399999999997</v>
      </c>
      <c r="AA31" s="406">
        <f>SUMIF('R&amp;D'!$BH$5:$BH$665,"Higher Ed. (Other R&amp;D)",'R&amp;D'!AB$5:AB$665)</f>
        <v>158.21599999999998</v>
      </c>
      <c r="AB31" s="406">
        <f>SUMIF('R&amp;D'!$BH$5:$BH$665,"Higher Ed. (Other R&amp;D)",'R&amp;D'!AC$5:AC$665)</f>
        <v>155.53300000000002</v>
      </c>
      <c r="AC31" s="406">
        <f>SUMIF('R&amp;D'!$BH$5:$BH$665,"Higher Ed. (Other R&amp;D)",'R&amp;D'!AD$5:AD$665)</f>
        <v>290.87900000000002</v>
      </c>
      <c r="AD31" s="406">
        <f>SUMIF('R&amp;D'!$BH$5:$BH$665,"Higher Ed. (Other R&amp;D)",'R&amp;D'!AE$5:AE$665)</f>
        <v>167.29899999999998</v>
      </c>
      <c r="AE31" s="406">
        <f>SUMIF('R&amp;D'!$BH$5:$BH$665,"Higher Ed. (Other R&amp;D)",'R&amp;D'!AF$5:AF$665)</f>
        <v>168.547</v>
      </c>
      <c r="AF31" s="406">
        <f>SUMIF('R&amp;D'!$BH$5:$BH$665,"Higher Ed. (Other R&amp;D)",'R&amp;D'!AG$5:AG$665)</f>
        <v>172.63800000000001</v>
      </c>
      <c r="AG31" s="406">
        <f>SUMIF('R&amp;D'!$BH$5:$BH$665,"Higher Ed. (Other R&amp;D)",'R&amp;D'!AH$5:AH$665)</f>
        <v>363.94300000000004</v>
      </c>
      <c r="AH31" s="406">
        <f>SUMIF('R&amp;D'!$BH$5:$BH$665,"Higher Ed. (Other R&amp;D)",'R&amp;D'!AI$5:AI$665)</f>
        <v>391.48456399999998</v>
      </c>
      <c r="AI31" s="406">
        <f>SUMIF('R&amp;D'!$BH$5:$BH$665,"Higher Ed. (Other R&amp;D)",'R&amp;D'!AJ$5:AJ$665)</f>
        <v>333.84075000000007</v>
      </c>
      <c r="AJ31" s="406">
        <f>SUMIF('R&amp;D'!$BH$5:$BH$665,"Higher Ed. (Other R&amp;D)",'R&amp;D'!AK$5:AK$665)</f>
        <v>255.54672199999999</v>
      </c>
      <c r="AK31" s="406">
        <f>SUMIF('R&amp;D'!$BH$5:$BH$665,"Higher Ed. (Other R&amp;D)",'R&amp;D'!AL$5:AL$665)</f>
        <v>252.37064799999996</v>
      </c>
      <c r="AL31" s="406">
        <f>SUMIF('R&amp;D'!$BH$5:$BH$665,"Higher Ed. (Other R&amp;D)",'R&amp;D'!AM$5:AM$665)</f>
        <v>212.17924392</v>
      </c>
      <c r="AM31" s="406">
        <f>SUMIF('R&amp;D'!$BH$5:$BH$665,"Higher Ed. (Other R&amp;D)",'R&amp;D'!AN$5:AN$665)</f>
        <v>213.16469878000001</v>
      </c>
      <c r="AN31" s="406">
        <f>SUMIF('R&amp;D'!$BH$5:$BH$665,"Higher Ed. (Other R&amp;D)",'R&amp;D'!AO$5:AO$665)</f>
        <v>208.20218269999998</v>
      </c>
      <c r="AO31" s="406">
        <f>SUMIF('R&amp;D'!$BH$5:$BH$665,"Higher Ed. (Other R&amp;D)",'R&amp;D'!AP$5:AP$665)</f>
        <v>217.04630000000003</v>
      </c>
      <c r="AP31" s="406">
        <f>SUMIF('R&amp;D'!$BH$5:$BH$665,"Higher Ed. (Other R&amp;D)",'R&amp;D'!AQ$5:AQ$665)</f>
        <v>220.99487600000003</v>
      </c>
      <c r="AQ31" s="406">
        <f>SUMIF('R&amp;D'!$BH$5:$BH$665,"Higher Ed. (Other R&amp;D)",'R&amp;D'!AR$5:AR$665)</f>
        <v>222.23599999999999</v>
      </c>
      <c r="AR31" s="406">
        <f>SUMIF('R&amp;D'!$BH$5:$BH$665,"Higher Ed. (Other R&amp;D)",'R&amp;D'!AS$5:AS$665)</f>
        <v>235</v>
      </c>
      <c r="AS31" s="406">
        <f>SUMIF('R&amp;D'!$BH$5:$BH$665,"Higher Ed. (Other R&amp;D)",'R&amp;D'!AT$5:AT$665)</f>
        <v>252.33300000000003</v>
      </c>
      <c r="AT31" s="406">
        <f>SUMIF('R&amp;D'!$BH$5:$BH$665,"Higher Ed. (Other R&amp;D)",'R&amp;D'!AU$5:AU$665)</f>
        <v>359.08</v>
      </c>
      <c r="AU31" s="406">
        <f>SUMIF('R&amp;D'!$BH$5:$BH$665,"Higher Ed. (Other R&amp;D)",'R&amp;D'!AV$5:AV$665)</f>
        <v>379.91799999999995</v>
      </c>
      <c r="AV31" s="547">
        <f>SUMIF('R&amp;D'!$BH$5:$BH$665,"Higher Ed. (Other R&amp;D)",'R&amp;D'!AW$5:AW$665)</f>
        <v>603.40300000000002</v>
      </c>
      <c r="AW31" s="407">
        <f>SUMIF('R&amp;D'!$BH$5:$BH$665,"Higher Ed. (Other R&amp;D)",'R&amp;D'!AX$5:AX$665)</f>
        <v>587.1579999999999</v>
      </c>
      <c r="AX31" s="409">
        <f>AW31/$AW$45</f>
        <v>3.8782609060391791E-2</v>
      </c>
    </row>
    <row r="32" spans="1:50" ht="15" customHeight="1">
      <c r="A32" s="68" t="s">
        <v>3732</v>
      </c>
      <c r="B32" s="69">
        <f t="shared" ref="B32:AW32" si="4">SUM(B27:B31)</f>
        <v>300</v>
      </c>
      <c r="C32" s="69">
        <f t="shared" si="4"/>
        <v>312.39999999999998</v>
      </c>
      <c r="D32" s="69">
        <f t="shared" si="4"/>
        <v>354.6</v>
      </c>
      <c r="E32" s="69">
        <f t="shared" si="4"/>
        <v>400.8</v>
      </c>
      <c r="F32" s="69">
        <f t="shared" si="4"/>
        <v>444.29999999999995</v>
      </c>
      <c r="G32" s="69">
        <f t="shared" si="4"/>
        <v>480.3</v>
      </c>
      <c r="H32" s="69">
        <f t="shared" si="4"/>
        <v>582.70000000000005</v>
      </c>
      <c r="I32" s="69">
        <f t="shared" si="4"/>
        <v>651.29999999999995</v>
      </c>
      <c r="J32" s="69">
        <f t="shared" si="4"/>
        <v>696.09999999999991</v>
      </c>
      <c r="K32" s="69">
        <f t="shared" si="4"/>
        <v>756</v>
      </c>
      <c r="L32" s="69">
        <f t="shared" si="4"/>
        <v>848.50000000000011</v>
      </c>
      <c r="M32" s="69">
        <f t="shared" si="4"/>
        <v>875.4</v>
      </c>
      <c r="N32" s="69">
        <f t="shared" si="4"/>
        <v>990.62616044000004</v>
      </c>
      <c r="O32" s="69">
        <f t="shared" si="4"/>
        <v>1118.7213685649999</v>
      </c>
      <c r="P32" s="69">
        <f t="shared" si="4"/>
        <v>1266.324837335</v>
      </c>
      <c r="Q32" s="69">
        <f t="shared" si="4"/>
        <v>1365.5334539949999</v>
      </c>
      <c r="R32" s="69">
        <f t="shared" si="4"/>
        <v>1454.2269923499998</v>
      </c>
      <c r="S32" s="69">
        <f t="shared" si="4"/>
        <v>1588.5993960900003</v>
      </c>
      <c r="T32" s="69">
        <f t="shared" si="4"/>
        <v>1707.0672472099998</v>
      </c>
      <c r="U32" s="69">
        <f t="shared" si="4"/>
        <v>1782.9856672750002</v>
      </c>
      <c r="V32" s="69">
        <f t="shared" si="4"/>
        <v>1861.3204914949999</v>
      </c>
      <c r="W32" s="69">
        <f t="shared" si="4"/>
        <v>1906.438658415</v>
      </c>
      <c r="X32" s="69">
        <f t="shared" si="4"/>
        <v>1928.8900190000002</v>
      </c>
      <c r="Y32" s="69">
        <f t="shared" si="4"/>
        <v>2041.676453</v>
      </c>
      <c r="Z32" s="69">
        <f t="shared" si="4"/>
        <v>2177.9004730000001</v>
      </c>
      <c r="AA32" s="69">
        <f t="shared" si="4"/>
        <v>2398.064003</v>
      </c>
      <c r="AB32" s="69">
        <f t="shared" si="4"/>
        <v>2054.5006159999998</v>
      </c>
      <c r="AC32" s="69">
        <f t="shared" si="4"/>
        <v>2374.561393</v>
      </c>
      <c r="AD32" s="69">
        <f t="shared" si="4"/>
        <v>2311.28541</v>
      </c>
      <c r="AE32" s="69">
        <f t="shared" si="4"/>
        <v>2362.9399100000001</v>
      </c>
      <c r="AF32" s="69">
        <f t="shared" si="4"/>
        <v>2461.6704849999996</v>
      </c>
      <c r="AG32" s="69">
        <f t="shared" si="4"/>
        <v>2863.335724</v>
      </c>
      <c r="AH32" s="69">
        <f t="shared" si="4"/>
        <v>3133.0032999999999</v>
      </c>
      <c r="AI32" s="69">
        <f t="shared" si="4"/>
        <v>3309.5212140000003</v>
      </c>
      <c r="AJ32" s="69">
        <f t="shared" si="4"/>
        <v>3356.4874220000002</v>
      </c>
      <c r="AK32" s="69">
        <f t="shared" si="4"/>
        <v>3461.6345920422164</v>
      </c>
      <c r="AL32" s="69">
        <f t="shared" si="4"/>
        <v>3498.7800051325798</v>
      </c>
      <c r="AM32" s="69">
        <f t="shared" si="4"/>
        <v>3473.4013078399998</v>
      </c>
      <c r="AN32" s="69">
        <f t="shared" si="4"/>
        <v>3357.6766278499999</v>
      </c>
      <c r="AO32" s="69">
        <f t="shared" si="4"/>
        <v>3553.9035611083091</v>
      </c>
      <c r="AP32" s="69">
        <f t="shared" si="4"/>
        <v>3525.9303024097085</v>
      </c>
      <c r="AQ32" s="69">
        <f t="shared" si="4"/>
        <v>3594.8194753587854</v>
      </c>
      <c r="AR32" s="69">
        <f t="shared" si="4"/>
        <v>4588.8313385727279</v>
      </c>
      <c r="AS32" s="69">
        <f t="shared" si="4"/>
        <v>3676.7542723445536</v>
      </c>
      <c r="AT32" s="69">
        <f t="shared" si="4"/>
        <v>3903.9632684698995</v>
      </c>
      <c r="AU32" s="69">
        <f t="shared" si="4"/>
        <v>4095.2127305658219</v>
      </c>
      <c r="AV32" s="548">
        <f t="shared" si="4"/>
        <v>4651.2047671163427</v>
      </c>
      <c r="AW32" s="70">
        <f t="shared" si="4"/>
        <v>4729.3367441266892</v>
      </c>
      <c r="AX32" s="410">
        <f>AW32/$AW$45</f>
        <v>0.31237932219677084</v>
      </c>
    </row>
    <row r="33" spans="1:97" ht="15" customHeight="1">
      <c r="A33" s="401" t="s">
        <v>1640</v>
      </c>
      <c r="B33" s="413"/>
      <c r="C33" s="413"/>
      <c r="D33" s="413"/>
      <c r="E33" s="413"/>
      <c r="F33" s="413"/>
      <c r="G33" s="413"/>
      <c r="H33" s="413"/>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c r="AJ33" s="413"/>
      <c r="AK33" s="413"/>
      <c r="AL33" s="413"/>
      <c r="AM33" s="413"/>
      <c r="AN33" s="413"/>
      <c r="AO33" s="413"/>
      <c r="AP33" s="413"/>
      <c r="AQ33" s="413"/>
      <c r="AR33" s="413"/>
      <c r="AS33" s="413"/>
      <c r="AT33" s="416"/>
      <c r="AU33" s="413"/>
      <c r="AV33" s="413"/>
      <c r="AW33" s="413"/>
      <c r="AX33" s="402"/>
      <c r="AZ33" s="639" t="s">
        <v>227</v>
      </c>
    </row>
    <row r="34" spans="1:97" ht="15" customHeight="1">
      <c r="A34" s="75" t="s">
        <v>3741</v>
      </c>
      <c r="B34" s="406">
        <f>B121</f>
        <v>13.2</v>
      </c>
      <c r="C34" s="406">
        <f t="shared" ref="C34:M34" si="5">C121</f>
        <v>14</v>
      </c>
      <c r="D34" s="406">
        <f t="shared" si="5"/>
        <v>18.7</v>
      </c>
      <c r="E34" s="406">
        <f t="shared" si="5"/>
        <v>25.6</v>
      </c>
      <c r="F34" s="406">
        <f t="shared" si="5"/>
        <v>30</v>
      </c>
      <c r="G34" s="406">
        <f t="shared" si="5"/>
        <v>38.5</v>
      </c>
      <c r="H34" s="406">
        <f t="shared" si="5"/>
        <v>44.2</v>
      </c>
      <c r="I34" s="406">
        <f t="shared" si="5"/>
        <v>51.2</v>
      </c>
      <c r="J34" s="406">
        <f t="shared" si="5"/>
        <v>61.7</v>
      </c>
      <c r="K34" s="406">
        <f t="shared" si="5"/>
        <v>66.7</v>
      </c>
      <c r="L34" s="406">
        <f t="shared" si="5"/>
        <v>73.400000000000006</v>
      </c>
      <c r="M34" s="406">
        <f t="shared" si="5"/>
        <v>84.9</v>
      </c>
      <c r="N34" s="406"/>
      <c r="O34" s="406"/>
      <c r="P34" s="406"/>
      <c r="Q34" s="406"/>
      <c r="R34" s="406"/>
      <c r="S34" s="406"/>
      <c r="T34" s="406"/>
      <c r="U34" s="406"/>
      <c r="V34" s="406"/>
      <c r="W34" s="406"/>
      <c r="X34" s="406"/>
      <c r="Y34" s="406"/>
      <c r="Z34" s="406"/>
      <c r="AA34" s="406"/>
      <c r="AB34" s="406"/>
      <c r="AC34" s="406"/>
      <c r="AD34" s="406"/>
      <c r="AE34" s="406"/>
      <c r="AF34" s="406"/>
      <c r="AG34" s="406"/>
      <c r="AH34" s="406"/>
      <c r="AI34" s="406"/>
      <c r="AJ34" s="406"/>
      <c r="AK34" s="406"/>
      <c r="AL34" s="406"/>
      <c r="AM34" s="406"/>
      <c r="AN34" s="406"/>
      <c r="AO34" s="406"/>
      <c r="AP34" s="406"/>
      <c r="AQ34" s="406"/>
      <c r="AR34" s="418"/>
      <c r="AS34" s="406"/>
      <c r="AT34" s="406"/>
      <c r="AU34" s="406"/>
      <c r="AV34" s="549"/>
      <c r="AW34" s="555"/>
      <c r="AX34" s="419"/>
      <c r="AZ34" s="1045" t="s">
        <v>3742</v>
      </c>
    </row>
    <row r="35" spans="1:97" ht="15" customHeight="1">
      <c r="A35" s="75" t="s">
        <v>3743</v>
      </c>
      <c r="B35" s="406">
        <f>B118</f>
        <v>0</v>
      </c>
      <c r="C35" s="406">
        <f t="shared" ref="C35:AW35" si="6">C118</f>
        <v>0</v>
      </c>
      <c r="D35" s="406">
        <f t="shared" si="6"/>
        <v>0</v>
      </c>
      <c r="E35" s="406">
        <f t="shared" si="6"/>
        <v>0</v>
      </c>
      <c r="F35" s="406">
        <f t="shared" si="6"/>
        <v>0</v>
      </c>
      <c r="G35" s="406">
        <f t="shared" si="6"/>
        <v>0</v>
      </c>
      <c r="H35" s="406">
        <f t="shared" si="6"/>
        <v>0</v>
      </c>
      <c r="I35" s="406">
        <f t="shared" si="6"/>
        <v>0</v>
      </c>
      <c r="J35" s="406">
        <f t="shared" si="6"/>
        <v>0</v>
      </c>
      <c r="K35" s="406">
        <f t="shared" si="6"/>
        <v>0</v>
      </c>
      <c r="L35" s="406">
        <f t="shared" si="6"/>
        <v>0</v>
      </c>
      <c r="M35" s="406">
        <f t="shared" si="6"/>
        <v>0</v>
      </c>
      <c r="N35" s="406">
        <f t="shared" si="6"/>
        <v>36.230135105000002</v>
      </c>
      <c r="O35" s="406">
        <f t="shared" si="6"/>
        <v>42.307110704999985</v>
      </c>
      <c r="P35" s="406">
        <f t="shared" si="6"/>
        <v>45.387942704999986</v>
      </c>
      <c r="Q35" s="406">
        <f t="shared" si="6"/>
        <v>47.065181004999978</v>
      </c>
      <c r="R35" s="406">
        <f t="shared" si="6"/>
        <v>50.274445189999938</v>
      </c>
      <c r="S35" s="406">
        <f t="shared" si="6"/>
        <v>52.963417049999968</v>
      </c>
      <c r="T35" s="406">
        <f t="shared" si="6"/>
        <v>54.256001459999986</v>
      </c>
      <c r="U35" s="406">
        <f t="shared" si="6"/>
        <v>55.378427960000003</v>
      </c>
      <c r="V35" s="406">
        <f t="shared" si="6"/>
        <v>53.935376269999992</v>
      </c>
      <c r="W35" s="406">
        <f t="shared" si="6"/>
        <v>44.160366279999998</v>
      </c>
      <c r="X35" s="406">
        <f t="shared" si="6"/>
        <v>53.883950999999996</v>
      </c>
      <c r="Y35" s="406">
        <f t="shared" si="6"/>
        <v>64.702499000000003</v>
      </c>
      <c r="Z35" s="406">
        <f t="shared" si="6"/>
        <v>80.529747999999998</v>
      </c>
      <c r="AA35" s="406">
        <f t="shared" si="6"/>
        <v>92.516823000000016</v>
      </c>
      <c r="AB35" s="406">
        <f t="shared" si="6"/>
        <v>109.41022799999999</v>
      </c>
      <c r="AC35" s="406">
        <f t="shared" si="6"/>
        <v>128.39141499999999</v>
      </c>
      <c r="AD35" s="406">
        <f t="shared" si="6"/>
        <v>139.12281499999997</v>
      </c>
      <c r="AE35" s="406">
        <f t="shared" si="6"/>
        <v>159.86260300000001</v>
      </c>
      <c r="AF35" s="406">
        <f t="shared" si="6"/>
        <v>184.135784</v>
      </c>
      <c r="AG35" s="406">
        <f t="shared" si="6"/>
        <v>198.06432100000001</v>
      </c>
      <c r="AH35" s="406">
        <f t="shared" si="6"/>
        <v>208.65385900000001</v>
      </c>
      <c r="AI35" s="406">
        <f t="shared" si="6"/>
        <v>222.08339699999999</v>
      </c>
      <c r="AJ35" s="406">
        <f t="shared" si="6"/>
        <v>227.64232299999998</v>
      </c>
      <c r="AK35" s="406">
        <f t="shared" si="6"/>
        <v>223.09705595778371</v>
      </c>
      <c r="AL35" s="406">
        <f t="shared" si="6"/>
        <v>226.73123878742024</v>
      </c>
      <c r="AM35" s="406">
        <f t="shared" si="6"/>
        <v>210.50039093999999</v>
      </c>
      <c r="AN35" s="406">
        <f t="shared" si="6"/>
        <v>212.57555484</v>
      </c>
      <c r="AO35" s="406">
        <f t="shared" si="6"/>
        <v>217.467738891691</v>
      </c>
      <c r="AP35" s="406">
        <f t="shared" si="6"/>
        <v>215.70957359029177</v>
      </c>
      <c r="AQ35" s="406">
        <f t="shared" si="6"/>
        <v>229.79452464121434</v>
      </c>
      <c r="AR35" s="406">
        <f t="shared" si="6"/>
        <v>227.19666142727209</v>
      </c>
      <c r="AS35" s="406">
        <f t="shared" si="6"/>
        <v>212.42572765544682</v>
      </c>
      <c r="AT35" s="406">
        <f t="shared" si="6"/>
        <v>229.00173153010053</v>
      </c>
      <c r="AU35" s="406">
        <f t="shared" si="6"/>
        <v>241.1212694341784</v>
      </c>
      <c r="AV35" s="547">
        <f t="shared" si="6"/>
        <v>250.87823288365735</v>
      </c>
      <c r="AW35" s="552">
        <f t="shared" si="6"/>
        <v>254.81925587330969</v>
      </c>
      <c r="AX35" s="409">
        <f t="shared" ref="AX35:AX44" si="7">AW35/$AW$45</f>
        <v>1.6831169091785371E-2</v>
      </c>
      <c r="AZ35" s="1046"/>
    </row>
    <row r="36" spans="1:97" ht="15" customHeight="1">
      <c r="A36" s="75" t="s">
        <v>3744</v>
      </c>
      <c r="B36" s="406">
        <f>SUMIF('R&amp;D'!$BH$5:$BH$665,"Multisector (Other Health)",'R&amp;D'!C$5:C$665)</f>
        <v>0</v>
      </c>
      <c r="C36" s="406">
        <f>SUMIF('R&amp;D'!$BH$5:$BH$665,"Multisector (Other Health)",'R&amp;D'!D$5:D$665)</f>
        <v>0.1</v>
      </c>
      <c r="D36" s="406">
        <f>SUMIF('R&amp;D'!$BH$5:$BH$665,"Multisector (Other Health)",'R&amp;D'!E$5:E$665)</f>
        <v>0.3</v>
      </c>
      <c r="E36" s="406">
        <f>SUMIF('R&amp;D'!$BH$5:$BH$665,"Multisector (Other Health)",'R&amp;D'!F$5:F$665)</f>
        <v>1.6</v>
      </c>
      <c r="F36" s="406">
        <f>SUMIF('R&amp;D'!$BH$5:$BH$665,"Multisector (Other Health)",'R&amp;D'!G$5:G$665)</f>
        <v>3.2</v>
      </c>
      <c r="G36" s="406">
        <f>SUMIF('R&amp;D'!$BH$5:$BH$665,"Multisector (Other Health)",'R&amp;D'!H$5:H$665)</f>
        <v>3.5</v>
      </c>
      <c r="H36" s="406">
        <f>SUMIF('R&amp;D'!$BH$5:$BH$665,"Multisector (Other Health)",'R&amp;D'!I$5:I$665)</f>
        <v>6.3</v>
      </c>
      <c r="I36" s="406">
        <f>SUMIF('R&amp;D'!$BH$5:$BH$665,"Multisector (Other Health)",'R&amp;D'!J$5:J$665)</f>
        <v>3.4000000000000004</v>
      </c>
      <c r="J36" s="406">
        <f>SUMIF('R&amp;D'!$BH$5:$BH$665,"Multisector (Other Health)",'R&amp;D'!K$5:K$665)</f>
        <v>3.1</v>
      </c>
      <c r="K36" s="406">
        <f>SUMIF('R&amp;D'!$BH$5:$BH$665,"Multisector (Other Health)",'R&amp;D'!L$5:L$665)</f>
        <v>3</v>
      </c>
      <c r="L36" s="406">
        <f>SUMIF('R&amp;D'!$BH$5:$BH$665,"Multisector (Other Health)",'R&amp;D'!M$5:M$665)</f>
        <v>3.5</v>
      </c>
      <c r="M36" s="406">
        <f>SUMIF('R&amp;D'!$BH$5:$BH$665,"Multisector (Other Health)",'R&amp;D'!N$5:N$665)</f>
        <v>5</v>
      </c>
      <c r="N36" s="406">
        <f>SUMIF('R&amp;D'!$BH$5:$BH$665,"Multisector (Other Health)",'R&amp;D'!O$5:O$665)</f>
        <v>12.1</v>
      </c>
      <c r="O36" s="406">
        <f>SUMIF('R&amp;D'!$BH$5:$BH$665,"Multisector (Other Health)",'R&amp;D'!P$5:P$665)</f>
        <v>20.8</v>
      </c>
      <c r="P36" s="406">
        <f>SUMIF('R&amp;D'!$BH$5:$BH$665,"Multisector (Other Health)",'R&amp;D'!Q$5:Q$665)</f>
        <v>20.5</v>
      </c>
      <c r="Q36" s="406">
        <f>SUMIF('R&amp;D'!$BH$5:$BH$665,"Multisector (Other Health)",'R&amp;D'!R$5:R$665)</f>
        <v>21.6</v>
      </c>
      <c r="R36" s="406">
        <f>SUMIF('R&amp;D'!$BH$5:$BH$665,"Multisector (Other Health)",'R&amp;D'!S$5:S$665)</f>
        <v>25.1</v>
      </c>
      <c r="S36" s="406">
        <f>SUMIF('R&amp;D'!$BH$5:$BH$665,"Multisector (Other Health)",'R&amp;D'!T$5:T$665)</f>
        <v>22.613</v>
      </c>
      <c r="T36" s="406">
        <f>SUMIF('R&amp;D'!$BH$5:$BH$665,"Multisector (Other Health)",'R&amp;D'!U$5:U$665)</f>
        <v>14.6</v>
      </c>
      <c r="U36" s="406">
        <f>SUMIF('R&amp;D'!$BH$5:$BH$665,"Multisector (Other Health)",'R&amp;D'!V$5:V$665)</f>
        <v>15.600000000000001</v>
      </c>
      <c r="V36" s="406">
        <f>SUMIF('R&amp;D'!$BH$5:$BH$665,"Multisector (Other Health)",'R&amp;D'!W$5:W$665)</f>
        <v>18.62</v>
      </c>
      <c r="W36" s="406">
        <f>SUMIF('R&amp;D'!$BH$5:$BH$665,"Multisector (Other Health)",'R&amp;D'!X$5:X$665)</f>
        <v>0.82799999999999996</v>
      </c>
      <c r="X36" s="406">
        <f>SUMIF('R&amp;D'!$BH$5:$BH$665,"Multisector (Other Health)",'R&amp;D'!Y$5:Y$665)</f>
        <v>0.82799999999999996</v>
      </c>
      <c r="Y36" s="406">
        <f>SUMIF('R&amp;D'!$BH$5:$BH$665,"Multisector (Other Health)",'R&amp;D'!Z$5:Z$665)</f>
        <v>1.6280000000000001</v>
      </c>
      <c r="Z36" s="406">
        <f>SUMIF('R&amp;D'!$BH$5:$BH$665,"Multisector (Other Health)",'R&amp;D'!AA$5:AA$665)</f>
        <v>1.905</v>
      </c>
      <c r="AA36" s="406">
        <f>SUMIF('R&amp;D'!$BH$5:$BH$665,"Multisector (Other Health)",'R&amp;D'!AB$5:AB$665)</f>
        <v>34.214999999999996</v>
      </c>
      <c r="AB36" s="406">
        <f>SUMIF('R&amp;D'!$BH$5:$BH$665,"Multisector (Other Health)",'R&amp;D'!AC$5:AC$665)</f>
        <v>2.9830000000000001</v>
      </c>
      <c r="AC36" s="406">
        <f>SUMIF('R&amp;D'!$BH$5:$BH$665,"Multisector (Other Health)",'R&amp;D'!AD$5:AD$665)</f>
        <v>250.61100000000002</v>
      </c>
      <c r="AD36" s="406">
        <f>SUMIF('R&amp;D'!$BH$5:$BH$665,"Multisector (Other Health)",'R&amp;D'!AE$5:AE$665)</f>
        <v>493.34899999999993</v>
      </c>
      <c r="AE36" s="406">
        <f>SUMIF('R&amp;D'!$BH$5:$BH$665,"Multisector (Other Health)",'R&amp;D'!AF$5:AF$665)</f>
        <v>61.142000000000003</v>
      </c>
      <c r="AF36" s="406">
        <f>SUMIF('R&amp;D'!$BH$5:$BH$665,"Multisector (Other Health)",'R&amp;D'!AG$5:AG$665)</f>
        <v>116.46899999999998</v>
      </c>
      <c r="AG36" s="406">
        <f>SUMIF('R&amp;D'!$BH$5:$BH$665,"Multisector (Other Health)",'R&amp;D'!AH$5:AH$665)</f>
        <v>91.825000000000003</v>
      </c>
      <c r="AH36" s="406">
        <f>SUMIF('R&amp;D'!$BH$5:$BH$665,"Multisector (Other Health)",'R&amp;D'!AI$5:AI$665)</f>
        <v>157.47000000000006</v>
      </c>
      <c r="AI36" s="406">
        <f>SUMIF('R&amp;D'!$BH$5:$BH$665,"Multisector (Other Health)",'R&amp;D'!AJ$5:AJ$665)</f>
        <v>266.45</v>
      </c>
      <c r="AJ36" s="406">
        <f>SUMIF('R&amp;D'!$BH$5:$BH$665,"Multisector (Other Health)",'R&amp;D'!AK$5:AK$665)</f>
        <v>103.54999999999998</v>
      </c>
      <c r="AK36" s="406">
        <f>SUMIF('R&amp;D'!$BH$5:$BH$665,"Multisector (Other Health)",'R&amp;D'!AL$5:AL$665)</f>
        <v>99.676000000000016</v>
      </c>
      <c r="AL36" s="406">
        <f>SUMIF('R&amp;D'!$BH$5:$BH$665,"Multisector (Other Health)",'R&amp;D'!AM$5:AM$665)</f>
        <v>62.08160239</v>
      </c>
      <c r="AM36" s="406">
        <f>SUMIF('R&amp;D'!$BH$5:$BH$665,"Multisector (Other Health)",'R&amp;D'!AN$5:AN$665)</f>
        <v>48.288600000000002</v>
      </c>
      <c r="AN36" s="406">
        <f>SUMIF('R&amp;D'!$BH$5:$BH$665,"Multisector (Other Health)",'R&amp;D'!AO$5:AO$665)</f>
        <v>121.57735</v>
      </c>
      <c r="AO36" s="406">
        <f>SUMIF('R&amp;D'!$BH$5:$BH$665,"Multisector (Other Health)",'R&amp;D'!AP$5:AP$665)</f>
        <v>128.14531099999999</v>
      </c>
      <c r="AP36" s="406">
        <f>SUMIF('R&amp;D'!$BH$5:$BH$665,"Multisector (Other Health)",'R&amp;D'!AQ$5:AQ$665)</f>
        <v>333.37083400000006</v>
      </c>
      <c r="AQ36" s="406">
        <f>SUMIF('R&amp;D'!$BH$5:$BH$665,"Multisector (Other Health)",'R&amp;D'!AR$5:AR$665)</f>
        <v>487.82800000000003</v>
      </c>
      <c r="AR36" s="406">
        <f>SUMIF('R&amp;D'!$BH$5:$BH$665,"Multisector (Other Health)",'R&amp;D'!AS$5:AS$665)</f>
        <v>728.12686199999985</v>
      </c>
      <c r="AS36" s="406">
        <f>SUMIF('R&amp;D'!$BH$5:$BH$665,"Multisector (Other Health)",'R&amp;D'!AT$5:AT$665)</f>
        <v>768.07499999999982</v>
      </c>
      <c r="AT36" s="406">
        <f>SUMIF('R&amp;D'!$BH$5:$BH$665,"Multisector (Other Health)",'R&amp;D'!AU$5:AU$665)</f>
        <v>784.78999999999985</v>
      </c>
      <c r="AU36" s="406">
        <f>SUMIF('R&amp;D'!$BH$5:$BH$665,"Multisector (Other Health)",'R&amp;D'!AV$5:AV$665)</f>
        <v>737.77199999999982</v>
      </c>
      <c r="AV36" s="547">
        <f>SUMIF('R&amp;D'!$BH$5:$BH$665,"Multisector (Other Health)",'R&amp;D'!AW$5:AW$665)</f>
        <v>725.30200000000002</v>
      </c>
      <c r="AW36" s="552">
        <f>SUMIF('R&amp;D'!$BH$5:$BH$665,"Multisector (Other Health)",'R&amp;D'!AX$5:AX$665)</f>
        <v>705.82799999999997</v>
      </c>
      <c r="AX36" s="409">
        <f t="shared" si="7"/>
        <v>4.6620928928632871E-2</v>
      </c>
      <c r="AZ36" s="1047"/>
    </row>
    <row r="37" spans="1:97" ht="15" customHeight="1">
      <c r="A37" s="75" t="s">
        <v>3745</v>
      </c>
      <c r="B37" s="406">
        <f>SUMIF('R&amp;D'!$BH$5:$BH$665,"Multisector (CRCs)",'R&amp;D'!C$5:C$665)</f>
        <v>0</v>
      </c>
      <c r="C37" s="406">
        <f>SUMIF('R&amp;D'!$BH$5:$BH$665,"Multisector (CRCs)",'R&amp;D'!D$5:D$665)</f>
        <v>0</v>
      </c>
      <c r="D37" s="406">
        <f>SUMIF('R&amp;D'!$BH$5:$BH$665,"Multisector (CRCs)",'R&amp;D'!E$5:E$665)</f>
        <v>0</v>
      </c>
      <c r="E37" s="406">
        <f>SUMIF('R&amp;D'!$BH$5:$BH$665,"Multisector (CRCs)",'R&amp;D'!F$5:F$665)</f>
        <v>0</v>
      </c>
      <c r="F37" s="406">
        <f>SUMIF('R&amp;D'!$BH$5:$BH$665,"Multisector (CRCs)",'R&amp;D'!G$5:G$665)</f>
        <v>0</v>
      </c>
      <c r="G37" s="406">
        <f>SUMIF('R&amp;D'!$BH$5:$BH$665,"Multisector (CRCs)",'R&amp;D'!H$5:H$665)</f>
        <v>0</v>
      </c>
      <c r="H37" s="406">
        <f>SUMIF('R&amp;D'!$BH$5:$BH$665,"Multisector (CRCs)",'R&amp;D'!I$5:I$665)</f>
        <v>0</v>
      </c>
      <c r="I37" s="406">
        <f>SUMIF('R&amp;D'!$BH$5:$BH$665,"Multisector (CRCs)",'R&amp;D'!J$5:J$665)</f>
        <v>0</v>
      </c>
      <c r="J37" s="406">
        <f>SUMIF('R&amp;D'!$BH$5:$BH$665,"Multisector (CRCs)",'R&amp;D'!K$5:K$665)</f>
        <v>0</v>
      </c>
      <c r="K37" s="406">
        <f>SUMIF('R&amp;D'!$BH$5:$BH$665,"Multisector (CRCs)",'R&amp;D'!L$5:L$665)</f>
        <v>0</v>
      </c>
      <c r="L37" s="406">
        <f>SUMIF('R&amp;D'!$BH$5:$BH$665,"Multisector (CRCs)",'R&amp;D'!M$5:M$665)</f>
        <v>0</v>
      </c>
      <c r="M37" s="406">
        <f>SUMIF('R&amp;D'!$BH$5:$BH$665,"Multisector (CRCs)",'R&amp;D'!N$5:N$665)</f>
        <v>0</v>
      </c>
      <c r="N37" s="406">
        <f>SUMIF('R&amp;D'!$BH$5:$BH$665,"Multisector (CRCs)",'R&amp;D'!O$5:O$665)</f>
        <v>0</v>
      </c>
      <c r="O37" s="406">
        <f>SUMIF('R&amp;D'!$BH$5:$BH$665,"Multisector (CRCs)",'R&amp;D'!P$5:P$665)</f>
        <v>18.2</v>
      </c>
      <c r="P37" s="406">
        <f>SUMIF('R&amp;D'!$BH$5:$BH$665,"Multisector (CRCs)",'R&amp;D'!Q$5:Q$665)</f>
        <v>45.3</v>
      </c>
      <c r="Q37" s="406">
        <f>SUMIF('R&amp;D'!$BH$5:$BH$665,"Multisector (CRCs)",'R&amp;D'!R$5:R$665)</f>
        <v>90.6</v>
      </c>
      <c r="R37" s="406">
        <f>SUMIF('R&amp;D'!$BH$5:$BH$665,"Multisector (CRCs)",'R&amp;D'!S$5:S$665)</f>
        <v>103.7</v>
      </c>
      <c r="S37" s="406">
        <f>SUMIF('R&amp;D'!$BH$5:$BH$665,"Multisector (CRCs)",'R&amp;D'!T$5:T$665)</f>
        <v>132.69999999999999</v>
      </c>
      <c r="T37" s="406">
        <f>SUMIF('R&amp;D'!$BH$5:$BH$665,"Multisector (CRCs)",'R&amp;D'!U$5:U$665)</f>
        <v>142.30000000000001</v>
      </c>
      <c r="U37" s="406">
        <f>SUMIF('R&amp;D'!$BH$5:$BH$665,"Multisector (CRCs)",'R&amp;D'!V$5:V$665)</f>
        <v>144.30000000000001</v>
      </c>
      <c r="V37" s="406">
        <f>SUMIF('R&amp;D'!$BH$5:$BH$665,"Multisector (CRCs)",'R&amp;D'!W$5:W$665)</f>
        <v>142.30000000000001</v>
      </c>
      <c r="W37" s="406">
        <f>SUMIF('R&amp;D'!$BH$5:$BH$665,"Multisector (CRCs)",'R&amp;D'!X$5:X$665)</f>
        <v>137.5</v>
      </c>
      <c r="X37" s="406">
        <f>SUMIF('R&amp;D'!$BH$5:$BH$665,"Multisector (CRCs)",'R&amp;D'!Y$5:Y$665)</f>
        <v>139.73699999999999</v>
      </c>
      <c r="Y37" s="406">
        <f>SUMIF('R&amp;D'!$BH$5:$BH$665,"Multisector (CRCs)",'R&amp;D'!Z$5:Z$665)</f>
        <v>145.28800000000001</v>
      </c>
      <c r="Z37" s="406">
        <f>SUMIF('R&amp;D'!$BH$5:$BH$665,"Multisector (CRCs)",'R&amp;D'!AA$5:AA$665)</f>
        <v>148.63399999999999</v>
      </c>
      <c r="AA37" s="406">
        <f>SUMIF('R&amp;D'!$BH$5:$BH$665,"Multisector (CRCs)",'R&amp;D'!AB$5:AB$665)</f>
        <v>201.77600000000001</v>
      </c>
      <c r="AB37" s="406">
        <f>SUMIF('R&amp;D'!$BH$5:$BH$665,"Multisector (CRCs)",'R&amp;D'!AC$5:AC$665)</f>
        <v>194.51499999999999</v>
      </c>
      <c r="AC37" s="406">
        <f>SUMIF('R&amp;D'!$BH$5:$BH$665,"Multisector (CRCs)",'R&amp;D'!AD$5:AD$665)</f>
        <v>208.10900000000001</v>
      </c>
      <c r="AD37" s="406">
        <f>SUMIF('R&amp;D'!$BH$5:$BH$665,"Multisector (CRCs)",'R&amp;D'!AE$5:AE$665)</f>
        <v>189.34299999999999</v>
      </c>
      <c r="AE37" s="406">
        <f>SUMIF('R&amp;D'!$BH$5:$BH$665,"Multisector (CRCs)",'R&amp;D'!AF$5:AF$665)</f>
        <v>211.93799999999999</v>
      </c>
      <c r="AF37" s="406">
        <f>SUMIF('R&amp;D'!$BH$5:$BH$665,"Multisector (CRCs)",'R&amp;D'!AG$5:AG$665)</f>
        <v>182.27599999999998</v>
      </c>
      <c r="AG37" s="406">
        <f>SUMIF('R&amp;D'!$BH$5:$BH$665,"Multisector (CRCs)",'R&amp;D'!AH$5:AH$665)</f>
        <v>178.874</v>
      </c>
      <c r="AH37" s="406">
        <f>SUMIF('R&amp;D'!$BH$5:$BH$665,"Multisector (CRCs)",'R&amp;D'!AI$5:AI$665)</f>
        <v>172.63800000000001</v>
      </c>
      <c r="AI37" s="406">
        <f>SUMIF('R&amp;D'!$BH$5:$BH$665,"Multisector (CRCs)",'R&amp;D'!AJ$5:AJ$665)</f>
        <v>165.47399999999999</v>
      </c>
      <c r="AJ37" s="406">
        <f>SUMIF('R&amp;D'!$BH$5:$BH$665,"Multisector (CRCs)",'R&amp;D'!AK$5:AK$665)</f>
        <v>155.64500000000001</v>
      </c>
      <c r="AK37" s="406">
        <f>SUMIF('R&amp;D'!$BH$5:$BH$665,"Multisector (CRCs)",'R&amp;D'!AL$5:AL$665)</f>
        <v>147.09100000000001</v>
      </c>
      <c r="AL37" s="406">
        <f>SUMIF('R&amp;D'!$BH$5:$BH$665,"Multisector (CRCs)",'R&amp;D'!AM$5:AM$665)</f>
        <v>149.86000000000001</v>
      </c>
      <c r="AM37" s="406">
        <f>SUMIF('R&amp;D'!$BH$5:$BH$665,"Multisector (CRCs)",'R&amp;D'!AN$5:AN$665)</f>
        <v>140.95400000000001</v>
      </c>
      <c r="AN37" s="406">
        <f>SUMIF('R&amp;D'!$BH$5:$BH$665,"Multisector (CRCs)",'R&amp;D'!AO$5:AO$665)</f>
        <v>149.51400000000001</v>
      </c>
      <c r="AO37" s="406">
        <f>SUMIF('R&amp;D'!$BH$5:$BH$665,"Multisector (CRCs)",'R&amp;D'!AP$5:AP$665)</f>
        <v>160.768</v>
      </c>
      <c r="AP37" s="406">
        <f>SUMIF('R&amp;D'!$BH$5:$BH$665,"Multisector (CRCs)",'R&amp;D'!AQ$5:AQ$665)</f>
        <v>167.34100000000001</v>
      </c>
      <c r="AQ37" s="406">
        <f>SUMIF('R&amp;D'!$BH$5:$BH$665,"Multisector (CRCs)",'R&amp;D'!AR$5:AR$665)</f>
        <v>130.81200000000001</v>
      </c>
      <c r="AR37" s="406">
        <f>SUMIF('R&amp;D'!$BH$5:$BH$665,"Multisector (CRCs)",'R&amp;D'!AS$5:AS$665)</f>
        <v>234.16800000000001</v>
      </c>
      <c r="AS37" s="406">
        <f>SUMIF('R&amp;D'!$BH$5:$BH$665,"Multisector (CRCs)",'R&amp;D'!AT$5:AT$665)</f>
        <v>187.34299999999999</v>
      </c>
      <c r="AT37" s="406">
        <f>SUMIF('R&amp;D'!$BH$5:$BH$665,"Multisector (CRCs)",'R&amp;D'!AU$5:AU$665)</f>
        <v>199.64</v>
      </c>
      <c r="AU37" s="406">
        <f>SUMIF('R&amp;D'!$BH$5:$BH$665,"Multisector (CRCs)",'R&amp;D'!AV$5:AV$665)</f>
        <v>202.06100000000004</v>
      </c>
      <c r="AV37" s="547">
        <f>SUMIF('R&amp;D'!$BH$5:$BH$665,"Multisector (CRCs)",'R&amp;D'!AW$5:AW$665)</f>
        <v>211.11500000000001</v>
      </c>
      <c r="AW37" s="552">
        <f>SUMIF('R&amp;D'!$BH$5:$BH$665,"Multisector (CRCs)",'R&amp;D'!AX$5:AX$665)</f>
        <v>207.291</v>
      </c>
      <c r="AX37" s="409">
        <f t="shared" si="7"/>
        <v>1.3691861159581707E-2</v>
      </c>
      <c r="AZ37" s="776"/>
    </row>
    <row r="38" spans="1:97" ht="15" customHeight="1">
      <c r="A38" s="75" t="s">
        <v>3746</v>
      </c>
      <c r="B38" s="406">
        <f>SUMIF('R&amp;D'!$BH$5:$BH$665,"Multisector (Rural RDC)",'R&amp;D'!C$5:C$665)</f>
        <v>16.8</v>
      </c>
      <c r="C38" s="406">
        <f>SUMIF('R&amp;D'!$BH$5:$BH$665,"Multisector (Rural RDC)",'R&amp;D'!D$5:D$665)</f>
        <v>26.7</v>
      </c>
      <c r="D38" s="406">
        <f>SUMIF('R&amp;D'!$BH$5:$BH$665,"Multisector (Rural RDC)",'R&amp;D'!E$5:E$665)</f>
        <v>21</v>
      </c>
      <c r="E38" s="406">
        <f>SUMIF('R&amp;D'!$BH$5:$BH$665,"Multisector (Rural RDC)",'R&amp;D'!F$5:F$665)</f>
        <v>24.4</v>
      </c>
      <c r="F38" s="406">
        <f>SUMIF('R&amp;D'!$BH$5:$BH$665,"Multisector (Rural RDC)",'R&amp;D'!G$5:G$665)</f>
        <v>27.5</v>
      </c>
      <c r="G38" s="406">
        <f>SUMIF('R&amp;D'!$BH$5:$BH$665,"Multisector (Rural RDC)",'R&amp;D'!H$5:H$665)</f>
        <v>34.700000000000003</v>
      </c>
      <c r="H38" s="406">
        <f>SUMIF('R&amp;D'!$BH$5:$BH$665,"Multisector (Rural RDC)",'R&amp;D'!I$5:I$665)</f>
        <v>41.3</v>
      </c>
      <c r="I38" s="406">
        <f>SUMIF('R&amp;D'!$BH$5:$BH$665,"Multisector (Rural RDC)",'R&amp;D'!J$5:J$665)</f>
        <v>47.9</v>
      </c>
      <c r="J38" s="406">
        <f>SUMIF('R&amp;D'!$BH$5:$BH$665,"Multisector (Rural RDC)",'R&amp;D'!K$5:K$665)</f>
        <v>63.9</v>
      </c>
      <c r="K38" s="406">
        <f>SUMIF('R&amp;D'!$BH$5:$BH$665,"Multisector (Rural RDC)",'R&amp;D'!L$5:L$665)</f>
        <v>54.4</v>
      </c>
      <c r="L38" s="406">
        <f>SUMIF('R&amp;D'!$BH$5:$BH$665,"Multisector (Rural RDC)",'R&amp;D'!M$5:M$665)</f>
        <v>73.100000000000009</v>
      </c>
      <c r="M38" s="406">
        <f>SUMIF('R&amp;D'!$BH$5:$BH$665,"Multisector (Rural RDC)",'R&amp;D'!N$5:N$665)</f>
        <v>82.2</v>
      </c>
      <c r="N38" s="406">
        <f>SUMIF('R&amp;D'!$BH$5:$BH$665,"Multisector (Rural RDC)",'R&amp;D'!O$5:O$665)</f>
        <v>82.2</v>
      </c>
      <c r="O38" s="406">
        <f>SUMIF('R&amp;D'!$BH$5:$BH$665,"Multisector (Rural RDC)",'R&amp;D'!P$5:P$665)</f>
        <v>94.500000000000014</v>
      </c>
      <c r="P38" s="406">
        <f>SUMIF('R&amp;D'!$BH$5:$BH$665,"Multisector (Rural RDC)",'R&amp;D'!Q$5:Q$665)</f>
        <v>110.6</v>
      </c>
      <c r="Q38" s="406">
        <f>SUMIF('R&amp;D'!$BH$5:$BH$665,"Multisector (Rural RDC)",'R&amp;D'!R$5:R$665)</f>
        <v>117</v>
      </c>
      <c r="R38" s="406">
        <f>SUMIF('R&amp;D'!$BH$5:$BH$665,"Multisector (Rural RDC)",'R&amp;D'!S$5:S$665)</f>
        <v>130.70000000000002</v>
      </c>
      <c r="S38" s="406">
        <f>SUMIF('R&amp;D'!$BH$5:$BH$665,"Multisector (Rural RDC)",'R&amp;D'!T$5:T$665)</f>
        <v>126.5</v>
      </c>
      <c r="T38" s="406">
        <f>SUMIF('R&amp;D'!$BH$5:$BH$665,"Multisector (Rural RDC)",'R&amp;D'!U$5:U$665)</f>
        <v>126</v>
      </c>
      <c r="U38" s="406">
        <f>SUMIF('R&amp;D'!$BH$5:$BH$665,"Multisector (Rural RDC)",'R&amp;D'!V$5:V$665)</f>
        <v>140.5</v>
      </c>
      <c r="V38" s="406">
        <f>SUMIF('R&amp;D'!$BH$5:$BH$665,"Multisector (Rural RDC)",'R&amp;D'!W$5:W$665)</f>
        <v>150.19999999999999</v>
      </c>
      <c r="W38" s="406">
        <f>SUMIF('R&amp;D'!$BH$5:$BH$665,"Multisector (Rural RDC)",'R&amp;D'!X$5:X$665)</f>
        <v>138.19999999999999</v>
      </c>
      <c r="X38" s="406">
        <f>SUMIF('R&amp;D'!$BH$5:$BH$665,"Multisector (Rural RDC)",'R&amp;D'!Y$5:Y$665)</f>
        <v>141.30000000000001</v>
      </c>
      <c r="Y38" s="406">
        <f>SUMIF('R&amp;D'!$BH$5:$BH$665,"Multisector (Rural RDC)",'R&amp;D'!Z$5:Z$665)</f>
        <v>197.49999999999997</v>
      </c>
      <c r="Z38" s="406">
        <f>SUMIF('R&amp;D'!$BH$5:$BH$665,"Multisector (Rural RDC)",'R&amp;D'!AA$5:AA$665)</f>
        <v>204.32</v>
      </c>
      <c r="AA38" s="406">
        <f>SUMIF('R&amp;D'!$BH$5:$BH$665,"Multisector (Rural RDC)",'R&amp;D'!AB$5:AB$665)</f>
        <v>226.05166700000001</v>
      </c>
      <c r="AB38" s="406">
        <f>SUMIF('R&amp;D'!$BH$5:$BH$665,"Multisector (Rural RDC)",'R&amp;D'!AC$5:AC$665)</f>
        <v>225.43297800000002</v>
      </c>
      <c r="AC38" s="406">
        <f>SUMIF('R&amp;D'!$BH$5:$BH$665,"Multisector (Rural RDC)",'R&amp;D'!AD$5:AD$665)</f>
        <v>233.85900000000001</v>
      </c>
      <c r="AD38" s="406">
        <f>SUMIF('R&amp;D'!$BH$5:$BH$665,"Multisector (Rural RDC)",'R&amp;D'!AE$5:AE$665)</f>
        <v>238.298</v>
      </c>
      <c r="AE38" s="406">
        <f>SUMIF('R&amp;D'!$BH$5:$BH$665,"Multisector (Rural RDC)",'R&amp;D'!AF$5:AF$665)</f>
        <v>241.19700000000003</v>
      </c>
      <c r="AF38" s="406">
        <f>SUMIF('R&amp;D'!$BH$5:$BH$665,"Multisector (Rural RDC)",'R&amp;D'!AG$5:AG$665)</f>
        <v>242.38200000000001</v>
      </c>
      <c r="AG38" s="406">
        <f>SUMIF('R&amp;D'!$BH$5:$BH$665,"Multisector (Rural RDC)",'R&amp;D'!AH$5:AH$665)</f>
        <v>221.536</v>
      </c>
      <c r="AH38" s="406">
        <f>SUMIF('R&amp;D'!$BH$5:$BH$665,"Multisector (Rural RDC)",'R&amp;D'!AI$5:AI$665)</f>
        <v>211.13800000000001</v>
      </c>
      <c r="AI38" s="406">
        <f>SUMIF('R&amp;D'!$BH$5:$BH$665,"Multisector (Rural RDC)",'R&amp;D'!AJ$5:AJ$665)</f>
        <v>240.79499999999999</v>
      </c>
      <c r="AJ38" s="406">
        <f>SUMIF('R&amp;D'!$BH$5:$BH$665,"Multisector (Rural RDC)",'R&amp;D'!AK$5:AK$665)</f>
        <v>235.06299999999999</v>
      </c>
      <c r="AK38" s="406">
        <f>SUMIF('R&amp;D'!$BH$5:$BH$665,"Multisector (Rural RDC)",'R&amp;D'!AL$5:AL$665)</f>
        <v>255.94000000000003</v>
      </c>
      <c r="AL38" s="406">
        <f>SUMIF('R&amp;D'!$BH$5:$BH$665,"Multisector (Rural RDC)",'R&amp;D'!AM$5:AM$665)</f>
        <v>252.7217881</v>
      </c>
      <c r="AM38" s="406">
        <f>SUMIF('R&amp;D'!$BH$5:$BH$665,"Multisector (Rural RDC)",'R&amp;D'!AN$5:AN$665)</f>
        <v>264.17200000000003</v>
      </c>
      <c r="AN38" s="406">
        <f>SUMIF('R&amp;D'!$BH$5:$BH$665,"Multisector (Rural RDC)",'R&amp;D'!AO$5:AO$665)</f>
        <v>275.09199999999998</v>
      </c>
      <c r="AO38" s="406">
        <f>SUMIF('R&amp;D'!$BH$5:$BH$665,"Multisector (Rural RDC)",'R&amp;D'!AP$5:AP$665)</f>
        <v>317.53800000000001</v>
      </c>
      <c r="AP38" s="406">
        <f>SUMIF('R&amp;D'!$BH$5:$BH$665,"Multisector (Rural RDC)",'R&amp;D'!AQ$5:AQ$665)</f>
        <v>301.73499999999996</v>
      </c>
      <c r="AQ38" s="406">
        <f>SUMIF('R&amp;D'!$BH$5:$BH$665,"Multisector (Rural RDC)",'R&amp;D'!AR$5:AR$665)</f>
        <v>353.55500000000001</v>
      </c>
      <c r="AR38" s="406">
        <f>SUMIF('R&amp;D'!$BH$5:$BH$665,"Multisector (Rural RDC)",'R&amp;D'!AS$5:AS$665)</f>
        <v>309.81600000000003</v>
      </c>
      <c r="AS38" s="406">
        <f>SUMIF('R&amp;D'!$BH$5:$BH$665,"Multisector (Rural RDC)",'R&amp;D'!AT$5:AT$665)</f>
        <v>372.55</v>
      </c>
      <c r="AT38" s="406">
        <f>SUMIF('R&amp;D'!$BH$5:$BH$665,"Multisector (Rural RDC)",'R&amp;D'!AU$5:AU$665)</f>
        <v>390.80100000000004</v>
      </c>
      <c r="AU38" s="406">
        <f>SUMIF('R&amp;D'!$BH$5:$BH$665,"Multisector (Rural RDC)",'R&amp;D'!AV$5:AV$665)</f>
        <v>473.14600000000002</v>
      </c>
      <c r="AV38" s="547">
        <f>SUMIF('R&amp;D'!$BH$5:$BH$665,"Multisector (Rural RDC)",'R&amp;D'!AW$5:AW$665)</f>
        <v>456.94600000000008</v>
      </c>
      <c r="AW38" s="552">
        <f>SUMIF('R&amp;D'!$BH$5:$BH$665,"Multisector (Rural RDC)",'R&amp;D'!AX$5:AX$665)</f>
        <v>453.21100000000001</v>
      </c>
      <c r="AX38" s="409">
        <f t="shared" si="7"/>
        <v>2.9935221924710601E-2</v>
      </c>
    </row>
    <row r="39" spans="1:97" ht="15" customHeight="1">
      <c r="A39" s="75" t="s">
        <v>3747</v>
      </c>
      <c r="B39" s="406">
        <f>SUMIF('R&amp;D'!$BH$5:$BH$665,"Multisector (Other Rural R&amp;D)",'R&amp;D'!C$5:C$665)</f>
        <v>0.1</v>
      </c>
      <c r="C39" s="406">
        <f>SUMIF('R&amp;D'!$BH$5:$BH$665,"Multisector (Other Rural R&amp;D)",'R&amp;D'!D$5:D$665)</f>
        <v>0.1</v>
      </c>
      <c r="D39" s="406">
        <f>SUMIF('R&amp;D'!$BH$5:$BH$665,"Multisector (Other Rural R&amp;D)",'R&amp;D'!E$5:E$665)</f>
        <v>0.2</v>
      </c>
      <c r="E39" s="406">
        <f>SUMIF('R&amp;D'!$BH$5:$BH$665,"Multisector (Other Rural R&amp;D)",'R&amp;D'!F$5:F$665)</f>
        <v>0.2</v>
      </c>
      <c r="F39" s="406">
        <f>SUMIF('R&amp;D'!$BH$5:$BH$665,"Multisector (Other Rural R&amp;D)",'R&amp;D'!G$5:G$665)</f>
        <v>0</v>
      </c>
      <c r="G39" s="406">
        <f>SUMIF('R&amp;D'!$BH$5:$BH$665,"Multisector (Other Rural R&amp;D)",'R&amp;D'!H$5:H$665)</f>
        <v>0</v>
      </c>
      <c r="H39" s="406">
        <f>SUMIF('R&amp;D'!$BH$5:$BH$665,"Multisector (Other Rural R&amp;D)",'R&amp;D'!I$5:I$665)</f>
        <v>0</v>
      </c>
      <c r="I39" s="406">
        <f>SUMIF('R&amp;D'!$BH$5:$BH$665,"Multisector (Other Rural R&amp;D)",'R&amp;D'!J$5:J$665)</f>
        <v>0</v>
      </c>
      <c r="J39" s="406">
        <f>SUMIF('R&amp;D'!$BH$5:$BH$665,"Multisector (Other Rural R&amp;D)",'R&amp;D'!K$5:K$665)</f>
        <v>0</v>
      </c>
      <c r="K39" s="406">
        <f>SUMIF('R&amp;D'!$BH$5:$BH$665,"Multisector (Other Rural R&amp;D)",'R&amp;D'!L$5:L$665)</f>
        <v>0</v>
      </c>
      <c r="L39" s="406">
        <f>SUMIF('R&amp;D'!$BH$5:$BH$665,"Multisector (Other Rural R&amp;D)",'R&amp;D'!M$5:M$665)</f>
        <v>0</v>
      </c>
      <c r="M39" s="406">
        <f>SUMIF('R&amp;D'!$BH$5:$BH$665,"Multisector (Other Rural R&amp;D)",'R&amp;D'!N$5:N$665)</f>
        <v>0</v>
      </c>
      <c r="N39" s="406">
        <f>SUMIF('R&amp;D'!$BH$5:$BH$665,"Multisector (Other Rural R&amp;D)",'R&amp;D'!O$5:O$665)</f>
        <v>0</v>
      </c>
      <c r="O39" s="406">
        <f>SUMIF('R&amp;D'!$BH$5:$BH$665,"Multisector (Other Rural R&amp;D)",'R&amp;D'!P$5:P$665)</f>
        <v>0</v>
      </c>
      <c r="P39" s="406">
        <f>SUMIF('R&amp;D'!$BH$5:$BH$665,"Multisector (Other Rural R&amp;D)",'R&amp;D'!Q$5:Q$665)</f>
        <v>0</v>
      </c>
      <c r="Q39" s="406">
        <f>SUMIF('R&amp;D'!$BH$5:$BH$665,"Multisector (Other Rural R&amp;D)",'R&amp;D'!R$5:R$665)</f>
        <v>0</v>
      </c>
      <c r="R39" s="406">
        <f>SUMIF('R&amp;D'!$BH$5:$BH$665,"Multisector (Other Rural R&amp;D)",'R&amp;D'!S$5:S$665)</f>
        <v>0</v>
      </c>
      <c r="S39" s="406">
        <f>SUMIF('R&amp;D'!$BH$5:$BH$665,"Multisector (Other Rural R&amp;D)",'R&amp;D'!T$5:T$665)</f>
        <v>0</v>
      </c>
      <c r="T39" s="406">
        <f>SUMIF('R&amp;D'!$BH$5:$BH$665,"Multisector (Other Rural R&amp;D)",'R&amp;D'!U$5:U$665)</f>
        <v>0</v>
      </c>
      <c r="U39" s="406">
        <f>SUMIF('R&amp;D'!$BH$5:$BH$665,"Multisector (Other Rural R&amp;D)",'R&amp;D'!V$5:V$665)</f>
        <v>0</v>
      </c>
      <c r="V39" s="406">
        <f>SUMIF('R&amp;D'!$BH$5:$BH$665,"Multisector (Other Rural R&amp;D)",'R&amp;D'!W$5:W$665)</f>
        <v>0</v>
      </c>
      <c r="W39" s="406">
        <f>SUMIF('R&amp;D'!$BH$5:$BH$665,"Multisector (Other Rural R&amp;D)",'R&amp;D'!X$5:X$665)</f>
        <v>0</v>
      </c>
      <c r="X39" s="406">
        <f>SUMIF('R&amp;D'!$BH$5:$BH$665,"Multisector (Other Rural R&amp;D)",'R&amp;D'!Y$5:Y$665)</f>
        <v>0</v>
      </c>
      <c r="Y39" s="406">
        <f>SUMIF('R&amp;D'!$BH$5:$BH$665,"Multisector (Other Rural R&amp;D)",'R&amp;D'!Z$5:Z$665)</f>
        <v>0</v>
      </c>
      <c r="Z39" s="406">
        <f>SUMIF('R&amp;D'!$BH$5:$BH$665,"Multisector (Other Rural R&amp;D)",'R&amp;D'!AA$5:AA$665)</f>
        <v>0.19125217999999999</v>
      </c>
      <c r="AA39" s="406">
        <f>SUMIF('R&amp;D'!$BH$5:$BH$665,"Multisector (Other Rural R&amp;D)",'R&amp;D'!AB$5:AB$665)</f>
        <v>0.23750504</v>
      </c>
      <c r="AB39" s="406">
        <f>SUMIF('R&amp;D'!$BH$5:$BH$665,"Multisector (Other Rural R&amp;D)",'R&amp;D'!AC$5:AC$665)</f>
        <v>4.0659999999999998</v>
      </c>
      <c r="AC39" s="406">
        <f>SUMIF('R&amp;D'!$BH$5:$BH$665,"Multisector (Other Rural R&amp;D)",'R&amp;D'!AD$5:AD$665)</f>
        <v>3.2479999999999998</v>
      </c>
      <c r="AD39" s="406">
        <f>SUMIF('R&amp;D'!$BH$5:$BH$665,"Multisector (Other Rural R&amp;D)",'R&amp;D'!AE$5:AE$665)</f>
        <v>3.2920000000000003</v>
      </c>
      <c r="AE39" s="406">
        <f>SUMIF('R&amp;D'!$BH$5:$BH$665,"Multisector (Other Rural R&amp;D)",'R&amp;D'!AF$5:AF$665)</f>
        <v>3.3089999999999997</v>
      </c>
      <c r="AF39" s="406">
        <f>SUMIF('R&amp;D'!$BH$5:$BH$665,"Multisector (Other Rural R&amp;D)",'R&amp;D'!AG$5:AG$665)</f>
        <v>3.2759999999999998</v>
      </c>
      <c r="AG39" s="406">
        <f>SUMIF('R&amp;D'!$BH$5:$BH$665,"Multisector (Other Rural R&amp;D)",'R&amp;D'!AH$5:AH$665)</f>
        <v>14.992000000000001</v>
      </c>
      <c r="AH39" s="406">
        <f>SUMIF('R&amp;D'!$BH$5:$BH$665,"Multisector (Other Rural R&amp;D)",'R&amp;D'!AI$5:AI$665)</f>
        <v>12.292999999999999</v>
      </c>
      <c r="AI39" s="406">
        <f>SUMIF('R&amp;D'!$BH$5:$BH$665,"Multisector (Other Rural R&amp;D)",'R&amp;D'!AJ$5:AJ$665)</f>
        <v>12.123999999999999</v>
      </c>
      <c r="AJ39" s="406">
        <f>SUMIF('R&amp;D'!$BH$5:$BH$665,"Multisector (Other Rural R&amp;D)",'R&amp;D'!AK$5:AK$665)</f>
        <v>13.712</v>
      </c>
      <c r="AK39" s="406">
        <f>SUMIF('R&amp;D'!$BH$5:$BH$665,"Multisector (Other Rural R&amp;D)",'R&amp;D'!AL$5:AL$665)</f>
        <v>21.515000000000004</v>
      </c>
      <c r="AL39" s="406">
        <f>SUMIF('R&amp;D'!$BH$5:$BH$665,"Multisector (Other Rural R&amp;D)",'R&amp;D'!AM$5:AM$665)</f>
        <v>39.334765000000004</v>
      </c>
      <c r="AM39" s="406">
        <f>SUMIF('R&amp;D'!$BH$5:$BH$665,"Multisector (Other Rural R&amp;D)",'R&amp;D'!AN$5:AN$665)</f>
        <v>50.838000000000001</v>
      </c>
      <c r="AN39" s="406">
        <f>SUMIF('R&amp;D'!$BH$5:$BH$665,"Multisector (Other Rural R&amp;D)",'R&amp;D'!AO$5:AO$665)</f>
        <v>36.401000000000003</v>
      </c>
      <c r="AO39" s="406">
        <f>SUMIF('R&amp;D'!$BH$5:$BH$665,"Multisector (Other Rural R&amp;D)",'R&amp;D'!AP$5:AP$665)</f>
        <v>33.980000000000004</v>
      </c>
      <c r="AP39" s="406">
        <f>SUMIF('R&amp;D'!$BH$5:$BH$665,"Multisector (Other Rural R&amp;D)",'R&amp;D'!AQ$5:AQ$665)</f>
        <v>76.757000000000005</v>
      </c>
      <c r="AQ39" s="406">
        <f>SUMIF('R&amp;D'!$BH$5:$BH$665,"Multisector (Other Rural R&amp;D)",'R&amp;D'!AR$5:AR$665)</f>
        <v>31.926000000000002</v>
      </c>
      <c r="AR39" s="406">
        <f>SUMIF('R&amp;D'!$BH$5:$BH$665,"Multisector (Other Rural R&amp;D)",'R&amp;D'!AS$5:AS$665)</f>
        <v>39.445999999999998</v>
      </c>
      <c r="AS39" s="406">
        <f>SUMIF('R&amp;D'!$BH$5:$BH$665,"Multisector (Other Rural R&amp;D)",'R&amp;D'!AT$5:AT$665)</f>
        <v>57.853000000000002</v>
      </c>
      <c r="AT39" s="406">
        <f>SUMIF('R&amp;D'!$BH$5:$BH$665,"Multisector (Other Rural R&amp;D)",'R&amp;D'!AU$5:AU$665)</f>
        <v>70.310999999999993</v>
      </c>
      <c r="AU39" s="406">
        <f>SUMIF('R&amp;D'!$BH$5:$BH$665,"Multisector (Other Rural R&amp;D)",'R&amp;D'!AV$5:AV$665)</f>
        <v>38.137</v>
      </c>
      <c r="AV39" s="547">
        <f>SUMIF('R&amp;D'!$BH$5:$BH$665,"Multisector (Other Rural R&amp;D)",'R&amp;D'!AW$5:AW$665)</f>
        <v>64.044000000000011</v>
      </c>
      <c r="AW39" s="552">
        <f>SUMIF('R&amp;D'!$BH$5:$BH$665,"Multisector (Other Rural R&amp;D)",'R&amp;D'!AX$5:AX$665)</f>
        <v>65.497</v>
      </c>
      <c r="AX39" s="409">
        <f t="shared" si="7"/>
        <v>4.3261686728759234E-3</v>
      </c>
    </row>
    <row r="40" spans="1:97" ht="15" customHeight="1">
      <c r="A40" s="75" t="s">
        <v>3748</v>
      </c>
      <c r="B40" s="406">
        <f>SUMIF('R&amp;D'!$BH$5:$BH$665,"Multisector (Energy &amp; Env.)",'R&amp;D'!C$5:C$665)</f>
        <v>4.2</v>
      </c>
      <c r="C40" s="406">
        <f>SUMIF('R&amp;D'!$BH$5:$BH$665,"Multisector (Energy &amp; Env.)",'R&amp;D'!D$5:D$665)</f>
        <v>5.5</v>
      </c>
      <c r="D40" s="406">
        <f>SUMIF('R&amp;D'!$BH$5:$BH$665,"Multisector (Energy &amp; Env.)",'R&amp;D'!E$5:E$665)</f>
        <v>7.6</v>
      </c>
      <c r="E40" s="406">
        <f>SUMIF('R&amp;D'!$BH$5:$BH$665,"Multisector (Energy &amp; Env.)",'R&amp;D'!F$5:F$665)</f>
        <v>11.5</v>
      </c>
      <c r="F40" s="406">
        <f>SUMIF('R&amp;D'!$BH$5:$BH$665,"Multisector (Energy &amp; Env.)",'R&amp;D'!G$5:G$665)</f>
        <v>15</v>
      </c>
      <c r="G40" s="406">
        <f>SUMIF('R&amp;D'!$BH$5:$BH$665,"Multisector (Energy &amp; Env.)",'R&amp;D'!H$5:H$665)</f>
        <v>17.5</v>
      </c>
      <c r="H40" s="406">
        <f>SUMIF('R&amp;D'!$BH$5:$BH$665,"Multisector (Energy &amp; Env.)",'R&amp;D'!I$5:I$665)</f>
        <v>16.7</v>
      </c>
      <c r="I40" s="406">
        <f>SUMIF('R&amp;D'!$BH$5:$BH$665,"Multisector (Energy &amp; Env.)",'R&amp;D'!J$5:J$665)</f>
        <v>14.399999999999999</v>
      </c>
      <c r="J40" s="406">
        <f>SUMIF('R&amp;D'!$BH$5:$BH$665,"Multisector (Energy &amp; Env.)",'R&amp;D'!K$5:K$665)</f>
        <v>14.3</v>
      </c>
      <c r="K40" s="406">
        <f>SUMIF('R&amp;D'!$BH$5:$BH$665,"Multisector (Energy &amp; Env.)",'R&amp;D'!L$5:L$665)</f>
        <v>11.299999999999999</v>
      </c>
      <c r="L40" s="406">
        <f>SUMIF('R&amp;D'!$BH$5:$BH$665,"Multisector (Energy &amp; Env.)",'R&amp;D'!M$5:M$665)</f>
        <v>11.7</v>
      </c>
      <c r="M40" s="406">
        <f>SUMIF('R&amp;D'!$BH$5:$BH$665,"Multisector (Energy &amp; Env.)",'R&amp;D'!N$5:N$665)</f>
        <v>18.5</v>
      </c>
      <c r="N40" s="406">
        <f>SUMIF('R&amp;D'!$BH$5:$BH$665,"Multisector (Energy &amp; Env.)",'R&amp;D'!O$5:O$665)</f>
        <v>22.8</v>
      </c>
      <c r="O40" s="406">
        <f>SUMIF('R&amp;D'!$BH$5:$BH$665,"Multisector (Energy &amp; Env.)",'R&amp;D'!P$5:P$665)</f>
        <v>19.899999999999999</v>
      </c>
      <c r="P40" s="406">
        <f>SUMIF('R&amp;D'!$BH$5:$BH$665,"Multisector (Energy &amp; Env.)",'R&amp;D'!Q$5:Q$665)</f>
        <v>19.899999999999999</v>
      </c>
      <c r="Q40" s="406">
        <f>SUMIF('R&amp;D'!$BH$5:$BH$665,"Multisector (Energy &amp; Env.)",'R&amp;D'!R$5:R$665)</f>
        <v>19.100000000000001</v>
      </c>
      <c r="R40" s="406">
        <f>SUMIF('R&amp;D'!$BH$5:$BH$665,"Multisector (Energy &amp; Env.)",'R&amp;D'!S$5:S$665)</f>
        <v>19.100000000000001</v>
      </c>
      <c r="S40" s="406">
        <f>SUMIF('R&amp;D'!$BH$5:$BH$665,"Multisector (Energy &amp; Env.)",'R&amp;D'!T$5:T$665)</f>
        <v>19.600000000000001</v>
      </c>
      <c r="T40" s="406">
        <f>SUMIF('R&amp;D'!$BH$5:$BH$665,"Multisector (Energy &amp; Env.)",'R&amp;D'!U$5:U$665)</f>
        <v>11.399999999999999</v>
      </c>
      <c r="U40" s="406">
        <f>SUMIF('R&amp;D'!$BH$5:$BH$665,"Multisector (Energy &amp; Env.)",'R&amp;D'!V$5:V$665)</f>
        <v>25.200000000000003</v>
      </c>
      <c r="V40" s="406">
        <f>SUMIF('R&amp;D'!$BH$5:$BH$665,"Multisector (Energy &amp; Env.)",'R&amp;D'!W$5:W$665)</f>
        <v>8</v>
      </c>
      <c r="W40" s="406">
        <f>SUMIF('R&amp;D'!$BH$5:$BH$665,"Multisector (Energy &amp; Env.)",'R&amp;D'!X$5:X$665)</f>
        <v>8.6999999999999993</v>
      </c>
      <c r="X40" s="406">
        <f>SUMIF('R&amp;D'!$BH$5:$BH$665,"Multisector (Energy &amp; Env.)",'R&amp;D'!Y$5:Y$665)</f>
        <v>15.399999999999999</v>
      </c>
      <c r="Y40" s="406">
        <f>SUMIF('R&amp;D'!$BH$5:$BH$665,"Multisector (Energy &amp; Env.)",'R&amp;D'!Z$5:Z$665)</f>
        <v>28.799999999999997</v>
      </c>
      <c r="Z40" s="406">
        <f>SUMIF('R&amp;D'!$BH$5:$BH$665,"Multisector (Energy &amp; Env.)",'R&amp;D'!AA$5:AA$665)</f>
        <v>29.899999999999995</v>
      </c>
      <c r="AA40" s="406">
        <f>SUMIF('R&amp;D'!$BH$5:$BH$665,"Multisector (Energy &amp; Env.)",'R&amp;D'!AB$5:AB$665)</f>
        <v>58.699999999999996</v>
      </c>
      <c r="AB40" s="406">
        <f>SUMIF('R&amp;D'!$BH$5:$BH$665,"Multisector (Energy &amp; Env.)",'R&amp;D'!AC$5:AC$665)</f>
        <v>41.599999999999987</v>
      </c>
      <c r="AC40" s="406">
        <f>SUMIF('R&amp;D'!$BH$5:$BH$665,"Multisector (Energy &amp; Env.)",'R&amp;D'!AD$5:AD$665)</f>
        <v>47.085000000000008</v>
      </c>
      <c r="AD40" s="406">
        <f>SUMIF('R&amp;D'!$BH$5:$BH$665,"Multisector (Energy &amp; Env.)",'R&amp;D'!AE$5:AE$665)</f>
        <v>73.988</v>
      </c>
      <c r="AE40" s="406">
        <f>SUMIF('R&amp;D'!$BH$5:$BH$665,"Multisector (Energy &amp; Env.)",'R&amp;D'!AF$5:AF$665)</f>
        <v>83.361500000000021</v>
      </c>
      <c r="AF40" s="406">
        <f>SUMIF('R&amp;D'!$BH$5:$BH$665,"Multisector (Energy &amp; Env.)",'R&amp;D'!AG$5:AG$665)</f>
        <v>113.40900000000001</v>
      </c>
      <c r="AG40" s="406">
        <f>SUMIF('R&amp;D'!$BH$5:$BH$665,"Multisector (Energy &amp; Env.)",'R&amp;D'!AH$5:AH$665)</f>
        <v>324.68599999999998</v>
      </c>
      <c r="AH40" s="406">
        <f>SUMIF('R&amp;D'!$BH$5:$BH$665,"Multisector (Energy &amp; Env.)",'R&amp;D'!AI$5:AI$665)</f>
        <v>259.024</v>
      </c>
      <c r="AI40" s="406">
        <f>SUMIF('R&amp;D'!$BH$5:$BH$665,"Multisector (Energy &amp; Env.)",'R&amp;D'!AJ$5:AJ$665)</f>
        <v>214.45699999999999</v>
      </c>
      <c r="AJ40" s="406">
        <f>SUMIF('R&amp;D'!$BH$5:$BH$665,"Multisector (Energy &amp; Env.)",'R&amp;D'!AK$5:AK$665)</f>
        <v>226.001</v>
      </c>
      <c r="AK40" s="406">
        <f>SUMIF('R&amp;D'!$BH$5:$BH$665,"Multisector (Energy &amp; Env.)",'R&amp;D'!AL$5:AL$665)</f>
        <v>464.64599999999996</v>
      </c>
      <c r="AL40" s="406">
        <f>SUMIF('R&amp;D'!$BH$5:$BH$665,"Multisector (Energy &amp; Env.)",'R&amp;D'!AM$5:AM$665)</f>
        <v>461.18900000000008</v>
      </c>
      <c r="AM40" s="406">
        <f>SUMIF('R&amp;D'!$BH$5:$BH$665,"Multisector (Energy &amp; Env.)",'R&amp;D'!AN$5:AN$665)</f>
        <v>262.88199999999995</v>
      </c>
      <c r="AN40" s="406">
        <f>SUMIF('R&amp;D'!$BH$5:$BH$665,"Multisector (Energy &amp; Env.)",'R&amp;D'!AO$5:AO$665)</f>
        <v>308.23</v>
      </c>
      <c r="AO40" s="406">
        <f>SUMIF('R&amp;D'!$BH$5:$BH$665,"Multisector (Energy &amp; Env.)",'R&amp;D'!AP$5:AP$665)</f>
        <v>455.6869999999999</v>
      </c>
      <c r="AP40" s="406">
        <f>SUMIF('R&amp;D'!$BH$5:$BH$665,"Multisector (Energy &amp; Env.)",'R&amp;D'!AQ$5:AQ$665)</f>
        <v>281.11</v>
      </c>
      <c r="AQ40" s="406">
        <f>SUMIF('R&amp;D'!$BH$5:$BH$665,"Multisector (Energy &amp; Env.)",'R&amp;D'!AR$5:AR$665)</f>
        <v>302.72899999999993</v>
      </c>
      <c r="AR40" s="406">
        <f>SUMIF('R&amp;D'!$BH$5:$BH$665,"Multisector (Energy &amp; Env.)",'R&amp;D'!AS$5:AS$665)</f>
        <v>313.7399999999999</v>
      </c>
      <c r="AS40" s="406">
        <f>SUMIF('R&amp;D'!$BH$5:$BH$665,"Multisector (Energy &amp; Env.)",'R&amp;D'!AT$5:AT$665)</f>
        <v>535.21999999999991</v>
      </c>
      <c r="AT40" s="406">
        <f>SUMIF('R&amp;D'!$BH$5:$BH$665,"Multisector (Energy &amp; Env.)",'R&amp;D'!AU$5:AU$665)</f>
        <v>414.70699999999999</v>
      </c>
      <c r="AU40" s="406">
        <f>SUMIF('R&amp;D'!$BH$5:$BH$665,"Multisector (Energy &amp; Env.)",'R&amp;D'!AV$5:AV$665)</f>
        <v>398.27600000000001</v>
      </c>
      <c r="AV40" s="547">
        <f>SUMIF('R&amp;D'!$BH$5:$BH$665,"Multisector (Energy &amp; Env.)",'R&amp;D'!AW$5:AW$665)</f>
        <v>583.13600000000019</v>
      </c>
      <c r="AW40" s="552">
        <f>SUMIF('R&amp;D'!$BH$5:$BH$665,"Multisector (Energy &amp; Env.)",'R&amp;D'!AX$5:AX$665)</f>
        <v>826.85799999999995</v>
      </c>
      <c r="AX40" s="409">
        <f t="shared" si="7"/>
        <v>5.4615130105452769E-2</v>
      </c>
    </row>
    <row r="41" spans="1:97" ht="15" customHeight="1">
      <c r="A41" s="75" t="s">
        <v>3749</v>
      </c>
      <c r="B41" s="406">
        <f>SUMIF('R&amp;D'!$BH$5:$BH$665,"Multisector (Other R&amp;D)",'R&amp;D'!C$5:C$665)</f>
        <v>6.7</v>
      </c>
      <c r="C41" s="406">
        <f>SUMIF('R&amp;D'!$BH$5:$BH$665,"Multisector (Other R&amp;D)",'R&amp;D'!D$5:D$665)</f>
        <v>7.2</v>
      </c>
      <c r="D41" s="406">
        <f>SUMIF('R&amp;D'!$BH$5:$BH$665,"Multisector (Other R&amp;D)",'R&amp;D'!E$5:E$665)</f>
        <v>6.6</v>
      </c>
      <c r="E41" s="406">
        <f>SUMIF('R&amp;D'!$BH$5:$BH$665,"Multisector (Other R&amp;D)",'R&amp;D'!F$5:F$665)</f>
        <v>2.7</v>
      </c>
      <c r="F41" s="406">
        <f>SUMIF('R&amp;D'!$BH$5:$BH$665,"Multisector (Other R&amp;D)",'R&amp;D'!G$5:G$665)</f>
        <v>2.5</v>
      </c>
      <c r="G41" s="406">
        <f>SUMIF('R&amp;D'!$BH$5:$BH$665,"Multisector (Other R&amp;D)",'R&amp;D'!H$5:H$665)</f>
        <v>3.4</v>
      </c>
      <c r="H41" s="406">
        <f>SUMIF('R&amp;D'!$BH$5:$BH$665,"Multisector (Other R&amp;D)",'R&amp;D'!I$5:I$665)</f>
        <v>2.5</v>
      </c>
      <c r="I41" s="406">
        <f>SUMIF('R&amp;D'!$BH$5:$BH$665,"Multisector (Other R&amp;D)",'R&amp;D'!J$5:J$665)</f>
        <v>2.9</v>
      </c>
      <c r="J41" s="406">
        <f>SUMIF('R&amp;D'!$BH$5:$BH$665,"Multisector (Other R&amp;D)",'R&amp;D'!K$5:K$665)</f>
        <v>2.4</v>
      </c>
      <c r="K41" s="406">
        <f>SUMIF('R&amp;D'!$BH$5:$BH$665,"Multisector (Other R&amp;D)",'R&amp;D'!L$5:L$665)</f>
        <v>2.8</v>
      </c>
      <c r="L41" s="406">
        <f>SUMIF('R&amp;D'!$BH$5:$BH$665,"Multisector (Other R&amp;D)",'R&amp;D'!M$5:M$665)</f>
        <v>4.2</v>
      </c>
      <c r="M41" s="406">
        <f>SUMIF('R&amp;D'!$BH$5:$BH$665,"Multisector (Other R&amp;D)",'R&amp;D'!N$5:N$665)</f>
        <v>6.8999999999999995</v>
      </c>
      <c r="N41" s="406">
        <f>SUMIF('R&amp;D'!$BH$5:$BH$665,"Multisector (Other R&amp;D)",'R&amp;D'!O$5:O$665)</f>
        <v>9.5</v>
      </c>
      <c r="O41" s="406">
        <f>SUMIF('R&amp;D'!$BH$5:$BH$665,"Multisector (Other R&amp;D)",'R&amp;D'!P$5:P$665)</f>
        <v>16.7</v>
      </c>
      <c r="P41" s="406">
        <f>SUMIF('R&amp;D'!$BH$5:$BH$665,"Multisector (Other R&amp;D)",'R&amp;D'!Q$5:Q$665)</f>
        <v>7.5</v>
      </c>
      <c r="Q41" s="406">
        <f>SUMIF('R&amp;D'!$BH$5:$BH$665,"Multisector (Other R&amp;D)",'R&amp;D'!R$5:R$665)</f>
        <v>7.6000000000000005</v>
      </c>
      <c r="R41" s="406">
        <f>SUMIF('R&amp;D'!$BH$5:$BH$665,"Multisector (Other R&amp;D)",'R&amp;D'!S$5:S$665)</f>
        <v>7.7</v>
      </c>
      <c r="S41" s="406">
        <f>SUMIF('R&amp;D'!$BH$5:$BH$665,"Multisector (Other R&amp;D)",'R&amp;D'!T$5:T$665)</f>
        <v>14.3</v>
      </c>
      <c r="T41" s="406">
        <f>SUMIF('R&amp;D'!$BH$5:$BH$665,"Multisector (Other R&amp;D)",'R&amp;D'!U$5:U$665)</f>
        <v>24.700000000000003</v>
      </c>
      <c r="U41" s="406">
        <f>SUMIF('R&amp;D'!$BH$5:$BH$665,"Multisector (Other R&amp;D)",'R&amp;D'!V$5:V$665)</f>
        <v>28.7</v>
      </c>
      <c r="V41" s="406">
        <f>SUMIF('R&amp;D'!$BH$5:$BH$665,"Multisector (Other R&amp;D)",'R&amp;D'!W$5:W$665)</f>
        <v>12.1</v>
      </c>
      <c r="W41" s="406">
        <f>SUMIF('R&amp;D'!$BH$5:$BH$665,"Multisector (Other R&amp;D)",'R&amp;D'!X$5:X$665)</f>
        <v>7</v>
      </c>
      <c r="X41" s="406">
        <f>SUMIF('R&amp;D'!$BH$5:$BH$665,"Multisector (Other R&amp;D)",'R&amp;D'!Y$5:Y$665)</f>
        <v>6.7</v>
      </c>
      <c r="Y41" s="406">
        <f>SUMIF('R&amp;D'!$BH$5:$BH$665,"Multisector (Other R&amp;D)",'R&amp;D'!Z$5:Z$665)</f>
        <v>10.4</v>
      </c>
      <c r="Z41" s="406">
        <f>SUMIF('R&amp;D'!$BH$5:$BH$665,"Multisector (Other R&amp;D)",'R&amp;D'!AA$5:AA$665)</f>
        <v>44.774999999999991</v>
      </c>
      <c r="AA41" s="406">
        <f>SUMIF('R&amp;D'!$BH$5:$BH$665,"Multisector (Other R&amp;D)",'R&amp;D'!AB$5:AB$665)</f>
        <v>59.415000000000006</v>
      </c>
      <c r="AB41" s="406">
        <f>SUMIF('R&amp;D'!$BH$5:$BH$665,"Multisector (Other R&amp;D)",'R&amp;D'!AC$5:AC$665)</f>
        <v>71.066000000000003</v>
      </c>
      <c r="AC41" s="406">
        <f>SUMIF('R&amp;D'!$BH$5:$BH$665,"Multisector (Other R&amp;D)",'R&amp;D'!AD$5:AD$665)</f>
        <v>109.77040000000001</v>
      </c>
      <c r="AD41" s="406">
        <f>SUMIF('R&amp;D'!$BH$5:$BH$665,"Multisector (Other R&amp;D)",'R&amp;D'!AE$5:AE$665)</f>
        <v>196.13835999999998</v>
      </c>
      <c r="AE41" s="406">
        <f>SUMIF('R&amp;D'!$BH$5:$BH$665,"Multisector (Other R&amp;D)",'R&amp;D'!AF$5:AF$665)</f>
        <v>219.23926899999998</v>
      </c>
      <c r="AF41" s="406">
        <f>SUMIF('R&amp;D'!$BH$5:$BH$665,"Multisector (Other R&amp;D)",'R&amp;D'!AG$5:AG$665)</f>
        <v>268.28508800000003</v>
      </c>
      <c r="AG41" s="406">
        <f>SUMIF('R&amp;D'!$BH$5:$BH$665,"Multisector (Other R&amp;D)",'R&amp;D'!AH$5:AH$665)</f>
        <v>478.61243899999994</v>
      </c>
      <c r="AH41" s="406">
        <f>SUMIF('R&amp;D'!$BH$5:$BH$665,"Multisector (Other R&amp;D)",'R&amp;D'!AI$5:AI$665)</f>
        <v>680.24007200000005</v>
      </c>
      <c r="AI41" s="406">
        <f>SUMIF('R&amp;D'!$BH$5:$BH$665,"Multisector (Other R&amp;D)",'R&amp;D'!AJ$5:AJ$665)</f>
        <v>481.27110800000014</v>
      </c>
      <c r="AJ41" s="406">
        <f>SUMIF('R&amp;D'!$BH$5:$BH$665,"Multisector (Other R&amp;D)",'R&amp;D'!AK$5:AK$665)</f>
        <v>474.03419499999995</v>
      </c>
      <c r="AK41" s="406">
        <f>SUMIF('R&amp;D'!$BH$5:$BH$665,"Multisector (Other R&amp;D)",'R&amp;D'!AL$5:AL$665)</f>
        <v>268.04299999999995</v>
      </c>
      <c r="AL41" s="406">
        <f>SUMIF('R&amp;D'!$BH$5:$BH$665,"Multisector (Other R&amp;D)",'R&amp;D'!AM$5:AM$665)</f>
        <v>245.17</v>
      </c>
      <c r="AM41" s="406">
        <f>SUMIF('R&amp;D'!$BH$5:$BH$665,"Multisector (Other R&amp;D)",'R&amp;D'!AN$5:AN$665)</f>
        <v>300.46300000000002</v>
      </c>
      <c r="AN41" s="406">
        <f>SUMIF('R&amp;D'!$BH$5:$BH$665,"Multisector (Other R&amp;D)",'R&amp;D'!AO$5:AO$665)</f>
        <v>358.99000000000007</v>
      </c>
      <c r="AO41" s="406">
        <f>SUMIF('R&amp;D'!$BH$5:$BH$665,"Multisector (Other R&amp;D)",'R&amp;D'!AP$5:AP$665)</f>
        <v>669.35400000000004</v>
      </c>
      <c r="AP41" s="406">
        <f>SUMIF('R&amp;D'!$BH$5:$BH$665,"Multisector (Other R&amp;D)",'R&amp;D'!AQ$5:AQ$665)</f>
        <v>356.52</v>
      </c>
      <c r="AQ41" s="406">
        <f>SUMIF('R&amp;D'!$BH$5:$BH$665,"Multisector (Other R&amp;D)",'R&amp;D'!AR$5:AR$665)</f>
        <v>349.02600000000001</v>
      </c>
      <c r="AR41" s="406">
        <f>SUMIF('R&amp;D'!$BH$5:$BH$665,"Multisector (Other R&amp;D)",'R&amp;D'!AS$5:AS$665)</f>
        <v>405.25899999999996</v>
      </c>
      <c r="AS41" s="406">
        <f>SUMIF('R&amp;D'!$BH$5:$BH$665,"Multisector (Other R&amp;D)",'R&amp;D'!AT$5:AT$665)</f>
        <v>568.84900000000016</v>
      </c>
      <c r="AT41" s="406">
        <f>SUMIF('R&amp;D'!$BH$5:$BH$665,"Multisector (Other R&amp;D)",'R&amp;D'!AU$5:AU$665)</f>
        <v>610.95801359999996</v>
      </c>
      <c r="AU41" s="406">
        <f>SUMIF('R&amp;D'!$BH$5:$BH$665,"Multisector (Other R&amp;D)",'R&amp;D'!AV$5:AV$665)</f>
        <v>793.67730200000017</v>
      </c>
      <c r="AV41" s="547">
        <f>SUMIF('R&amp;D'!$BH$5:$BH$665,"Multisector (Other R&amp;D)",'R&amp;D'!AW$5:AW$665)</f>
        <v>899.19186499999978</v>
      </c>
      <c r="AW41" s="552">
        <f>SUMIF('R&amp;D'!$BH$5:$BH$665,"Multisector (Other R&amp;D)",'R&amp;D'!AX$5:AX$665)</f>
        <v>757.04599999999994</v>
      </c>
      <c r="AX41" s="409">
        <f t="shared" si="7"/>
        <v>5.0003949633204973E-2</v>
      </c>
    </row>
    <row r="42" spans="1:97" ht="15" customHeight="1">
      <c r="A42" s="68" t="s">
        <v>3732</v>
      </c>
      <c r="B42" s="69">
        <f t="shared" ref="B42:AW42" si="8">SUM(B34:B41)</f>
        <v>41.000000000000007</v>
      </c>
      <c r="C42" s="69">
        <f t="shared" si="8"/>
        <v>53.6</v>
      </c>
      <c r="D42" s="69">
        <f t="shared" si="8"/>
        <v>54.400000000000006</v>
      </c>
      <c r="E42" s="69">
        <f t="shared" si="8"/>
        <v>66</v>
      </c>
      <c r="F42" s="69">
        <f t="shared" si="8"/>
        <v>78.2</v>
      </c>
      <c r="G42" s="69">
        <f t="shared" si="8"/>
        <v>97.600000000000009</v>
      </c>
      <c r="H42" s="69">
        <f t="shared" si="8"/>
        <v>111</v>
      </c>
      <c r="I42" s="69">
        <f t="shared" si="8"/>
        <v>119.80000000000001</v>
      </c>
      <c r="J42" s="69">
        <f t="shared" si="8"/>
        <v>145.4</v>
      </c>
      <c r="K42" s="69">
        <f t="shared" si="8"/>
        <v>138.20000000000002</v>
      </c>
      <c r="L42" s="69">
        <f t="shared" si="8"/>
        <v>165.89999999999998</v>
      </c>
      <c r="M42" s="69">
        <f t="shared" si="8"/>
        <v>197.50000000000003</v>
      </c>
      <c r="N42" s="69">
        <f t="shared" si="8"/>
        <v>162.83013510500001</v>
      </c>
      <c r="O42" s="69">
        <f t="shared" si="8"/>
        <v>212.40711070500001</v>
      </c>
      <c r="P42" s="69">
        <f t="shared" si="8"/>
        <v>249.18794270499998</v>
      </c>
      <c r="Q42" s="69">
        <f t="shared" si="8"/>
        <v>302.96518100500003</v>
      </c>
      <c r="R42" s="69">
        <f t="shared" si="8"/>
        <v>336.57444518999995</v>
      </c>
      <c r="S42" s="69">
        <f t="shared" si="8"/>
        <v>368.67641705</v>
      </c>
      <c r="T42" s="69">
        <f t="shared" si="8"/>
        <v>373.25600145999994</v>
      </c>
      <c r="U42" s="69">
        <f t="shared" si="8"/>
        <v>409.67842796000002</v>
      </c>
      <c r="V42" s="69">
        <f t="shared" si="8"/>
        <v>385.15537627000003</v>
      </c>
      <c r="W42" s="69">
        <f t="shared" si="8"/>
        <v>336.38836627999996</v>
      </c>
      <c r="X42" s="69">
        <f t="shared" si="8"/>
        <v>357.848951</v>
      </c>
      <c r="Y42" s="69">
        <f t="shared" si="8"/>
        <v>448.31849899999997</v>
      </c>
      <c r="Z42" s="69">
        <f t="shared" si="8"/>
        <v>510.25500017999991</v>
      </c>
      <c r="AA42" s="69">
        <f t="shared" si="8"/>
        <v>672.91199504000008</v>
      </c>
      <c r="AB42" s="69">
        <f t="shared" si="8"/>
        <v>649.07320600000014</v>
      </c>
      <c r="AC42" s="69">
        <f t="shared" si="8"/>
        <v>981.0738150000002</v>
      </c>
      <c r="AD42" s="69">
        <f t="shared" si="8"/>
        <v>1333.5311749999998</v>
      </c>
      <c r="AE42" s="69">
        <f t="shared" si="8"/>
        <v>980.04937199999995</v>
      </c>
      <c r="AF42" s="69">
        <f t="shared" si="8"/>
        <v>1110.232872</v>
      </c>
      <c r="AG42" s="69">
        <f t="shared" si="8"/>
        <v>1508.5897599999998</v>
      </c>
      <c r="AH42" s="69">
        <f t="shared" si="8"/>
        <v>1701.4569310000002</v>
      </c>
      <c r="AI42" s="69">
        <f t="shared" si="8"/>
        <v>1602.6545050000002</v>
      </c>
      <c r="AJ42" s="69">
        <f t="shared" si="8"/>
        <v>1435.6475179999998</v>
      </c>
      <c r="AK42" s="69">
        <f t="shared" si="8"/>
        <v>1480.0080559577837</v>
      </c>
      <c r="AL42" s="69">
        <f t="shared" si="8"/>
        <v>1437.0883942774203</v>
      </c>
      <c r="AM42" s="69">
        <f t="shared" si="8"/>
        <v>1278.09799094</v>
      </c>
      <c r="AN42" s="69">
        <f t="shared" si="8"/>
        <v>1462.3799048399999</v>
      </c>
      <c r="AO42" s="69">
        <f t="shared" si="8"/>
        <v>1982.9400498916909</v>
      </c>
      <c r="AP42" s="69">
        <f t="shared" si="8"/>
        <v>1732.5434075902917</v>
      </c>
      <c r="AQ42" s="69">
        <f t="shared" si="8"/>
        <v>1885.6705246412141</v>
      </c>
      <c r="AR42" s="69">
        <f t="shared" si="8"/>
        <v>2257.7525234272721</v>
      </c>
      <c r="AS42" s="69">
        <f t="shared" si="8"/>
        <v>2702.3157276554466</v>
      </c>
      <c r="AT42" s="69">
        <f t="shared" si="8"/>
        <v>2700.2087451301004</v>
      </c>
      <c r="AU42" s="69">
        <f t="shared" si="8"/>
        <v>2884.1905714341783</v>
      </c>
      <c r="AV42" s="550">
        <f t="shared" si="8"/>
        <v>3190.6130978836572</v>
      </c>
      <c r="AW42" s="553">
        <f t="shared" si="8"/>
        <v>3270.5502558733092</v>
      </c>
      <c r="AX42" s="410">
        <f t="shared" si="7"/>
        <v>0.2160244295162442</v>
      </c>
    </row>
    <row r="43" spans="1:97" ht="15" customHeight="1">
      <c r="A43" s="420" t="s">
        <v>3750</v>
      </c>
      <c r="B43" s="421">
        <f>SUMIF('R&amp;D'!$BH$5:$BH$665,"Private Non-Profit Sector",'R&amp;D'!C$5:C$665)</f>
        <v>0</v>
      </c>
      <c r="C43" s="421">
        <f>SUMIF('R&amp;D'!$BH$5:$BH$665,"Private Non-Profit Sector",'R&amp;D'!D$5:D$665)</f>
        <v>0</v>
      </c>
      <c r="D43" s="421">
        <f>SUMIF('R&amp;D'!$BH$5:$BH$665,"Private Non-Profit Sector",'R&amp;D'!E$5:E$665)</f>
        <v>0</v>
      </c>
      <c r="E43" s="421">
        <f>SUMIF('R&amp;D'!$BH$5:$BH$665,"Private Non-Profit Sector",'R&amp;D'!F$5:F$665)</f>
        <v>0</v>
      </c>
      <c r="F43" s="421">
        <f>SUMIF('R&amp;D'!$BH$5:$BH$665,"Private Non-Profit Sector",'R&amp;D'!G$5:G$665)</f>
        <v>0</v>
      </c>
      <c r="G43" s="421">
        <f>SUMIF('R&amp;D'!$BH$5:$BH$665,"Private Non-Profit Sector",'R&amp;D'!H$5:H$665)</f>
        <v>0</v>
      </c>
      <c r="H43" s="421">
        <f>SUMIF('R&amp;D'!$BH$5:$BH$665,"Private Non-Profit Sector",'R&amp;D'!I$5:I$665)</f>
        <v>0</v>
      </c>
      <c r="I43" s="421">
        <f>SUMIF('R&amp;D'!$BH$5:$BH$665,"Private Non-Profit Sector",'R&amp;D'!J$5:J$665)</f>
        <v>0</v>
      </c>
      <c r="J43" s="421">
        <f>SUMIF('R&amp;D'!$BH$5:$BH$665,"Private Non-Profit Sector",'R&amp;D'!K$5:K$665)</f>
        <v>0</v>
      </c>
      <c r="K43" s="421">
        <f>SUMIF('R&amp;D'!$BH$5:$BH$665,"Private Non-Profit Sector",'R&amp;D'!L$5:L$665)</f>
        <v>0</v>
      </c>
      <c r="L43" s="421">
        <f>SUMIF('R&amp;D'!$BH$5:$BH$665,"Private Non-Profit Sector",'R&amp;D'!M$5:M$665)</f>
        <v>0</v>
      </c>
      <c r="M43" s="421">
        <f>SUMIF('R&amp;D'!$BH$5:$BH$665,"Private Non-Profit Sector",'R&amp;D'!N$5:N$665)</f>
        <v>0</v>
      </c>
      <c r="N43" s="421">
        <f>SUMIF('R&amp;D'!$BH$5:$BH$665,"Private Non-Profit Sector",'R&amp;D'!O$5:O$665)</f>
        <v>0</v>
      </c>
      <c r="O43" s="421">
        <f>SUMIF('R&amp;D'!$BH$5:$BH$665,"Private Non-Profit Sector",'R&amp;D'!P$5:P$665)</f>
        <v>0</v>
      </c>
      <c r="P43" s="421">
        <f>SUMIF('R&amp;D'!$BH$5:$BH$665,"Private Non-Profit Sector",'R&amp;D'!Q$5:Q$665)</f>
        <v>0</v>
      </c>
      <c r="Q43" s="421">
        <f>SUMIF('R&amp;D'!$BH$5:$BH$665,"Private Non-Profit Sector",'R&amp;D'!R$5:R$665)</f>
        <v>0</v>
      </c>
      <c r="R43" s="421">
        <f>SUMIF('R&amp;D'!$BH$5:$BH$665,"Private Non-Profit Sector",'R&amp;D'!S$5:S$665)</f>
        <v>0</v>
      </c>
      <c r="S43" s="421">
        <f>SUMIF('R&amp;D'!$BH$5:$BH$665,"Private Non-Profit Sector",'R&amp;D'!T$5:T$665)</f>
        <v>0</v>
      </c>
      <c r="T43" s="421">
        <f>SUMIF('R&amp;D'!$BH$5:$BH$665,"Private Non-Profit Sector",'R&amp;D'!U$5:U$665)</f>
        <v>0</v>
      </c>
      <c r="U43" s="421">
        <f>SUMIF('R&amp;D'!$BH$5:$BH$665,"Private Non-Profit Sector",'R&amp;D'!V$5:V$665)</f>
        <v>0</v>
      </c>
      <c r="V43" s="421">
        <f>SUMIF('R&amp;D'!$BH$5:$BH$665,"Private Non-Profit Sector",'R&amp;D'!W$5:W$665)</f>
        <v>0</v>
      </c>
      <c r="W43" s="421">
        <f>SUMIF('R&amp;D'!$BH$5:$BH$665,"Private Non-Profit Sector",'R&amp;D'!X$5:X$665)</f>
        <v>0</v>
      </c>
      <c r="X43" s="421">
        <f>SUMIF('R&amp;D'!$BH$5:$BH$665,"Private Non-Profit Sector",'R&amp;D'!Y$5:Y$665)</f>
        <v>0</v>
      </c>
      <c r="Y43" s="421">
        <f>SUMIF('R&amp;D'!$BH$5:$BH$665,"Private Non-Profit Sector",'R&amp;D'!Z$5:Z$665)</f>
        <v>0</v>
      </c>
      <c r="Z43" s="421">
        <f>SUMIF('R&amp;D'!$BH$5:$BH$665,"Private Non-Profit Sector",'R&amp;D'!AA$5:AA$665)</f>
        <v>0</v>
      </c>
      <c r="AA43" s="421">
        <f>SUMIF('R&amp;D'!$BH$5:$BH$665,"Private Non-Profit Sector",'R&amp;D'!AB$5:AB$665)</f>
        <v>0</v>
      </c>
      <c r="AB43" s="421">
        <f>SUMIF('R&amp;D'!$BH$5:$BH$665,"Private Non-Profit Sector",'R&amp;D'!AC$5:AC$665)</f>
        <v>0</v>
      </c>
      <c r="AC43" s="421">
        <f>SUMIF('R&amp;D'!$BH$5:$BH$665,"Private Non-Profit Sector",'R&amp;D'!AD$5:AD$665)</f>
        <v>0</v>
      </c>
      <c r="AD43" s="421">
        <f>SUMIF('R&amp;D'!$BH$5:$BH$665,"Private Non-Profit Sector",'R&amp;D'!AE$5:AE$665)</f>
        <v>0</v>
      </c>
      <c r="AE43" s="421">
        <f>SUMIF('R&amp;D'!$BH$5:$BH$665,"Private Non-Profit Sector",'R&amp;D'!AF$5:AF$665)</f>
        <v>0</v>
      </c>
      <c r="AF43" s="421">
        <f>SUMIF('R&amp;D'!$BH$5:$BH$665,"Private Non-Profit Sector",'R&amp;D'!AG$5:AG$665)</f>
        <v>0</v>
      </c>
      <c r="AG43" s="421">
        <f>SUMIF('R&amp;D'!$BH$5:$BH$665,"Private Non-Profit Sector",'R&amp;D'!AH$5:AH$665)</f>
        <v>0</v>
      </c>
      <c r="AH43" s="421">
        <f>SUMIF('R&amp;D'!$BH$5:$BH$665,"Private Non-Profit Sector",'R&amp;D'!AI$5:AI$665)</f>
        <v>0</v>
      </c>
      <c r="AI43" s="421">
        <f>SUMIF('R&amp;D'!$BH$5:$BH$665,"Private Non-Profit Sector",'R&amp;D'!AJ$5:AJ$665)</f>
        <v>0</v>
      </c>
      <c r="AJ43" s="421">
        <f>SUMIF('R&amp;D'!$BH$5:$BH$665,"Private Non-Profit Sector",'R&amp;D'!AK$5:AK$665)</f>
        <v>0</v>
      </c>
      <c r="AK43" s="421">
        <f>SUMIF('R&amp;D'!$BH$5:$BH$665,"Private Non-Profit Sector",'R&amp;D'!AL$5:AL$665)</f>
        <v>0</v>
      </c>
      <c r="AL43" s="421">
        <f>SUMIF('R&amp;D'!$BH$5:$BH$665,"Private Non-Profit Sector",'R&amp;D'!AM$5:AM$665)</f>
        <v>0</v>
      </c>
      <c r="AM43" s="421">
        <f>SUMIF('R&amp;D'!$BH$5:$BH$665,"Private Non-Profit Sector",'R&amp;D'!AN$5:AN$665)</f>
        <v>0</v>
      </c>
      <c r="AN43" s="421">
        <f>SUMIF('R&amp;D'!$BH$5:$BH$665,"Private Non-Profit Sector",'R&amp;D'!AO$5:AO$665)</f>
        <v>0.22600000000000001</v>
      </c>
      <c r="AO43" s="421">
        <f>SUMIF('R&amp;D'!$BH$5:$BH$665,"Private Non-Profit Sector",'R&amp;D'!AP$5:AP$665)</f>
        <v>0.12</v>
      </c>
      <c r="AP43" s="421">
        <f>SUMIF('R&amp;D'!$BH$5:$BH$665,"Private Non-Profit Sector",'R&amp;D'!AQ$5:AQ$665)</f>
        <v>11.174535000000001</v>
      </c>
      <c r="AQ43" s="421">
        <f>SUMIF('R&amp;D'!$BH$5:$BH$665,"Private Non-Profit Sector",'R&amp;D'!AR$5:AR$665)</f>
        <v>10.202999999999999</v>
      </c>
      <c r="AR43" s="421">
        <f>SUMIF('R&amp;D'!$BH$5:$BH$665,"Private Non-Profit Sector",'R&amp;D'!AS$5:AS$665)</f>
        <v>12.5</v>
      </c>
      <c r="AS43" s="421">
        <f>SUMIF('R&amp;D'!$BH$5:$BH$665,"Private Non-Profit Sector",'R&amp;D'!AT$5:AT$665)</f>
        <v>15</v>
      </c>
      <c r="AT43" s="421">
        <f>SUMIF('R&amp;D'!$BH$5:$BH$665,"Private Non-Profit Sector",'R&amp;D'!AU$5:AU$665)</f>
        <v>15</v>
      </c>
      <c r="AU43" s="421">
        <f>SUMIF('R&amp;D'!$BH$5:$BH$665,"Private Non-Profit Sector",'R&amp;D'!AV$5:AV$665)</f>
        <v>2.5</v>
      </c>
      <c r="AV43" s="551">
        <f>SUMIF('R&amp;D'!$BH$5:$BH$665,"Private Non-Profit Sector",'R&amp;D'!AW$5:AW$665)</f>
        <v>0</v>
      </c>
      <c r="AW43" s="554">
        <f>SUMIF('R&amp;D'!$BH$5:$BH$665,"Private Non-Profit Sector",'R&amp;D'!AX$5:AX$665)</f>
        <v>15</v>
      </c>
      <c r="AX43" s="422">
        <f t="shared" si="7"/>
        <v>9.9077102910268954E-4</v>
      </c>
    </row>
    <row r="44" spans="1:97" ht="15" customHeight="1">
      <c r="A44" s="423" t="s">
        <v>474</v>
      </c>
      <c r="B44" s="421">
        <f>SUMIF('R&amp;D'!$BH$5:$BH$665,"Rest of the World",'R&amp;D'!C$5:C$665)</f>
        <v>0</v>
      </c>
      <c r="C44" s="421">
        <f>SUMIF('R&amp;D'!$BH$5:$BH$665,"Rest of the World",'R&amp;D'!D$5:D$665)</f>
        <v>0</v>
      </c>
      <c r="D44" s="421">
        <f>SUMIF('R&amp;D'!$BH$5:$BH$665,"Rest of the World",'R&amp;D'!E$5:E$665)</f>
        <v>0</v>
      </c>
      <c r="E44" s="421">
        <f>SUMIF('R&amp;D'!$BH$5:$BH$665,"Rest of the World",'R&amp;D'!F$5:F$665)</f>
        <v>0</v>
      </c>
      <c r="F44" s="421">
        <f>SUMIF('R&amp;D'!$BH$5:$BH$665,"Rest of the World",'R&amp;D'!G$5:G$665)</f>
        <v>0</v>
      </c>
      <c r="G44" s="421">
        <f>SUMIF('R&amp;D'!$BH$5:$BH$665,"Rest of the World",'R&amp;D'!H$5:H$665)</f>
        <v>0</v>
      </c>
      <c r="H44" s="421">
        <f>SUMIF('R&amp;D'!$BH$5:$BH$665,"Rest of the World",'R&amp;D'!I$5:I$665)</f>
        <v>0</v>
      </c>
      <c r="I44" s="421">
        <f>SUMIF('R&amp;D'!$BH$5:$BH$665,"Rest of the World",'R&amp;D'!J$5:J$665)</f>
        <v>0</v>
      </c>
      <c r="J44" s="421">
        <f>SUMIF('R&amp;D'!$BH$5:$BH$665,"Rest of the World",'R&amp;D'!K$5:K$665)</f>
        <v>0</v>
      </c>
      <c r="K44" s="421">
        <f>SUMIF('R&amp;D'!$BH$5:$BH$665,"Rest of the World",'R&amp;D'!L$5:L$665)</f>
        <v>0</v>
      </c>
      <c r="L44" s="421">
        <f>SUMIF('R&amp;D'!$BH$5:$BH$665,"Rest of the World",'R&amp;D'!M$5:M$665)</f>
        <v>0</v>
      </c>
      <c r="M44" s="421">
        <f>SUMIF('R&amp;D'!$BH$5:$BH$665,"Rest of the World",'R&amp;D'!N$5:N$665)</f>
        <v>0</v>
      </c>
      <c r="N44" s="421">
        <f>SUMIF('R&amp;D'!$BH$5:$BH$665,"Rest of the World",'R&amp;D'!O$5:O$665)</f>
        <v>0</v>
      </c>
      <c r="O44" s="421">
        <f>SUMIF('R&amp;D'!$BH$5:$BH$665,"Rest of the World",'R&amp;D'!P$5:P$665)</f>
        <v>0</v>
      </c>
      <c r="P44" s="421">
        <f>SUMIF('R&amp;D'!$BH$5:$BH$665,"Rest of the World",'R&amp;D'!Q$5:Q$665)</f>
        <v>0</v>
      </c>
      <c r="Q44" s="421">
        <f>SUMIF('R&amp;D'!$BH$5:$BH$665,"Rest of the World",'R&amp;D'!R$5:R$665)</f>
        <v>0</v>
      </c>
      <c r="R44" s="421">
        <f>SUMIF('R&amp;D'!$BH$5:$BH$665,"Rest of the World",'R&amp;D'!S$5:S$665)</f>
        <v>0</v>
      </c>
      <c r="S44" s="421">
        <f>SUMIF('R&amp;D'!$BH$5:$BH$665,"Rest of the World",'R&amp;D'!T$5:T$665)</f>
        <v>0</v>
      </c>
      <c r="T44" s="421">
        <f>SUMIF('R&amp;D'!$BH$5:$BH$665,"Rest of the World",'R&amp;D'!U$5:U$665)</f>
        <v>0</v>
      </c>
      <c r="U44" s="421">
        <f>SUMIF('R&amp;D'!$BH$5:$BH$665,"Rest of the World",'R&amp;D'!V$5:V$665)</f>
        <v>0</v>
      </c>
      <c r="V44" s="421">
        <f>SUMIF('R&amp;D'!$BH$5:$BH$665,"Rest of the World",'R&amp;D'!W$5:W$665)</f>
        <v>1.2</v>
      </c>
      <c r="W44" s="421">
        <f>SUMIF('R&amp;D'!$BH$5:$BH$665,"Rest of the World",'R&amp;D'!X$5:X$665)</f>
        <v>2.2000000000000002</v>
      </c>
      <c r="X44" s="421">
        <f>SUMIF('R&amp;D'!$BH$5:$BH$665,"Rest of the World",'R&amp;D'!Y$5:Y$665)</f>
        <v>1.7</v>
      </c>
      <c r="Y44" s="421">
        <f>SUMIF('R&amp;D'!$BH$5:$BH$665,"Rest of the World",'R&amp;D'!Z$5:Z$665)</f>
        <v>2.2999999999999998</v>
      </c>
      <c r="Z44" s="421">
        <f>SUMIF('R&amp;D'!$BH$5:$BH$665,"Rest of the World",'R&amp;D'!AA$5:AA$665)</f>
        <v>1.7</v>
      </c>
      <c r="AA44" s="421">
        <f>SUMIF('R&amp;D'!$BH$5:$BH$665,"Rest of the World",'R&amp;D'!AB$5:AB$665)</f>
        <v>0.3</v>
      </c>
      <c r="AB44" s="421">
        <f>SUMIF('R&amp;D'!$BH$5:$BH$665,"Rest of the World",'R&amp;D'!AC$5:AC$665)</f>
        <v>0</v>
      </c>
      <c r="AC44" s="421">
        <f>SUMIF('R&amp;D'!$BH$5:$BH$665,"Rest of the World",'R&amp;D'!AD$5:AD$665)</f>
        <v>0</v>
      </c>
      <c r="AD44" s="421">
        <f>SUMIF('R&amp;D'!$BH$5:$BH$665,"Rest of the World",'R&amp;D'!AE$5:AE$665)</f>
        <v>0</v>
      </c>
      <c r="AE44" s="421">
        <f>SUMIF('R&amp;D'!$BH$5:$BH$665,"Rest of the World",'R&amp;D'!AF$5:AF$665)</f>
        <v>0</v>
      </c>
      <c r="AF44" s="421">
        <f>SUMIF('R&amp;D'!$BH$5:$BH$665,"Rest of the World",'R&amp;D'!AG$5:AG$665)</f>
        <v>0.47499999999999998</v>
      </c>
      <c r="AG44" s="421">
        <f>SUMIF('R&amp;D'!$BH$5:$BH$665,"Rest of the World",'R&amp;D'!AH$5:AH$665)</f>
        <v>2.71</v>
      </c>
      <c r="AH44" s="421">
        <f>SUMIF('R&amp;D'!$BH$5:$BH$665,"Rest of the World",'R&amp;D'!AI$5:AI$665)</f>
        <v>0.45400000000000001</v>
      </c>
      <c r="AI44" s="421">
        <f>SUMIF('R&amp;D'!$BH$5:$BH$665,"Rest of the World",'R&amp;D'!AJ$5:AJ$665)</f>
        <v>1.87</v>
      </c>
      <c r="AJ44" s="421">
        <f>SUMIF('R&amp;D'!$BH$5:$BH$665,"Rest of the World",'R&amp;D'!AK$5:AK$665)</f>
        <v>4.1950000000000003</v>
      </c>
      <c r="AK44" s="421">
        <f>SUMIF('R&amp;D'!$BH$5:$BH$665,"Rest of the World",'R&amp;D'!AL$5:AL$665)</f>
        <v>0.99435999999999991</v>
      </c>
      <c r="AL44" s="421">
        <f>SUMIF('R&amp;D'!$BH$5:$BH$665,"Rest of the World",'R&amp;D'!AM$5:AM$665)</f>
        <v>1.0529999999999999</v>
      </c>
      <c r="AM44" s="421">
        <f>SUMIF('R&amp;D'!$BH$5:$BH$665,"Rest of the World",'R&amp;D'!AN$5:AN$665)</f>
        <v>1.5</v>
      </c>
      <c r="AN44" s="421">
        <f>SUMIF('R&amp;D'!$BH$5:$BH$665,"Rest of the World",'R&amp;D'!AO$5:AO$665)</f>
        <v>0.2</v>
      </c>
      <c r="AO44" s="421">
        <f>SUMIF('R&amp;D'!$BH$5:$BH$665,"Rest of the World",'R&amp;D'!AP$5:AP$665)</f>
        <v>6.9489999999999998</v>
      </c>
      <c r="AP44" s="421">
        <f>SUMIF('R&amp;D'!$BH$5:$BH$665,"Rest of the World",'R&amp;D'!AQ$5:AQ$665)</f>
        <v>12.618</v>
      </c>
      <c r="AQ44" s="421">
        <f>SUMIF('R&amp;D'!$BH$5:$BH$665,"Rest of the World",'R&amp;D'!AR$5:AR$665)</f>
        <v>13.984</v>
      </c>
      <c r="AR44" s="421">
        <f>SUMIF('R&amp;D'!$BH$5:$BH$665,"Rest of the World",'R&amp;D'!AS$5:AS$665)</f>
        <v>13.015000000000001</v>
      </c>
      <c r="AS44" s="421">
        <f>SUMIF('R&amp;D'!$BH$5:$BH$665,"Rest of the World",'R&amp;D'!AT$5:AT$665)</f>
        <v>13.12</v>
      </c>
      <c r="AT44" s="421">
        <f>SUMIF('R&amp;D'!$BH$5:$BH$665,"Rest of the World",'R&amp;D'!AU$5:AU$665)</f>
        <v>12.827</v>
      </c>
      <c r="AU44" s="421">
        <f>SUMIF('R&amp;D'!$BH$5:$BH$665,"Rest of the World",'R&amp;D'!AV$5:AV$665)</f>
        <v>15.336</v>
      </c>
      <c r="AV44" s="551">
        <f>SUMIF('R&amp;D'!$BH$5:$BH$665,"Rest of the World",'R&amp;D'!AW$5:AW$665)</f>
        <v>20.582999999999998</v>
      </c>
      <c r="AW44" s="554">
        <f>SUMIF('R&amp;D'!$BH$5:$BH$665,"Rest of the World",'R&amp;D'!AX$5:AX$665)</f>
        <v>16.024999999999999</v>
      </c>
      <c r="AX44" s="556">
        <f t="shared" si="7"/>
        <v>1.0584737160913731E-3</v>
      </c>
    </row>
    <row r="45" spans="1:97" ht="15" customHeight="1">
      <c r="A45" s="81" t="s">
        <v>3751</v>
      </c>
      <c r="B45" s="557">
        <f t="shared" ref="B45:AW45" si="9">(B20+B25+B32+B42+B43+B44)</f>
        <v>685.9</v>
      </c>
      <c r="C45" s="557">
        <f t="shared" si="9"/>
        <v>773.80000000000007</v>
      </c>
      <c r="D45" s="557">
        <f t="shared" si="9"/>
        <v>889.4</v>
      </c>
      <c r="E45" s="557">
        <f t="shared" si="9"/>
        <v>1005.2</v>
      </c>
      <c r="F45" s="557">
        <f t="shared" si="9"/>
        <v>1154.8999999999999</v>
      </c>
      <c r="G45" s="557">
        <f t="shared" si="9"/>
        <v>1242.5</v>
      </c>
      <c r="H45" s="557">
        <f t="shared" si="9"/>
        <v>1418</v>
      </c>
      <c r="I45" s="557">
        <f t="shared" si="9"/>
        <v>1697.3999999999999</v>
      </c>
      <c r="J45" s="557">
        <f t="shared" si="9"/>
        <v>1848.8</v>
      </c>
      <c r="K45" s="557">
        <f t="shared" si="9"/>
        <v>1914</v>
      </c>
      <c r="L45" s="557">
        <f t="shared" si="9"/>
        <v>2044.3000000000002</v>
      </c>
      <c r="M45" s="557">
        <f t="shared" si="9"/>
        <v>2259.2000000000003</v>
      </c>
      <c r="N45" s="557">
        <f t="shared" si="9"/>
        <v>2470.7562955449998</v>
      </c>
      <c r="O45" s="557">
        <f t="shared" si="9"/>
        <v>2791.42847927</v>
      </c>
      <c r="P45" s="557">
        <f t="shared" si="9"/>
        <v>3097.61278004</v>
      </c>
      <c r="Q45" s="557">
        <f t="shared" si="9"/>
        <v>3422.2986350000001</v>
      </c>
      <c r="R45" s="557">
        <f t="shared" si="9"/>
        <v>3549.5014375399996</v>
      </c>
      <c r="S45" s="557">
        <f t="shared" si="9"/>
        <v>3824.2758131400005</v>
      </c>
      <c r="T45" s="557">
        <f t="shared" si="9"/>
        <v>3703.1232486699996</v>
      </c>
      <c r="U45" s="557">
        <f t="shared" si="9"/>
        <v>3675.0640952350004</v>
      </c>
      <c r="V45" s="557">
        <f t="shared" si="9"/>
        <v>3754.7758677649999</v>
      </c>
      <c r="W45" s="557">
        <f t="shared" si="9"/>
        <v>3962.1560246949994</v>
      </c>
      <c r="X45" s="557">
        <f t="shared" si="9"/>
        <v>4159.2839700000004</v>
      </c>
      <c r="Y45" s="557">
        <f t="shared" si="9"/>
        <v>4563.4639520000001</v>
      </c>
      <c r="Z45" s="557">
        <f t="shared" si="9"/>
        <v>4905.99147318</v>
      </c>
      <c r="AA45" s="557">
        <f t="shared" si="9"/>
        <v>5569.2063830399993</v>
      </c>
      <c r="AB45" s="557">
        <f t="shared" si="9"/>
        <v>5151.4893679999996</v>
      </c>
      <c r="AC45" s="557">
        <f t="shared" si="9"/>
        <v>6045.9811429999991</v>
      </c>
      <c r="AD45" s="557">
        <f t="shared" si="9"/>
        <v>6562.1775560000005</v>
      </c>
      <c r="AE45" s="557">
        <f t="shared" si="9"/>
        <v>6657.6390109999993</v>
      </c>
      <c r="AF45" s="557">
        <f t="shared" si="9"/>
        <v>7363.8567750000002</v>
      </c>
      <c r="AG45" s="557">
        <f t="shared" si="9"/>
        <v>8312.4382519999999</v>
      </c>
      <c r="AH45" s="557">
        <f t="shared" si="9"/>
        <v>8869.5092729999997</v>
      </c>
      <c r="AI45" s="557">
        <f t="shared" si="9"/>
        <v>10065.383719000001</v>
      </c>
      <c r="AJ45" s="557">
        <f t="shared" si="9"/>
        <v>9852.8089400000008</v>
      </c>
      <c r="AK45" s="557">
        <f t="shared" si="9"/>
        <v>9825.3380080000006</v>
      </c>
      <c r="AL45" s="557">
        <f t="shared" si="9"/>
        <v>9834.2343994099992</v>
      </c>
      <c r="AM45" s="557">
        <f t="shared" si="9"/>
        <v>9638.0899567799988</v>
      </c>
      <c r="AN45" s="557">
        <f t="shared" si="9"/>
        <v>9493.5606506900021</v>
      </c>
      <c r="AO45" s="557">
        <f t="shared" si="9"/>
        <v>10192.040861000001</v>
      </c>
      <c r="AP45" s="557">
        <f t="shared" si="9"/>
        <v>10038.445245000001</v>
      </c>
      <c r="AQ45" s="557">
        <f t="shared" si="9"/>
        <v>10240.784</v>
      </c>
      <c r="AR45" s="557">
        <f t="shared" si="9"/>
        <v>12069.720888</v>
      </c>
      <c r="AS45" s="557">
        <f t="shared" si="9"/>
        <v>12463.887646000001</v>
      </c>
      <c r="AT45" s="557">
        <f t="shared" si="9"/>
        <v>13165.461013599999</v>
      </c>
      <c r="AU45" s="557">
        <f t="shared" si="9"/>
        <v>13856.727292</v>
      </c>
      <c r="AV45" s="783">
        <f t="shared" si="9"/>
        <v>14924.494239898968</v>
      </c>
      <c r="AW45" s="783">
        <f t="shared" si="9"/>
        <v>15139.724072861753</v>
      </c>
      <c r="AX45" s="558">
        <f>(AX20+AX25+AX32+AX42)</f>
        <v>0.99795075525480603</v>
      </c>
    </row>
    <row r="47" spans="1:97" ht="30" customHeight="1">
      <c r="A47" s="74" t="s">
        <v>3717</v>
      </c>
      <c r="B47" s="88" t="s">
        <v>1100</v>
      </c>
      <c r="C47" s="88" t="s">
        <v>1100</v>
      </c>
      <c r="D47" s="88" t="s">
        <v>1100</v>
      </c>
      <c r="E47" s="88" t="s">
        <v>1100</v>
      </c>
      <c r="F47" s="88" t="s">
        <v>1100</v>
      </c>
      <c r="G47" s="88" t="s">
        <v>1100</v>
      </c>
      <c r="H47" s="88" t="s">
        <v>1100</v>
      </c>
      <c r="I47" s="88" t="s">
        <v>1100</v>
      </c>
      <c r="J47" s="88" t="s">
        <v>1100</v>
      </c>
      <c r="K47" s="88" t="s">
        <v>1100</v>
      </c>
      <c r="L47" s="88" t="s">
        <v>1100</v>
      </c>
      <c r="M47" s="88" t="s">
        <v>1100</v>
      </c>
      <c r="N47" s="88" t="s">
        <v>1100</v>
      </c>
      <c r="O47" s="88" t="s">
        <v>1100</v>
      </c>
      <c r="P47" s="88" t="s">
        <v>1100</v>
      </c>
      <c r="Q47" s="88" t="s">
        <v>1100</v>
      </c>
      <c r="R47" s="88" t="s">
        <v>1100</v>
      </c>
      <c r="S47" s="88" t="s">
        <v>1100</v>
      </c>
      <c r="T47" s="88" t="s">
        <v>1100</v>
      </c>
      <c r="U47" s="88" t="s">
        <v>1100</v>
      </c>
      <c r="V47" s="88" t="s">
        <v>1100</v>
      </c>
      <c r="W47" s="88" t="s">
        <v>1100</v>
      </c>
      <c r="X47" s="88" t="s">
        <v>1100</v>
      </c>
      <c r="Y47" s="88" t="s">
        <v>1100</v>
      </c>
      <c r="Z47" s="88" t="s">
        <v>1100</v>
      </c>
      <c r="AA47" s="88" t="s">
        <v>1100</v>
      </c>
      <c r="AB47" s="88" t="s">
        <v>1100</v>
      </c>
      <c r="AC47" s="88" t="s">
        <v>1100</v>
      </c>
      <c r="AD47" s="88" t="s">
        <v>1100</v>
      </c>
      <c r="AE47" s="88" t="s">
        <v>1100</v>
      </c>
      <c r="AF47" s="88" t="s">
        <v>1100</v>
      </c>
      <c r="AG47" s="88" t="s">
        <v>1100</v>
      </c>
      <c r="AH47" s="88" t="s">
        <v>1100</v>
      </c>
      <c r="AI47" s="88" t="s">
        <v>1100</v>
      </c>
      <c r="AJ47" s="88" t="s">
        <v>1100</v>
      </c>
      <c r="AK47" s="88" t="s">
        <v>1100</v>
      </c>
      <c r="AL47" s="88" t="s">
        <v>1100</v>
      </c>
      <c r="AM47" s="88" t="s">
        <v>1100</v>
      </c>
      <c r="AN47" s="88" t="s">
        <v>1100</v>
      </c>
      <c r="AO47" s="88" t="s">
        <v>1100</v>
      </c>
      <c r="AP47" s="393" t="s">
        <v>1100</v>
      </c>
      <c r="AQ47" s="393" t="s">
        <v>1100</v>
      </c>
      <c r="AR47" s="425" t="s">
        <v>1100</v>
      </c>
      <c r="AS47" s="426" t="s">
        <v>1100</v>
      </c>
      <c r="AT47" s="73"/>
      <c r="AU47" s="559"/>
      <c r="AV47" s="427" t="s">
        <v>201</v>
      </c>
      <c r="AW47" s="428" t="s">
        <v>202</v>
      </c>
      <c r="AX47" s="75"/>
      <c r="AY47" s="52"/>
      <c r="AZ47" s="75"/>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row>
    <row r="48" spans="1:97" ht="15" customHeight="1">
      <c r="A48" s="59" t="s">
        <v>1100</v>
      </c>
      <c r="B48" s="181" t="s">
        <v>207</v>
      </c>
      <c r="C48" s="181" t="s">
        <v>194</v>
      </c>
      <c r="D48" s="181" t="s">
        <v>191</v>
      </c>
      <c r="E48" s="181" t="s">
        <v>188</v>
      </c>
      <c r="F48" s="181" t="s">
        <v>185</v>
      </c>
      <c r="G48" s="181" t="s">
        <v>181</v>
      </c>
      <c r="H48" s="181" t="s">
        <v>178</v>
      </c>
      <c r="I48" s="181" t="s">
        <v>175</v>
      </c>
      <c r="J48" s="181" t="s">
        <v>171</v>
      </c>
      <c r="K48" s="181" t="s">
        <v>168</v>
      </c>
      <c r="L48" s="181" t="s">
        <v>166</v>
      </c>
      <c r="M48" s="181" t="s">
        <v>163</v>
      </c>
      <c r="N48" s="181" t="s">
        <v>160</v>
      </c>
      <c r="O48" s="181" t="s">
        <v>157</v>
      </c>
      <c r="P48" s="181" t="s">
        <v>153</v>
      </c>
      <c r="Q48" s="181" t="s">
        <v>149</v>
      </c>
      <c r="R48" s="181" t="s">
        <v>146</v>
      </c>
      <c r="S48" s="181" t="s">
        <v>142</v>
      </c>
      <c r="T48" s="181" t="s">
        <v>139</v>
      </c>
      <c r="U48" s="181" t="s">
        <v>136</v>
      </c>
      <c r="V48" s="181" t="s">
        <v>132</v>
      </c>
      <c r="W48" s="181" t="s">
        <v>208</v>
      </c>
      <c r="X48" s="181" t="s">
        <v>126</v>
      </c>
      <c r="Y48" s="181" t="s">
        <v>123</v>
      </c>
      <c r="Z48" s="181" t="s">
        <v>120</v>
      </c>
      <c r="AA48" s="181" t="s">
        <v>117</v>
      </c>
      <c r="AB48" s="181" t="s">
        <v>114</v>
      </c>
      <c r="AC48" s="181" t="s">
        <v>111</v>
      </c>
      <c r="AD48" s="181" t="s">
        <v>108</v>
      </c>
      <c r="AE48" s="181" t="s">
        <v>104</v>
      </c>
      <c r="AF48" s="181" t="s">
        <v>101</v>
      </c>
      <c r="AG48" s="181" t="s">
        <v>98</v>
      </c>
      <c r="AH48" s="181" t="s">
        <v>95</v>
      </c>
      <c r="AI48" s="181" t="s">
        <v>91</v>
      </c>
      <c r="AJ48" s="181" t="s">
        <v>87</v>
      </c>
      <c r="AK48" s="181" t="s">
        <v>83</v>
      </c>
      <c r="AL48" s="181" t="s">
        <v>79</v>
      </c>
      <c r="AM48" s="181" t="s">
        <v>75</v>
      </c>
      <c r="AN48" s="181" t="s">
        <v>72</v>
      </c>
      <c r="AO48" s="181" t="s">
        <v>69</v>
      </c>
      <c r="AP48" s="180" t="s">
        <v>66</v>
      </c>
      <c r="AQ48" s="180" t="s">
        <v>62</v>
      </c>
      <c r="AR48" s="180" t="s">
        <v>59</v>
      </c>
      <c r="AS48" s="180" t="s">
        <v>55</v>
      </c>
      <c r="AT48" s="178" t="s">
        <v>52</v>
      </c>
      <c r="AU48" s="178" t="s">
        <v>49</v>
      </c>
      <c r="AV48" s="560" t="s">
        <v>46</v>
      </c>
      <c r="AW48" s="476" t="s">
        <v>42</v>
      </c>
      <c r="AX48" s="75"/>
      <c r="AY48" s="52"/>
      <c r="AZ48" s="75"/>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row>
    <row r="49" spans="1:97" ht="15" customHeight="1">
      <c r="A49" s="75" t="s">
        <v>3752</v>
      </c>
      <c r="B49" s="406">
        <f>B51-B50</f>
        <v>685.9</v>
      </c>
      <c r="C49" s="406">
        <f t="shared" ref="C49:AS49" si="10">C51-C50</f>
        <v>773.80000000000007</v>
      </c>
      <c r="D49" s="406">
        <f t="shared" si="10"/>
        <v>889.4</v>
      </c>
      <c r="E49" s="406">
        <f t="shared" si="10"/>
        <v>1005.2</v>
      </c>
      <c r="F49" s="406">
        <f t="shared" si="10"/>
        <v>1154.8999999999999</v>
      </c>
      <c r="G49" s="406">
        <f t="shared" si="10"/>
        <v>1242.5</v>
      </c>
      <c r="H49" s="406">
        <f t="shared" si="10"/>
        <v>1398</v>
      </c>
      <c r="I49" s="406">
        <f t="shared" si="10"/>
        <v>1530.3999999999999</v>
      </c>
      <c r="J49" s="406">
        <f t="shared" si="10"/>
        <v>1642.8</v>
      </c>
      <c r="K49" s="406">
        <f t="shared" si="10"/>
        <v>1679</v>
      </c>
      <c r="L49" s="406">
        <f t="shared" si="10"/>
        <v>1836.3000000000002</v>
      </c>
      <c r="M49" s="406">
        <f t="shared" si="10"/>
        <v>1966.2000000000003</v>
      </c>
      <c r="N49" s="406">
        <f t="shared" si="10"/>
        <v>2110.7562955449998</v>
      </c>
      <c r="O49" s="406">
        <f t="shared" si="10"/>
        <v>2359.42847927</v>
      </c>
      <c r="P49" s="406">
        <f t="shared" si="10"/>
        <v>2592.61278004</v>
      </c>
      <c r="Q49" s="406">
        <f t="shared" si="10"/>
        <v>2737.2986350000001</v>
      </c>
      <c r="R49" s="406">
        <f t="shared" si="10"/>
        <v>2851.5014375399996</v>
      </c>
      <c r="S49" s="406">
        <f t="shared" si="10"/>
        <v>2999.2758131400005</v>
      </c>
      <c r="T49" s="406">
        <f t="shared" si="10"/>
        <v>3178.1232486699996</v>
      </c>
      <c r="U49" s="406">
        <f t="shared" si="10"/>
        <v>3255.0640952350004</v>
      </c>
      <c r="V49" s="406">
        <f t="shared" si="10"/>
        <v>3384.7758677649999</v>
      </c>
      <c r="W49" s="406">
        <f t="shared" si="10"/>
        <v>3502.1560246949994</v>
      </c>
      <c r="X49" s="406">
        <f t="shared" si="10"/>
        <v>3699.2839700000004</v>
      </c>
      <c r="Y49" s="406">
        <f t="shared" si="10"/>
        <v>4193.4639520000001</v>
      </c>
      <c r="Z49" s="406">
        <f t="shared" si="10"/>
        <v>4318.99147318</v>
      </c>
      <c r="AA49" s="406">
        <f t="shared" si="10"/>
        <v>4904.2063830399993</v>
      </c>
      <c r="AB49" s="406">
        <f t="shared" si="10"/>
        <v>4422.4893679999996</v>
      </c>
      <c r="AC49" s="406">
        <f t="shared" si="10"/>
        <v>5148.9811429999991</v>
      </c>
      <c r="AD49" s="406">
        <f t="shared" si="10"/>
        <v>5557.1775560000005</v>
      </c>
      <c r="AE49" s="406">
        <f t="shared" si="10"/>
        <v>5421.6390109999993</v>
      </c>
      <c r="AF49" s="406">
        <f t="shared" si="10"/>
        <v>5614.8567750000002</v>
      </c>
      <c r="AG49" s="406">
        <f t="shared" si="10"/>
        <v>6547.4382519999999</v>
      </c>
      <c r="AH49" s="406">
        <f t="shared" si="10"/>
        <v>6974.5092729999997</v>
      </c>
      <c r="AI49" s="406">
        <f t="shared" si="10"/>
        <v>7060.3837190000013</v>
      </c>
      <c r="AJ49" s="406">
        <f t="shared" si="10"/>
        <v>6892.8089400000008</v>
      </c>
      <c r="AK49" s="406">
        <f t="shared" si="10"/>
        <v>7052.3380080000006</v>
      </c>
      <c r="AL49" s="406">
        <f t="shared" si="10"/>
        <v>7027.2343994099992</v>
      </c>
      <c r="AM49" s="406">
        <f t="shared" si="10"/>
        <v>6795.0899567799988</v>
      </c>
      <c r="AN49" s="406">
        <f t="shared" si="10"/>
        <v>6895.5606506900021</v>
      </c>
      <c r="AO49" s="406">
        <f t="shared" si="10"/>
        <v>7669.0408610000013</v>
      </c>
      <c r="AP49" s="406">
        <f t="shared" si="10"/>
        <v>7465.4452450000008</v>
      </c>
      <c r="AQ49" s="406">
        <f t="shared" si="10"/>
        <v>7642.7839999999997</v>
      </c>
      <c r="AR49" s="406">
        <f t="shared" si="10"/>
        <v>9203.7208879999998</v>
      </c>
      <c r="AS49" s="406">
        <f t="shared" si="10"/>
        <v>8709.887646000001</v>
      </c>
      <c r="AT49" s="406">
        <f t="shared" ref="AT49" si="11">AT51-AT50</f>
        <v>9041.4610135999992</v>
      </c>
      <c r="AU49" s="406">
        <f t="shared" ref="AU49" si="12">AU51-AU50</f>
        <v>9458.7272919999996</v>
      </c>
      <c r="AV49" s="547">
        <f t="shared" ref="AV49" si="13">AV51-AV50</f>
        <v>10316.494239898968</v>
      </c>
      <c r="AW49" s="407">
        <f>AW51-AW50</f>
        <v>10552.724072861753</v>
      </c>
      <c r="AX49" s="75"/>
      <c r="AY49" s="75"/>
      <c r="AZ49" s="75"/>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c r="CC49" s="52"/>
      <c r="CD49" s="52"/>
      <c r="CE49" s="52"/>
      <c r="CF49" s="52"/>
      <c r="CG49" s="52"/>
      <c r="CH49" s="52"/>
      <c r="CI49" s="52"/>
      <c r="CJ49" s="52"/>
      <c r="CK49" s="52"/>
      <c r="CL49" s="52"/>
      <c r="CM49" s="52"/>
      <c r="CN49" s="52"/>
      <c r="CO49" s="52"/>
      <c r="CP49" s="52"/>
      <c r="CQ49" s="52"/>
      <c r="CR49" s="52"/>
      <c r="CS49" s="52"/>
    </row>
    <row r="50" spans="1:97" ht="15" customHeight="1">
      <c r="A50" s="78" t="s">
        <v>3735</v>
      </c>
      <c r="B50" s="406">
        <f>B23</f>
        <v>0</v>
      </c>
      <c r="C50" s="406">
        <f t="shared" ref="C50:AW50" si="14">C23</f>
        <v>0</v>
      </c>
      <c r="D50" s="406">
        <f t="shared" si="14"/>
        <v>0</v>
      </c>
      <c r="E50" s="406">
        <f t="shared" si="14"/>
        <v>0</v>
      </c>
      <c r="F50" s="406">
        <f t="shared" si="14"/>
        <v>0</v>
      </c>
      <c r="G50" s="406">
        <f t="shared" si="14"/>
        <v>0</v>
      </c>
      <c r="H50" s="406">
        <f t="shared" si="14"/>
        <v>20</v>
      </c>
      <c r="I50" s="406">
        <f t="shared" si="14"/>
        <v>167</v>
      </c>
      <c r="J50" s="406">
        <f t="shared" si="14"/>
        <v>206</v>
      </c>
      <c r="K50" s="406">
        <f t="shared" si="14"/>
        <v>235</v>
      </c>
      <c r="L50" s="406">
        <f t="shared" si="14"/>
        <v>208</v>
      </c>
      <c r="M50" s="406">
        <f t="shared" si="14"/>
        <v>293</v>
      </c>
      <c r="N50" s="406">
        <f t="shared" si="14"/>
        <v>360</v>
      </c>
      <c r="O50" s="406">
        <f t="shared" si="14"/>
        <v>432</v>
      </c>
      <c r="P50" s="406">
        <f t="shared" si="14"/>
        <v>505</v>
      </c>
      <c r="Q50" s="406">
        <f t="shared" si="14"/>
        <v>685</v>
      </c>
      <c r="R50" s="406">
        <f t="shared" si="14"/>
        <v>698</v>
      </c>
      <c r="S50" s="406">
        <f t="shared" si="14"/>
        <v>825</v>
      </c>
      <c r="T50" s="406">
        <f t="shared" si="14"/>
        <v>525</v>
      </c>
      <c r="U50" s="406">
        <f t="shared" si="14"/>
        <v>420</v>
      </c>
      <c r="V50" s="406">
        <f t="shared" si="14"/>
        <v>370</v>
      </c>
      <c r="W50" s="406">
        <f t="shared" si="14"/>
        <v>460</v>
      </c>
      <c r="X50" s="406">
        <f t="shared" si="14"/>
        <v>460</v>
      </c>
      <c r="Y50" s="406">
        <f t="shared" si="14"/>
        <v>370</v>
      </c>
      <c r="Z50" s="406">
        <f t="shared" si="14"/>
        <v>587</v>
      </c>
      <c r="AA50" s="406">
        <f t="shared" si="14"/>
        <v>665</v>
      </c>
      <c r="AB50" s="406">
        <f t="shared" si="14"/>
        <v>729</v>
      </c>
      <c r="AC50" s="406">
        <f t="shared" si="14"/>
        <v>897</v>
      </c>
      <c r="AD50" s="406">
        <f t="shared" si="14"/>
        <v>1005</v>
      </c>
      <c r="AE50" s="406">
        <f t="shared" si="14"/>
        <v>1236</v>
      </c>
      <c r="AF50" s="406">
        <f t="shared" si="14"/>
        <v>1749</v>
      </c>
      <c r="AG50" s="406">
        <f t="shared" si="14"/>
        <v>1765</v>
      </c>
      <c r="AH50" s="406">
        <f t="shared" si="14"/>
        <v>1895</v>
      </c>
      <c r="AI50" s="406">
        <f t="shared" si="14"/>
        <v>3005</v>
      </c>
      <c r="AJ50" s="406">
        <f t="shared" si="14"/>
        <v>2960</v>
      </c>
      <c r="AK50" s="406">
        <f t="shared" si="14"/>
        <v>2773</v>
      </c>
      <c r="AL50" s="406">
        <f t="shared" si="14"/>
        <v>2807</v>
      </c>
      <c r="AM50" s="406">
        <f t="shared" si="14"/>
        <v>2843</v>
      </c>
      <c r="AN50" s="406">
        <f t="shared" si="14"/>
        <v>2598</v>
      </c>
      <c r="AO50" s="406">
        <f t="shared" si="14"/>
        <v>2523</v>
      </c>
      <c r="AP50" s="406">
        <f t="shared" si="14"/>
        <v>2573</v>
      </c>
      <c r="AQ50" s="406">
        <f t="shared" si="14"/>
        <v>2598</v>
      </c>
      <c r="AR50" s="406">
        <f t="shared" si="14"/>
        <v>2866</v>
      </c>
      <c r="AS50" s="406">
        <f t="shared" si="14"/>
        <v>3754</v>
      </c>
      <c r="AT50" s="406">
        <f t="shared" si="14"/>
        <v>4124</v>
      </c>
      <c r="AU50" s="406">
        <f t="shared" si="14"/>
        <v>4398</v>
      </c>
      <c r="AV50" s="547">
        <f t="shared" si="14"/>
        <v>4608</v>
      </c>
      <c r="AW50" s="407">
        <f t="shared" si="14"/>
        <v>4587</v>
      </c>
      <c r="AX50" s="75"/>
      <c r="AY50" s="75"/>
      <c r="AZ50" s="75"/>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row>
    <row r="51" spans="1:97" ht="15" customHeight="1">
      <c r="A51" s="81" t="s">
        <v>3751</v>
      </c>
      <c r="B51" s="429">
        <f>B45</f>
        <v>685.9</v>
      </c>
      <c r="C51" s="429">
        <f t="shared" ref="C51:AV51" si="15">C45</f>
        <v>773.80000000000007</v>
      </c>
      <c r="D51" s="429">
        <f t="shared" si="15"/>
        <v>889.4</v>
      </c>
      <c r="E51" s="429">
        <f t="shared" si="15"/>
        <v>1005.2</v>
      </c>
      <c r="F51" s="429">
        <f t="shared" si="15"/>
        <v>1154.8999999999999</v>
      </c>
      <c r="G51" s="429">
        <f t="shared" si="15"/>
        <v>1242.5</v>
      </c>
      <c r="H51" s="429">
        <f>H45</f>
        <v>1418</v>
      </c>
      <c r="I51" s="429">
        <f t="shared" si="15"/>
        <v>1697.3999999999999</v>
      </c>
      <c r="J51" s="429">
        <f t="shared" si="15"/>
        <v>1848.8</v>
      </c>
      <c r="K51" s="429">
        <f t="shared" si="15"/>
        <v>1914</v>
      </c>
      <c r="L51" s="429">
        <f t="shared" si="15"/>
        <v>2044.3000000000002</v>
      </c>
      <c r="M51" s="429">
        <f t="shared" si="15"/>
        <v>2259.2000000000003</v>
      </c>
      <c r="N51" s="429">
        <f t="shared" si="15"/>
        <v>2470.7562955449998</v>
      </c>
      <c r="O51" s="429">
        <f t="shared" si="15"/>
        <v>2791.42847927</v>
      </c>
      <c r="P51" s="429">
        <f t="shared" si="15"/>
        <v>3097.61278004</v>
      </c>
      <c r="Q51" s="429">
        <f t="shared" si="15"/>
        <v>3422.2986350000001</v>
      </c>
      <c r="R51" s="429">
        <f t="shared" si="15"/>
        <v>3549.5014375399996</v>
      </c>
      <c r="S51" s="429">
        <f t="shared" si="15"/>
        <v>3824.2758131400005</v>
      </c>
      <c r="T51" s="429">
        <f t="shared" si="15"/>
        <v>3703.1232486699996</v>
      </c>
      <c r="U51" s="429">
        <f t="shared" si="15"/>
        <v>3675.0640952350004</v>
      </c>
      <c r="V51" s="429">
        <f t="shared" si="15"/>
        <v>3754.7758677649999</v>
      </c>
      <c r="W51" s="429">
        <f t="shared" si="15"/>
        <v>3962.1560246949994</v>
      </c>
      <c r="X51" s="429">
        <f t="shared" si="15"/>
        <v>4159.2839700000004</v>
      </c>
      <c r="Y51" s="429">
        <f t="shared" si="15"/>
        <v>4563.4639520000001</v>
      </c>
      <c r="Z51" s="429">
        <f t="shared" si="15"/>
        <v>4905.99147318</v>
      </c>
      <c r="AA51" s="429">
        <f t="shared" si="15"/>
        <v>5569.2063830399993</v>
      </c>
      <c r="AB51" s="429">
        <f t="shared" si="15"/>
        <v>5151.4893679999996</v>
      </c>
      <c r="AC51" s="429">
        <f t="shared" si="15"/>
        <v>6045.9811429999991</v>
      </c>
      <c r="AD51" s="429">
        <f t="shared" si="15"/>
        <v>6562.1775560000005</v>
      </c>
      <c r="AE51" s="429">
        <f t="shared" si="15"/>
        <v>6657.6390109999993</v>
      </c>
      <c r="AF51" s="429">
        <f t="shared" si="15"/>
        <v>7363.8567750000002</v>
      </c>
      <c r="AG51" s="429">
        <f t="shared" si="15"/>
        <v>8312.4382519999999</v>
      </c>
      <c r="AH51" s="429">
        <f t="shared" si="15"/>
        <v>8869.5092729999997</v>
      </c>
      <c r="AI51" s="429">
        <f t="shared" si="15"/>
        <v>10065.383719000001</v>
      </c>
      <c r="AJ51" s="429">
        <f t="shared" si="15"/>
        <v>9852.8089400000008</v>
      </c>
      <c r="AK51" s="429">
        <f t="shared" si="15"/>
        <v>9825.3380080000006</v>
      </c>
      <c r="AL51" s="429">
        <f t="shared" si="15"/>
        <v>9834.2343994099992</v>
      </c>
      <c r="AM51" s="429">
        <f t="shared" si="15"/>
        <v>9638.0899567799988</v>
      </c>
      <c r="AN51" s="429">
        <f t="shared" si="15"/>
        <v>9493.5606506900021</v>
      </c>
      <c r="AO51" s="429">
        <f t="shared" si="15"/>
        <v>10192.040861000001</v>
      </c>
      <c r="AP51" s="429">
        <f t="shared" si="15"/>
        <v>10038.445245000001</v>
      </c>
      <c r="AQ51" s="429">
        <f t="shared" si="15"/>
        <v>10240.784</v>
      </c>
      <c r="AR51" s="429">
        <f t="shared" si="15"/>
        <v>12069.720888</v>
      </c>
      <c r="AS51" s="429">
        <f t="shared" si="15"/>
        <v>12463.887646000001</v>
      </c>
      <c r="AT51" s="429">
        <f t="shared" si="15"/>
        <v>13165.461013599999</v>
      </c>
      <c r="AU51" s="429">
        <f t="shared" si="15"/>
        <v>13856.727292</v>
      </c>
      <c r="AV51" s="561">
        <f t="shared" si="15"/>
        <v>14924.494239898968</v>
      </c>
      <c r="AW51" s="430">
        <f>AW45</f>
        <v>15139.724072861753</v>
      </c>
      <c r="AX51" s="75"/>
      <c r="AY51" s="52"/>
      <c r="AZ51" s="75"/>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c r="CC51" s="52"/>
      <c r="CD51" s="52"/>
      <c r="CE51" s="52"/>
      <c r="CF51" s="52"/>
      <c r="CG51" s="52"/>
      <c r="CH51" s="52"/>
      <c r="CI51" s="52"/>
      <c r="CJ51" s="52"/>
      <c r="CK51" s="52"/>
      <c r="CL51" s="52"/>
      <c r="CM51" s="52"/>
      <c r="CN51" s="52"/>
      <c r="CO51" s="52"/>
      <c r="CP51" s="52"/>
      <c r="CQ51" s="52"/>
      <c r="CR51" s="52"/>
      <c r="CS51" s="52"/>
    </row>
    <row r="52" spans="1:97" ht="15" customHeight="1">
      <c r="A52" s="99"/>
      <c r="B52" s="99"/>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75"/>
      <c r="AU52" s="75"/>
      <c r="AV52" s="52"/>
      <c r="AW52" s="52"/>
      <c r="AX52" s="52"/>
      <c r="AY52" s="75"/>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2"/>
      <c r="CE52" s="52"/>
      <c r="CF52" s="52"/>
      <c r="CG52" s="52"/>
      <c r="CH52" s="52"/>
      <c r="CI52" s="52"/>
      <c r="CJ52" s="52"/>
      <c r="CK52" s="52"/>
      <c r="CL52" s="52"/>
      <c r="CM52" s="52"/>
      <c r="CN52" s="52"/>
      <c r="CO52" s="52"/>
      <c r="CP52" s="52"/>
      <c r="CQ52" s="52"/>
      <c r="CR52" s="52"/>
      <c r="CS52" s="52"/>
    </row>
    <row r="53" spans="1:97" ht="30" customHeight="1">
      <c r="A53" s="74" t="s">
        <v>3753</v>
      </c>
      <c r="B53" s="88" t="s">
        <v>1100</v>
      </c>
      <c r="C53" s="88" t="s">
        <v>1100</v>
      </c>
      <c r="D53" s="88" t="s">
        <v>1100</v>
      </c>
      <c r="E53" s="88" t="s">
        <v>1100</v>
      </c>
      <c r="F53" s="88" t="s">
        <v>1100</v>
      </c>
      <c r="G53" s="88" t="s">
        <v>1100</v>
      </c>
      <c r="H53" s="88" t="s">
        <v>1100</v>
      </c>
      <c r="I53" s="88" t="s">
        <v>1100</v>
      </c>
      <c r="J53" s="88" t="s">
        <v>1100</v>
      </c>
      <c r="K53" s="88" t="s">
        <v>1100</v>
      </c>
      <c r="L53" s="88" t="s">
        <v>1100</v>
      </c>
      <c r="M53" s="393" t="s">
        <v>1100</v>
      </c>
      <c r="N53" s="393" t="s">
        <v>1100</v>
      </c>
      <c r="O53" s="393" t="s">
        <v>1100</v>
      </c>
      <c r="P53" s="393" t="s">
        <v>1100</v>
      </c>
      <c r="Q53" s="393" t="s">
        <v>1100</v>
      </c>
      <c r="R53" s="393" t="s">
        <v>1100</v>
      </c>
      <c r="S53" s="393" t="s">
        <v>1100</v>
      </c>
      <c r="T53" s="393" t="s">
        <v>1100</v>
      </c>
      <c r="U53" s="393" t="s">
        <v>1100</v>
      </c>
      <c r="V53" s="393" t="s">
        <v>1100</v>
      </c>
      <c r="W53" s="393" t="s">
        <v>1100</v>
      </c>
      <c r="X53" s="393" t="s">
        <v>1100</v>
      </c>
      <c r="Y53" s="393" t="s">
        <v>1100</v>
      </c>
      <c r="Z53" s="393" t="s">
        <v>1100</v>
      </c>
      <c r="AA53" s="393" t="s">
        <v>1100</v>
      </c>
      <c r="AB53" s="393" t="s">
        <v>1100</v>
      </c>
      <c r="AC53" s="393" t="s">
        <v>1100</v>
      </c>
      <c r="AD53" s="393" t="s">
        <v>1100</v>
      </c>
      <c r="AE53" s="393" t="s">
        <v>1100</v>
      </c>
      <c r="AF53" s="393" t="s">
        <v>1100</v>
      </c>
      <c r="AG53" s="393" t="s">
        <v>1100</v>
      </c>
      <c r="AH53" s="393" t="s">
        <v>1100</v>
      </c>
      <c r="AI53" s="393" t="s">
        <v>1100</v>
      </c>
      <c r="AJ53" s="393" t="s">
        <v>1100</v>
      </c>
      <c r="AK53" s="393" t="s">
        <v>1100</v>
      </c>
      <c r="AL53" s="393" t="s">
        <v>1100</v>
      </c>
      <c r="AM53" s="393" t="s">
        <v>1100</v>
      </c>
      <c r="AN53" s="393" t="s">
        <v>1100</v>
      </c>
      <c r="AO53" s="393" t="s">
        <v>1100</v>
      </c>
      <c r="AP53" s="393" t="s">
        <v>1100</v>
      </c>
      <c r="AQ53" s="393" t="s">
        <v>1100</v>
      </c>
      <c r="AR53" s="425" t="s">
        <v>1100</v>
      </c>
      <c r="AS53" s="426" t="s">
        <v>1100</v>
      </c>
      <c r="AT53" s="73"/>
      <c r="AU53" s="383"/>
      <c r="AV53" s="562" t="s">
        <v>202</v>
      </c>
      <c r="AW53" s="395" t="s">
        <v>202</v>
      </c>
      <c r="AX53" s="52"/>
      <c r="AY53" s="431"/>
      <c r="AZ53" s="75"/>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row>
    <row r="54" spans="1:97" ht="15" customHeight="1">
      <c r="A54" s="59" t="s">
        <v>1638</v>
      </c>
      <c r="B54" s="181" t="s">
        <v>207</v>
      </c>
      <c r="C54" s="181" t="s">
        <v>194</v>
      </c>
      <c r="D54" s="181" t="s">
        <v>191</v>
      </c>
      <c r="E54" s="181" t="s">
        <v>188</v>
      </c>
      <c r="F54" s="181" t="s">
        <v>185</v>
      </c>
      <c r="G54" s="181" t="s">
        <v>181</v>
      </c>
      <c r="H54" s="181" t="s">
        <v>178</v>
      </c>
      <c r="I54" s="181" t="s">
        <v>175</v>
      </c>
      <c r="J54" s="181" t="s">
        <v>171</v>
      </c>
      <c r="K54" s="181" t="s">
        <v>168</v>
      </c>
      <c r="L54" s="181" t="s">
        <v>166</v>
      </c>
      <c r="M54" s="181" t="s">
        <v>163</v>
      </c>
      <c r="N54" s="181" t="s">
        <v>160</v>
      </c>
      <c r="O54" s="181" t="s">
        <v>157</v>
      </c>
      <c r="P54" s="181" t="s">
        <v>153</v>
      </c>
      <c r="Q54" s="181" t="s">
        <v>149</v>
      </c>
      <c r="R54" s="181" t="s">
        <v>146</v>
      </c>
      <c r="S54" s="181" t="s">
        <v>142</v>
      </c>
      <c r="T54" s="181" t="s">
        <v>139</v>
      </c>
      <c r="U54" s="181" t="s">
        <v>136</v>
      </c>
      <c r="V54" s="181" t="s">
        <v>132</v>
      </c>
      <c r="W54" s="181" t="s">
        <v>208</v>
      </c>
      <c r="X54" s="181" t="s">
        <v>126</v>
      </c>
      <c r="Y54" s="181" t="s">
        <v>123</v>
      </c>
      <c r="Z54" s="181" t="s">
        <v>120</v>
      </c>
      <c r="AA54" s="181" t="s">
        <v>117</v>
      </c>
      <c r="AB54" s="181" t="s">
        <v>114</v>
      </c>
      <c r="AC54" s="181" t="s">
        <v>111</v>
      </c>
      <c r="AD54" s="181" t="s">
        <v>108</v>
      </c>
      <c r="AE54" s="181" t="s">
        <v>104</v>
      </c>
      <c r="AF54" s="181" t="s">
        <v>101</v>
      </c>
      <c r="AG54" s="181" t="s">
        <v>98</v>
      </c>
      <c r="AH54" s="181" t="s">
        <v>95</v>
      </c>
      <c r="AI54" s="181" t="s">
        <v>91</v>
      </c>
      <c r="AJ54" s="181" t="s">
        <v>87</v>
      </c>
      <c r="AK54" s="181" t="s">
        <v>83</v>
      </c>
      <c r="AL54" s="181" t="s">
        <v>79</v>
      </c>
      <c r="AM54" s="181" t="s">
        <v>75</v>
      </c>
      <c r="AN54" s="181" t="s">
        <v>72</v>
      </c>
      <c r="AO54" s="187" t="s">
        <v>69</v>
      </c>
      <c r="AP54" s="181" t="s">
        <v>66</v>
      </c>
      <c r="AQ54" s="432" t="s">
        <v>62</v>
      </c>
      <c r="AR54" s="181" t="s">
        <v>59</v>
      </c>
      <c r="AS54" s="180" t="s">
        <v>55</v>
      </c>
      <c r="AT54" s="178" t="s">
        <v>52</v>
      </c>
      <c r="AU54" s="185" t="s">
        <v>49</v>
      </c>
      <c r="AV54" s="476" t="s">
        <v>46</v>
      </c>
      <c r="AW54" s="476" t="s">
        <v>42</v>
      </c>
      <c r="AX54" s="52"/>
      <c r="AY54" s="52"/>
      <c r="AZ54" s="75"/>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c r="CC54" s="52"/>
      <c r="CD54" s="52"/>
      <c r="CE54" s="52"/>
      <c r="CF54" s="52"/>
      <c r="CG54" s="52"/>
      <c r="CH54" s="52"/>
      <c r="CI54" s="52"/>
      <c r="CJ54" s="52"/>
      <c r="CK54" s="52"/>
      <c r="CL54" s="52"/>
      <c r="CM54" s="52"/>
      <c r="CN54" s="52"/>
      <c r="CO54" s="52"/>
      <c r="CP54" s="52"/>
      <c r="CQ54" s="52"/>
      <c r="CR54" s="52"/>
      <c r="CS54" s="52"/>
    </row>
    <row r="55" spans="1:97" ht="15" customHeight="1">
      <c r="A55" s="75" t="s">
        <v>3729</v>
      </c>
      <c r="B55" s="406">
        <f>B20</f>
        <v>319</v>
      </c>
      <c r="C55" s="406">
        <f t="shared" ref="C55:AT55" si="16">C20</f>
        <v>370.1</v>
      </c>
      <c r="D55" s="406">
        <f t="shared" si="16"/>
        <v>427.2</v>
      </c>
      <c r="E55" s="406">
        <f t="shared" si="16"/>
        <v>510.9</v>
      </c>
      <c r="F55" s="406">
        <f t="shared" si="16"/>
        <v>575.9</v>
      </c>
      <c r="G55" s="406">
        <f t="shared" si="16"/>
        <v>593.1</v>
      </c>
      <c r="H55" s="406">
        <f t="shared" si="16"/>
        <v>613</v>
      </c>
      <c r="I55" s="406">
        <f t="shared" si="16"/>
        <v>654.90000000000009</v>
      </c>
      <c r="J55" s="406">
        <f t="shared" si="16"/>
        <v>713</v>
      </c>
      <c r="K55" s="406">
        <f t="shared" si="16"/>
        <v>707.3</v>
      </c>
      <c r="L55" s="406">
        <f t="shared" si="16"/>
        <v>737.1</v>
      </c>
      <c r="M55" s="406">
        <f t="shared" si="16"/>
        <v>801.40000000000009</v>
      </c>
      <c r="N55" s="406">
        <f t="shared" si="16"/>
        <v>861.4</v>
      </c>
      <c r="O55" s="406">
        <f t="shared" si="16"/>
        <v>908.1</v>
      </c>
      <c r="P55" s="406">
        <f t="shared" si="16"/>
        <v>923.2</v>
      </c>
      <c r="Q55" s="406">
        <f t="shared" si="16"/>
        <v>945.09999999999991</v>
      </c>
      <c r="R55" s="406">
        <f t="shared" si="16"/>
        <v>927.4</v>
      </c>
      <c r="S55" s="406">
        <f t="shared" si="16"/>
        <v>912.6</v>
      </c>
      <c r="T55" s="406">
        <f t="shared" si="16"/>
        <v>970</v>
      </c>
      <c r="U55" s="406">
        <f t="shared" si="16"/>
        <v>926</v>
      </c>
      <c r="V55" s="406">
        <f t="shared" si="16"/>
        <v>931.40000000000009</v>
      </c>
      <c r="W55" s="406">
        <f t="shared" si="16"/>
        <v>1003.529</v>
      </c>
      <c r="X55" s="406">
        <f t="shared" si="16"/>
        <v>1131.5450000000001</v>
      </c>
      <c r="Y55" s="406">
        <f t="shared" si="16"/>
        <v>1206.1690000000001</v>
      </c>
      <c r="Z55" s="406">
        <f t="shared" si="16"/>
        <v>1260.386</v>
      </c>
      <c r="AA55" s="406">
        <f t="shared" si="16"/>
        <v>1426.330385</v>
      </c>
      <c r="AB55" s="406">
        <f t="shared" si="16"/>
        <v>1379.9955460000001</v>
      </c>
      <c r="AC55" s="406">
        <f t="shared" si="16"/>
        <v>1426.3249349999999</v>
      </c>
      <c r="AD55" s="406">
        <f t="shared" si="16"/>
        <v>1504.4249709999999</v>
      </c>
      <c r="AE55" s="406">
        <f t="shared" si="16"/>
        <v>1637.5067290000002</v>
      </c>
      <c r="AF55" s="406">
        <f t="shared" si="16"/>
        <v>1616.4804180000001</v>
      </c>
      <c r="AG55" s="406">
        <f t="shared" si="16"/>
        <v>1708.602768</v>
      </c>
      <c r="AH55" s="406">
        <f t="shared" si="16"/>
        <v>1756.756042</v>
      </c>
      <c r="AI55" s="406">
        <f t="shared" si="16"/>
        <v>1792.3249999999998</v>
      </c>
      <c r="AJ55" s="406">
        <f t="shared" si="16"/>
        <v>1856.972</v>
      </c>
      <c r="AK55" s="406">
        <f t="shared" si="16"/>
        <v>1895.701</v>
      </c>
      <c r="AL55" s="406">
        <f t="shared" si="16"/>
        <v>1907.6480000000001</v>
      </c>
      <c r="AM55" s="406">
        <f t="shared" si="16"/>
        <v>1894.6986579999998</v>
      </c>
      <c r="AN55" s="406">
        <f t="shared" si="16"/>
        <v>1953.2121180000004</v>
      </c>
      <c r="AO55" s="406">
        <f t="shared" si="16"/>
        <v>2029.2452499999999</v>
      </c>
      <c r="AP55" s="406">
        <f t="shared" si="16"/>
        <v>2123.2240000000002</v>
      </c>
      <c r="AQ55" s="406">
        <f t="shared" si="16"/>
        <v>2084.6239999999998</v>
      </c>
      <c r="AR55" s="406">
        <f t="shared" si="16"/>
        <v>2298.3830260000004</v>
      </c>
      <c r="AS55" s="406">
        <f t="shared" si="16"/>
        <v>2287.9626459999999</v>
      </c>
      <c r="AT55" s="406">
        <f t="shared" si="16"/>
        <v>2363.857</v>
      </c>
      <c r="AU55" s="406">
        <f t="shared" ref="AU55:AW55" si="17">AU20</f>
        <v>2405.0359900000003</v>
      </c>
      <c r="AV55" s="474">
        <f t="shared" si="17"/>
        <v>2420.3413748989669</v>
      </c>
      <c r="AW55" s="408">
        <f t="shared" si="17"/>
        <v>2496.6380728617546</v>
      </c>
      <c r="AX55" s="52"/>
      <c r="AY55" s="52"/>
      <c r="AZ55" s="75"/>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row>
    <row r="56" spans="1:97" ht="15" customHeight="1">
      <c r="A56" s="75" t="s">
        <v>3734</v>
      </c>
      <c r="B56" s="406">
        <f>B25</f>
        <v>25.9</v>
      </c>
      <c r="C56" s="406">
        <f t="shared" ref="C56:AT56" si="18">C25</f>
        <v>37.700000000000003</v>
      </c>
      <c r="D56" s="406">
        <f t="shared" si="18"/>
        <v>53.2</v>
      </c>
      <c r="E56" s="406">
        <f t="shared" si="18"/>
        <v>27.499999999999996</v>
      </c>
      <c r="F56" s="406">
        <f t="shared" si="18"/>
        <v>56.499999999999993</v>
      </c>
      <c r="G56" s="406">
        <f t="shared" si="18"/>
        <v>71.5</v>
      </c>
      <c r="H56" s="406">
        <f t="shared" si="18"/>
        <v>111.30000000000001</v>
      </c>
      <c r="I56" s="406">
        <f t="shared" si="18"/>
        <v>271.39999999999998</v>
      </c>
      <c r="J56" s="406">
        <f t="shared" si="18"/>
        <v>294.3</v>
      </c>
      <c r="K56" s="406">
        <f t="shared" si="18"/>
        <v>312.5</v>
      </c>
      <c r="L56" s="406">
        <f t="shared" si="18"/>
        <v>292.8</v>
      </c>
      <c r="M56" s="406">
        <f t="shared" si="18"/>
        <v>384.9</v>
      </c>
      <c r="N56" s="406">
        <f t="shared" si="18"/>
        <v>455.9</v>
      </c>
      <c r="O56" s="406">
        <f t="shared" si="18"/>
        <v>552.20000000000005</v>
      </c>
      <c r="P56" s="406">
        <f t="shared" si="18"/>
        <v>658.9</v>
      </c>
      <c r="Q56" s="406">
        <f t="shared" si="18"/>
        <v>808.7</v>
      </c>
      <c r="R56" s="406">
        <f t="shared" si="18"/>
        <v>831.3</v>
      </c>
      <c r="S56" s="406">
        <f t="shared" si="18"/>
        <v>954.4</v>
      </c>
      <c r="T56" s="406">
        <f t="shared" si="18"/>
        <v>652.79999999999995</v>
      </c>
      <c r="U56" s="406">
        <f t="shared" si="18"/>
        <v>556.4</v>
      </c>
      <c r="V56" s="406">
        <f t="shared" si="18"/>
        <v>575.70000000000005</v>
      </c>
      <c r="W56" s="406">
        <f t="shared" si="18"/>
        <v>713.6</v>
      </c>
      <c r="X56" s="406">
        <f t="shared" si="18"/>
        <v>739.3</v>
      </c>
      <c r="Y56" s="406">
        <f t="shared" si="18"/>
        <v>865</v>
      </c>
      <c r="Z56" s="406">
        <f t="shared" si="18"/>
        <v>955.75</v>
      </c>
      <c r="AA56" s="406">
        <f t="shared" si="18"/>
        <v>1071.5999999999999</v>
      </c>
      <c r="AB56" s="406">
        <f t="shared" si="18"/>
        <v>1067.9199999999998</v>
      </c>
      <c r="AC56" s="406">
        <f t="shared" si="18"/>
        <v>1264.021</v>
      </c>
      <c r="AD56" s="406">
        <f t="shared" si="18"/>
        <v>1412.9360000000001</v>
      </c>
      <c r="AE56" s="406">
        <f t="shared" si="18"/>
        <v>1677.143</v>
      </c>
      <c r="AF56" s="406">
        <f t="shared" si="18"/>
        <v>2174.998</v>
      </c>
      <c r="AG56" s="406">
        <f t="shared" si="18"/>
        <v>2229.1999999999998</v>
      </c>
      <c r="AH56" s="406">
        <f t="shared" si="18"/>
        <v>2277.8389999999999</v>
      </c>
      <c r="AI56" s="406">
        <f t="shared" si="18"/>
        <v>3359.0129999999999</v>
      </c>
      <c r="AJ56" s="406">
        <f t="shared" si="18"/>
        <v>3199.5070000000001</v>
      </c>
      <c r="AK56" s="406">
        <f t="shared" si="18"/>
        <v>2987</v>
      </c>
      <c r="AL56" s="406">
        <f t="shared" si="18"/>
        <v>2989.665</v>
      </c>
      <c r="AM56" s="406">
        <f t="shared" si="18"/>
        <v>2990.3919999999998</v>
      </c>
      <c r="AN56" s="406">
        <f t="shared" si="18"/>
        <v>2719.866</v>
      </c>
      <c r="AO56" s="406">
        <f t="shared" si="18"/>
        <v>2618.8829999999998</v>
      </c>
      <c r="AP56" s="406">
        <f t="shared" si="18"/>
        <v>2632.9549999999999</v>
      </c>
      <c r="AQ56" s="406">
        <f t="shared" si="18"/>
        <v>2651.4830000000002</v>
      </c>
      <c r="AR56" s="406">
        <f t="shared" si="18"/>
        <v>2899.239</v>
      </c>
      <c r="AS56" s="406">
        <f t="shared" si="18"/>
        <v>3768.7350000000001</v>
      </c>
      <c r="AT56" s="406">
        <f t="shared" si="18"/>
        <v>4169.6049999999996</v>
      </c>
      <c r="AU56" s="406">
        <f t="shared" ref="AU56:AW56" si="19">AU25</f>
        <v>4454.4520000000002</v>
      </c>
      <c r="AV56" s="474">
        <f t="shared" si="19"/>
        <v>4641.7520000000004</v>
      </c>
      <c r="AW56" s="408">
        <f t="shared" si="19"/>
        <v>4612.174</v>
      </c>
      <c r="AX56" s="52"/>
      <c r="AY56" s="52"/>
      <c r="AZ56" s="75"/>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c r="CC56" s="52"/>
      <c r="CD56" s="52"/>
      <c r="CE56" s="52"/>
      <c r="CF56" s="52"/>
      <c r="CG56" s="52"/>
      <c r="CH56" s="52"/>
      <c r="CI56" s="52"/>
      <c r="CJ56" s="52"/>
      <c r="CK56" s="52"/>
      <c r="CL56" s="52"/>
      <c r="CM56" s="52"/>
      <c r="CN56" s="52"/>
      <c r="CO56" s="52"/>
      <c r="CP56" s="52"/>
      <c r="CQ56" s="52"/>
      <c r="CR56" s="52"/>
      <c r="CS56" s="52"/>
    </row>
    <row r="57" spans="1:97" ht="15" customHeight="1">
      <c r="A57" s="75" t="s">
        <v>3754</v>
      </c>
      <c r="B57" s="406">
        <f>B32</f>
        <v>300</v>
      </c>
      <c r="C57" s="406">
        <f t="shared" ref="C57:AT57" si="20">C32</f>
        <v>312.39999999999998</v>
      </c>
      <c r="D57" s="406">
        <f t="shared" si="20"/>
        <v>354.6</v>
      </c>
      <c r="E57" s="406">
        <f t="shared" si="20"/>
        <v>400.8</v>
      </c>
      <c r="F57" s="406">
        <f t="shared" si="20"/>
        <v>444.29999999999995</v>
      </c>
      <c r="G57" s="406">
        <f t="shared" si="20"/>
        <v>480.3</v>
      </c>
      <c r="H57" s="406">
        <f t="shared" si="20"/>
        <v>582.70000000000005</v>
      </c>
      <c r="I57" s="406">
        <f t="shared" si="20"/>
        <v>651.29999999999995</v>
      </c>
      <c r="J57" s="406">
        <f t="shared" si="20"/>
        <v>696.09999999999991</v>
      </c>
      <c r="K57" s="406">
        <f t="shared" si="20"/>
        <v>756</v>
      </c>
      <c r="L57" s="406">
        <f t="shared" si="20"/>
        <v>848.50000000000011</v>
      </c>
      <c r="M57" s="406">
        <f t="shared" si="20"/>
        <v>875.4</v>
      </c>
      <c r="N57" s="406">
        <f t="shared" si="20"/>
        <v>990.62616044000004</v>
      </c>
      <c r="O57" s="406">
        <f t="shared" si="20"/>
        <v>1118.7213685649999</v>
      </c>
      <c r="P57" s="406">
        <f t="shared" si="20"/>
        <v>1266.324837335</v>
      </c>
      <c r="Q57" s="406">
        <f t="shared" si="20"/>
        <v>1365.5334539949999</v>
      </c>
      <c r="R57" s="406">
        <f t="shared" si="20"/>
        <v>1454.2269923499998</v>
      </c>
      <c r="S57" s="406">
        <f t="shared" si="20"/>
        <v>1588.5993960900003</v>
      </c>
      <c r="T57" s="406">
        <f t="shared" si="20"/>
        <v>1707.0672472099998</v>
      </c>
      <c r="U57" s="406">
        <f t="shared" si="20"/>
        <v>1782.9856672750002</v>
      </c>
      <c r="V57" s="406">
        <f t="shared" si="20"/>
        <v>1861.3204914949999</v>
      </c>
      <c r="W57" s="406">
        <f t="shared" si="20"/>
        <v>1906.438658415</v>
      </c>
      <c r="X57" s="406">
        <f t="shared" si="20"/>
        <v>1928.8900190000002</v>
      </c>
      <c r="Y57" s="406">
        <f t="shared" si="20"/>
        <v>2041.676453</v>
      </c>
      <c r="Z57" s="406">
        <f t="shared" si="20"/>
        <v>2177.9004730000001</v>
      </c>
      <c r="AA57" s="406">
        <f t="shared" si="20"/>
        <v>2398.064003</v>
      </c>
      <c r="AB57" s="406">
        <f t="shared" si="20"/>
        <v>2054.5006159999998</v>
      </c>
      <c r="AC57" s="406">
        <f t="shared" si="20"/>
        <v>2374.561393</v>
      </c>
      <c r="AD57" s="406">
        <f t="shared" si="20"/>
        <v>2311.28541</v>
      </c>
      <c r="AE57" s="406">
        <f t="shared" si="20"/>
        <v>2362.9399100000001</v>
      </c>
      <c r="AF57" s="406">
        <f t="shared" si="20"/>
        <v>2461.6704849999996</v>
      </c>
      <c r="AG57" s="406">
        <f t="shared" si="20"/>
        <v>2863.335724</v>
      </c>
      <c r="AH57" s="406">
        <f t="shared" si="20"/>
        <v>3133.0032999999999</v>
      </c>
      <c r="AI57" s="406">
        <f t="shared" si="20"/>
        <v>3309.5212140000003</v>
      </c>
      <c r="AJ57" s="406">
        <f t="shared" si="20"/>
        <v>3356.4874220000002</v>
      </c>
      <c r="AK57" s="406">
        <f t="shared" si="20"/>
        <v>3461.6345920422164</v>
      </c>
      <c r="AL57" s="406">
        <f t="shared" si="20"/>
        <v>3498.7800051325798</v>
      </c>
      <c r="AM57" s="406">
        <f t="shared" si="20"/>
        <v>3473.4013078399998</v>
      </c>
      <c r="AN57" s="406">
        <f t="shared" si="20"/>
        <v>3357.6766278499999</v>
      </c>
      <c r="AO57" s="406">
        <f t="shared" si="20"/>
        <v>3553.9035611083091</v>
      </c>
      <c r="AP57" s="406">
        <f t="shared" si="20"/>
        <v>3525.9303024097085</v>
      </c>
      <c r="AQ57" s="406">
        <f t="shared" si="20"/>
        <v>3594.8194753587854</v>
      </c>
      <c r="AR57" s="406">
        <f t="shared" si="20"/>
        <v>4588.8313385727279</v>
      </c>
      <c r="AS57" s="406">
        <f t="shared" si="20"/>
        <v>3676.7542723445536</v>
      </c>
      <c r="AT57" s="406">
        <f t="shared" si="20"/>
        <v>3903.9632684698995</v>
      </c>
      <c r="AU57" s="406">
        <f t="shared" ref="AU57:AW57" si="21">AU32</f>
        <v>4095.2127305658219</v>
      </c>
      <c r="AV57" s="474">
        <f t="shared" si="21"/>
        <v>4651.2047671163427</v>
      </c>
      <c r="AW57" s="408">
        <f t="shared" si="21"/>
        <v>4729.3367441266892</v>
      </c>
      <c r="AX57" s="52"/>
      <c r="AY57" s="52"/>
      <c r="AZ57" s="75"/>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c r="CC57" s="52"/>
      <c r="CD57" s="52"/>
      <c r="CE57" s="52"/>
      <c r="CF57" s="52"/>
      <c r="CG57" s="52"/>
      <c r="CH57" s="52"/>
      <c r="CI57" s="52"/>
      <c r="CJ57" s="52"/>
      <c r="CK57" s="52"/>
      <c r="CL57" s="52"/>
      <c r="CM57" s="52"/>
      <c r="CN57" s="52"/>
      <c r="CO57" s="52"/>
      <c r="CP57" s="52"/>
      <c r="CQ57" s="52"/>
      <c r="CR57" s="52"/>
      <c r="CS57" s="52"/>
    </row>
    <row r="58" spans="1:97" ht="15" customHeight="1">
      <c r="A58" s="75" t="s">
        <v>1640</v>
      </c>
      <c r="B58" s="406">
        <f>B42</f>
        <v>41.000000000000007</v>
      </c>
      <c r="C58" s="406">
        <f t="shared" ref="C58:AT58" si="22">C42</f>
        <v>53.6</v>
      </c>
      <c r="D58" s="406">
        <f t="shared" si="22"/>
        <v>54.400000000000006</v>
      </c>
      <c r="E58" s="406">
        <f t="shared" si="22"/>
        <v>66</v>
      </c>
      <c r="F58" s="406">
        <f t="shared" si="22"/>
        <v>78.2</v>
      </c>
      <c r="G58" s="406">
        <f t="shared" si="22"/>
        <v>97.600000000000009</v>
      </c>
      <c r="H58" s="406">
        <f t="shared" si="22"/>
        <v>111</v>
      </c>
      <c r="I58" s="406">
        <f t="shared" si="22"/>
        <v>119.80000000000001</v>
      </c>
      <c r="J58" s="406">
        <f t="shared" si="22"/>
        <v>145.4</v>
      </c>
      <c r="K58" s="406">
        <f t="shared" si="22"/>
        <v>138.20000000000002</v>
      </c>
      <c r="L58" s="406">
        <f t="shared" si="22"/>
        <v>165.89999999999998</v>
      </c>
      <c r="M58" s="406">
        <f t="shared" si="22"/>
        <v>197.50000000000003</v>
      </c>
      <c r="N58" s="406">
        <f t="shared" si="22"/>
        <v>162.83013510500001</v>
      </c>
      <c r="O58" s="406">
        <f t="shared" si="22"/>
        <v>212.40711070500001</v>
      </c>
      <c r="P58" s="406">
        <f t="shared" si="22"/>
        <v>249.18794270499998</v>
      </c>
      <c r="Q58" s="406">
        <f t="shared" si="22"/>
        <v>302.96518100500003</v>
      </c>
      <c r="R58" s="406">
        <f t="shared" si="22"/>
        <v>336.57444518999995</v>
      </c>
      <c r="S58" s="406">
        <f t="shared" si="22"/>
        <v>368.67641705</v>
      </c>
      <c r="T58" s="406">
        <f t="shared" si="22"/>
        <v>373.25600145999994</v>
      </c>
      <c r="U58" s="406">
        <f t="shared" si="22"/>
        <v>409.67842796000002</v>
      </c>
      <c r="V58" s="406">
        <f t="shared" si="22"/>
        <v>385.15537627000003</v>
      </c>
      <c r="W58" s="406">
        <f t="shared" si="22"/>
        <v>336.38836627999996</v>
      </c>
      <c r="X58" s="406">
        <f t="shared" si="22"/>
        <v>357.848951</v>
      </c>
      <c r="Y58" s="406">
        <f t="shared" si="22"/>
        <v>448.31849899999997</v>
      </c>
      <c r="Z58" s="406">
        <f t="shared" si="22"/>
        <v>510.25500017999991</v>
      </c>
      <c r="AA58" s="406">
        <f t="shared" si="22"/>
        <v>672.91199504000008</v>
      </c>
      <c r="AB58" s="406">
        <f t="shared" si="22"/>
        <v>649.07320600000014</v>
      </c>
      <c r="AC58" s="406">
        <f t="shared" si="22"/>
        <v>981.0738150000002</v>
      </c>
      <c r="AD58" s="406">
        <f t="shared" si="22"/>
        <v>1333.5311749999998</v>
      </c>
      <c r="AE58" s="406">
        <f t="shared" si="22"/>
        <v>980.04937199999995</v>
      </c>
      <c r="AF58" s="406">
        <f t="shared" si="22"/>
        <v>1110.232872</v>
      </c>
      <c r="AG58" s="406">
        <f t="shared" si="22"/>
        <v>1508.5897599999998</v>
      </c>
      <c r="AH58" s="406">
        <f t="shared" si="22"/>
        <v>1701.4569310000002</v>
      </c>
      <c r="AI58" s="406">
        <f t="shared" si="22"/>
        <v>1602.6545050000002</v>
      </c>
      <c r="AJ58" s="406">
        <f t="shared" si="22"/>
        <v>1435.6475179999998</v>
      </c>
      <c r="AK58" s="406">
        <f t="shared" si="22"/>
        <v>1480.0080559577837</v>
      </c>
      <c r="AL58" s="406">
        <f t="shared" si="22"/>
        <v>1437.0883942774203</v>
      </c>
      <c r="AM58" s="406">
        <f t="shared" si="22"/>
        <v>1278.09799094</v>
      </c>
      <c r="AN58" s="406">
        <f t="shared" si="22"/>
        <v>1462.3799048399999</v>
      </c>
      <c r="AO58" s="406">
        <f t="shared" si="22"/>
        <v>1982.9400498916909</v>
      </c>
      <c r="AP58" s="406">
        <f t="shared" si="22"/>
        <v>1732.5434075902917</v>
      </c>
      <c r="AQ58" s="406">
        <f t="shared" si="22"/>
        <v>1885.6705246412141</v>
      </c>
      <c r="AR58" s="406">
        <f t="shared" si="22"/>
        <v>2257.7525234272721</v>
      </c>
      <c r="AS58" s="406">
        <f t="shared" si="22"/>
        <v>2702.3157276554466</v>
      </c>
      <c r="AT58" s="406">
        <f t="shared" si="22"/>
        <v>2700.2087451301004</v>
      </c>
      <c r="AU58" s="406">
        <f t="shared" ref="AU58:AW58" si="23">AU42</f>
        <v>2884.1905714341783</v>
      </c>
      <c r="AV58" s="474">
        <f t="shared" si="23"/>
        <v>3190.6130978836572</v>
      </c>
      <c r="AW58" s="408">
        <f t="shared" si="23"/>
        <v>3270.5502558733092</v>
      </c>
      <c r="AX58" s="52"/>
      <c r="AY58" s="52"/>
      <c r="AZ58" s="75"/>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c r="CC58" s="52"/>
      <c r="CD58" s="52"/>
      <c r="CE58" s="52"/>
      <c r="CF58" s="52"/>
      <c r="CG58" s="52"/>
      <c r="CH58" s="52"/>
      <c r="CI58" s="52"/>
      <c r="CJ58" s="52"/>
      <c r="CK58" s="52"/>
      <c r="CL58" s="52"/>
      <c r="CM58" s="52"/>
      <c r="CN58" s="52"/>
      <c r="CO58" s="52"/>
      <c r="CP58" s="52"/>
      <c r="CQ58" s="52"/>
      <c r="CR58" s="52"/>
      <c r="CS58" s="52"/>
    </row>
    <row r="59" spans="1:97" ht="15" customHeight="1">
      <c r="A59" s="75" t="s">
        <v>3750</v>
      </c>
      <c r="B59" s="406">
        <f>B43</f>
        <v>0</v>
      </c>
      <c r="C59" s="406">
        <f t="shared" ref="C59:AT59" si="24">C43</f>
        <v>0</v>
      </c>
      <c r="D59" s="406">
        <f t="shared" si="24"/>
        <v>0</v>
      </c>
      <c r="E59" s="406">
        <f t="shared" si="24"/>
        <v>0</v>
      </c>
      <c r="F59" s="406">
        <f t="shared" si="24"/>
        <v>0</v>
      </c>
      <c r="G59" s="406">
        <f t="shared" si="24"/>
        <v>0</v>
      </c>
      <c r="H59" s="406">
        <f t="shared" si="24"/>
        <v>0</v>
      </c>
      <c r="I59" s="406">
        <f t="shared" si="24"/>
        <v>0</v>
      </c>
      <c r="J59" s="406">
        <f t="shared" si="24"/>
        <v>0</v>
      </c>
      <c r="K59" s="406">
        <f t="shared" si="24"/>
        <v>0</v>
      </c>
      <c r="L59" s="406">
        <f t="shared" si="24"/>
        <v>0</v>
      </c>
      <c r="M59" s="406">
        <f t="shared" si="24"/>
        <v>0</v>
      </c>
      <c r="N59" s="406">
        <f t="shared" si="24"/>
        <v>0</v>
      </c>
      <c r="O59" s="406">
        <f t="shared" si="24"/>
        <v>0</v>
      </c>
      <c r="P59" s="406">
        <f t="shared" si="24"/>
        <v>0</v>
      </c>
      <c r="Q59" s="406">
        <f t="shared" si="24"/>
        <v>0</v>
      </c>
      <c r="R59" s="406">
        <f t="shared" si="24"/>
        <v>0</v>
      </c>
      <c r="S59" s="406">
        <f t="shared" si="24"/>
        <v>0</v>
      </c>
      <c r="T59" s="406">
        <f t="shared" si="24"/>
        <v>0</v>
      </c>
      <c r="U59" s="406">
        <f t="shared" si="24"/>
        <v>0</v>
      </c>
      <c r="V59" s="406">
        <f t="shared" si="24"/>
        <v>0</v>
      </c>
      <c r="W59" s="406">
        <f t="shared" si="24"/>
        <v>0</v>
      </c>
      <c r="X59" s="406">
        <f t="shared" si="24"/>
        <v>0</v>
      </c>
      <c r="Y59" s="406">
        <f t="shared" si="24"/>
        <v>0</v>
      </c>
      <c r="Z59" s="406">
        <f t="shared" si="24"/>
        <v>0</v>
      </c>
      <c r="AA59" s="406">
        <f t="shared" si="24"/>
        <v>0</v>
      </c>
      <c r="AB59" s="406">
        <f t="shared" si="24"/>
        <v>0</v>
      </c>
      <c r="AC59" s="406">
        <f t="shared" si="24"/>
        <v>0</v>
      </c>
      <c r="AD59" s="406">
        <f t="shared" si="24"/>
        <v>0</v>
      </c>
      <c r="AE59" s="406">
        <f t="shared" si="24"/>
        <v>0</v>
      </c>
      <c r="AF59" s="406">
        <f t="shared" si="24"/>
        <v>0</v>
      </c>
      <c r="AG59" s="406">
        <f t="shared" si="24"/>
        <v>0</v>
      </c>
      <c r="AH59" s="406">
        <f t="shared" si="24"/>
        <v>0</v>
      </c>
      <c r="AI59" s="406">
        <f t="shared" si="24"/>
        <v>0</v>
      </c>
      <c r="AJ59" s="406">
        <f t="shared" si="24"/>
        <v>0</v>
      </c>
      <c r="AK59" s="406">
        <f t="shared" si="24"/>
        <v>0</v>
      </c>
      <c r="AL59" s="406">
        <f t="shared" si="24"/>
        <v>0</v>
      </c>
      <c r="AM59" s="406">
        <f t="shared" si="24"/>
        <v>0</v>
      </c>
      <c r="AN59" s="406">
        <f t="shared" si="24"/>
        <v>0.22600000000000001</v>
      </c>
      <c r="AO59" s="406">
        <f t="shared" si="24"/>
        <v>0.12</v>
      </c>
      <c r="AP59" s="406">
        <f t="shared" si="24"/>
        <v>11.174535000000001</v>
      </c>
      <c r="AQ59" s="406">
        <f t="shared" si="24"/>
        <v>10.202999999999999</v>
      </c>
      <c r="AR59" s="406">
        <f t="shared" si="24"/>
        <v>12.5</v>
      </c>
      <c r="AS59" s="406">
        <f t="shared" si="24"/>
        <v>15</v>
      </c>
      <c r="AT59" s="406">
        <f t="shared" si="24"/>
        <v>15</v>
      </c>
      <c r="AU59" s="406">
        <f t="shared" ref="AU59:AW59" si="25">AU43</f>
        <v>2.5</v>
      </c>
      <c r="AV59" s="474">
        <f t="shared" si="25"/>
        <v>0</v>
      </c>
      <c r="AW59" s="408">
        <f t="shared" si="25"/>
        <v>15</v>
      </c>
      <c r="AX59" s="52"/>
      <c r="AY59" s="52"/>
      <c r="AZ59" s="75"/>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c r="CL59" s="52"/>
      <c r="CM59" s="52"/>
      <c r="CN59" s="52"/>
      <c r="CO59" s="52"/>
      <c r="CP59" s="52"/>
      <c r="CQ59" s="52"/>
      <c r="CR59" s="52"/>
      <c r="CS59" s="52"/>
    </row>
    <row r="60" spans="1:97" ht="15" customHeight="1">
      <c r="A60" s="78" t="s">
        <v>1961</v>
      </c>
      <c r="B60" s="406">
        <f>B44</f>
        <v>0</v>
      </c>
      <c r="C60" s="406">
        <f t="shared" ref="C60:AT60" si="26">C44</f>
        <v>0</v>
      </c>
      <c r="D60" s="406">
        <f t="shared" si="26"/>
        <v>0</v>
      </c>
      <c r="E60" s="406">
        <f t="shared" si="26"/>
        <v>0</v>
      </c>
      <c r="F60" s="406">
        <f t="shared" si="26"/>
        <v>0</v>
      </c>
      <c r="G60" s="406">
        <f t="shared" si="26"/>
        <v>0</v>
      </c>
      <c r="H60" s="406">
        <f t="shared" si="26"/>
        <v>0</v>
      </c>
      <c r="I60" s="406">
        <f t="shared" si="26"/>
        <v>0</v>
      </c>
      <c r="J60" s="406">
        <f t="shared" si="26"/>
        <v>0</v>
      </c>
      <c r="K60" s="406">
        <f t="shared" si="26"/>
        <v>0</v>
      </c>
      <c r="L60" s="406">
        <f t="shared" si="26"/>
        <v>0</v>
      </c>
      <c r="M60" s="406">
        <f t="shared" si="26"/>
        <v>0</v>
      </c>
      <c r="N60" s="406">
        <f t="shared" si="26"/>
        <v>0</v>
      </c>
      <c r="O60" s="406">
        <f t="shared" si="26"/>
        <v>0</v>
      </c>
      <c r="P60" s="406">
        <f t="shared" si="26"/>
        <v>0</v>
      </c>
      <c r="Q60" s="406">
        <f t="shared" si="26"/>
        <v>0</v>
      </c>
      <c r="R60" s="406">
        <f t="shared" si="26"/>
        <v>0</v>
      </c>
      <c r="S60" s="406">
        <f t="shared" si="26"/>
        <v>0</v>
      </c>
      <c r="T60" s="406">
        <f t="shared" si="26"/>
        <v>0</v>
      </c>
      <c r="U60" s="406">
        <f t="shared" si="26"/>
        <v>0</v>
      </c>
      <c r="V60" s="406">
        <f t="shared" si="26"/>
        <v>1.2</v>
      </c>
      <c r="W60" s="406">
        <f t="shared" si="26"/>
        <v>2.2000000000000002</v>
      </c>
      <c r="X60" s="406">
        <f t="shared" si="26"/>
        <v>1.7</v>
      </c>
      <c r="Y60" s="406">
        <f t="shared" si="26"/>
        <v>2.2999999999999998</v>
      </c>
      <c r="Z60" s="406">
        <f t="shared" si="26"/>
        <v>1.7</v>
      </c>
      <c r="AA60" s="406">
        <f t="shared" si="26"/>
        <v>0.3</v>
      </c>
      <c r="AB60" s="406">
        <f t="shared" si="26"/>
        <v>0</v>
      </c>
      <c r="AC60" s="406">
        <f t="shared" si="26"/>
        <v>0</v>
      </c>
      <c r="AD60" s="406">
        <f t="shared" si="26"/>
        <v>0</v>
      </c>
      <c r="AE60" s="406">
        <f t="shared" si="26"/>
        <v>0</v>
      </c>
      <c r="AF60" s="406">
        <f t="shared" si="26"/>
        <v>0.47499999999999998</v>
      </c>
      <c r="AG60" s="406">
        <f t="shared" si="26"/>
        <v>2.71</v>
      </c>
      <c r="AH60" s="406">
        <f t="shared" si="26"/>
        <v>0.45400000000000001</v>
      </c>
      <c r="AI60" s="406">
        <f t="shared" si="26"/>
        <v>1.87</v>
      </c>
      <c r="AJ60" s="406">
        <f t="shared" si="26"/>
        <v>4.1950000000000003</v>
      </c>
      <c r="AK60" s="406">
        <f t="shared" si="26"/>
        <v>0.99435999999999991</v>
      </c>
      <c r="AL60" s="406">
        <f t="shared" si="26"/>
        <v>1.0529999999999999</v>
      </c>
      <c r="AM60" s="406">
        <f t="shared" si="26"/>
        <v>1.5</v>
      </c>
      <c r="AN60" s="406">
        <f t="shared" si="26"/>
        <v>0.2</v>
      </c>
      <c r="AO60" s="434">
        <f t="shared" si="26"/>
        <v>6.9489999999999998</v>
      </c>
      <c r="AP60" s="434">
        <f t="shared" si="26"/>
        <v>12.618</v>
      </c>
      <c r="AQ60" s="434">
        <f t="shared" si="26"/>
        <v>13.984</v>
      </c>
      <c r="AR60" s="434">
        <f t="shared" si="26"/>
        <v>13.015000000000001</v>
      </c>
      <c r="AS60" s="434">
        <f t="shared" si="26"/>
        <v>13.12</v>
      </c>
      <c r="AT60" s="406">
        <f t="shared" si="26"/>
        <v>12.827</v>
      </c>
      <c r="AU60" s="406">
        <f t="shared" ref="AU60:AW60" si="27">AU44</f>
        <v>15.336</v>
      </c>
      <c r="AV60" s="475">
        <f t="shared" si="27"/>
        <v>20.582999999999998</v>
      </c>
      <c r="AW60" s="408">
        <f t="shared" si="27"/>
        <v>16.024999999999999</v>
      </c>
      <c r="AX60" s="52"/>
      <c r="AY60" s="52"/>
      <c r="AZ60" s="75"/>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c r="CC60" s="52"/>
      <c r="CD60" s="52"/>
      <c r="CE60" s="52"/>
      <c r="CF60" s="52"/>
      <c r="CG60" s="52"/>
      <c r="CH60" s="52"/>
      <c r="CI60" s="52"/>
      <c r="CJ60" s="52"/>
      <c r="CK60" s="52"/>
      <c r="CL60" s="52"/>
      <c r="CM60" s="52"/>
      <c r="CN60" s="52"/>
      <c r="CO60" s="52"/>
      <c r="CP60" s="52"/>
      <c r="CQ60" s="52"/>
      <c r="CR60" s="52"/>
      <c r="CS60" s="52"/>
    </row>
    <row r="61" spans="1:97" ht="15" customHeight="1">
      <c r="A61" s="81" t="s">
        <v>3751</v>
      </c>
      <c r="B61" s="429">
        <f>SUM(B55:B60)</f>
        <v>685.9</v>
      </c>
      <c r="C61" s="429">
        <f t="shared" ref="C61:AW61" si="28">SUM(C55:C60)</f>
        <v>773.80000000000007</v>
      </c>
      <c r="D61" s="429">
        <f t="shared" si="28"/>
        <v>889.4</v>
      </c>
      <c r="E61" s="429">
        <f t="shared" si="28"/>
        <v>1005.2</v>
      </c>
      <c r="F61" s="429">
        <f t="shared" si="28"/>
        <v>1154.8999999999999</v>
      </c>
      <c r="G61" s="429">
        <f t="shared" si="28"/>
        <v>1242.5</v>
      </c>
      <c r="H61" s="429">
        <f t="shared" si="28"/>
        <v>1418</v>
      </c>
      <c r="I61" s="429">
        <f t="shared" si="28"/>
        <v>1697.3999999999999</v>
      </c>
      <c r="J61" s="429">
        <f t="shared" si="28"/>
        <v>1848.8</v>
      </c>
      <c r="K61" s="429">
        <f t="shared" si="28"/>
        <v>1914</v>
      </c>
      <c r="L61" s="429">
        <f t="shared" si="28"/>
        <v>2044.3000000000002</v>
      </c>
      <c r="M61" s="429">
        <f t="shared" si="28"/>
        <v>2259.2000000000003</v>
      </c>
      <c r="N61" s="429">
        <f t="shared" si="28"/>
        <v>2470.7562955449998</v>
      </c>
      <c r="O61" s="429">
        <f t="shared" si="28"/>
        <v>2791.42847927</v>
      </c>
      <c r="P61" s="429">
        <f t="shared" si="28"/>
        <v>3097.61278004</v>
      </c>
      <c r="Q61" s="429">
        <f t="shared" si="28"/>
        <v>3422.2986350000001</v>
      </c>
      <c r="R61" s="429">
        <f t="shared" si="28"/>
        <v>3549.5014375399996</v>
      </c>
      <c r="S61" s="429">
        <f t="shared" si="28"/>
        <v>3824.2758131400005</v>
      </c>
      <c r="T61" s="429">
        <f t="shared" si="28"/>
        <v>3703.1232486699996</v>
      </c>
      <c r="U61" s="429">
        <f t="shared" si="28"/>
        <v>3675.0640952350004</v>
      </c>
      <c r="V61" s="429">
        <f t="shared" si="28"/>
        <v>3754.7758677649999</v>
      </c>
      <c r="W61" s="429">
        <f t="shared" si="28"/>
        <v>3962.1560246949994</v>
      </c>
      <c r="X61" s="429">
        <f t="shared" si="28"/>
        <v>4159.2839700000004</v>
      </c>
      <c r="Y61" s="429">
        <f t="shared" si="28"/>
        <v>4563.4639520000001</v>
      </c>
      <c r="Z61" s="429">
        <f t="shared" si="28"/>
        <v>4905.99147318</v>
      </c>
      <c r="AA61" s="429">
        <f t="shared" si="28"/>
        <v>5569.2063830399993</v>
      </c>
      <c r="AB61" s="429">
        <f t="shared" si="28"/>
        <v>5151.4893679999996</v>
      </c>
      <c r="AC61" s="429">
        <f t="shared" si="28"/>
        <v>6045.9811429999991</v>
      </c>
      <c r="AD61" s="429">
        <f t="shared" si="28"/>
        <v>6562.1775560000005</v>
      </c>
      <c r="AE61" s="429">
        <f t="shared" si="28"/>
        <v>6657.6390109999993</v>
      </c>
      <c r="AF61" s="429">
        <f t="shared" si="28"/>
        <v>7363.8567750000002</v>
      </c>
      <c r="AG61" s="429">
        <f t="shared" si="28"/>
        <v>8312.4382519999999</v>
      </c>
      <c r="AH61" s="429">
        <f t="shared" si="28"/>
        <v>8869.5092729999997</v>
      </c>
      <c r="AI61" s="429">
        <f t="shared" si="28"/>
        <v>10065.383719000001</v>
      </c>
      <c r="AJ61" s="429">
        <f t="shared" si="28"/>
        <v>9852.8089400000008</v>
      </c>
      <c r="AK61" s="429">
        <f t="shared" si="28"/>
        <v>9825.3380080000006</v>
      </c>
      <c r="AL61" s="429">
        <f t="shared" si="28"/>
        <v>9834.2343994099992</v>
      </c>
      <c r="AM61" s="429">
        <f t="shared" si="28"/>
        <v>9638.0899567799988</v>
      </c>
      <c r="AN61" s="429">
        <f t="shared" si="28"/>
        <v>9493.5606506900021</v>
      </c>
      <c r="AO61" s="429">
        <f t="shared" si="28"/>
        <v>10192.040861000001</v>
      </c>
      <c r="AP61" s="429">
        <f t="shared" si="28"/>
        <v>10038.445245000001</v>
      </c>
      <c r="AQ61" s="429">
        <f t="shared" si="28"/>
        <v>10240.784</v>
      </c>
      <c r="AR61" s="429">
        <f t="shared" si="28"/>
        <v>12069.720888</v>
      </c>
      <c r="AS61" s="429">
        <f t="shared" si="28"/>
        <v>12463.887646000001</v>
      </c>
      <c r="AT61" s="429">
        <f t="shared" si="28"/>
        <v>13165.461013599999</v>
      </c>
      <c r="AU61" s="564">
        <f t="shared" si="28"/>
        <v>13856.727292</v>
      </c>
      <c r="AV61" s="563">
        <f t="shared" si="28"/>
        <v>14924.494239898968</v>
      </c>
      <c r="AW61" s="435">
        <f t="shared" si="28"/>
        <v>15139.724072861753</v>
      </c>
      <c r="AX61" s="52"/>
      <c r="AY61" s="52"/>
      <c r="AZ61" s="75"/>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c r="CC61" s="52"/>
      <c r="CD61" s="52"/>
      <c r="CE61" s="52"/>
      <c r="CF61" s="52"/>
      <c r="CG61" s="52"/>
      <c r="CH61" s="52"/>
      <c r="CI61" s="52"/>
      <c r="CJ61" s="52"/>
      <c r="CK61" s="52"/>
      <c r="CL61" s="52"/>
      <c r="CM61" s="52"/>
      <c r="CN61" s="52"/>
      <c r="CO61" s="52"/>
      <c r="CP61" s="52"/>
      <c r="CQ61" s="52"/>
      <c r="CR61" s="52"/>
      <c r="CS61" s="52"/>
    </row>
    <row r="62" spans="1:97" ht="15" customHeight="1">
      <c r="A62" s="99"/>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52"/>
      <c r="AW62" s="52"/>
      <c r="AX62" s="52"/>
      <c r="AY62" s="75"/>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c r="CC62" s="52"/>
      <c r="CD62" s="52"/>
      <c r="CE62" s="52"/>
      <c r="CF62" s="52"/>
      <c r="CG62" s="52"/>
      <c r="CH62" s="52"/>
      <c r="CI62" s="52"/>
      <c r="CJ62" s="52"/>
      <c r="CK62" s="52"/>
      <c r="CL62" s="52"/>
      <c r="CM62" s="52"/>
      <c r="CN62" s="52"/>
      <c r="CO62" s="52"/>
      <c r="CP62" s="52"/>
      <c r="CQ62" s="52"/>
      <c r="CR62" s="52"/>
      <c r="CS62" s="52"/>
    </row>
    <row r="63" spans="1:97" ht="15" customHeight="1">
      <c r="A63" s="99"/>
      <c r="B63" s="99"/>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52"/>
      <c r="AW63" s="52"/>
      <c r="AX63" s="52"/>
      <c r="AY63" s="75"/>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row>
    <row r="64" spans="1:97" ht="30" customHeight="1">
      <c r="A64" s="74" t="s">
        <v>3719</v>
      </c>
      <c r="B64" s="88" t="s">
        <v>1100</v>
      </c>
      <c r="C64" s="88" t="s">
        <v>1100</v>
      </c>
      <c r="D64" s="88" t="s">
        <v>1100</v>
      </c>
      <c r="E64" s="88" t="s">
        <v>1100</v>
      </c>
      <c r="F64" s="88" t="s">
        <v>1100</v>
      </c>
      <c r="G64" s="88" t="s">
        <v>1100</v>
      </c>
      <c r="H64" s="88" t="s">
        <v>1100</v>
      </c>
      <c r="I64" s="88" t="s">
        <v>1100</v>
      </c>
      <c r="J64" s="88" t="s">
        <v>1100</v>
      </c>
      <c r="K64" s="88" t="s">
        <v>1100</v>
      </c>
      <c r="L64" s="88" t="s">
        <v>1100</v>
      </c>
      <c r="M64" s="393" t="s">
        <v>1100</v>
      </c>
      <c r="N64" s="393" t="s">
        <v>1100</v>
      </c>
      <c r="O64" s="393" t="s">
        <v>1100</v>
      </c>
      <c r="P64" s="393" t="s">
        <v>1100</v>
      </c>
      <c r="Q64" s="393" t="s">
        <v>1100</v>
      </c>
      <c r="R64" s="393" t="s">
        <v>1100</v>
      </c>
      <c r="S64" s="393" t="s">
        <v>1100</v>
      </c>
      <c r="T64" s="393" t="s">
        <v>1100</v>
      </c>
      <c r="U64" s="393" t="s">
        <v>1100</v>
      </c>
      <c r="V64" s="393" t="s">
        <v>1100</v>
      </c>
      <c r="W64" s="393" t="s">
        <v>1100</v>
      </c>
      <c r="X64" s="393" t="s">
        <v>1100</v>
      </c>
      <c r="Y64" s="393" t="s">
        <v>1100</v>
      </c>
      <c r="Z64" s="393" t="s">
        <v>1100</v>
      </c>
      <c r="AA64" s="393" t="s">
        <v>1100</v>
      </c>
      <c r="AB64" s="393" t="s">
        <v>1100</v>
      </c>
      <c r="AC64" s="393" t="s">
        <v>1100</v>
      </c>
      <c r="AD64" s="393" t="s">
        <v>1100</v>
      </c>
      <c r="AE64" s="393" t="s">
        <v>1100</v>
      </c>
      <c r="AF64" s="393" t="s">
        <v>1100</v>
      </c>
      <c r="AG64" s="393" t="s">
        <v>1100</v>
      </c>
      <c r="AH64" s="393" t="s">
        <v>1100</v>
      </c>
      <c r="AI64" s="393" t="s">
        <v>1100</v>
      </c>
      <c r="AJ64" s="393" t="s">
        <v>1100</v>
      </c>
      <c r="AK64" s="393" t="s">
        <v>1100</v>
      </c>
      <c r="AL64" s="393" t="s">
        <v>1100</v>
      </c>
      <c r="AM64" s="393" t="s">
        <v>1100</v>
      </c>
      <c r="AN64" s="393" t="s">
        <v>1100</v>
      </c>
      <c r="AO64" s="393" t="s">
        <v>1100</v>
      </c>
      <c r="AP64" s="393" t="s">
        <v>1100</v>
      </c>
      <c r="AQ64" s="393" t="s">
        <v>1100</v>
      </c>
      <c r="AR64" s="436" t="s">
        <v>1100</v>
      </c>
      <c r="AS64" s="393" t="s">
        <v>1100</v>
      </c>
      <c r="AT64" s="565"/>
      <c r="AU64" s="383"/>
      <c r="AV64" s="394" t="s">
        <v>202</v>
      </c>
      <c r="AW64" s="395" t="s">
        <v>202</v>
      </c>
      <c r="AX64" s="52"/>
      <c r="AY64" s="52"/>
      <c r="AZ64" s="75"/>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c r="CD64" s="52"/>
      <c r="CE64" s="52"/>
      <c r="CF64" s="52"/>
      <c r="CG64" s="52"/>
      <c r="CH64" s="52"/>
      <c r="CI64" s="52"/>
      <c r="CJ64" s="52"/>
      <c r="CK64" s="52"/>
      <c r="CL64" s="52"/>
      <c r="CM64" s="52"/>
      <c r="CN64" s="52"/>
      <c r="CO64" s="52"/>
      <c r="CP64" s="52"/>
      <c r="CQ64" s="52"/>
      <c r="CR64" s="52"/>
      <c r="CS64" s="52"/>
    </row>
    <row r="65" spans="1:97" ht="15" customHeight="1">
      <c r="A65" s="59" t="s">
        <v>1638</v>
      </c>
      <c r="B65" s="181" t="s">
        <v>207</v>
      </c>
      <c r="C65" s="181" t="s">
        <v>194</v>
      </c>
      <c r="D65" s="181" t="s">
        <v>191</v>
      </c>
      <c r="E65" s="181" t="s">
        <v>188</v>
      </c>
      <c r="F65" s="181" t="s">
        <v>185</v>
      </c>
      <c r="G65" s="181" t="s">
        <v>181</v>
      </c>
      <c r="H65" s="181" t="s">
        <v>178</v>
      </c>
      <c r="I65" s="181" t="s">
        <v>175</v>
      </c>
      <c r="J65" s="181" t="s">
        <v>171</v>
      </c>
      <c r="K65" s="181" t="s">
        <v>168</v>
      </c>
      <c r="L65" s="181" t="s">
        <v>166</v>
      </c>
      <c r="M65" s="181" t="s">
        <v>163</v>
      </c>
      <c r="N65" s="181" t="s">
        <v>160</v>
      </c>
      <c r="O65" s="181" t="s">
        <v>157</v>
      </c>
      <c r="P65" s="181" t="s">
        <v>153</v>
      </c>
      <c r="Q65" s="181" t="s">
        <v>149</v>
      </c>
      <c r="R65" s="181" t="s">
        <v>146</v>
      </c>
      <c r="S65" s="181" t="s">
        <v>142</v>
      </c>
      <c r="T65" s="181" t="s">
        <v>139</v>
      </c>
      <c r="U65" s="181" t="s">
        <v>136</v>
      </c>
      <c r="V65" s="181" t="s">
        <v>132</v>
      </c>
      <c r="W65" s="181" t="s">
        <v>208</v>
      </c>
      <c r="X65" s="181" t="s">
        <v>126</v>
      </c>
      <c r="Y65" s="181" t="s">
        <v>123</v>
      </c>
      <c r="Z65" s="181" t="s">
        <v>120</v>
      </c>
      <c r="AA65" s="181" t="s">
        <v>117</v>
      </c>
      <c r="AB65" s="181" t="s">
        <v>114</v>
      </c>
      <c r="AC65" s="181" t="s">
        <v>111</v>
      </c>
      <c r="AD65" s="181" t="s">
        <v>108</v>
      </c>
      <c r="AE65" s="181" t="s">
        <v>104</v>
      </c>
      <c r="AF65" s="181" t="s">
        <v>101</v>
      </c>
      <c r="AG65" s="181" t="s">
        <v>98</v>
      </c>
      <c r="AH65" s="181" t="s">
        <v>95</v>
      </c>
      <c r="AI65" s="181" t="s">
        <v>91</v>
      </c>
      <c r="AJ65" s="181" t="s">
        <v>87</v>
      </c>
      <c r="AK65" s="181" t="s">
        <v>83</v>
      </c>
      <c r="AL65" s="181" t="s">
        <v>79</v>
      </c>
      <c r="AM65" s="181" t="s">
        <v>75</v>
      </c>
      <c r="AN65" s="181" t="s">
        <v>72</v>
      </c>
      <c r="AO65" s="181" t="s">
        <v>69</v>
      </c>
      <c r="AP65" s="432" t="s">
        <v>66</v>
      </c>
      <c r="AQ65" s="187" t="s">
        <v>62</v>
      </c>
      <c r="AR65" s="181" t="s">
        <v>59</v>
      </c>
      <c r="AS65" s="180" t="s">
        <v>55</v>
      </c>
      <c r="AT65" s="178" t="s">
        <v>52</v>
      </c>
      <c r="AU65" s="178" t="s">
        <v>49</v>
      </c>
      <c r="AV65" s="476" t="s">
        <v>46</v>
      </c>
      <c r="AW65" s="476" t="s">
        <v>42</v>
      </c>
      <c r="AX65" s="437" t="s">
        <v>1100</v>
      </c>
      <c r="AY65" s="52"/>
      <c r="AZ65" s="75"/>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52"/>
      <c r="CD65" s="52"/>
      <c r="CE65" s="52"/>
      <c r="CF65" s="52"/>
      <c r="CG65" s="52"/>
      <c r="CH65" s="52"/>
      <c r="CI65" s="52"/>
      <c r="CJ65" s="52"/>
      <c r="CK65" s="52"/>
      <c r="CL65" s="52"/>
      <c r="CM65" s="52"/>
      <c r="CN65" s="52"/>
      <c r="CO65" s="52"/>
      <c r="CP65" s="52"/>
      <c r="CQ65" s="52"/>
      <c r="CR65" s="52"/>
      <c r="CS65" s="52"/>
    </row>
    <row r="66" spans="1:97" ht="15" customHeight="1">
      <c r="A66" s="75" t="s">
        <v>3729</v>
      </c>
      <c r="B66" s="385">
        <f>B55/B61</f>
        <v>0.4650823735238373</v>
      </c>
      <c r="C66" s="385">
        <f t="shared" ref="C66:AU66" si="29">C55/C61</f>
        <v>0.47828896355647454</v>
      </c>
      <c r="D66" s="385">
        <f t="shared" si="29"/>
        <v>0.48032381380706096</v>
      </c>
      <c r="E66" s="385">
        <f t="shared" si="29"/>
        <v>0.50825706327099085</v>
      </c>
      <c r="F66" s="385">
        <f t="shared" si="29"/>
        <v>0.49865789245822151</v>
      </c>
      <c r="G66" s="385">
        <f t="shared" si="29"/>
        <v>0.47734406438631793</v>
      </c>
      <c r="H66" s="385">
        <f t="shared" si="29"/>
        <v>0.43229901269393511</v>
      </c>
      <c r="I66" s="385">
        <f t="shared" si="29"/>
        <v>0.38582537999293043</v>
      </c>
      <c r="J66" s="385">
        <f t="shared" si="29"/>
        <v>0.38565556036347903</v>
      </c>
      <c r="K66" s="385">
        <f t="shared" si="29"/>
        <v>0.36954022988505747</v>
      </c>
      <c r="L66" s="385">
        <f t="shared" si="29"/>
        <v>0.36056351807464654</v>
      </c>
      <c r="M66" s="385">
        <f t="shared" si="29"/>
        <v>0.3547273371104816</v>
      </c>
      <c r="N66" s="385">
        <f t="shared" si="29"/>
        <v>0.34863818886273129</v>
      </c>
      <c r="O66" s="385">
        <f t="shared" si="29"/>
        <v>0.32531730859086228</v>
      </c>
      <c r="P66" s="385">
        <f t="shared" si="29"/>
        <v>0.29803596044954289</v>
      </c>
      <c r="Q66" s="385">
        <f t="shared" si="29"/>
        <v>0.27615941821512019</v>
      </c>
      <c r="R66" s="385">
        <f t="shared" si="29"/>
        <v>0.26127613027330943</v>
      </c>
      <c r="S66" s="385">
        <f t="shared" si="29"/>
        <v>0.23863341573438737</v>
      </c>
      <c r="T66" s="385">
        <f t="shared" si="29"/>
        <v>0.26194105215060876</v>
      </c>
      <c r="U66" s="385">
        <f t="shared" si="29"/>
        <v>0.25196839456504427</v>
      </c>
      <c r="V66" s="385">
        <f t="shared" si="29"/>
        <v>0.24805741615528398</v>
      </c>
      <c r="W66" s="385">
        <f t="shared" si="29"/>
        <v>0.25327851648074612</v>
      </c>
      <c r="X66" s="385">
        <f t="shared" si="29"/>
        <v>0.27205283605581754</v>
      </c>
      <c r="Y66" s="385">
        <f t="shared" si="29"/>
        <v>0.26430996556275638</v>
      </c>
      <c r="Z66" s="385">
        <f t="shared" si="29"/>
        <v>0.25690749910395466</v>
      </c>
      <c r="AA66" s="385">
        <f t="shared" si="29"/>
        <v>0.25611016846917878</v>
      </c>
      <c r="AB66" s="385">
        <f t="shared" si="29"/>
        <v>0.26788282910419087</v>
      </c>
      <c r="AC66" s="385">
        <f t="shared" si="29"/>
        <v>0.23591289838066901</v>
      </c>
      <c r="AD66" s="385">
        <f t="shared" si="29"/>
        <v>0.22925697425307517</v>
      </c>
      <c r="AE66" s="385">
        <f t="shared" si="29"/>
        <v>0.24595907442479992</v>
      </c>
      <c r="AF66" s="385">
        <f t="shared" si="29"/>
        <v>0.21951546144784981</v>
      </c>
      <c r="AG66" s="385">
        <f t="shared" si="29"/>
        <v>0.20554772453063391</v>
      </c>
      <c r="AH66" s="385">
        <f t="shared" si="29"/>
        <v>0.19806688148439122</v>
      </c>
      <c r="AI66" s="385">
        <f t="shared" si="29"/>
        <v>0.1780682237296829</v>
      </c>
      <c r="AJ66" s="385">
        <f t="shared" si="29"/>
        <v>0.1884713294765259</v>
      </c>
      <c r="AK66" s="385">
        <f t="shared" si="29"/>
        <v>0.19294002897981521</v>
      </c>
      <c r="AL66" s="385">
        <f t="shared" si="29"/>
        <v>0.1939803265330394</v>
      </c>
      <c r="AM66" s="385">
        <f t="shared" si="29"/>
        <v>0.19658445464779642</v>
      </c>
      <c r="AN66" s="385">
        <f t="shared" si="29"/>
        <v>0.20574073204641494</v>
      </c>
      <c r="AO66" s="385">
        <f t="shared" si="29"/>
        <v>0.19910097277621183</v>
      </c>
      <c r="AP66" s="385">
        <f t="shared" si="29"/>
        <v>0.21150924751594838</v>
      </c>
      <c r="AQ66" s="385">
        <f t="shared" si="29"/>
        <v>0.20356097736267065</v>
      </c>
      <c r="AR66" s="385">
        <f t="shared" si="29"/>
        <v>0.19042553239860807</v>
      </c>
      <c r="AS66" s="385">
        <f t="shared" si="29"/>
        <v>0.18356733556839058</v>
      </c>
      <c r="AT66" s="385">
        <f t="shared" si="29"/>
        <v>0.17954988416722525</v>
      </c>
      <c r="AU66" s="385">
        <f t="shared" si="29"/>
        <v>0.17356450331446707</v>
      </c>
      <c r="AV66" s="567">
        <f>AV55/$AV$61</f>
        <v>0.16217242179158439</v>
      </c>
      <c r="AW66" s="477">
        <f>AW55/$AW$61</f>
        <v>0.1649064448497464</v>
      </c>
      <c r="AX66" s="52"/>
      <c r="AY66" s="52"/>
      <c r="AZ66" s="75"/>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row>
    <row r="67" spans="1:97" ht="15" customHeight="1">
      <c r="A67" s="75" t="s">
        <v>3734</v>
      </c>
      <c r="B67" s="385">
        <f>B56/B61</f>
        <v>3.7760606502405598E-2</v>
      </c>
      <c r="C67" s="385">
        <f t="shared" ref="C67:AU67" si="30">C56/C61</f>
        <v>4.8720599638149391E-2</v>
      </c>
      <c r="D67" s="385">
        <f t="shared" si="30"/>
        <v>5.9815606026534747E-2</v>
      </c>
      <c r="E67" s="385">
        <f t="shared" si="30"/>
        <v>2.7357739753282925E-2</v>
      </c>
      <c r="F67" s="385">
        <f t="shared" si="30"/>
        <v>4.8921984587410164E-2</v>
      </c>
      <c r="G67" s="385">
        <f t="shared" si="30"/>
        <v>5.7545271629778669E-2</v>
      </c>
      <c r="H67" s="385">
        <f t="shared" si="30"/>
        <v>7.8490832157968982E-2</v>
      </c>
      <c r="I67" s="385">
        <f t="shared" si="30"/>
        <v>0.15989159891598917</v>
      </c>
      <c r="J67" s="385">
        <f t="shared" si="30"/>
        <v>0.1591843357853743</v>
      </c>
      <c r="K67" s="385">
        <f t="shared" si="30"/>
        <v>0.16327063740856845</v>
      </c>
      <c r="L67" s="385">
        <f t="shared" si="30"/>
        <v>0.14322751063933864</v>
      </c>
      <c r="M67" s="385">
        <f t="shared" si="30"/>
        <v>0.17037004249291782</v>
      </c>
      <c r="N67" s="385">
        <f t="shared" si="30"/>
        <v>0.18451840062981101</v>
      </c>
      <c r="O67" s="385">
        <f t="shared" si="30"/>
        <v>0.19781986323518794</v>
      </c>
      <c r="P67" s="385">
        <f t="shared" si="30"/>
        <v>0.21271219057647725</v>
      </c>
      <c r="Q67" s="385">
        <f t="shared" si="30"/>
        <v>0.23630316528469761</v>
      </c>
      <c r="R67" s="385">
        <f t="shared" si="30"/>
        <v>0.23420190543045299</v>
      </c>
      <c r="S67" s="385">
        <f t="shared" si="30"/>
        <v>0.24956358971827666</v>
      </c>
      <c r="T67" s="385">
        <f t="shared" si="30"/>
        <v>0.17628362767414163</v>
      </c>
      <c r="U67" s="385">
        <f t="shared" si="30"/>
        <v>0.15139872001726848</v>
      </c>
      <c r="V67" s="385">
        <f t="shared" si="30"/>
        <v>0.15332473102920011</v>
      </c>
      <c r="W67" s="385">
        <f t="shared" si="30"/>
        <v>0.18010396247707883</v>
      </c>
      <c r="X67" s="385">
        <f t="shared" si="30"/>
        <v>0.17774694041868938</v>
      </c>
      <c r="Y67" s="385">
        <f t="shared" si="30"/>
        <v>0.18954899372458109</v>
      </c>
      <c r="Z67" s="385">
        <f t="shared" si="30"/>
        <v>0.19481281311328805</v>
      </c>
      <c r="AA67" s="385">
        <f t="shared" si="30"/>
        <v>0.19241520717626159</v>
      </c>
      <c r="AB67" s="385">
        <f t="shared" si="30"/>
        <v>0.2073031552066672</v>
      </c>
      <c r="AC67" s="385">
        <f t="shared" si="30"/>
        <v>0.2090679693011408</v>
      </c>
      <c r="AD67" s="385">
        <f t="shared" si="30"/>
        <v>0.21531511269580161</v>
      </c>
      <c r="AE67" s="385">
        <f t="shared" si="30"/>
        <v>0.25191257700048947</v>
      </c>
      <c r="AF67" s="385">
        <f t="shared" si="30"/>
        <v>0.29536125789192852</v>
      </c>
      <c r="AG67" s="385">
        <f t="shared" si="30"/>
        <v>0.26817642819345416</v>
      </c>
      <c r="AH67" s="385">
        <f t="shared" si="30"/>
        <v>0.25681680123319267</v>
      </c>
      <c r="AI67" s="385">
        <f t="shared" si="30"/>
        <v>0.33371931898227908</v>
      </c>
      <c r="AJ67" s="385">
        <f t="shared" si="30"/>
        <v>0.32473044179419558</v>
      </c>
      <c r="AK67" s="385">
        <f t="shared" si="30"/>
        <v>0.30400989742723566</v>
      </c>
      <c r="AL67" s="385">
        <f t="shared" si="30"/>
        <v>0.30400587158867837</v>
      </c>
      <c r="AM67" s="385">
        <f t="shared" si="30"/>
        <v>0.31026811467933874</v>
      </c>
      <c r="AN67" s="385">
        <f t="shared" si="30"/>
        <v>0.28649587863562204</v>
      </c>
      <c r="AO67" s="385">
        <f t="shared" si="30"/>
        <v>0.25695373828623425</v>
      </c>
      <c r="AP67" s="385">
        <f t="shared" si="30"/>
        <v>0.26228713069998916</v>
      </c>
      <c r="AQ67" s="385">
        <f t="shared" si="30"/>
        <v>0.25891406361075481</v>
      </c>
      <c r="AR67" s="385">
        <f t="shared" si="30"/>
        <v>0.24020762591805181</v>
      </c>
      <c r="AS67" s="385">
        <f t="shared" si="30"/>
        <v>0.30237235018798403</v>
      </c>
      <c r="AT67" s="385">
        <f t="shared" si="30"/>
        <v>0.31670786125094846</v>
      </c>
      <c r="AU67" s="385">
        <f t="shared" si="30"/>
        <v>0.32146493945736521</v>
      </c>
      <c r="AV67" s="567">
        <f t="shared" ref="AV67:AV71" si="31">AV56/$AV$61</f>
        <v>0.31101569844764287</v>
      </c>
      <c r="AW67" s="477">
        <f t="shared" ref="AW67:AW71" si="32">AW56/$AW$61</f>
        <v>0.30464055869204454</v>
      </c>
      <c r="AX67" s="52"/>
      <c r="AY67" s="52"/>
      <c r="AZ67" s="75"/>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row>
    <row r="68" spans="1:97" ht="15" customHeight="1">
      <c r="A68" s="75" t="s">
        <v>3754</v>
      </c>
      <c r="B68" s="385">
        <f>B57/B61</f>
        <v>0.43738154249890654</v>
      </c>
      <c r="C68" s="385">
        <f t="shared" ref="C68:AU68" si="33">C57/C61</f>
        <v>0.40372189196174718</v>
      </c>
      <c r="D68" s="385">
        <f t="shared" si="33"/>
        <v>0.39869574994378237</v>
      </c>
      <c r="E68" s="385">
        <f t="shared" si="33"/>
        <v>0.39872662156784716</v>
      </c>
      <c r="F68" s="385">
        <f t="shared" si="33"/>
        <v>0.38470863278205908</v>
      </c>
      <c r="G68" s="385">
        <f t="shared" si="33"/>
        <v>0.38655935613682091</v>
      </c>
      <c r="H68" s="385">
        <f t="shared" si="33"/>
        <v>0.4109308885754584</v>
      </c>
      <c r="I68" s="385">
        <f t="shared" si="33"/>
        <v>0.38370448921880523</v>
      </c>
      <c r="J68" s="385">
        <f t="shared" si="33"/>
        <v>0.37651449588922542</v>
      </c>
      <c r="K68" s="385">
        <f t="shared" si="33"/>
        <v>0.39498432601880878</v>
      </c>
      <c r="L68" s="385">
        <f t="shared" si="33"/>
        <v>0.4150564985569633</v>
      </c>
      <c r="M68" s="385">
        <f t="shared" si="33"/>
        <v>0.38748229461756367</v>
      </c>
      <c r="N68" s="385">
        <f t="shared" si="33"/>
        <v>0.40094045787769106</v>
      </c>
      <c r="O68" s="385">
        <f t="shared" si="33"/>
        <v>0.40077020667839647</v>
      </c>
      <c r="P68" s="385">
        <f t="shared" si="33"/>
        <v>0.40880669317184565</v>
      </c>
      <c r="Q68" s="385">
        <f t="shared" si="33"/>
        <v>0.39901060650570602</v>
      </c>
      <c r="R68" s="385">
        <f t="shared" si="33"/>
        <v>0.40969894446862354</v>
      </c>
      <c r="S68" s="385">
        <f t="shared" si="33"/>
        <v>0.41539875095610534</v>
      </c>
      <c r="T68" s="385">
        <f t="shared" si="33"/>
        <v>0.46098040291343367</v>
      </c>
      <c r="U68" s="385">
        <f t="shared" si="33"/>
        <v>0.48515770638851619</v>
      </c>
      <c r="V68" s="385">
        <f t="shared" si="33"/>
        <v>0.49572079853675421</v>
      </c>
      <c r="W68" s="385">
        <f t="shared" si="33"/>
        <v>0.48116193469734819</v>
      </c>
      <c r="X68" s="385">
        <f t="shared" si="33"/>
        <v>0.46375530810414944</v>
      </c>
      <c r="Y68" s="385">
        <f t="shared" si="33"/>
        <v>0.44739620482927395</v>
      </c>
      <c r="Z68" s="385">
        <f t="shared" si="33"/>
        <v>0.44392667311105483</v>
      </c>
      <c r="AA68" s="385">
        <f t="shared" si="33"/>
        <v>0.43059348820378895</v>
      </c>
      <c r="AB68" s="385">
        <f t="shared" si="33"/>
        <v>0.39881682155109127</v>
      </c>
      <c r="AC68" s="385">
        <f t="shared" si="33"/>
        <v>0.39275038026694031</v>
      </c>
      <c r="AD68" s="385">
        <f t="shared" si="33"/>
        <v>0.35221317775632582</v>
      </c>
      <c r="AE68" s="385">
        <f t="shared" si="33"/>
        <v>0.35492160300308601</v>
      </c>
      <c r="AF68" s="385">
        <f t="shared" si="33"/>
        <v>0.33429092392960069</v>
      </c>
      <c r="AG68" s="385">
        <f t="shared" si="33"/>
        <v>0.34446399927374766</v>
      </c>
      <c r="AH68" s="385">
        <f t="shared" si="33"/>
        <v>0.35323299221720089</v>
      </c>
      <c r="AI68" s="385">
        <f t="shared" si="33"/>
        <v>0.32880228974805564</v>
      </c>
      <c r="AJ68" s="385">
        <f t="shared" si="33"/>
        <v>0.34066299696256974</v>
      </c>
      <c r="AK68" s="385">
        <f t="shared" si="33"/>
        <v>0.35231709985179943</v>
      </c>
      <c r="AL68" s="385">
        <f t="shared" si="33"/>
        <v>0.35577553503732712</v>
      </c>
      <c r="AM68" s="385">
        <f t="shared" si="33"/>
        <v>0.36038274423830263</v>
      </c>
      <c r="AN68" s="385">
        <f t="shared" si="33"/>
        <v>0.35367937820105044</v>
      </c>
      <c r="AO68" s="385">
        <f t="shared" si="33"/>
        <v>0.3486940063895716</v>
      </c>
      <c r="AP68" s="385">
        <f t="shared" si="33"/>
        <v>0.35124266919380981</v>
      </c>
      <c r="AQ68" s="385">
        <f t="shared" si="33"/>
        <v>0.35102971367805291</v>
      </c>
      <c r="AR68" s="385">
        <f t="shared" si="33"/>
        <v>0.38019365825891233</v>
      </c>
      <c r="AS68" s="385">
        <f t="shared" si="33"/>
        <v>0.29499257188221872</v>
      </c>
      <c r="AT68" s="385">
        <f t="shared" si="33"/>
        <v>0.29653069227405576</v>
      </c>
      <c r="AU68" s="385">
        <f t="shared" si="33"/>
        <v>0.29553967861734132</v>
      </c>
      <c r="AV68" s="567">
        <f t="shared" si="31"/>
        <v>0.31164907114117585</v>
      </c>
      <c r="AW68" s="477">
        <f t="shared" si="32"/>
        <v>0.31237932219677084</v>
      </c>
      <c r="AX68" s="52"/>
      <c r="AY68" s="52"/>
      <c r="AZ68" s="75"/>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row>
    <row r="69" spans="1:97" ht="15" customHeight="1">
      <c r="A69" s="75" t="s">
        <v>1640</v>
      </c>
      <c r="B69" s="385">
        <f>B58/B61</f>
        <v>5.9775477474850576E-2</v>
      </c>
      <c r="C69" s="385">
        <f t="shared" ref="C69:AU69" si="34">C58/C61</f>
        <v>6.9268544843628835E-2</v>
      </c>
      <c r="D69" s="385">
        <f t="shared" si="34"/>
        <v>6.1164830222622001E-2</v>
      </c>
      <c r="E69" s="385">
        <f t="shared" si="34"/>
        <v>6.5658575407879033E-2</v>
      </c>
      <c r="F69" s="385">
        <f t="shared" si="34"/>
        <v>6.7711490172309305E-2</v>
      </c>
      <c r="G69" s="385">
        <f t="shared" si="34"/>
        <v>7.8551307847082502E-2</v>
      </c>
      <c r="H69" s="385">
        <f t="shared" si="34"/>
        <v>7.8279266572637521E-2</v>
      </c>
      <c r="I69" s="385">
        <f t="shared" si="34"/>
        <v>7.0578531872275252E-2</v>
      </c>
      <c r="J69" s="385">
        <f t="shared" si="34"/>
        <v>7.8645607961921257E-2</v>
      </c>
      <c r="K69" s="385">
        <f t="shared" si="34"/>
        <v>7.220480668756532E-2</v>
      </c>
      <c r="L69" s="385">
        <f t="shared" si="34"/>
        <v>8.1152472729051489E-2</v>
      </c>
      <c r="M69" s="385">
        <f t="shared" si="34"/>
        <v>8.7420325779036828E-2</v>
      </c>
      <c r="N69" s="385">
        <f t="shared" si="34"/>
        <v>6.5902952629766712E-2</v>
      </c>
      <c r="O69" s="385">
        <f t="shared" si="34"/>
        <v>7.6092621495553278E-2</v>
      </c>
      <c r="P69" s="385">
        <f t="shared" si="34"/>
        <v>8.0445155802134238E-2</v>
      </c>
      <c r="Q69" s="385">
        <f t="shared" si="34"/>
        <v>8.8526809994476138E-2</v>
      </c>
      <c r="R69" s="385">
        <f t="shared" si="34"/>
        <v>9.4823019827614041E-2</v>
      </c>
      <c r="S69" s="385">
        <f t="shared" si="34"/>
        <v>9.6404243591230579E-2</v>
      </c>
      <c r="T69" s="385">
        <f t="shared" si="34"/>
        <v>0.10079491726181601</v>
      </c>
      <c r="U69" s="385">
        <f t="shared" si="34"/>
        <v>0.11147517902917101</v>
      </c>
      <c r="V69" s="385">
        <f t="shared" si="34"/>
        <v>0.10257746130110841</v>
      </c>
      <c r="W69" s="385">
        <f t="shared" si="34"/>
        <v>8.4900333097279942E-2</v>
      </c>
      <c r="X69" s="385">
        <f t="shared" si="34"/>
        <v>8.6036191224519817E-2</v>
      </c>
      <c r="Y69" s="385">
        <f t="shared" si="34"/>
        <v>9.8240832778687406E-2</v>
      </c>
      <c r="Z69" s="385">
        <f t="shared" si="34"/>
        <v>0.10400649959737074</v>
      </c>
      <c r="AA69" s="385">
        <f t="shared" si="34"/>
        <v>0.12082726851158374</v>
      </c>
      <c r="AB69" s="385">
        <f t="shared" si="34"/>
        <v>0.12599719413805072</v>
      </c>
      <c r="AC69" s="385">
        <f t="shared" si="34"/>
        <v>0.16226875205125005</v>
      </c>
      <c r="AD69" s="385">
        <f t="shared" si="34"/>
        <v>0.20321473529479728</v>
      </c>
      <c r="AE69" s="385">
        <f t="shared" si="34"/>
        <v>0.14720674557162469</v>
      </c>
      <c r="AF69" s="385">
        <f t="shared" si="34"/>
        <v>0.15076785248854871</v>
      </c>
      <c r="AG69" s="385">
        <f t="shared" si="34"/>
        <v>0.1814858305428047</v>
      </c>
      <c r="AH69" s="385">
        <f t="shared" si="34"/>
        <v>0.19183213846784827</v>
      </c>
      <c r="AI69" s="385">
        <f t="shared" si="34"/>
        <v>0.15922438227315036</v>
      </c>
      <c r="AJ69" s="385">
        <f t="shared" si="34"/>
        <v>0.14570946485845485</v>
      </c>
      <c r="AK69" s="385">
        <f t="shared" si="34"/>
        <v>0.15063177009816145</v>
      </c>
      <c r="AL69" s="385">
        <f t="shared" si="34"/>
        <v>0.14613119190687968</v>
      </c>
      <c r="AM69" s="385">
        <f t="shared" si="34"/>
        <v>0.13260905393821426</v>
      </c>
      <c r="AN69" s="385">
        <f t="shared" si="34"/>
        <v>0.15403913859587684</v>
      </c>
      <c r="AO69" s="385">
        <f t="shared" si="34"/>
        <v>0.19455770212612089</v>
      </c>
      <c r="AP69" s="385">
        <f t="shared" si="34"/>
        <v>0.17259081115706096</v>
      </c>
      <c r="AQ69" s="385">
        <f t="shared" si="34"/>
        <v>0.18413341445744918</v>
      </c>
      <c r="AR69" s="385">
        <f t="shared" si="34"/>
        <v>0.18705921573314779</v>
      </c>
      <c r="AS69" s="385">
        <f t="shared" si="34"/>
        <v>0.21681162446314997</v>
      </c>
      <c r="AT69" s="385">
        <f t="shared" si="34"/>
        <v>0.20509792572708002</v>
      </c>
      <c r="AU69" s="385">
        <f t="shared" si="34"/>
        <v>0.20814370598888296</v>
      </c>
      <c r="AV69" s="567">
        <f t="shared" si="31"/>
        <v>0.21378366640752955</v>
      </c>
      <c r="AW69" s="477">
        <f t="shared" si="32"/>
        <v>0.2160244295162442</v>
      </c>
      <c r="AX69" s="52"/>
      <c r="AY69" s="52"/>
      <c r="AZ69" s="75"/>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row>
    <row r="70" spans="1:97" ht="15" customHeight="1">
      <c r="A70" s="75" t="s">
        <v>3750</v>
      </c>
      <c r="B70" s="385">
        <f>B59/B61</f>
        <v>0</v>
      </c>
      <c r="C70" s="385">
        <f t="shared" ref="C70:AU70" si="35">C59/C61</f>
        <v>0</v>
      </c>
      <c r="D70" s="385">
        <f t="shared" si="35"/>
        <v>0</v>
      </c>
      <c r="E70" s="385">
        <f t="shared" si="35"/>
        <v>0</v>
      </c>
      <c r="F70" s="385">
        <f t="shared" si="35"/>
        <v>0</v>
      </c>
      <c r="G70" s="385">
        <f t="shared" si="35"/>
        <v>0</v>
      </c>
      <c r="H70" s="385">
        <f t="shared" si="35"/>
        <v>0</v>
      </c>
      <c r="I70" s="385">
        <f t="shared" si="35"/>
        <v>0</v>
      </c>
      <c r="J70" s="385">
        <f t="shared" si="35"/>
        <v>0</v>
      </c>
      <c r="K70" s="385">
        <f t="shared" si="35"/>
        <v>0</v>
      </c>
      <c r="L70" s="385">
        <f t="shared" si="35"/>
        <v>0</v>
      </c>
      <c r="M70" s="385">
        <f t="shared" si="35"/>
        <v>0</v>
      </c>
      <c r="N70" s="385">
        <f t="shared" si="35"/>
        <v>0</v>
      </c>
      <c r="O70" s="385">
        <f t="shared" si="35"/>
        <v>0</v>
      </c>
      <c r="P70" s="385">
        <f t="shared" si="35"/>
        <v>0</v>
      </c>
      <c r="Q70" s="385">
        <f t="shared" si="35"/>
        <v>0</v>
      </c>
      <c r="R70" s="385">
        <f t="shared" si="35"/>
        <v>0</v>
      </c>
      <c r="S70" s="385">
        <f t="shared" si="35"/>
        <v>0</v>
      </c>
      <c r="T70" s="385">
        <f t="shared" si="35"/>
        <v>0</v>
      </c>
      <c r="U70" s="385">
        <f t="shared" si="35"/>
        <v>0</v>
      </c>
      <c r="V70" s="385">
        <f t="shared" si="35"/>
        <v>0</v>
      </c>
      <c r="W70" s="385">
        <f t="shared" si="35"/>
        <v>0</v>
      </c>
      <c r="X70" s="385">
        <f t="shared" si="35"/>
        <v>0</v>
      </c>
      <c r="Y70" s="385">
        <f t="shared" si="35"/>
        <v>0</v>
      </c>
      <c r="Z70" s="385">
        <f t="shared" si="35"/>
        <v>0</v>
      </c>
      <c r="AA70" s="385">
        <f t="shared" si="35"/>
        <v>0</v>
      </c>
      <c r="AB70" s="385">
        <f t="shared" si="35"/>
        <v>0</v>
      </c>
      <c r="AC70" s="385">
        <f t="shared" si="35"/>
        <v>0</v>
      </c>
      <c r="AD70" s="385">
        <f t="shared" si="35"/>
        <v>0</v>
      </c>
      <c r="AE70" s="385">
        <f t="shared" si="35"/>
        <v>0</v>
      </c>
      <c r="AF70" s="385">
        <f t="shared" si="35"/>
        <v>0</v>
      </c>
      <c r="AG70" s="385">
        <f t="shared" si="35"/>
        <v>0</v>
      </c>
      <c r="AH70" s="385">
        <f t="shared" si="35"/>
        <v>0</v>
      </c>
      <c r="AI70" s="385">
        <f t="shared" si="35"/>
        <v>0</v>
      </c>
      <c r="AJ70" s="385">
        <f t="shared" si="35"/>
        <v>0</v>
      </c>
      <c r="AK70" s="385">
        <f t="shared" si="35"/>
        <v>0</v>
      </c>
      <c r="AL70" s="385">
        <f t="shared" si="35"/>
        <v>0</v>
      </c>
      <c r="AM70" s="385">
        <f t="shared" si="35"/>
        <v>0</v>
      </c>
      <c r="AN70" s="385">
        <f t="shared" si="35"/>
        <v>2.3805609751234282E-5</v>
      </c>
      <c r="AO70" s="385">
        <f t="shared" si="35"/>
        <v>1.1773893142361881E-5</v>
      </c>
      <c r="AP70" s="385">
        <f t="shared" si="35"/>
        <v>1.1131738757618735E-3</v>
      </c>
      <c r="AQ70" s="385">
        <f t="shared" si="35"/>
        <v>9.9631043873203446E-4</v>
      </c>
      <c r="AR70" s="385">
        <f t="shared" si="35"/>
        <v>1.0356494666275003E-3</v>
      </c>
      <c r="AS70" s="385">
        <f t="shared" si="35"/>
        <v>1.2034768305067244E-3</v>
      </c>
      <c r="AT70" s="385">
        <f t="shared" si="35"/>
        <v>1.1393448345261067E-3</v>
      </c>
      <c r="AU70" s="385">
        <f t="shared" si="35"/>
        <v>1.8041778172565626E-4</v>
      </c>
      <c r="AV70" s="567">
        <f t="shared" si="31"/>
        <v>0</v>
      </c>
      <c r="AW70" s="477">
        <f t="shared" si="32"/>
        <v>9.9077102910268954E-4</v>
      </c>
      <c r="AX70" s="52"/>
      <c r="AY70" s="52"/>
      <c r="AZ70" s="75"/>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row>
    <row r="71" spans="1:97" ht="15" customHeight="1">
      <c r="A71" s="78" t="s">
        <v>1961</v>
      </c>
      <c r="B71" s="385">
        <f>B60/B61</f>
        <v>0</v>
      </c>
      <c r="C71" s="385">
        <f t="shared" ref="C71:AU71" si="36">C60/C61</f>
        <v>0</v>
      </c>
      <c r="D71" s="385">
        <f t="shared" si="36"/>
        <v>0</v>
      </c>
      <c r="E71" s="385">
        <f t="shared" si="36"/>
        <v>0</v>
      </c>
      <c r="F71" s="385">
        <f t="shared" si="36"/>
        <v>0</v>
      </c>
      <c r="G71" s="385">
        <f t="shared" si="36"/>
        <v>0</v>
      </c>
      <c r="H71" s="385">
        <f t="shared" si="36"/>
        <v>0</v>
      </c>
      <c r="I71" s="385">
        <f t="shared" si="36"/>
        <v>0</v>
      </c>
      <c r="J71" s="385">
        <f t="shared" si="36"/>
        <v>0</v>
      </c>
      <c r="K71" s="385">
        <f t="shared" si="36"/>
        <v>0</v>
      </c>
      <c r="L71" s="385">
        <f t="shared" si="36"/>
        <v>0</v>
      </c>
      <c r="M71" s="385">
        <f t="shared" si="36"/>
        <v>0</v>
      </c>
      <c r="N71" s="385">
        <f t="shared" si="36"/>
        <v>0</v>
      </c>
      <c r="O71" s="385">
        <f t="shared" si="36"/>
        <v>0</v>
      </c>
      <c r="P71" s="385">
        <f t="shared" si="36"/>
        <v>0</v>
      </c>
      <c r="Q71" s="385">
        <f t="shared" si="36"/>
        <v>0</v>
      </c>
      <c r="R71" s="385">
        <f t="shared" si="36"/>
        <v>0</v>
      </c>
      <c r="S71" s="385">
        <f t="shared" si="36"/>
        <v>0</v>
      </c>
      <c r="T71" s="385">
        <f t="shared" si="36"/>
        <v>0</v>
      </c>
      <c r="U71" s="385">
        <f t="shared" si="36"/>
        <v>0</v>
      </c>
      <c r="V71" s="385">
        <f t="shared" si="36"/>
        <v>3.1959297765336132E-4</v>
      </c>
      <c r="W71" s="385">
        <f t="shared" si="36"/>
        <v>5.5525324754704798E-4</v>
      </c>
      <c r="X71" s="385">
        <f t="shared" si="36"/>
        <v>4.0872419682371429E-4</v>
      </c>
      <c r="Y71" s="385">
        <f t="shared" si="36"/>
        <v>5.0400310470119817E-4</v>
      </c>
      <c r="Z71" s="385">
        <f t="shared" si="36"/>
        <v>3.4651507433177049E-4</v>
      </c>
      <c r="AA71" s="385">
        <f t="shared" si="36"/>
        <v>5.3867639187083312E-5</v>
      </c>
      <c r="AB71" s="385">
        <f t="shared" si="36"/>
        <v>0</v>
      </c>
      <c r="AC71" s="385">
        <f t="shared" si="36"/>
        <v>0</v>
      </c>
      <c r="AD71" s="385">
        <f t="shared" si="36"/>
        <v>0</v>
      </c>
      <c r="AE71" s="385">
        <f t="shared" si="36"/>
        <v>0</v>
      </c>
      <c r="AF71" s="385">
        <f t="shared" si="36"/>
        <v>6.4504242072252954E-5</v>
      </c>
      <c r="AG71" s="385">
        <f t="shared" si="36"/>
        <v>3.260174593595285E-4</v>
      </c>
      <c r="AH71" s="385">
        <f t="shared" si="36"/>
        <v>5.1186597367008582E-5</v>
      </c>
      <c r="AI71" s="385">
        <f t="shared" si="36"/>
        <v>1.8578526683191222E-4</v>
      </c>
      <c r="AJ71" s="385">
        <f t="shared" si="36"/>
        <v>4.2576690825388112E-4</v>
      </c>
      <c r="AK71" s="385">
        <f t="shared" si="36"/>
        <v>1.0120364298819753E-4</v>
      </c>
      <c r="AL71" s="385">
        <f t="shared" si="36"/>
        <v>1.0707493407551626E-4</v>
      </c>
      <c r="AM71" s="385">
        <f t="shared" si="36"/>
        <v>1.5563249634797317E-4</v>
      </c>
      <c r="AN71" s="385">
        <f t="shared" si="36"/>
        <v>2.1066911284278128E-5</v>
      </c>
      <c r="AO71" s="385">
        <f t="shared" si="36"/>
        <v>6.8180652871893926E-4</v>
      </c>
      <c r="AP71" s="385">
        <f t="shared" si="36"/>
        <v>1.2569675574297561E-3</v>
      </c>
      <c r="AQ71" s="385">
        <f t="shared" si="36"/>
        <v>1.3655204523403677E-3</v>
      </c>
      <c r="AR71" s="385">
        <f t="shared" si="36"/>
        <v>1.0783182246525535E-3</v>
      </c>
      <c r="AS71" s="385">
        <f t="shared" si="36"/>
        <v>1.0526410677498817E-3</v>
      </c>
      <c r="AT71" s="385">
        <f t="shared" si="36"/>
        <v>9.7429174616442469E-4</v>
      </c>
      <c r="AU71" s="385">
        <f t="shared" si="36"/>
        <v>1.1067548402178659E-3</v>
      </c>
      <c r="AV71" s="567">
        <f t="shared" si="31"/>
        <v>1.3791422120673039E-3</v>
      </c>
      <c r="AW71" s="477">
        <f t="shared" si="32"/>
        <v>1.0584737160913731E-3</v>
      </c>
      <c r="AX71" s="52"/>
      <c r="AY71" s="52"/>
      <c r="AZ71" s="75"/>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row>
    <row r="72" spans="1:97" ht="15" customHeight="1">
      <c r="A72" s="81" t="s">
        <v>1622</v>
      </c>
      <c r="B72" s="438">
        <f>SUM(B66:B71)</f>
        <v>1.0000000000000002</v>
      </c>
      <c r="C72" s="438">
        <f t="shared" ref="C72:AU72" si="37">SUM(C66:C71)</f>
        <v>0.99999999999999989</v>
      </c>
      <c r="D72" s="438">
        <f t="shared" si="37"/>
        <v>1</v>
      </c>
      <c r="E72" s="438">
        <f t="shared" si="37"/>
        <v>0.99999999999999989</v>
      </c>
      <c r="F72" s="438">
        <f t="shared" si="37"/>
        <v>1</v>
      </c>
      <c r="G72" s="438">
        <f t="shared" si="37"/>
        <v>1</v>
      </c>
      <c r="H72" s="438">
        <f t="shared" si="37"/>
        <v>1</v>
      </c>
      <c r="I72" s="438">
        <f t="shared" si="37"/>
        <v>1</v>
      </c>
      <c r="J72" s="438">
        <f t="shared" si="37"/>
        <v>0.99999999999999989</v>
      </c>
      <c r="K72" s="438">
        <f t="shared" si="37"/>
        <v>1</v>
      </c>
      <c r="L72" s="438">
        <f t="shared" si="37"/>
        <v>0.99999999999999989</v>
      </c>
      <c r="M72" s="438">
        <f t="shared" si="37"/>
        <v>0.99999999999999989</v>
      </c>
      <c r="N72" s="438">
        <f t="shared" si="37"/>
        <v>1</v>
      </c>
      <c r="O72" s="438">
        <f t="shared" si="37"/>
        <v>1</v>
      </c>
      <c r="P72" s="438">
        <f t="shared" si="37"/>
        <v>1</v>
      </c>
      <c r="Q72" s="438">
        <f t="shared" si="37"/>
        <v>0.99999999999999989</v>
      </c>
      <c r="R72" s="438">
        <f t="shared" si="37"/>
        <v>1</v>
      </c>
      <c r="S72" s="438">
        <f t="shared" si="37"/>
        <v>0.99999999999999989</v>
      </c>
      <c r="T72" s="438">
        <f t="shared" si="37"/>
        <v>1.0000000000000002</v>
      </c>
      <c r="U72" s="438">
        <f t="shared" si="37"/>
        <v>1</v>
      </c>
      <c r="V72" s="438">
        <f t="shared" si="37"/>
        <v>1</v>
      </c>
      <c r="W72" s="438">
        <f t="shared" si="37"/>
        <v>1.0000000000000002</v>
      </c>
      <c r="X72" s="438">
        <f t="shared" si="37"/>
        <v>0.99999999999999989</v>
      </c>
      <c r="Y72" s="438">
        <f t="shared" si="37"/>
        <v>1</v>
      </c>
      <c r="Z72" s="438">
        <f t="shared" si="37"/>
        <v>1</v>
      </c>
      <c r="AA72" s="438">
        <f t="shared" si="37"/>
        <v>1.0000000000000002</v>
      </c>
      <c r="AB72" s="438">
        <f t="shared" si="37"/>
        <v>1</v>
      </c>
      <c r="AC72" s="438">
        <f t="shared" si="37"/>
        <v>1.0000000000000002</v>
      </c>
      <c r="AD72" s="438">
        <f t="shared" si="37"/>
        <v>0.99999999999999989</v>
      </c>
      <c r="AE72" s="438">
        <f t="shared" si="37"/>
        <v>1</v>
      </c>
      <c r="AF72" s="438">
        <f t="shared" si="37"/>
        <v>1</v>
      </c>
      <c r="AG72" s="438">
        <f t="shared" si="37"/>
        <v>1</v>
      </c>
      <c r="AH72" s="438">
        <f t="shared" si="37"/>
        <v>1</v>
      </c>
      <c r="AI72" s="438">
        <f t="shared" si="37"/>
        <v>0.99999999999999989</v>
      </c>
      <c r="AJ72" s="438">
        <f t="shared" si="37"/>
        <v>1</v>
      </c>
      <c r="AK72" s="438">
        <f t="shared" si="37"/>
        <v>0.99999999999999989</v>
      </c>
      <c r="AL72" s="438">
        <f t="shared" si="37"/>
        <v>1</v>
      </c>
      <c r="AM72" s="438">
        <f t="shared" si="37"/>
        <v>1</v>
      </c>
      <c r="AN72" s="438">
        <f t="shared" si="37"/>
        <v>0.99999999999999967</v>
      </c>
      <c r="AO72" s="438">
        <f t="shared" si="37"/>
        <v>0.99999999999999989</v>
      </c>
      <c r="AP72" s="438">
        <f t="shared" si="37"/>
        <v>0.99999999999999989</v>
      </c>
      <c r="AQ72" s="438">
        <f t="shared" si="37"/>
        <v>1</v>
      </c>
      <c r="AR72" s="438">
        <f t="shared" si="37"/>
        <v>1</v>
      </c>
      <c r="AS72" s="438">
        <f t="shared" si="37"/>
        <v>0.99999999999999978</v>
      </c>
      <c r="AT72" s="438">
        <f t="shared" si="37"/>
        <v>1</v>
      </c>
      <c r="AU72" s="438">
        <f t="shared" si="37"/>
        <v>1</v>
      </c>
      <c r="AV72" s="568">
        <f>SUM(AV66:AV71)</f>
        <v>0.99999999999999989</v>
      </c>
      <c r="AW72" s="478">
        <f>SUM(AW66:AW71)</f>
        <v>1.0000000000000002</v>
      </c>
      <c r="AX72" s="52"/>
      <c r="AY72" s="52"/>
      <c r="AZ72" s="75"/>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row>
    <row r="73" spans="1:97" ht="15" customHeight="1">
      <c r="AY73" s="99"/>
      <c r="AZ73" s="108" t="s">
        <v>227</v>
      </c>
    </row>
    <row r="74" spans="1:97" ht="15" customHeight="1">
      <c r="AY74" s="52"/>
      <c r="AZ74" s="106" t="s">
        <v>3755</v>
      </c>
    </row>
    <row r="75" spans="1:97" ht="30" customHeight="1">
      <c r="A75" s="469" t="s">
        <v>3756</v>
      </c>
      <c r="B75" s="61" t="s">
        <v>1100</v>
      </c>
      <c r="C75" s="61" t="s">
        <v>1100</v>
      </c>
      <c r="D75" s="61" t="s">
        <v>1100</v>
      </c>
      <c r="E75" s="61" t="s">
        <v>1100</v>
      </c>
      <c r="F75" s="61" t="s">
        <v>1100</v>
      </c>
      <c r="G75" s="61" t="s">
        <v>1100</v>
      </c>
      <c r="H75" s="61" t="s">
        <v>1100</v>
      </c>
      <c r="I75" s="61" t="s">
        <v>1100</v>
      </c>
      <c r="J75" s="61" t="s">
        <v>1100</v>
      </c>
      <c r="K75" s="61" t="s">
        <v>1100</v>
      </c>
      <c r="L75" s="61" t="s">
        <v>1100</v>
      </c>
      <c r="M75" s="61" t="s">
        <v>1100</v>
      </c>
      <c r="N75" s="61" t="s">
        <v>1100</v>
      </c>
      <c r="O75" s="61" t="s">
        <v>1100</v>
      </c>
      <c r="P75" s="61" t="s">
        <v>1100</v>
      </c>
      <c r="Q75" s="61" t="s">
        <v>1100</v>
      </c>
      <c r="R75" s="61" t="s">
        <v>1100</v>
      </c>
      <c r="S75" s="61" t="s">
        <v>1100</v>
      </c>
      <c r="T75" s="61" t="s">
        <v>1100</v>
      </c>
      <c r="U75" s="61" t="s">
        <v>1100</v>
      </c>
      <c r="V75" s="61" t="s">
        <v>1100</v>
      </c>
      <c r="W75" s="61" t="s">
        <v>1100</v>
      </c>
      <c r="X75" s="61" t="s">
        <v>1100</v>
      </c>
      <c r="Y75" s="61" t="s">
        <v>1100</v>
      </c>
      <c r="Z75" s="61" t="s">
        <v>1100</v>
      </c>
      <c r="AA75" s="61" t="s">
        <v>1100</v>
      </c>
      <c r="AB75" s="61" t="s">
        <v>1100</v>
      </c>
      <c r="AC75" s="61" t="s">
        <v>1100</v>
      </c>
      <c r="AD75" s="61" t="s">
        <v>1100</v>
      </c>
      <c r="AE75" s="61" t="s">
        <v>1100</v>
      </c>
      <c r="AF75" s="61" t="s">
        <v>1100</v>
      </c>
      <c r="AG75" s="61" t="s">
        <v>1100</v>
      </c>
      <c r="AH75" s="61" t="s">
        <v>1100</v>
      </c>
      <c r="AI75" s="61" t="s">
        <v>1100</v>
      </c>
      <c r="AJ75" s="61" t="s">
        <v>1100</v>
      </c>
      <c r="AK75" s="61" t="s">
        <v>1100</v>
      </c>
      <c r="AL75" s="61" t="s">
        <v>1100</v>
      </c>
      <c r="AM75" s="61" t="s">
        <v>1100</v>
      </c>
      <c r="AN75" s="61" t="s">
        <v>1100</v>
      </c>
      <c r="AO75" s="61" t="s">
        <v>1100</v>
      </c>
      <c r="AP75" s="61" t="s">
        <v>1100</v>
      </c>
      <c r="AQ75" s="61" t="s">
        <v>1100</v>
      </c>
      <c r="AR75" s="62" t="s">
        <v>1100</v>
      </c>
      <c r="AS75" s="62" t="s">
        <v>1100</v>
      </c>
      <c r="AT75" s="105"/>
      <c r="AU75" s="473"/>
      <c r="AV75" s="577" t="s">
        <v>3757</v>
      </c>
      <c r="AW75" s="577" t="s">
        <v>3757</v>
      </c>
      <c r="AX75" s="52"/>
      <c r="AY75" s="53"/>
      <c r="AZ75" s="107" t="s">
        <v>3758</v>
      </c>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row>
    <row r="76" spans="1:97" ht="15" customHeight="1">
      <c r="A76" s="647" t="s">
        <v>3759</v>
      </c>
      <c r="B76" s="645">
        <v>29007</v>
      </c>
      <c r="C76" s="645">
        <v>29373</v>
      </c>
      <c r="D76" s="645">
        <v>29738</v>
      </c>
      <c r="E76" s="645">
        <v>30103</v>
      </c>
      <c r="F76" s="645">
        <v>30468</v>
      </c>
      <c r="G76" s="645">
        <v>30834</v>
      </c>
      <c r="H76" s="645">
        <v>31199</v>
      </c>
      <c r="I76" s="645">
        <v>31564</v>
      </c>
      <c r="J76" s="645">
        <v>31929</v>
      </c>
      <c r="K76" s="645">
        <v>32295</v>
      </c>
      <c r="L76" s="645">
        <v>32660</v>
      </c>
      <c r="M76" s="645">
        <v>33025</v>
      </c>
      <c r="N76" s="645">
        <v>33390</v>
      </c>
      <c r="O76" s="645">
        <v>33756</v>
      </c>
      <c r="P76" s="645">
        <v>34121</v>
      </c>
      <c r="Q76" s="645">
        <v>34486</v>
      </c>
      <c r="R76" s="645">
        <v>34851</v>
      </c>
      <c r="S76" s="645">
        <v>35217</v>
      </c>
      <c r="T76" s="645">
        <v>35582</v>
      </c>
      <c r="U76" s="645">
        <v>35947</v>
      </c>
      <c r="V76" s="645">
        <v>36312</v>
      </c>
      <c r="W76" s="645">
        <v>36678</v>
      </c>
      <c r="X76" s="645">
        <v>37043</v>
      </c>
      <c r="Y76" s="645">
        <v>37408</v>
      </c>
      <c r="Z76" s="645">
        <v>37773</v>
      </c>
      <c r="AA76" s="645">
        <v>38139</v>
      </c>
      <c r="AB76" s="645">
        <v>38504</v>
      </c>
      <c r="AC76" s="645">
        <v>38869</v>
      </c>
      <c r="AD76" s="645">
        <v>39234</v>
      </c>
      <c r="AE76" s="645">
        <v>39600</v>
      </c>
      <c r="AF76" s="645">
        <v>39965</v>
      </c>
      <c r="AG76" s="645">
        <v>40330</v>
      </c>
      <c r="AH76" s="645">
        <v>40695</v>
      </c>
      <c r="AI76" s="645">
        <v>41061</v>
      </c>
      <c r="AJ76" s="645">
        <v>41426</v>
      </c>
      <c r="AK76" s="645">
        <v>41791</v>
      </c>
      <c r="AL76" s="645">
        <v>42156</v>
      </c>
      <c r="AM76" s="645">
        <v>42522</v>
      </c>
      <c r="AN76" s="645">
        <v>42887</v>
      </c>
      <c r="AO76" s="645">
        <v>43252</v>
      </c>
      <c r="AP76" s="645">
        <v>43617</v>
      </c>
      <c r="AQ76" s="645">
        <v>43983</v>
      </c>
      <c r="AR76" s="645">
        <v>44348</v>
      </c>
      <c r="AS76" s="645">
        <v>44713</v>
      </c>
      <c r="AT76" s="645">
        <v>45078</v>
      </c>
      <c r="AU76" s="645">
        <v>45444</v>
      </c>
      <c r="AV76" s="572">
        <v>45809</v>
      </c>
      <c r="AW76" s="572">
        <v>46174</v>
      </c>
      <c r="AX76" s="52"/>
      <c r="AY76" s="52"/>
      <c r="AZ76" s="106" t="s">
        <v>3760</v>
      </c>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row>
    <row r="77" spans="1:97" ht="15" customHeight="1">
      <c r="A77" s="75" t="s">
        <v>3761</v>
      </c>
      <c r="B77" s="468">
        <v>17.3</v>
      </c>
      <c r="C77" s="468">
        <v>19.100000000000001</v>
      </c>
      <c r="D77" s="468">
        <v>20.9</v>
      </c>
      <c r="E77" s="468">
        <v>23.3</v>
      </c>
      <c r="F77" s="468">
        <v>25.7</v>
      </c>
      <c r="G77" s="468">
        <v>27.7</v>
      </c>
      <c r="H77" s="468">
        <v>29</v>
      </c>
      <c r="I77" s="468">
        <v>30.9</v>
      </c>
      <c r="J77" s="468">
        <v>33.1</v>
      </c>
      <c r="K77" s="468">
        <v>35.5</v>
      </c>
      <c r="L77" s="468">
        <v>38.700000000000003</v>
      </c>
      <c r="M77" s="468">
        <v>41.1</v>
      </c>
      <c r="N77" s="468">
        <v>42.4</v>
      </c>
      <c r="O77" s="468">
        <v>43</v>
      </c>
      <c r="P77" s="468">
        <v>43.4</v>
      </c>
      <c r="Q77" s="468">
        <v>43.8</v>
      </c>
      <c r="R77" s="468">
        <v>44.8</v>
      </c>
      <c r="S77" s="468">
        <v>46</v>
      </c>
      <c r="T77" s="468">
        <v>46.6</v>
      </c>
      <c r="U77" s="468">
        <v>47.1</v>
      </c>
      <c r="V77" s="468">
        <v>47.3</v>
      </c>
      <c r="W77" s="468">
        <v>48.6</v>
      </c>
      <c r="X77" s="468">
        <v>50.8</v>
      </c>
      <c r="Y77" s="468">
        <v>52.2</v>
      </c>
      <c r="Z77" s="468">
        <v>53.8</v>
      </c>
      <c r="AA77" s="468">
        <v>55.5</v>
      </c>
      <c r="AB77" s="468">
        <v>57.7</v>
      </c>
      <c r="AC77" s="468">
        <v>60.6</v>
      </c>
      <c r="AD77" s="468">
        <v>63.6</v>
      </c>
      <c r="AE77" s="468">
        <v>66.599999999999994</v>
      </c>
      <c r="AF77" s="468">
        <v>69.8</v>
      </c>
      <c r="AG77" s="468">
        <v>70.7</v>
      </c>
      <c r="AH77" s="468">
        <v>75</v>
      </c>
      <c r="AI77" s="468">
        <v>76.400000000000006</v>
      </c>
      <c r="AJ77" s="468">
        <v>76.3</v>
      </c>
      <c r="AK77" s="468">
        <v>77.3</v>
      </c>
      <c r="AL77" s="468">
        <v>76.900000000000006</v>
      </c>
      <c r="AM77" s="468">
        <v>76.3</v>
      </c>
      <c r="AN77" s="468">
        <v>79.099999999999994</v>
      </c>
      <c r="AO77" s="468">
        <v>80.599999999999994</v>
      </c>
      <c r="AP77" s="468">
        <v>83.4</v>
      </c>
      <c r="AQ77" s="468">
        <v>85</v>
      </c>
      <c r="AR77" s="468">
        <v>87.6</v>
      </c>
      <c r="AS77" s="468">
        <v>93.9</v>
      </c>
      <c r="AT77" s="468">
        <v>100</v>
      </c>
      <c r="AU77" s="468">
        <v>102.6</v>
      </c>
      <c r="AV77" s="515">
        <f>AU77*(1+(2.75/100))</f>
        <v>105.42150000000001</v>
      </c>
      <c r="AW77" s="515">
        <f>AV77*(1+(1/100))</f>
        <v>106.47571500000001</v>
      </c>
      <c r="AX77" s="52"/>
      <c r="AY77" s="52"/>
      <c r="AZ77" s="106" t="s">
        <v>3762</v>
      </c>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52"/>
      <c r="CD77" s="52"/>
      <c r="CE77" s="52"/>
      <c r="CF77" s="52"/>
      <c r="CG77" s="52"/>
      <c r="CH77" s="52"/>
      <c r="CI77" s="52"/>
      <c r="CJ77" s="52"/>
      <c r="CK77" s="52"/>
      <c r="CL77" s="52"/>
      <c r="CM77" s="52"/>
      <c r="CN77" s="52"/>
      <c r="CO77" s="52"/>
      <c r="CP77" s="52"/>
      <c r="CQ77" s="52"/>
      <c r="CR77" s="52"/>
      <c r="CS77" s="52"/>
    </row>
    <row r="78" spans="1:97" ht="15" customHeight="1">
      <c r="A78" s="75" t="s">
        <v>3763</v>
      </c>
      <c r="B78" s="104">
        <f t="shared" ref="B78:AS78" si="38">B77/$AT$77</f>
        <v>0.17300000000000001</v>
      </c>
      <c r="C78" s="104">
        <f t="shared" si="38"/>
        <v>0.191</v>
      </c>
      <c r="D78" s="104">
        <f t="shared" si="38"/>
        <v>0.20899999999999999</v>
      </c>
      <c r="E78" s="104">
        <f t="shared" si="38"/>
        <v>0.23300000000000001</v>
      </c>
      <c r="F78" s="104">
        <f t="shared" si="38"/>
        <v>0.25700000000000001</v>
      </c>
      <c r="G78" s="104">
        <f t="shared" si="38"/>
        <v>0.27699999999999997</v>
      </c>
      <c r="H78" s="104">
        <f t="shared" si="38"/>
        <v>0.28999999999999998</v>
      </c>
      <c r="I78" s="104">
        <f t="shared" si="38"/>
        <v>0.309</v>
      </c>
      <c r="J78" s="104">
        <f t="shared" si="38"/>
        <v>0.33100000000000002</v>
      </c>
      <c r="K78" s="104">
        <f t="shared" si="38"/>
        <v>0.35499999999999998</v>
      </c>
      <c r="L78" s="104">
        <f t="shared" si="38"/>
        <v>0.38700000000000001</v>
      </c>
      <c r="M78" s="104">
        <f t="shared" si="38"/>
        <v>0.41100000000000003</v>
      </c>
      <c r="N78" s="104">
        <f t="shared" si="38"/>
        <v>0.42399999999999999</v>
      </c>
      <c r="O78" s="104">
        <f t="shared" si="38"/>
        <v>0.43</v>
      </c>
      <c r="P78" s="104">
        <f t="shared" si="38"/>
        <v>0.434</v>
      </c>
      <c r="Q78" s="104">
        <f t="shared" si="38"/>
        <v>0.43799999999999994</v>
      </c>
      <c r="R78" s="104">
        <f t="shared" si="38"/>
        <v>0.44799999999999995</v>
      </c>
      <c r="S78" s="104">
        <f t="shared" si="38"/>
        <v>0.46</v>
      </c>
      <c r="T78" s="104">
        <f t="shared" si="38"/>
        <v>0.46600000000000003</v>
      </c>
      <c r="U78" s="104">
        <f t="shared" si="38"/>
        <v>0.47100000000000003</v>
      </c>
      <c r="V78" s="104">
        <f t="shared" si="38"/>
        <v>0.47299999999999998</v>
      </c>
      <c r="W78" s="104">
        <f t="shared" si="38"/>
        <v>0.48599999999999999</v>
      </c>
      <c r="X78" s="104">
        <f t="shared" si="38"/>
        <v>0.50800000000000001</v>
      </c>
      <c r="Y78" s="104">
        <f t="shared" si="38"/>
        <v>0.52200000000000002</v>
      </c>
      <c r="Z78" s="104">
        <f t="shared" si="38"/>
        <v>0.53799999999999992</v>
      </c>
      <c r="AA78" s="104">
        <f t="shared" si="38"/>
        <v>0.55500000000000005</v>
      </c>
      <c r="AB78" s="104">
        <f t="shared" si="38"/>
        <v>0.57700000000000007</v>
      </c>
      <c r="AC78" s="104">
        <f t="shared" si="38"/>
        <v>0.60599999999999998</v>
      </c>
      <c r="AD78" s="104">
        <f t="shared" si="38"/>
        <v>0.63600000000000001</v>
      </c>
      <c r="AE78" s="104">
        <f t="shared" si="38"/>
        <v>0.66599999999999993</v>
      </c>
      <c r="AF78" s="104">
        <f t="shared" si="38"/>
        <v>0.69799999999999995</v>
      </c>
      <c r="AG78" s="104">
        <f t="shared" si="38"/>
        <v>0.70700000000000007</v>
      </c>
      <c r="AH78" s="104">
        <f t="shared" si="38"/>
        <v>0.75</v>
      </c>
      <c r="AI78" s="104">
        <f t="shared" si="38"/>
        <v>0.76400000000000001</v>
      </c>
      <c r="AJ78" s="104">
        <f t="shared" si="38"/>
        <v>0.76300000000000001</v>
      </c>
      <c r="AK78" s="104">
        <f t="shared" si="38"/>
        <v>0.77300000000000002</v>
      </c>
      <c r="AL78" s="104">
        <f t="shared" si="38"/>
        <v>0.76900000000000002</v>
      </c>
      <c r="AM78" s="104">
        <f t="shared" si="38"/>
        <v>0.76300000000000001</v>
      </c>
      <c r="AN78" s="104">
        <f t="shared" si="38"/>
        <v>0.79099999999999993</v>
      </c>
      <c r="AO78" s="104">
        <f t="shared" si="38"/>
        <v>0.80599999999999994</v>
      </c>
      <c r="AP78" s="104">
        <f t="shared" si="38"/>
        <v>0.83400000000000007</v>
      </c>
      <c r="AQ78" s="104">
        <f t="shared" si="38"/>
        <v>0.85</v>
      </c>
      <c r="AR78" s="104">
        <f t="shared" si="38"/>
        <v>0.87599999999999989</v>
      </c>
      <c r="AS78" s="104">
        <f t="shared" si="38"/>
        <v>0.93900000000000006</v>
      </c>
      <c r="AT78" s="104">
        <f>AT77/$AT$77</f>
        <v>1</v>
      </c>
      <c r="AU78" s="104">
        <f>AU77/$AT$77</f>
        <v>1.026</v>
      </c>
      <c r="AV78" s="566">
        <f t="shared" ref="AV78:AW78" si="39">AV77/$AT$77</f>
        <v>1.0542150000000001</v>
      </c>
      <c r="AW78" s="785">
        <f t="shared" si="39"/>
        <v>1.0647571500000002</v>
      </c>
      <c r="AX78" s="52"/>
      <c r="AY78" s="52"/>
      <c r="AZ78" s="106" t="s">
        <v>3764</v>
      </c>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2"/>
      <c r="CG78" s="52"/>
      <c r="CH78" s="52"/>
      <c r="CI78" s="52"/>
      <c r="CJ78" s="52"/>
      <c r="CK78" s="52"/>
      <c r="CL78" s="52"/>
      <c r="CM78" s="52"/>
      <c r="CN78" s="52"/>
      <c r="CO78" s="52"/>
      <c r="CP78" s="52"/>
      <c r="CQ78" s="52"/>
      <c r="CR78" s="52"/>
      <c r="CS78" s="52"/>
    </row>
    <row r="79" spans="1:97" ht="15" customHeight="1">
      <c r="A79" s="78" t="s">
        <v>1100</v>
      </c>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52"/>
      <c r="AP79" s="52"/>
      <c r="AQ79" s="52"/>
      <c r="AR79" s="52"/>
      <c r="AS79" s="52" t="s">
        <v>1100</v>
      </c>
      <c r="AT79" s="101"/>
      <c r="AV79" s="577" t="s">
        <v>3757</v>
      </c>
      <c r="AW79" s="577" t="s">
        <v>3757</v>
      </c>
      <c r="AX79" s="52"/>
      <c r="AY79" s="98"/>
      <c r="AZ79" s="769" t="s">
        <v>3765</v>
      </c>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c r="CL79" s="52"/>
      <c r="CM79" s="52"/>
      <c r="CN79" s="52"/>
      <c r="CO79" s="52"/>
      <c r="CP79" s="52"/>
      <c r="CQ79" s="52"/>
      <c r="CR79" s="52"/>
      <c r="CS79" s="52"/>
    </row>
    <row r="80" spans="1:97" ht="15" customHeight="1">
      <c r="A80" s="79" t="s">
        <v>38</v>
      </c>
      <c r="B80" s="573" t="s">
        <v>207</v>
      </c>
      <c r="C80" s="573" t="s">
        <v>194</v>
      </c>
      <c r="D80" s="573" t="s">
        <v>191</v>
      </c>
      <c r="E80" s="573" t="s">
        <v>188</v>
      </c>
      <c r="F80" s="573" t="s">
        <v>185</v>
      </c>
      <c r="G80" s="573" t="s">
        <v>181</v>
      </c>
      <c r="H80" s="573" t="s">
        <v>178</v>
      </c>
      <c r="I80" s="573" t="s">
        <v>175</v>
      </c>
      <c r="J80" s="573" t="s">
        <v>171</v>
      </c>
      <c r="K80" s="573" t="s">
        <v>168</v>
      </c>
      <c r="L80" s="573" t="s">
        <v>166</v>
      </c>
      <c r="M80" s="573" t="s">
        <v>163</v>
      </c>
      <c r="N80" s="573" t="s">
        <v>160</v>
      </c>
      <c r="O80" s="573" t="s">
        <v>157</v>
      </c>
      <c r="P80" s="573" t="s">
        <v>153</v>
      </c>
      <c r="Q80" s="573" t="s">
        <v>149</v>
      </c>
      <c r="R80" s="573" t="s">
        <v>146</v>
      </c>
      <c r="S80" s="573" t="s">
        <v>142</v>
      </c>
      <c r="T80" s="573" t="s">
        <v>139</v>
      </c>
      <c r="U80" s="573" t="s">
        <v>136</v>
      </c>
      <c r="V80" s="573" t="s">
        <v>132</v>
      </c>
      <c r="W80" s="573" t="s">
        <v>208</v>
      </c>
      <c r="X80" s="573" t="s">
        <v>126</v>
      </c>
      <c r="Y80" s="573" t="s">
        <v>123</v>
      </c>
      <c r="Z80" s="573" t="s">
        <v>120</v>
      </c>
      <c r="AA80" s="573" t="s">
        <v>117</v>
      </c>
      <c r="AB80" s="573" t="s">
        <v>114</v>
      </c>
      <c r="AC80" s="573" t="s">
        <v>111</v>
      </c>
      <c r="AD80" s="573" t="s">
        <v>108</v>
      </c>
      <c r="AE80" s="573" t="s">
        <v>104</v>
      </c>
      <c r="AF80" s="573" t="s">
        <v>101</v>
      </c>
      <c r="AG80" s="573" t="s">
        <v>98</v>
      </c>
      <c r="AH80" s="573" t="s">
        <v>95</v>
      </c>
      <c r="AI80" s="573" t="s">
        <v>91</v>
      </c>
      <c r="AJ80" s="573" t="s">
        <v>87</v>
      </c>
      <c r="AK80" s="573" t="s">
        <v>83</v>
      </c>
      <c r="AL80" s="573" t="s">
        <v>79</v>
      </c>
      <c r="AM80" s="573" t="s">
        <v>75</v>
      </c>
      <c r="AN80" s="573" t="s">
        <v>72</v>
      </c>
      <c r="AO80" s="573" t="s">
        <v>69</v>
      </c>
      <c r="AP80" s="573" t="s">
        <v>66</v>
      </c>
      <c r="AQ80" s="574" t="s">
        <v>62</v>
      </c>
      <c r="AR80" s="574" t="s">
        <v>59</v>
      </c>
      <c r="AS80" s="574" t="s">
        <v>55</v>
      </c>
      <c r="AT80" s="573" t="s">
        <v>52</v>
      </c>
      <c r="AU80" s="573" t="s">
        <v>49</v>
      </c>
      <c r="AV80" s="575" t="s">
        <v>46</v>
      </c>
      <c r="AW80" s="576" t="s">
        <v>42</v>
      </c>
      <c r="AX80" s="52"/>
      <c r="AY80" s="53"/>
      <c r="AZ80" s="620" t="s">
        <v>3766</v>
      </c>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row>
    <row r="81" spans="1:97" ht="15" customHeight="1">
      <c r="A81" s="80" t="s">
        <v>3767</v>
      </c>
      <c r="B81" s="424">
        <f>B61</f>
        <v>685.9</v>
      </c>
      <c r="C81" s="424">
        <f t="shared" ref="C81:AW81" si="40">C61</f>
        <v>773.80000000000007</v>
      </c>
      <c r="D81" s="424">
        <f t="shared" si="40"/>
        <v>889.4</v>
      </c>
      <c r="E81" s="424">
        <f t="shared" si="40"/>
        <v>1005.2</v>
      </c>
      <c r="F81" s="424">
        <f t="shared" si="40"/>
        <v>1154.8999999999999</v>
      </c>
      <c r="G81" s="424">
        <f t="shared" si="40"/>
        <v>1242.5</v>
      </c>
      <c r="H81" s="424">
        <f t="shared" si="40"/>
        <v>1418</v>
      </c>
      <c r="I81" s="424">
        <f t="shared" si="40"/>
        <v>1697.3999999999999</v>
      </c>
      <c r="J81" s="424">
        <f t="shared" si="40"/>
        <v>1848.8</v>
      </c>
      <c r="K81" s="424">
        <f t="shared" si="40"/>
        <v>1914</v>
      </c>
      <c r="L81" s="424">
        <f t="shared" si="40"/>
        <v>2044.3000000000002</v>
      </c>
      <c r="M81" s="424">
        <f t="shared" si="40"/>
        <v>2259.2000000000003</v>
      </c>
      <c r="N81" s="424">
        <f t="shared" si="40"/>
        <v>2470.7562955449998</v>
      </c>
      <c r="O81" s="424">
        <f t="shared" si="40"/>
        <v>2791.42847927</v>
      </c>
      <c r="P81" s="424">
        <f t="shared" si="40"/>
        <v>3097.61278004</v>
      </c>
      <c r="Q81" s="424">
        <f t="shared" si="40"/>
        <v>3422.2986350000001</v>
      </c>
      <c r="R81" s="424">
        <f t="shared" si="40"/>
        <v>3549.5014375399996</v>
      </c>
      <c r="S81" s="424">
        <f t="shared" si="40"/>
        <v>3824.2758131400005</v>
      </c>
      <c r="T81" s="424">
        <f t="shared" si="40"/>
        <v>3703.1232486699996</v>
      </c>
      <c r="U81" s="424">
        <f t="shared" si="40"/>
        <v>3675.0640952350004</v>
      </c>
      <c r="V81" s="424">
        <f t="shared" si="40"/>
        <v>3754.7758677649999</v>
      </c>
      <c r="W81" s="424">
        <f t="shared" si="40"/>
        <v>3962.1560246949994</v>
      </c>
      <c r="X81" s="424">
        <f t="shared" si="40"/>
        <v>4159.2839700000004</v>
      </c>
      <c r="Y81" s="424">
        <f t="shared" si="40"/>
        <v>4563.4639520000001</v>
      </c>
      <c r="Z81" s="424">
        <f t="shared" si="40"/>
        <v>4905.99147318</v>
      </c>
      <c r="AA81" s="424">
        <f t="shared" si="40"/>
        <v>5569.2063830399993</v>
      </c>
      <c r="AB81" s="424">
        <f t="shared" si="40"/>
        <v>5151.4893679999996</v>
      </c>
      <c r="AC81" s="424">
        <f t="shared" si="40"/>
        <v>6045.9811429999991</v>
      </c>
      <c r="AD81" s="424">
        <f t="shared" si="40"/>
        <v>6562.1775560000005</v>
      </c>
      <c r="AE81" s="424">
        <f t="shared" si="40"/>
        <v>6657.6390109999993</v>
      </c>
      <c r="AF81" s="424">
        <f t="shared" si="40"/>
        <v>7363.8567750000002</v>
      </c>
      <c r="AG81" s="424">
        <f t="shared" si="40"/>
        <v>8312.4382519999999</v>
      </c>
      <c r="AH81" s="424">
        <f t="shared" si="40"/>
        <v>8869.5092729999997</v>
      </c>
      <c r="AI81" s="424">
        <f t="shared" si="40"/>
        <v>10065.383719000001</v>
      </c>
      <c r="AJ81" s="424">
        <f t="shared" si="40"/>
        <v>9852.8089400000008</v>
      </c>
      <c r="AK81" s="424">
        <f t="shared" si="40"/>
        <v>9825.3380080000006</v>
      </c>
      <c r="AL81" s="424">
        <f t="shared" si="40"/>
        <v>9834.2343994099992</v>
      </c>
      <c r="AM81" s="424">
        <f t="shared" si="40"/>
        <v>9638.0899567799988</v>
      </c>
      <c r="AN81" s="424">
        <f t="shared" si="40"/>
        <v>9493.5606506900021</v>
      </c>
      <c r="AO81" s="424">
        <f t="shared" si="40"/>
        <v>10192.040861000001</v>
      </c>
      <c r="AP81" s="424">
        <f t="shared" si="40"/>
        <v>10038.445245000001</v>
      </c>
      <c r="AQ81" s="424">
        <f t="shared" si="40"/>
        <v>10240.784</v>
      </c>
      <c r="AR81" s="424">
        <f t="shared" si="40"/>
        <v>12069.720888</v>
      </c>
      <c r="AS81" s="424">
        <f t="shared" si="40"/>
        <v>12463.887646000001</v>
      </c>
      <c r="AT81" s="424">
        <f t="shared" si="40"/>
        <v>13165.461013599999</v>
      </c>
      <c r="AU81" s="424">
        <f t="shared" si="40"/>
        <v>13856.727292</v>
      </c>
      <c r="AV81" s="648">
        <f t="shared" si="40"/>
        <v>14924.494239898968</v>
      </c>
      <c r="AW81" s="649">
        <f t="shared" si="40"/>
        <v>15139.724072861753</v>
      </c>
      <c r="AX81" s="52"/>
      <c r="AY81" s="52"/>
      <c r="AZ81" s="616" t="s">
        <v>3768</v>
      </c>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c r="CC81" s="52"/>
      <c r="CD81" s="52"/>
      <c r="CE81" s="52"/>
      <c r="CF81" s="52"/>
      <c r="CG81" s="52"/>
      <c r="CH81" s="52"/>
      <c r="CI81" s="52"/>
      <c r="CJ81" s="52"/>
      <c r="CK81" s="52"/>
      <c r="CL81" s="52"/>
      <c r="CM81" s="52"/>
      <c r="CN81" s="52"/>
      <c r="CO81" s="52"/>
      <c r="CP81" s="52"/>
      <c r="CQ81" s="52"/>
      <c r="CR81" s="52"/>
      <c r="CS81" s="52"/>
    </row>
    <row r="82" spans="1:97" ht="15" customHeight="1">
      <c r="A82" s="81" t="s">
        <v>3769</v>
      </c>
      <c r="B82" s="569">
        <f>B81/B78</f>
        <v>3964.7398843930632</v>
      </c>
      <c r="C82" s="569">
        <f t="shared" ref="C82:AT82" si="41">C81/C78</f>
        <v>4051.3089005235606</v>
      </c>
      <c r="D82" s="569">
        <f t="shared" si="41"/>
        <v>4255.5023923444978</v>
      </c>
      <c r="E82" s="569">
        <f t="shared" si="41"/>
        <v>4314.1630901287554</v>
      </c>
      <c r="F82" s="569">
        <f t="shared" si="41"/>
        <v>4493.7743190661477</v>
      </c>
      <c r="G82" s="569">
        <f t="shared" si="41"/>
        <v>4485.5595667870039</v>
      </c>
      <c r="H82" s="569">
        <f t="shared" si="41"/>
        <v>4889.6551724137935</v>
      </c>
      <c r="I82" s="569">
        <f t="shared" si="41"/>
        <v>5493.2038834951454</v>
      </c>
      <c r="J82" s="569">
        <f t="shared" si="41"/>
        <v>5585.4984894259815</v>
      </c>
      <c r="K82" s="569">
        <f t="shared" si="41"/>
        <v>5391.5492957746483</v>
      </c>
      <c r="L82" s="569">
        <f t="shared" si="41"/>
        <v>5282.4289405684758</v>
      </c>
      <c r="M82" s="569">
        <f t="shared" si="41"/>
        <v>5496.8369829683697</v>
      </c>
      <c r="N82" s="569">
        <f t="shared" si="41"/>
        <v>5827.255414021226</v>
      </c>
      <c r="O82" s="569">
        <f t="shared" si="41"/>
        <v>6491.6941378372094</v>
      </c>
      <c r="P82" s="569">
        <f t="shared" si="41"/>
        <v>7137.3566360368659</v>
      </c>
      <c r="Q82" s="569">
        <f t="shared" si="41"/>
        <v>7813.4672031963482</v>
      </c>
      <c r="R82" s="569">
        <f t="shared" si="41"/>
        <v>7922.9942802232144</v>
      </c>
      <c r="S82" s="569">
        <f t="shared" si="41"/>
        <v>8313.6430720434782</v>
      </c>
      <c r="T82" s="569">
        <f t="shared" si="41"/>
        <v>7946.6164134549344</v>
      </c>
      <c r="U82" s="569">
        <f t="shared" si="41"/>
        <v>7802.6838540021236</v>
      </c>
      <c r="V82" s="569">
        <f t="shared" si="41"/>
        <v>7938.2153652536999</v>
      </c>
      <c r="W82" s="569">
        <f t="shared" si="41"/>
        <v>8152.584412952674</v>
      </c>
      <c r="X82" s="569">
        <f t="shared" si="41"/>
        <v>8187.566870078741</v>
      </c>
      <c r="Y82" s="569">
        <f t="shared" si="41"/>
        <v>8742.2681072796931</v>
      </c>
      <c r="Z82" s="569">
        <f t="shared" si="41"/>
        <v>9118.943258698886</v>
      </c>
      <c r="AA82" s="569">
        <f t="shared" si="41"/>
        <v>10034.606095567566</v>
      </c>
      <c r="AB82" s="569">
        <f t="shared" si="41"/>
        <v>8928.0578301559781</v>
      </c>
      <c r="AC82" s="569">
        <f t="shared" si="41"/>
        <v>9976.8665726072595</v>
      </c>
      <c r="AD82" s="569">
        <f t="shared" si="41"/>
        <v>10317.889238993712</v>
      </c>
      <c r="AE82" s="569">
        <f t="shared" si="41"/>
        <v>9996.4549714714722</v>
      </c>
      <c r="AF82" s="569">
        <f t="shared" si="41"/>
        <v>10549.938073065903</v>
      </c>
      <c r="AG82" s="569">
        <f t="shared" si="41"/>
        <v>11757.338404526166</v>
      </c>
      <c r="AH82" s="569">
        <f t="shared" si="41"/>
        <v>11826.012364</v>
      </c>
      <c r="AI82" s="569">
        <f t="shared" si="41"/>
        <v>13174.586019633509</v>
      </c>
      <c r="AJ82" s="569">
        <f t="shared" si="41"/>
        <v>12913.24893840105</v>
      </c>
      <c r="AK82" s="569">
        <f t="shared" si="41"/>
        <v>12710.657190168176</v>
      </c>
      <c r="AL82" s="569">
        <f t="shared" si="41"/>
        <v>12788.341221599479</v>
      </c>
      <c r="AM82" s="569">
        <f t="shared" si="41"/>
        <v>12631.834805740496</v>
      </c>
      <c r="AN82" s="569">
        <f t="shared" si="41"/>
        <v>12001.973009721874</v>
      </c>
      <c r="AO82" s="569">
        <f t="shared" si="41"/>
        <v>12645.21198635236</v>
      </c>
      <c r="AP82" s="569">
        <f t="shared" si="41"/>
        <v>12036.505089928058</v>
      </c>
      <c r="AQ82" s="569">
        <f t="shared" si="41"/>
        <v>12047.981176470588</v>
      </c>
      <c r="AR82" s="569">
        <f t="shared" si="41"/>
        <v>13778.220191780823</v>
      </c>
      <c r="AS82" s="569">
        <f t="shared" si="41"/>
        <v>13273.575767838125</v>
      </c>
      <c r="AT82" s="569">
        <f t="shared" si="41"/>
        <v>13165.461013599999</v>
      </c>
      <c r="AU82" s="569">
        <f t="shared" ref="AU82" si="42">AU81/AU78</f>
        <v>13505.582155945418</v>
      </c>
      <c r="AV82" s="570">
        <f>AV81/AV78</f>
        <v>14156.97389991507</v>
      </c>
      <c r="AW82" s="571">
        <f>AW81/AW78</f>
        <v>14218.945674947334</v>
      </c>
      <c r="AX82" s="52"/>
      <c r="AY82" s="53"/>
      <c r="AZ82" s="621" t="s">
        <v>3770</v>
      </c>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row>
    <row r="83" spans="1:97" ht="15" customHeight="1">
      <c r="A83" s="75"/>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99"/>
      <c r="AZ83" s="108" t="s">
        <v>227</v>
      </c>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c r="CC83" s="52"/>
      <c r="CD83" s="52"/>
      <c r="CE83" s="52"/>
      <c r="CF83" s="52"/>
      <c r="CG83" s="52"/>
      <c r="CH83" s="52"/>
      <c r="CI83" s="52"/>
      <c r="CJ83" s="52"/>
      <c r="CK83" s="52"/>
      <c r="CL83" s="52"/>
      <c r="CM83" s="52"/>
      <c r="CN83" s="52"/>
      <c r="CO83" s="52"/>
      <c r="CP83" s="52"/>
      <c r="CQ83" s="52"/>
      <c r="CR83" s="52"/>
      <c r="CS83" s="52"/>
    </row>
    <row r="84" spans="1:97" ht="15" customHeight="1">
      <c r="A84" s="75"/>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106" t="s">
        <v>3771</v>
      </c>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row>
    <row r="85" spans="1:97" ht="30" customHeight="1">
      <c r="A85" s="92" t="s">
        <v>3721</v>
      </c>
      <c r="B85" s="62" t="s">
        <v>1100</v>
      </c>
      <c r="C85" s="62" t="s">
        <v>1100</v>
      </c>
      <c r="D85" s="62" t="s">
        <v>1100</v>
      </c>
      <c r="E85" s="62" t="s">
        <v>1100</v>
      </c>
      <c r="F85" s="62" t="s">
        <v>1100</v>
      </c>
      <c r="G85" s="62" t="s">
        <v>1100</v>
      </c>
      <c r="H85" s="62" t="s">
        <v>1100</v>
      </c>
      <c r="I85" s="62" t="s">
        <v>1100</v>
      </c>
      <c r="J85" s="62" t="s">
        <v>1100</v>
      </c>
      <c r="K85" s="62" t="s">
        <v>1100</v>
      </c>
      <c r="L85" s="62" t="s">
        <v>1100</v>
      </c>
      <c r="M85" s="62" t="s">
        <v>1100</v>
      </c>
      <c r="N85" s="62" t="s">
        <v>1100</v>
      </c>
      <c r="O85" s="62" t="s">
        <v>1100</v>
      </c>
      <c r="P85" s="62" t="s">
        <v>1100</v>
      </c>
      <c r="Q85" s="62" t="s">
        <v>1100</v>
      </c>
      <c r="R85" s="62" t="s">
        <v>1100</v>
      </c>
      <c r="S85" s="62" t="s">
        <v>1100</v>
      </c>
      <c r="T85" s="62" t="s">
        <v>1100</v>
      </c>
      <c r="U85" s="62" t="s">
        <v>1100</v>
      </c>
      <c r="V85" s="62" t="s">
        <v>1100</v>
      </c>
      <c r="W85" s="62" t="s">
        <v>1100</v>
      </c>
      <c r="X85" s="62" t="s">
        <v>1100</v>
      </c>
      <c r="Y85" s="62" t="s">
        <v>1100</v>
      </c>
      <c r="Z85" s="62" t="s">
        <v>1100</v>
      </c>
      <c r="AA85" s="62" t="s">
        <v>1100</v>
      </c>
      <c r="AB85" s="62" t="s">
        <v>1100</v>
      </c>
      <c r="AC85" s="62" t="s">
        <v>1100</v>
      </c>
      <c r="AD85" s="62" t="s">
        <v>1100</v>
      </c>
      <c r="AE85" s="62" t="s">
        <v>1100</v>
      </c>
      <c r="AF85" s="62" t="s">
        <v>1100</v>
      </c>
      <c r="AG85" s="62" t="s">
        <v>1100</v>
      </c>
      <c r="AH85" s="62" t="s">
        <v>1100</v>
      </c>
      <c r="AI85" s="62" t="s">
        <v>1100</v>
      </c>
      <c r="AJ85" s="62" t="s">
        <v>1100</v>
      </c>
      <c r="AK85" s="62" t="s">
        <v>1100</v>
      </c>
      <c r="AL85" s="62" t="s">
        <v>1100</v>
      </c>
      <c r="AM85" s="62" t="s">
        <v>1100</v>
      </c>
      <c r="AN85" s="62" t="s">
        <v>1100</v>
      </c>
      <c r="AO85" s="62" t="s">
        <v>1100</v>
      </c>
      <c r="AP85" s="62" t="s">
        <v>1100</v>
      </c>
      <c r="AQ85" s="62" t="s">
        <v>1100</v>
      </c>
      <c r="AR85" s="62" t="s">
        <v>1100</v>
      </c>
      <c r="AS85" s="62" t="s">
        <v>1100</v>
      </c>
      <c r="AT85" s="643"/>
      <c r="AU85" s="559"/>
      <c r="AV85" s="578" t="s">
        <v>3757</v>
      </c>
      <c r="AW85" s="444" t="s">
        <v>3757</v>
      </c>
      <c r="AX85" s="52"/>
      <c r="AY85" s="53"/>
      <c r="AZ85" s="107" t="s">
        <v>3772</v>
      </c>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52"/>
      <c r="CD85" s="52"/>
      <c r="CE85" s="52"/>
      <c r="CF85" s="52"/>
      <c r="CG85" s="52"/>
      <c r="CH85" s="52"/>
      <c r="CI85" s="52"/>
      <c r="CJ85" s="52"/>
      <c r="CK85" s="52"/>
      <c r="CL85" s="52"/>
      <c r="CM85" s="52"/>
      <c r="CN85" s="52"/>
      <c r="CO85" s="52"/>
      <c r="CP85" s="52"/>
      <c r="CQ85" s="52"/>
      <c r="CR85" s="52"/>
      <c r="CS85" s="52"/>
    </row>
    <row r="86" spans="1:97" ht="15" customHeight="1">
      <c r="A86" s="644" t="s">
        <v>1100</v>
      </c>
      <c r="B86" s="645">
        <v>29007</v>
      </c>
      <c r="C86" s="645">
        <v>29373</v>
      </c>
      <c r="D86" s="645">
        <v>29738</v>
      </c>
      <c r="E86" s="645">
        <v>30103</v>
      </c>
      <c r="F86" s="645">
        <v>30468</v>
      </c>
      <c r="G86" s="645">
        <v>30834</v>
      </c>
      <c r="H86" s="645">
        <v>31199</v>
      </c>
      <c r="I86" s="645">
        <v>31564</v>
      </c>
      <c r="J86" s="645">
        <v>31929</v>
      </c>
      <c r="K86" s="645">
        <v>32295</v>
      </c>
      <c r="L86" s="645">
        <v>32660</v>
      </c>
      <c r="M86" s="645">
        <v>33025</v>
      </c>
      <c r="N86" s="645">
        <v>33390</v>
      </c>
      <c r="O86" s="645">
        <v>33756</v>
      </c>
      <c r="P86" s="645">
        <v>34121</v>
      </c>
      <c r="Q86" s="645">
        <v>34486</v>
      </c>
      <c r="R86" s="645">
        <v>34851</v>
      </c>
      <c r="S86" s="645">
        <v>35217</v>
      </c>
      <c r="T86" s="645">
        <v>35582</v>
      </c>
      <c r="U86" s="645">
        <v>35947</v>
      </c>
      <c r="V86" s="645">
        <v>36312</v>
      </c>
      <c r="W86" s="645">
        <v>36678</v>
      </c>
      <c r="X86" s="645">
        <v>37043</v>
      </c>
      <c r="Y86" s="645">
        <v>37408</v>
      </c>
      <c r="Z86" s="645">
        <v>37773</v>
      </c>
      <c r="AA86" s="645">
        <v>38139</v>
      </c>
      <c r="AB86" s="645">
        <v>38504</v>
      </c>
      <c r="AC86" s="645">
        <v>38869</v>
      </c>
      <c r="AD86" s="645">
        <v>39234</v>
      </c>
      <c r="AE86" s="645">
        <v>39600</v>
      </c>
      <c r="AF86" s="645">
        <v>39965</v>
      </c>
      <c r="AG86" s="645">
        <v>40330</v>
      </c>
      <c r="AH86" s="645">
        <v>40695</v>
      </c>
      <c r="AI86" s="645">
        <v>41061</v>
      </c>
      <c r="AJ86" s="645">
        <v>41426</v>
      </c>
      <c r="AK86" s="645">
        <v>41791</v>
      </c>
      <c r="AL86" s="645">
        <v>42156</v>
      </c>
      <c r="AM86" s="645">
        <v>42522</v>
      </c>
      <c r="AN86" s="645">
        <v>42887</v>
      </c>
      <c r="AO86" s="645">
        <v>43252</v>
      </c>
      <c r="AP86" s="645">
        <v>43617</v>
      </c>
      <c r="AQ86" s="645">
        <v>43983</v>
      </c>
      <c r="AR86" s="645">
        <v>44348</v>
      </c>
      <c r="AS86" s="645">
        <v>44713</v>
      </c>
      <c r="AT86" s="645">
        <v>45078</v>
      </c>
      <c r="AU86" s="646">
        <v>45444</v>
      </c>
      <c r="AV86" s="582">
        <v>45809</v>
      </c>
      <c r="AW86" s="572">
        <v>46174</v>
      </c>
      <c r="AX86" s="52"/>
      <c r="AY86" s="52"/>
      <c r="AZ86" s="106" t="s">
        <v>3773</v>
      </c>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row>
    <row r="87" spans="1:97" ht="15" customHeight="1">
      <c r="A87" s="83" t="s">
        <v>3774</v>
      </c>
      <c r="B87" s="485">
        <v>118753</v>
      </c>
      <c r="C87" s="485">
        <v>134614</v>
      </c>
      <c r="D87" s="485">
        <v>152360</v>
      </c>
      <c r="E87" s="485">
        <v>175860</v>
      </c>
      <c r="F87" s="485">
        <v>189414</v>
      </c>
      <c r="G87" s="485">
        <v>213693</v>
      </c>
      <c r="H87" s="485">
        <v>235503</v>
      </c>
      <c r="I87" s="485">
        <v>260875</v>
      </c>
      <c r="J87" s="485">
        <v>286366</v>
      </c>
      <c r="K87" s="485">
        <v>324582</v>
      </c>
      <c r="L87" s="485">
        <v>368280</v>
      </c>
      <c r="M87" s="485">
        <v>404703</v>
      </c>
      <c r="N87" s="485">
        <v>415332</v>
      </c>
      <c r="O87" s="485">
        <v>423280</v>
      </c>
      <c r="P87" s="485">
        <v>444229</v>
      </c>
      <c r="Q87" s="485">
        <v>466617</v>
      </c>
      <c r="R87" s="485">
        <v>495846</v>
      </c>
      <c r="S87" s="485">
        <v>528969</v>
      </c>
      <c r="T87" s="485">
        <v>556665</v>
      </c>
      <c r="U87" s="485">
        <v>589240</v>
      </c>
      <c r="V87" s="485">
        <v>621807</v>
      </c>
      <c r="W87" s="485">
        <v>662674</v>
      </c>
      <c r="X87" s="485">
        <v>707402</v>
      </c>
      <c r="Y87" s="485">
        <v>756446</v>
      </c>
      <c r="Z87" s="485">
        <v>803108</v>
      </c>
      <c r="AA87" s="485">
        <v>864089</v>
      </c>
      <c r="AB87" s="485">
        <v>925442</v>
      </c>
      <c r="AC87" s="485">
        <v>999585</v>
      </c>
      <c r="AD87" s="485">
        <v>1089023</v>
      </c>
      <c r="AE87" s="485">
        <v>1179629</v>
      </c>
      <c r="AF87" s="485">
        <v>1261441</v>
      </c>
      <c r="AG87" s="485">
        <v>1304322</v>
      </c>
      <c r="AH87" s="485">
        <v>1418559</v>
      </c>
      <c r="AI87" s="485">
        <v>1500738</v>
      </c>
      <c r="AJ87" s="485">
        <v>1537271</v>
      </c>
      <c r="AK87" s="485">
        <v>1599333</v>
      </c>
      <c r="AL87" s="485">
        <v>1624165</v>
      </c>
      <c r="AM87" s="485">
        <v>1657914</v>
      </c>
      <c r="AN87" s="485">
        <v>1757655</v>
      </c>
      <c r="AO87" s="485">
        <v>1842045</v>
      </c>
      <c r="AP87" s="485">
        <v>1947319</v>
      </c>
      <c r="AQ87" s="485">
        <v>1981663</v>
      </c>
      <c r="AR87" s="485">
        <v>2085822</v>
      </c>
      <c r="AS87" s="485">
        <v>2330329</v>
      </c>
      <c r="AT87" s="485">
        <v>2567513</v>
      </c>
      <c r="AU87" s="485">
        <v>2672659</v>
      </c>
      <c r="AV87" s="586">
        <f>AU87*(1+4.25/100)</f>
        <v>2786247.0074999998</v>
      </c>
      <c r="AW87" s="585">
        <f>AV87*(1+3.25/100)</f>
        <v>2876800.0352437496</v>
      </c>
      <c r="AX87" s="52"/>
      <c r="AY87" s="52"/>
      <c r="AZ87" s="77" t="s">
        <v>3775</v>
      </c>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row>
    <row r="88" spans="1:97" ht="15" customHeight="1">
      <c r="A88" s="84" t="s">
        <v>1100</v>
      </c>
      <c r="B88" s="85" t="s">
        <v>1100</v>
      </c>
      <c r="C88" s="85" t="s">
        <v>1100</v>
      </c>
      <c r="D88" s="85" t="s">
        <v>1100</v>
      </c>
      <c r="E88" s="85" t="s">
        <v>1100</v>
      </c>
      <c r="F88" s="85" t="s">
        <v>1100</v>
      </c>
      <c r="G88" s="85" t="s">
        <v>1100</v>
      </c>
      <c r="H88" s="85" t="s">
        <v>1100</v>
      </c>
      <c r="I88" s="85" t="s">
        <v>1100</v>
      </c>
      <c r="J88" s="85" t="s">
        <v>1100</v>
      </c>
      <c r="K88" s="85" t="s">
        <v>1100</v>
      </c>
      <c r="L88" s="85" t="s">
        <v>1100</v>
      </c>
      <c r="M88" s="85" t="s">
        <v>1100</v>
      </c>
      <c r="N88" s="85" t="s">
        <v>1100</v>
      </c>
      <c r="O88" s="85" t="s">
        <v>1100</v>
      </c>
      <c r="P88" s="85" t="s">
        <v>1100</v>
      </c>
      <c r="Q88" s="85" t="s">
        <v>1100</v>
      </c>
      <c r="R88" s="85" t="s">
        <v>1100</v>
      </c>
      <c r="S88" s="85" t="s">
        <v>1100</v>
      </c>
      <c r="T88" s="85" t="s">
        <v>1100</v>
      </c>
      <c r="U88" s="85" t="s">
        <v>1100</v>
      </c>
      <c r="V88" s="85" t="s">
        <v>1100</v>
      </c>
      <c r="W88" s="85" t="s">
        <v>1100</v>
      </c>
      <c r="X88" s="85" t="s">
        <v>1100</v>
      </c>
      <c r="Y88" s="85" t="s">
        <v>1100</v>
      </c>
      <c r="Z88" s="85" t="s">
        <v>1100</v>
      </c>
      <c r="AA88" s="85" t="s">
        <v>1100</v>
      </c>
      <c r="AB88" s="85" t="s">
        <v>1100</v>
      </c>
      <c r="AC88" s="85" t="s">
        <v>1100</v>
      </c>
      <c r="AD88" s="85" t="s">
        <v>1100</v>
      </c>
      <c r="AE88" s="85" t="s">
        <v>1100</v>
      </c>
      <c r="AF88" s="85" t="s">
        <v>1100</v>
      </c>
      <c r="AG88" s="85" t="s">
        <v>1100</v>
      </c>
      <c r="AH88" s="85" t="s">
        <v>1100</v>
      </c>
      <c r="AI88" s="85" t="s">
        <v>1100</v>
      </c>
      <c r="AJ88" s="85" t="s">
        <v>1100</v>
      </c>
      <c r="AK88" s="85" t="s">
        <v>1100</v>
      </c>
      <c r="AL88" s="85" t="s">
        <v>1100</v>
      </c>
      <c r="AM88" s="85" t="s">
        <v>1100</v>
      </c>
      <c r="AN88" s="85" t="s">
        <v>1100</v>
      </c>
      <c r="AO88" s="85" t="s">
        <v>1100</v>
      </c>
      <c r="AP88" s="85" t="s">
        <v>1100</v>
      </c>
      <c r="AQ88" s="85" t="s">
        <v>1100</v>
      </c>
      <c r="AR88" s="86" t="s">
        <v>1100</v>
      </c>
      <c r="AS88" s="102" t="s">
        <v>1100</v>
      </c>
      <c r="AT88" s="90" t="s">
        <v>1100</v>
      </c>
      <c r="AU88" s="463" t="s">
        <v>1100</v>
      </c>
      <c r="AV88" s="581" t="s">
        <v>1100</v>
      </c>
      <c r="AW88" s="583"/>
      <c r="AX88" s="52"/>
      <c r="AY88" s="52"/>
      <c r="AZ88" s="77" t="s">
        <v>3776</v>
      </c>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52"/>
      <c r="CD88" s="52"/>
      <c r="CE88" s="52"/>
      <c r="CF88" s="52"/>
      <c r="CG88" s="52"/>
      <c r="CH88" s="52"/>
      <c r="CI88" s="52"/>
      <c r="CJ88" s="52"/>
      <c r="CK88" s="52"/>
      <c r="CL88" s="52"/>
      <c r="CM88" s="52"/>
      <c r="CN88" s="52"/>
      <c r="CO88" s="52"/>
      <c r="CP88" s="52"/>
      <c r="CQ88" s="52"/>
      <c r="CR88" s="52"/>
      <c r="CS88" s="52"/>
    </row>
    <row r="89" spans="1:97" ht="15" customHeight="1">
      <c r="A89" s="87" t="s">
        <v>38</v>
      </c>
      <c r="B89" s="178" t="s">
        <v>207</v>
      </c>
      <c r="C89" s="178" t="s">
        <v>194</v>
      </c>
      <c r="D89" s="178" t="s">
        <v>191</v>
      </c>
      <c r="E89" s="178" t="s">
        <v>188</v>
      </c>
      <c r="F89" s="178" t="s">
        <v>185</v>
      </c>
      <c r="G89" s="178" t="s">
        <v>181</v>
      </c>
      <c r="H89" s="178" t="s">
        <v>178</v>
      </c>
      <c r="I89" s="178" t="s">
        <v>175</v>
      </c>
      <c r="J89" s="178" t="s">
        <v>171</v>
      </c>
      <c r="K89" s="178" t="s">
        <v>168</v>
      </c>
      <c r="L89" s="178" t="s">
        <v>166</v>
      </c>
      <c r="M89" s="178" t="s">
        <v>163</v>
      </c>
      <c r="N89" s="178" t="s">
        <v>160</v>
      </c>
      <c r="O89" s="178" t="s">
        <v>157</v>
      </c>
      <c r="P89" s="178" t="s">
        <v>153</v>
      </c>
      <c r="Q89" s="178" t="s">
        <v>149</v>
      </c>
      <c r="R89" s="178" t="s">
        <v>146</v>
      </c>
      <c r="S89" s="178" t="s">
        <v>142</v>
      </c>
      <c r="T89" s="178" t="s">
        <v>139</v>
      </c>
      <c r="U89" s="178" t="s">
        <v>136</v>
      </c>
      <c r="V89" s="178" t="s">
        <v>132</v>
      </c>
      <c r="W89" s="178" t="s">
        <v>208</v>
      </c>
      <c r="X89" s="178" t="s">
        <v>126</v>
      </c>
      <c r="Y89" s="178" t="s">
        <v>123</v>
      </c>
      <c r="Z89" s="178" t="s">
        <v>120</v>
      </c>
      <c r="AA89" s="178" t="s">
        <v>117</v>
      </c>
      <c r="AB89" s="178" t="s">
        <v>114</v>
      </c>
      <c r="AC89" s="178" t="s">
        <v>111</v>
      </c>
      <c r="AD89" s="178" t="s">
        <v>108</v>
      </c>
      <c r="AE89" s="178" t="s">
        <v>104</v>
      </c>
      <c r="AF89" s="178" t="s">
        <v>101</v>
      </c>
      <c r="AG89" s="178" t="s">
        <v>98</v>
      </c>
      <c r="AH89" s="178" t="s">
        <v>95</v>
      </c>
      <c r="AI89" s="178" t="s">
        <v>91</v>
      </c>
      <c r="AJ89" s="178" t="s">
        <v>87</v>
      </c>
      <c r="AK89" s="178" t="s">
        <v>83</v>
      </c>
      <c r="AL89" s="178" t="s">
        <v>79</v>
      </c>
      <c r="AM89" s="178" t="s">
        <v>75</v>
      </c>
      <c r="AN89" s="178" t="s">
        <v>72</v>
      </c>
      <c r="AO89" s="178" t="s">
        <v>69</v>
      </c>
      <c r="AP89" s="179" t="s">
        <v>66</v>
      </c>
      <c r="AQ89" s="179" t="s">
        <v>62</v>
      </c>
      <c r="AR89" s="180" t="s">
        <v>59</v>
      </c>
      <c r="AS89" s="180" t="s">
        <v>55</v>
      </c>
      <c r="AT89" s="180" t="s">
        <v>52</v>
      </c>
      <c r="AU89" s="178" t="s">
        <v>49</v>
      </c>
      <c r="AV89" s="479" t="s">
        <v>46</v>
      </c>
      <c r="AW89" s="476" t="s">
        <v>42</v>
      </c>
      <c r="AX89" s="579" t="s">
        <v>3777</v>
      </c>
      <c r="AY89" s="98"/>
      <c r="AZ89" s="769" t="s">
        <v>3778</v>
      </c>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c r="CC89" s="52"/>
      <c r="CD89" s="52"/>
      <c r="CE89" s="52"/>
      <c r="CF89" s="52"/>
      <c r="CG89" s="52"/>
      <c r="CH89" s="52"/>
      <c r="CI89" s="52"/>
      <c r="CJ89" s="52"/>
      <c r="CK89" s="52"/>
      <c r="CL89" s="52"/>
      <c r="CM89" s="52"/>
      <c r="CN89" s="52"/>
      <c r="CO89" s="52"/>
      <c r="CP89" s="52"/>
      <c r="CQ89" s="52"/>
      <c r="CR89" s="52"/>
      <c r="CS89" s="52"/>
    </row>
    <row r="90" spans="1:97" ht="15" customHeight="1">
      <c r="A90" s="91" t="s">
        <v>3779</v>
      </c>
      <c r="B90" s="109">
        <f>B81/B87</f>
        <v>5.7758540836863066E-3</v>
      </c>
      <c r="C90" s="109">
        <f t="shared" ref="C90:AU90" si="43">C81/C87</f>
        <v>5.7482876966734519E-3</v>
      </c>
      <c r="D90" s="109">
        <f t="shared" si="43"/>
        <v>5.8374901548962979E-3</v>
      </c>
      <c r="E90" s="109">
        <f t="shared" si="43"/>
        <v>5.7159103832594114E-3</v>
      </c>
      <c r="F90" s="109">
        <f t="shared" si="43"/>
        <v>6.0972261818028227E-3</v>
      </c>
      <c r="G90" s="109">
        <f t="shared" si="43"/>
        <v>5.8144160080114927E-3</v>
      </c>
      <c r="H90" s="109">
        <f t="shared" si="43"/>
        <v>6.0211547198974107E-3</v>
      </c>
      <c r="I90" s="109">
        <f t="shared" si="43"/>
        <v>6.5065644465740289E-3</v>
      </c>
      <c r="J90" s="109">
        <f t="shared" si="43"/>
        <v>6.4560736958996527E-3</v>
      </c>
      <c r="K90" s="109">
        <f t="shared" si="43"/>
        <v>5.8968149804979947E-3</v>
      </c>
      <c r="L90" s="109">
        <f t="shared" si="43"/>
        <v>5.5509395025524063E-3</v>
      </c>
      <c r="M90" s="109">
        <f t="shared" si="43"/>
        <v>5.5823653395205876E-3</v>
      </c>
      <c r="N90" s="109">
        <f t="shared" si="43"/>
        <v>5.9488705313941615E-3</v>
      </c>
      <c r="O90" s="109">
        <f t="shared" si="43"/>
        <v>6.5947563770317524E-3</v>
      </c>
      <c r="P90" s="109">
        <f t="shared" si="43"/>
        <v>6.9730089211645346E-3</v>
      </c>
      <c r="Q90" s="109">
        <f t="shared" si="43"/>
        <v>7.3342776516929307E-3</v>
      </c>
      <c r="R90" s="109">
        <f t="shared" si="43"/>
        <v>7.1584754894463195E-3</v>
      </c>
      <c r="S90" s="109">
        <f t="shared" si="43"/>
        <v>7.2296785126160518E-3</v>
      </c>
      <c r="T90" s="109">
        <f t="shared" si="43"/>
        <v>6.6523371303566772E-3</v>
      </c>
      <c r="U90" s="109">
        <f t="shared" si="43"/>
        <v>6.2369562406404868E-3</v>
      </c>
      <c r="V90" s="109">
        <f t="shared" si="43"/>
        <v>6.0384908303782363E-3</v>
      </c>
      <c r="W90" s="109">
        <f t="shared" si="43"/>
        <v>5.9790425227110155E-3</v>
      </c>
      <c r="X90" s="109">
        <f t="shared" si="43"/>
        <v>5.8796610272518323E-3</v>
      </c>
      <c r="Y90" s="109">
        <f t="shared" si="43"/>
        <v>6.0327689643411425E-3</v>
      </c>
      <c r="Z90" s="109">
        <f t="shared" si="43"/>
        <v>6.1087568212245423E-3</v>
      </c>
      <c r="AA90" s="109">
        <f t="shared" si="43"/>
        <v>6.4451768082223002E-3</v>
      </c>
      <c r="AB90" s="109">
        <f t="shared" si="43"/>
        <v>5.5665178023041962E-3</v>
      </c>
      <c r="AC90" s="109">
        <f t="shared" si="43"/>
        <v>6.0484912668757529E-3</v>
      </c>
      <c r="AD90" s="109">
        <f t="shared" si="43"/>
        <v>6.0257474415140915E-3</v>
      </c>
      <c r="AE90" s="109">
        <f t="shared" si="43"/>
        <v>5.6438414204805065E-3</v>
      </c>
      <c r="AF90" s="109">
        <f t="shared" si="43"/>
        <v>5.8376545355668637E-3</v>
      </c>
      <c r="AG90" s="109">
        <f t="shared" si="43"/>
        <v>6.3729955118444681E-3</v>
      </c>
      <c r="AH90" s="109">
        <f t="shared" si="43"/>
        <v>6.2524782353078016E-3</v>
      </c>
      <c r="AI90" s="109">
        <f t="shared" si="43"/>
        <v>6.7069559903194303E-3</v>
      </c>
      <c r="AJ90" s="109">
        <f t="shared" si="43"/>
        <v>6.4092856366899532E-3</v>
      </c>
      <c r="AK90" s="109">
        <f t="shared" si="43"/>
        <v>6.1433972837426605E-3</v>
      </c>
      <c r="AL90" s="109">
        <f t="shared" si="43"/>
        <v>6.0549478651553256E-3</v>
      </c>
      <c r="AM90" s="109">
        <f t="shared" si="43"/>
        <v>5.8133835390617363E-3</v>
      </c>
      <c r="AN90" s="109">
        <f t="shared" si="43"/>
        <v>5.4012651235253806E-3</v>
      </c>
      <c r="AO90" s="109">
        <f t="shared" si="43"/>
        <v>5.5330031899329286E-3</v>
      </c>
      <c r="AP90" s="109">
        <f t="shared" si="43"/>
        <v>5.1550081137194271E-3</v>
      </c>
      <c r="AQ90" s="109">
        <f t="shared" si="43"/>
        <v>5.1677727242220297E-3</v>
      </c>
      <c r="AR90" s="109">
        <f t="shared" si="43"/>
        <v>5.7865536407229381E-3</v>
      </c>
      <c r="AS90" s="109">
        <f t="shared" si="43"/>
        <v>5.3485527777408261E-3</v>
      </c>
      <c r="AT90" s="109">
        <f t="shared" si="43"/>
        <v>5.1277095826194451E-3</v>
      </c>
      <c r="AU90" s="111">
        <f t="shared" si="43"/>
        <v>5.1846222402483818E-3</v>
      </c>
      <c r="AV90" s="589">
        <f>AV81/AV87</f>
        <v>5.3564864133457376E-3</v>
      </c>
      <c r="AW90" s="584">
        <f>AW81/AW87</f>
        <v>5.2626960120219033E-3</v>
      </c>
      <c r="AX90" s="580">
        <f>AVERAGE(B90:AW90)</f>
        <v>5.9961400285147015E-3</v>
      </c>
      <c r="AY90" s="53"/>
      <c r="AZ90" s="620" t="s">
        <v>3766</v>
      </c>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row>
    <row r="91" spans="1:97" ht="1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124"/>
      <c r="AP91" s="124"/>
      <c r="AQ91" s="52"/>
      <c r="AR91" s="52"/>
      <c r="AS91" s="52"/>
      <c r="AT91" s="52"/>
      <c r="AU91" s="52"/>
      <c r="AV91" s="52"/>
      <c r="AW91" s="52"/>
      <c r="AX91" s="52"/>
      <c r="AY91" s="98"/>
      <c r="AZ91" s="617" t="s">
        <v>1100</v>
      </c>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c r="CC91" s="52"/>
      <c r="CD91" s="52"/>
      <c r="CE91" s="52"/>
      <c r="CF91" s="52"/>
      <c r="CG91" s="52"/>
      <c r="CH91" s="52"/>
      <c r="CI91" s="52"/>
      <c r="CJ91" s="52"/>
      <c r="CK91" s="52"/>
      <c r="CL91" s="52"/>
      <c r="CM91" s="52"/>
      <c r="CN91" s="52"/>
      <c r="CO91" s="52"/>
      <c r="CP91" s="52"/>
      <c r="CQ91" s="52"/>
      <c r="CR91" s="52"/>
      <c r="CS91" s="52"/>
    </row>
    <row r="92" spans="1:97" ht="1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106" t="s">
        <v>3768</v>
      </c>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c r="CC92" s="52"/>
      <c r="CD92" s="52"/>
      <c r="CE92" s="52"/>
      <c r="CF92" s="52"/>
      <c r="CG92" s="52"/>
      <c r="CH92" s="52"/>
      <c r="CI92" s="52"/>
      <c r="CJ92" s="52"/>
      <c r="CK92" s="52"/>
      <c r="CL92" s="52"/>
      <c r="CM92" s="52"/>
      <c r="CN92" s="52"/>
      <c r="CO92" s="52"/>
      <c r="CP92" s="52"/>
      <c r="CQ92" s="52"/>
      <c r="CR92" s="52"/>
      <c r="CS92" s="52"/>
    </row>
    <row r="93" spans="1:97" ht="30" customHeight="1">
      <c r="A93" s="92" t="s">
        <v>3722</v>
      </c>
      <c r="B93" s="62" t="s">
        <v>1100</v>
      </c>
      <c r="C93" s="62" t="s">
        <v>1100</v>
      </c>
      <c r="D93" s="62" t="s">
        <v>1100</v>
      </c>
      <c r="E93" s="62" t="s">
        <v>1100</v>
      </c>
      <c r="F93" s="62" t="s">
        <v>1100</v>
      </c>
      <c r="G93" s="62" t="s">
        <v>1100</v>
      </c>
      <c r="H93" s="62" t="s">
        <v>1100</v>
      </c>
      <c r="I93" s="62" t="s">
        <v>1100</v>
      </c>
      <c r="J93" s="62" t="s">
        <v>1100</v>
      </c>
      <c r="K93" s="62" t="s">
        <v>1100</v>
      </c>
      <c r="L93" s="62" t="s">
        <v>1100</v>
      </c>
      <c r="M93" s="62" t="s">
        <v>1100</v>
      </c>
      <c r="N93" s="62" t="s">
        <v>1100</v>
      </c>
      <c r="O93" s="62" t="s">
        <v>1100</v>
      </c>
      <c r="P93" s="62" t="s">
        <v>1100</v>
      </c>
      <c r="Q93" s="62" t="s">
        <v>1100</v>
      </c>
      <c r="R93" s="62" t="s">
        <v>1100</v>
      </c>
      <c r="S93" s="62" t="s">
        <v>1100</v>
      </c>
      <c r="T93" s="62" t="s">
        <v>1100</v>
      </c>
      <c r="U93" s="62" t="s">
        <v>1100</v>
      </c>
      <c r="V93" s="62" t="s">
        <v>1100</v>
      </c>
      <c r="W93" s="62" t="s">
        <v>1100</v>
      </c>
      <c r="X93" s="62" t="s">
        <v>1100</v>
      </c>
      <c r="Y93" s="62" t="s">
        <v>1100</v>
      </c>
      <c r="Z93" s="62" t="s">
        <v>1100</v>
      </c>
      <c r="AA93" s="62" t="s">
        <v>1100</v>
      </c>
      <c r="AB93" s="62" t="s">
        <v>1100</v>
      </c>
      <c r="AC93" s="62" t="s">
        <v>1100</v>
      </c>
      <c r="AD93" s="62" t="s">
        <v>1100</v>
      </c>
      <c r="AE93" s="62" t="s">
        <v>1100</v>
      </c>
      <c r="AF93" s="62" t="s">
        <v>1100</v>
      </c>
      <c r="AG93" s="62" t="s">
        <v>1100</v>
      </c>
      <c r="AH93" s="62" t="s">
        <v>1100</v>
      </c>
      <c r="AI93" s="62" t="s">
        <v>1100</v>
      </c>
      <c r="AJ93" s="62" t="s">
        <v>1100</v>
      </c>
      <c r="AK93" s="62" t="s">
        <v>1100</v>
      </c>
      <c r="AL93" s="62" t="s">
        <v>1100</v>
      </c>
      <c r="AM93" s="62" t="s">
        <v>1100</v>
      </c>
      <c r="AN93" s="62" t="s">
        <v>1100</v>
      </c>
      <c r="AO93" s="62" t="s">
        <v>1100</v>
      </c>
      <c r="AP93" s="62" t="s">
        <v>1100</v>
      </c>
      <c r="AQ93" s="62" t="s">
        <v>1100</v>
      </c>
      <c r="AR93" s="62" t="s">
        <v>1100</v>
      </c>
      <c r="AS93" s="62" t="s">
        <v>1100</v>
      </c>
      <c r="AT93" s="105"/>
      <c r="AU93" s="473"/>
      <c r="AV93" s="577" t="s">
        <v>3780</v>
      </c>
      <c r="AW93" s="577" t="s">
        <v>3780</v>
      </c>
      <c r="AX93" s="52" t="s">
        <v>1100</v>
      </c>
      <c r="AY93" s="53"/>
      <c r="AZ93" s="622" t="s">
        <v>3770</v>
      </c>
      <c r="BA93" s="93" t="s">
        <v>1100</v>
      </c>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c r="CC93" s="52"/>
      <c r="CD93" s="52"/>
      <c r="CE93" s="52"/>
      <c r="CF93" s="52"/>
      <c r="CG93" s="52"/>
      <c r="CH93" s="52"/>
      <c r="CI93" s="52"/>
      <c r="CJ93" s="52"/>
      <c r="CK93" s="52"/>
      <c r="CL93" s="52"/>
      <c r="CM93" s="52"/>
      <c r="CN93" s="52"/>
      <c r="CO93" s="52"/>
      <c r="CP93" s="52"/>
      <c r="CQ93" s="52"/>
      <c r="CR93" s="52"/>
      <c r="CS93" s="52"/>
    </row>
    <row r="94" spans="1:97" ht="15" customHeight="1">
      <c r="A94" s="87" t="s">
        <v>38</v>
      </c>
      <c r="B94" s="178" t="s">
        <v>207</v>
      </c>
      <c r="C94" s="178" t="s">
        <v>194</v>
      </c>
      <c r="D94" s="178" t="s">
        <v>191</v>
      </c>
      <c r="E94" s="178" t="s">
        <v>188</v>
      </c>
      <c r="F94" s="178" t="s">
        <v>185</v>
      </c>
      <c r="G94" s="178" t="s">
        <v>181</v>
      </c>
      <c r="H94" s="178" t="s">
        <v>178</v>
      </c>
      <c r="I94" s="178" t="s">
        <v>175</v>
      </c>
      <c r="J94" s="178" t="s">
        <v>171</v>
      </c>
      <c r="K94" s="178" t="s">
        <v>168</v>
      </c>
      <c r="L94" s="178" t="s">
        <v>166</v>
      </c>
      <c r="M94" s="178" t="s">
        <v>163</v>
      </c>
      <c r="N94" s="178" t="s">
        <v>160</v>
      </c>
      <c r="O94" s="178" t="s">
        <v>157</v>
      </c>
      <c r="P94" s="178" t="s">
        <v>153</v>
      </c>
      <c r="Q94" s="178" t="s">
        <v>149</v>
      </c>
      <c r="R94" s="178" t="s">
        <v>146</v>
      </c>
      <c r="S94" s="178" t="s">
        <v>142</v>
      </c>
      <c r="T94" s="178" t="s">
        <v>139</v>
      </c>
      <c r="U94" s="178" t="s">
        <v>136</v>
      </c>
      <c r="V94" s="178" t="s">
        <v>132</v>
      </c>
      <c r="W94" s="178" t="s">
        <v>208</v>
      </c>
      <c r="X94" s="178" t="s">
        <v>126</v>
      </c>
      <c r="Y94" s="178" t="s">
        <v>123</v>
      </c>
      <c r="Z94" s="178" t="s">
        <v>120</v>
      </c>
      <c r="AA94" s="178" t="s">
        <v>117</v>
      </c>
      <c r="AB94" s="178" t="s">
        <v>114</v>
      </c>
      <c r="AC94" s="178" t="s">
        <v>111</v>
      </c>
      <c r="AD94" s="178" t="s">
        <v>108</v>
      </c>
      <c r="AE94" s="178" t="s">
        <v>104</v>
      </c>
      <c r="AF94" s="178" t="s">
        <v>101</v>
      </c>
      <c r="AG94" s="178" t="s">
        <v>98</v>
      </c>
      <c r="AH94" s="178" t="s">
        <v>95</v>
      </c>
      <c r="AI94" s="178" t="s">
        <v>91</v>
      </c>
      <c r="AJ94" s="178" t="s">
        <v>87</v>
      </c>
      <c r="AK94" s="178" t="s">
        <v>83</v>
      </c>
      <c r="AL94" s="178" t="s">
        <v>79</v>
      </c>
      <c r="AM94" s="178" t="s">
        <v>75</v>
      </c>
      <c r="AN94" s="178" t="s">
        <v>72</v>
      </c>
      <c r="AO94" s="182" t="s">
        <v>69</v>
      </c>
      <c r="AP94" s="183" t="s">
        <v>66</v>
      </c>
      <c r="AQ94" s="184" t="s">
        <v>62</v>
      </c>
      <c r="AR94" s="184" t="s">
        <v>59</v>
      </c>
      <c r="AS94" s="178" t="s">
        <v>55</v>
      </c>
      <c r="AT94" s="178" t="s">
        <v>52</v>
      </c>
      <c r="AU94" s="185" t="s">
        <v>49</v>
      </c>
      <c r="AV94" s="476" t="s">
        <v>46</v>
      </c>
      <c r="AW94" s="476" t="s">
        <v>42</v>
      </c>
      <c r="AX94" s="587" t="s">
        <v>3777</v>
      </c>
      <c r="AY94" s="99"/>
      <c r="AZ94" s="82" t="s">
        <v>227</v>
      </c>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c r="CC94" s="52"/>
      <c r="CD94" s="52"/>
      <c r="CE94" s="52"/>
      <c r="CF94" s="52"/>
      <c r="CG94" s="52"/>
      <c r="CH94" s="52"/>
      <c r="CI94" s="52"/>
      <c r="CJ94" s="52"/>
      <c r="CK94" s="52"/>
      <c r="CL94" s="52"/>
      <c r="CM94" s="52"/>
      <c r="CN94" s="52"/>
      <c r="CO94" s="52"/>
      <c r="CP94" s="52"/>
      <c r="CQ94" s="52"/>
      <c r="CR94" s="52"/>
      <c r="CS94" s="52"/>
    </row>
    <row r="95" spans="1:97" ht="15" customHeight="1">
      <c r="A95" s="83" t="s">
        <v>3781</v>
      </c>
      <c r="B95" s="94">
        <v>28272</v>
      </c>
      <c r="C95" s="94">
        <v>31642</v>
      </c>
      <c r="D95" s="94">
        <v>36176</v>
      </c>
      <c r="E95" s="94">
        <v>41151</v>
      </c>
      <c r="F95" s="94">
        <v>48810</v>
      </c>
      <c r="G95" s="94">
        <v>56990</v>
      </c>
      <c r="H95" s="94">
        <v>64853</v>
      </c>
      <c r="I95" s="94">
        <v>71328</v>
      </c>
      <c r="J95" s="94">
        <v>77158</v>
      </c>
      <c r="K95" s="94">
        <v>82039</v>
      </c>
      <c r="L95" s="94">
        <v>85326</v>
      </c>
      <c r="M95" s="94">
        <v>92684</v>
      </c>
      <c r="N95" s="94">
        <v>100665</v>
      </c>
      <c r="O95" s="94">
        <v>108472</v>
      </c>
      <c r="P95" s="94">
        <v>115751</v>
      </c>
      <c r="Q95" s="94">
        <v>122009</v>
      </c>
      <c r="R95" s="94">
        <v>127619</v>
      </c>
      <c r="S95" s="94">
        <v>135538</v>
      </c>
      <c r="T95" s="94">
        <v>139689</v>
      </c>
      <c r="U95" s="94">
        <v>140587</v>
      </c>
      <c r="V95" s="94">
        <v>148175</v>
      </c>
      <c r="W95" s="94">
        <v>153192</v>
      </c>
      <c r="X95" s="94">
        <v>177123</v>
      </c>
      <c r="Y95" s="94">
        <v>188655</v>
      </c>
      <c r="Z95" s="94">
        <v>197243</v>
      </c>
      <c r="AA95" s="94">
        <v>209785</v>
      </c>
      <c r="AB95" s="94">
        <v>222407</v>
      </c>
      <c r="AC95" s="94">
        <v>240136</v>
      </c>
      <c r="AD95" s="94">
        <v>253321</v>
      </c>
      <c r="AE95" s="94">
        <v>271843</v>
      </c>
      <c r="AF95" s="94">
        <v>316046</v>
      </c>
      <c r="AG95" s="94">
        <v>336900</v>
      </c>
      <c r="AH95" s="94">
        <v>346102</v>
      </c>
      <c r="AI95" s="94">
        <v>371032</v>
      </c>
      <c r="AJ95" s="94">
        <v>367204</v>
      </c>
      <c r="AK95" s="94">
        <v>406430</v>
      </c>
      <c r="AL95" s="94">
        <v>412079</v>
      </c>
      <c r="AM95" s="94">
        <v>423328</v>
      </c>
      <c r="AN95" s="94">
        <v>439375</v>
      </c>
      <c r="AO95" s="95">
        <v>452742</v>
      </c>
      <c r="AP95" s="96">
        <v>478098</v>
      </c>
      <c r="AQ95" s="96">
        <v>549634</v>
      </c>
      <c r="AR95" s="96">
        <v>654084</v>
      </c>
      <c r="AS95" s="103">
        <v>616320</v>
      </c>
      <c r="AT95" s="94">
        <v>627413</v>
      </c>
      <c r="AU95" s="94">
        <v>672806</v>
      </c>
      <c r="AV95" s="588">
        <v>731527</v>
      </c>
      <c r="AW95" s="588">
        <v>777475</v>
      </c>
      <c r="AX95" s="588">
        <f>AVERAGE(B95:AW95)</f>
        <v>265567.375</v>
      </c>
      <c r="AY95" s="100"/>
      <c r="AZ95" s="615" t="s">
        <v>1100</v>
      </c>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c r="CC95" s="52"/>
      <c r="CD95" s="52"/>
      <c r="CE95" s="52"/>
      <c r="CF95" s="52"/>
      <c r="CG95" s="52"/>
      <c r="CH95" s="52"/>
      <c r="CI95" s="52"/>
      <c r="CJ95" s="52"/>
      <c r="CK95" s="52"/>
      <c r="CL95" s="52"/>
      <c r="CM95" s="52"/>
      <c r="CN95" s="52"/>
      <c r="CO95" s="52"/>
      <c r="CP95" s="52"/>
      <c r="CQ95" s="52"/>
      <c r="CR95" s="52"/>
      <c r="CS95" s="52"/>
    </row>
    <row r="96" spans="1:97" ht="15" customHeight="1">
      <c r="A96" s="97" t="s">
        <v>3782</v>
      </c>
      <c r="B96" s="111">
        <f>B61/B95</f>
        <v>2.4260752688172044E-2</v>
      </c>
      <c r="C96" s="111">
        <f t="shared" ref="C96:AU96" si="44">C61/C95</f>
        <v>2.4454838505783453E-2</v>
      </c>
      <c r="D96" s="111">
        <f t="shared" si="44"/>
        <v>2.4585360459973463E-2</v>
      </c>
      <c r="E96" s="111">
        <f t="shared" si="44"/>
        <v>2.4427109912274307E-2</v>
      </c>
      <c r="F96" s="111">
        <f t="shared" si="44"/>
        <v>2.3661135013316941E-2</v>
      </c>
      <c r="G96" s="111">
        <f t="shared" si="44"/>
        <v>2.1802070538690998E-2</v>
      </c>
      <c r="H96" s="111">
        <f t="shared" si="44"/>
        <v>2.1864832775661883E-2</v>
      </c>
      <c r="I96" s="111">
        <f t="shared" si="44"/>
        <v>2.3797106325706592E-2</v>
      </c>
      <c r="J96" s="111">
        <f t="shared" si="44"/>
        <v>2.3961222426708832E-2</v>
      </c>
      <c r="K96" s="111">
        <f t="shared" si="44"/>
        <v>2.3330367264349883E-2</v>
      </c>
      <c r="L96" s="111">
        <f t="shared" si="44"/>
        <v>2.3958699575744792E-2</v>
      </c>
      <c r="M96" s="111">
        <f t="shared" si="44"/>
        <v>2.4375296707090762E-2</v>
      </c>
      <c r="N96" s="111">
        <f t="shared" si="44"/>
        <v>2.4544343074007845E-2</v>
      </c>
      <c r="O96" s="111">
        <f t="shared" si="44"/>
        <v>2.5734092477966663E-2</v>
      </c>
      <c r="P96" s="111">
        <f t="shared" si="44"/>
        <v>2.6761002324299572E-2</v>
      </c>
      <c r="Q96" s="111">
        <f t="shared" si="44"/>
        <v>2.8049558925980871E-2</v>
      </c>
      <c r="R96" s="111">
        <f t="shared" si="44"/>
        <v>2.7813267911047726E-2</v>
      </c>
      <c r="S96" s="111">
        <f t="shared" si="44"/>
        <v>2.8215524894420758E-2</v>
      </c>
      <c r="T96" s="111">
        <f t="shared" si="44"/>
        <v>2.6509769907938345E-2</v>
      </c>
      <c r="U96" s="111">
        <f t="shared" si="44"/>
        <v>2.6140852961049035E-2</v>
      </c>
      <c r="V96" s="111">
        <f t="shared" si="44"/>
        <v>2.5340144206276363E-2</v>
      </c>
      <c r="W96" s="111">
        <f t="shared" si="44"/>
        <v>2.5863987836799569E-2</v>
      </c>
      <c r="X96" s="111">
        <f t="shared" si="44"/>
        <v>2.3482461171050628E-2</v>
      </c>
      <c r="Y96" s="111">
        <f t="shared" si="44"/>
        <v>2.4189467292147042E-2</v>
      </c>
      <c r="Z96" s="111">
        <f t="shared" si="44"/>
        <v>2.4872829318049308E-2</v>
      </c>
      <c r="AA96" s="111">
        <f t="shared" si="44"/>
        <v>2.6547209681531087E-2</v>
      </c>
      <c r="AB96" s="111">
        <f t="shared" si="44"/>
        <v>2.3162442584990579E-2</v>
      </c>
      <c r="AC96" s="111">
        <f t="shared" si="44"/>
        <v>2.5177320947296529E-2</v>
      </c>
      <c r="AD96" s="111">
        <f t="shared" si="44"/>
        <v>2.5904593602583285E-2</v>
      </c>
      <c r="AE96" s="111">
        <f t="shared" si="44"/>
        <v>2.449075021611739E-2</v>
      </c>
      <c r="AF96" s="111">
        <f t="shared" si="44"/>
        <v>2.3299952459452107E-2</v>
      </c>
      <c r="AG96" s="111">
        <f t="shared" si="44"/>
        <v>2.4673310335411102E-2</v>
      </c>
      <c r="AH96" s="111">
        <f t="shared" si="44"/>
        <v>2.5626865123576287E-2</v>
      </c>
      <c r="AI96" s="111">
        <f t="shared" si="44"/>
        <v>2.7128074449104124E-2</v>
      </c>
      <c r="AJ96" s="111">
        <f t="shared" si="44"/>
        <v>2.6831976067798829E-2</v>
      </c>
      <c r="AK96" s="111">
        <f t="shared" si="44"/>
        <v>2.4174736136604091E-2</v>
      </c>
      <c r="AL96" s="111">
        <f t="shared" si="44"/>
        <v>2.3864924928011375E-2</v>
      </c>
      <c r="AM96" s="111">
        <f t="shared" si="44"/>
        <v>2.2767428463933401E-2</v>
      </c>
      <c r="AN96" s="111">
        <f t="shared" si="44"/>
        <v>2.160696591906686E-2</v>
      </c>
      <c r="AO96" s="111">
        <f t="shared" si="44"/>
        <v>2.2511807742599539E-2</v>
      </c>
      <c r="AP96" s="111">
        <f t="shared" si="44"/>
        <v>2.099662672715636E-2</v>
      </c>
      <c r="AQ96" s="111">
        <f t="shared" si="44"/>
        <v>1.8632006025828096E-2</v>
      </c>
      <c r="AR96" s="111">
        <f t="shared" si="44"/>
        <v>1.8452860623406168E-2</v>
      </c>
      <c r="AS96" s="111">
        <f t="shared" si="44"/>
        <v>2.0223078345664593E-2</v>
      </c>
      <c r="AT96" s="111">
        <f t="shared" si="44"/>
        <v>2.0983723661447882E-2</v>
      </c>
      <c r="AU96" s="590">
        <f t="shared" si="44"/>
        <v>2.0595427644818861E-2</v>
      </c>
      <c r="AV96" s="589">
        <f>AV61/AV95</f>
        <v>2.0401836487100228E-2</v>
      </c>
      <c r="AW96" s="589">
        <f>AW61/AW95</f>
        <v>1.947294005963118E-2</v>
      </c>
      <c r="AX96" s="589">
        <f>AVERAGE(B96:AW96)</f>
        <v>2.3948394848492444E-2</v>
      </c>
      <c r="AY96" s="52"/>
      <c r="AZ96" s="77" t="s">
        <v>3783</v>
      </c>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c r="CC96" s="52"/>
      <c r="CD96" s="52"/>
      <c r="CE96" s="52"/>
      <c r="CF96" s="52"/>
      <c r="CG96" s="52"/>
      <c r="CH96" s="52"/>
      <c r="CI96" s="52"/>
      <c r="CJ96" s="52"/>
      <c r="CK96" s="52"/>
      <c r="CL96" s="52"/>
      <c r="CM96" s="52"/>
      <c r="CN96" s="52"/>
      <c r="CO96" s="52"/>
      <c r="CP96" s="52"/>
      <c r="CQ96" s="52"/>
      <c r="CR96" s="52"/>
      <c r="CS96" s="52"/>
    </row>
    <row r="97" spans="1:52" ht="15" customHeight="1">
      <c r="AZ97" s="775" t="s">
        <v>3784</v>
      </c>
    </row>
    <row r="98" spans="1:52" ht="15" customHeight="1">
      <c r="AZ98" s="52" t="s">
        <v>1100</v>
      </c>
    </row>
    <row r="99" spans="1:52" ht="30" customHeight="1">
      <c r="A99" s="92" t="s">
        <v>3723</v>
      </c>
      <c r="B99" s="62" t="s">
        <v>1100</v>
      </c>
      <c r="C99" s="62" t="s">
        <v>1100</v>
      </c>
      <c r="D99" s="62" t="s">
        <v>1100</v>
      </c>
      <c r="E99" s="62" t="s">
        <v>1100</v>
      </c>
      <c r="F99" s="62" t="s">
        <v>1100</v>
      </c>
      <c r="G99" s="62" t="s">
        <v>1100</v>
      </c>
      <c r="H99" s="62" t="s">
        <v>1100</v>
      </c>
      <c r="I99" s="62" t="s">
        <v>1100</v>
      </c>
      <c r="J99" s="62" t="s">
        <v>1100</v>
      </c>
      <c r="K99" s="62" t="s">
        <v>1100</v>
      </c>
      <c r="L99" s="62" t="s">
        <v>1100</v>
      </c>
      <c r="M99" s="62" t="s">
        <v>1100</v>
      </c>
      <c r="N99" s="62" t="s">
        <v>1100</v>
      </c>
      <c r="O99" s="62" t="s">
        <v>1100</v>
      </c>
      <c r="P99" s="62" t="s">
        <v>1100</v>
      </c>
      <c r="Q99" s="62" t="s">
        <v>1100</v>
      </c>
      <c r="R99" s="62" t="s">
        <v>1100</v>
      </c>
      <c r="S99" s="62" t="s">
        <v>1100</v>
      </c>
      <c r="T99" s="62" t="s">
        <v>1100</v>
      </c>
      <c r="U99" s="62" t="s">
        <v>1100</v>
      </c>
      <c r="V99" s="62" t="s">
        <v>1100</v>
      </c>
      <c r="W99" s="62" t="s">
        <v>1100</v>
      </c>
      <c r="X99" s="62" t="s">
        <v>1100</v>
      </c>
      <c r="Y99" s="62" t="s">
        <v>1100</v>
      </c>
      <c r="Z99" s="62" t="s">
        <v>1100</v>
      </c>
      <c r="AA99" s="62" t="s">
        <v>1100</v>
      </c>
      <c r="AB99" s="62" t="s">
        <v>1100</v>
      </c>
      <c r="AC99" s="62" t="s">
        <v>1100</v>
      </c>
      <c r="AD99" s="62" t="s">
        <v>1100</v>
      </c>
      <c r="AE99" s="62" t="s">
        <v>1100</v>
      </c>
      <c r="AF99" s="62" t="s">
        <v>1100</v>
      </c>
      <c r="AG99" s="62" t="s">
        <v>1100</v>
      </c>
      <c r="AH99" s="62" t="s">
        <v>1100</v>
      </c>
      <c r="AI99" s="62" t="s">
        <v>1100</v>
      </c>
      <c r="AJ99" s="62" t="s">
        <v>1100</v>
      </c>
      <c r="AK99" s="62" t="s">
        <v>1100</v>
      </c>
      <c r="AL99" s="62" t="s">
        <v>1100</v>
      </c>
      <c r="AM99" s="62" t="s">
        <v>1100</v>
      </c>
      <c r="AN99" s="62" t="s">
        <v>1100</v>
      </c>
      <c r="AO99" s="62" t="s">
        <v>1100</v>
      </c>
      <c r="AP99" s="62" t="s">
        <v>1100</v>
      </c>
      <c r="AQ99" s="112" t="s">
        <v>1100</v>
      </c>
      <c r="AR99" s="61" t="s">
        <v>1100</v>
      </c>
      <c r="AS99" s="121" t="s">
        <v>1100</v>
      </c>
      <c r="AT99" s="105" t="s">
        <v>1100</v>
      </c>
      <c r="AU99" s="105" t="s">
        <v>1100</v>
      </c>
      <c r="AV99" s="516" t="s">
        <v>1100</v>
      </c>
      <c r="AW99" s="600"/>
      <c r="AZ99" s="52" t="s">
        <v>1100</v>
      </c>
    </row>
    <row r="100" spans="1:52" ht="15" customHeight="1">
      <c r="A100" s="87" t="s">
        <v>38</v>
      </c>
      <c r="B100" s="178" t="s">
        <v>207</v>
      </c>
      <c r="C100" s="178" t="s">
        <v>194</v>
      </c>
      <c r="D100" s="178" t="s">
        <v>191</v>
      </c>
      <c r="E100" s="178" t="s">
        <v>188</v>
      </c>
      <c r="F100" s="178" t="s">
        <v>185</v>
      </c>
      <c r="G100" s="178" t="s">
        <v>181</v>
      </c>
      <c r="H100" s="178" t="s">
        <v>178</v>
      </c>
      <c r="I100" s="178" t="s">
        <v>175</v>
      </c>
      <c r="J100" s="178" t="s">
        <v>171</v>
      </c>
      <c r="K100" s="178" t="s">
        <v>168</v>
      </c>
      <c r="L100" s="178" t="s">
        <v>166</v>
      </c>
      <c r="M100" s="178" t="s">
        <v>163</v>
      </c>
      <c r="N100" s="178" t="s">
        <v>160</v>
      </c>
      <c r="O100" s="178" t="s">
        <v>157</v>
      </c>
      <c r="P100" s="178" t="s">
        <v>153</v>
      </c>
      <c r="Q100" s="178" t="s">
        <v>149</v>
      </c>
      <c r="R100" s="178" t="s">
        <v>146</v>
      </c>
      <c r="S100" s="178" t="s">
        <v>142</v>
      </c>
      <c r="T100" s="178" t="s">
        <v>139</v>
      </c>
      <c r="U100" s="178" t="s">
        <v>136</v>
      </c>
      <c r="V100" s="178" t="s">
        <v>132</v>
      </c>
      <c r="W100" s="178" t="s">
        <v>208</v>
      </c>
      <c r="X100" s="178" t="s">
        <v>126</v>
      </c>
      <c r="Y100" s="178" t="s">
        <v>123</v>
      </c>
      <c r="Z100" s="178" t="s">
        <v>120</v>
      </c>
      <c r="AA100" s="178" t="s">
        <v>117</v>
      </c>
      <c r="AB100" s="178" t="s">
        <v>114</v>
      </c>
      <c r="AC100" s="178" t="s">
        <v>111</v>
      </c>
      <c r="AD100" s="178" t="s">
        <v>108</v>
      </c>
      <c r="AE100" s="178" t="s">
        <v>104</v>
      </c>
      <c r="AF100" s="178" t="s">
        <v>101</v>
      </c>
      <c r="AG100" s="178" t="s">
        <v>98</v>
      </c>
      <c r="AH100" s="178" t="s">
        <v>95</v>
      </c>
      <c r="AI100" s="178" t="s">
        <v>91</v>
      </c>
      <c r="AJ100" s="178" t="s">
        <v>87</v>
      </c>
      <c r="AK100" s="178" t="s">
        <v>83</v>
      </c>
      <c r="AL100" s="178" t="s">
        <v>79</v>
      </c>
      <c r="AM100" s="178" t="s">
        <v>75</v>
      </c>
      <c r="AN100" s="178" t="s">
        <v>72</v>
      </c>
      <c r="AO100" s="178" t="s">
        <v>69</v>
      </c>
      <c r="AP100" s="178" t="s">
        <v>66</v>
      </c>
      <c r="AQ100" s="187" t="s">
        <v>62</v>
      </c>
      <c r="AR100" s="181" t="s">
        <v>59</v>
      </c>
      <c r="AS100" s="180" t="s">
        <v>55</v>
      </c>
      <c r="AT100" s="178" t="s">
        <v>52</v>
      </c>
      <c r="AU100" s="178" t="s">
        <v>49</v>
      </c>
      <c r="AV100" s="595" t="s">
        <v>46</v>
      </c>
      <c r="AW100" s="476" t="s">
        <v>42</v>
      </c>
    </row>
    <row r="101" spans="1:52" ht="15" customHeight="1">
      <c r="A101" s="113" t="s">
        <v>3785</v>
      </c>
      <c r="B101" s="75">
        <v>689.2</v>
      </c>
      <c r="C101" s="75">
        <v>778.1</v>
      </c>
      <c r="D101" s="75">
        <v>894.6</v>
      </c>
      <c r="E101" s="114">
        <v>1011.5</v>
      </c>
      <c r="F101" s="114">
        <v>1162.7</v>
      </c>
      <c r="G101" s="114">
        <v>1252.3</v>
      </c>
      <c r="H101" s="114">
        <v>1432.3</v>
      </c>
      <c r="I101" s="114">
        <v>1716.1</v>
      </c>
      <c r="J101" s="114">
        <v>1770</v>
      </c>
      <c r="K101" s="114">
        <v>1840</v>
      </c>
      <c r="L101" s="114">
        <v>2012.4</v>
      </c>
      <c r="M101" s="114">
        <v>2312.9</v>
      </c>
      <c r="N101" s="114">
        <v>2480.6</v>
      </c>
      <c r="O101" s="114">
        <v>2607.5</v>
      </c>
      <c r="P101" s="114">
        <v>2857</v>
      </c>
      <c r="Q101" s="114">
        <v>3120.8</v>
      </c>
      <c r="R101" s="114">
        <v>3253</v>
      </c>
      <c r="S101" s="114">
        <v>3591.8</v>
      </c>
      <c r="T101" s="114">
        <v>3752.2</v>
      </c>
      <c r="U101" s="114">
        <v>3550.5</v>
      </c>
      <c r="V101" s="114">
        <v>3733</v>
      </c>
      <c r="W101" s="114">
        <v>3952.6</v>
      </c>
      <c r="X101" s="114">
        <v>4537.7</v>
      </c>
      <c r="Y101" s="114">
        <v>4695.1000000000004</v>
      </c>
      <c r="Z101" s="114">
        <v>5111.5</v>
      </c>
      <c r="AA101" s="114">
        <v>5426.3</v>
      </c>
      <c r="AB101" s="114">
        <v>5342</v>
      </c>
      <c r="AC101" s="114">
        <v>5538.1</v>
      </c>
      <c r="AD101" s="114">
        <v>5973.9</v>
      </c>
      <c r="AE101" s="114">
        <v>6527.6</v>
      </c>
      <c r="AF101" s="114">
        <v>6350.4</v>
      </c>
      <c r="AG101" s="114">
        <v>8587.1</v>
      </c>
      <c r="AH101" s="114">
        <v>8923.4</v>
      </c>
      <c r="AI101" s="114">
        <v>9384</v>
      </c>
      <c r="AJ101" s="114">
        <v>8934.7000000000007</v>
      </c>
      <c r="AK101" s="114">
        <v>8644.4</v>
      </c>
      <c r="AL101" s="114">
        <v>9191.5</v>
      </c>
      <c r="AM101" s="114">
        <v>9717</v>
      </c>
      <c r="AN101" s="114">
        <v>10061.799999999999</v>
      </c>
      <c r="AO101" s="114">
        <v>10289.200000000001</v>
      </c>
      <c r="AP101" s="114">
        <v>9638.5</v>
      </c>
      <c r="AQ101" s="115">
        <v>9635.7999999999993</v>
      </c>
      <c r="AR101" s="114">
        <v>11946.5</v>
      </c>
      <c r="AS101" s="122">
        <v>11831.8</v>
      </c>
      <c r="AT101" s="114">
        <v>12132.3</v>
      </c>
      <c r="AU101" s="114">
        <v>12610.8</v>
      </c>
      <c r="AV101" s="596">
        <v>13048.88</v>
      </c>
      <c r="AW101" s="591">
        <v>14423.86</v>
      </c>
    </row>
    <row r="102" spans="1:52" ht="15" customHeight="1">
      <c r="A102" s="113" t="s">
        <v>3786</v>
      </c>
      <c r="B102" s="650">
        <f>B81</f>
        <v>685.9</v>
      </c>
      <c r="C102" s="650">
        <f t="shared" ref="C102:AS102" si="45">C81</f>
        <v>773.80000000000007</v>
      </c>
      <c r="D102" s="650">
        <f t="shared" si="45"/>
        <v>889.4</v>
      </c>
      <c r="E102" s="650">
        <f t="shared" si="45"/>
        <v>1005.2</v>
      </c>
      <c r="F102" s="650">
        <f t="shared" si="45"/>
        <v>1154.8999999999999</v>
      </c>
      <c r="G102" s="650">
        <f t="shared" si="45"/>
        <v>1242.5</v>
      </c>
      <c r="H102" s="650">
        <f t="shared" si="45"/>
        <v>1418</v>
      </c>
      <c r="I102" s="650">
        <f t="shared" si="45"/>
        <v>1697.3999999999999</v>
      </c>
      <c r="J102" s="650">
        <f t="shared" si="45"/>
        <v>1848.8</v>
      </c>
      <c r="K102" s="650">
        <f t="shared" si="45"/>
        <v>1914</v>
      </c>
      <c r="L102" s="650">
        <f t="shared" si="45"/>
        <v>2044.3000000000002</v>
      </c>
      <c r="M102" s="650">
        <f t="shared" si="45"/>
        <v>2259.2000000000003</v>
      </c>
      <c r="N102" s="650">
        <f t="shared" si="45"/>
        <v>2470.7562955449998</v>
      </c>
      <c r="O102" s="650">
        <f t="shared" si="45"/>
        <v>2791.42847927</v>
      </c>
      <c r="P102" s="650">
        <f t="shared" si="45"/>
        <v>3097.61278004</v>
      </c>
      <c r="Q102" s="650">
        <f t="shared" si="45"/>
        <v>3422.2986350000001</v>
      </c>
      <c r="R102" s="650">
        <f t="shared" si="45"/>
        <v>3549.5014375399996</v>
      </c>
      <c r="S102" s="650">
        <f t="shared" si="45"/>
        <v>3824.2758131400005</v>
      </c>
      <c r="T102" s="650">
        <f t="shared" si="45"/>
        <v>3703.1232486699996</v>
      </c>
      <c r="U102" s="650">
        <f t="shared" si="45"/>
        <v>3675.0640952350004</v>
      </c>
      <c r="V102" s="650">
        <f t="shared" si="45"/>
        <v>3754.7758677649999</v>
      </c>
      <c r="W102" s="650">
        <f t="shared" si="45"/>
        <v>3962.1560246949994</v>
      </c>
      <c r="X102" s="650">
        <f t="shared" si="45"/>
        <v>4159.2839700000004</v>
      </c>
      <c r="Y102" s="650">
        <f t="shared" si="45"/>
        <v>4563.4639520000001</v>
      </c>
      <c r="Z102" s="650">
        <f t="shared" si="45"/>
        <v>4905.99147318</v>
      </c>
      <c r="AA102" s="650">
        <f t="shared" si="45"/>
        <v>5569.2063830399993</v>
      </c>
      <c r="AB102" s="650">
        <f t="shared" si="45"/>
        <v>5151.4893679999996</v>
      </c>
      <c r="AC102" s="650">
        <f t="shared" si="45"/>
        <v>6045.9811429999991</v>
      </c>
      <c r="AD102" s="650">
        <f t="shared" si="45"/>
        <v>6562.1775560000005</v>
      </c>
      <c r="AE102" s="650">
        <f t="shared" si="45"/>
        <v>6657.6390109999993</v>
      </c>
      <c r="AF102" s="650">
        <f t="shared" si="45"/>
        <v>7363.8567750000002</v>
      </c>
      <c r="AG102" s="650">
        <f t="shared" si="45"/>
        <v>8312.4382519999999</v>
      </c>
      <c r="AH102" s="650">
        <f t="shared" si="45"/>
        <v>8869.5092729999997</v>
      </c>
      <c r="AI102" s="650">
        <f t="shared" si="45"/>
        <v>10065.383719000001</v>
      </c>
      <c r="AJ102" s="650">
        <f t="shared" si="45"/>
        <v>9852.8089400000008</v>
      </c>
      <c r="AK102" s="650">
        <f t="shared" si="45"/>
        <v>9825.3380080000006</v>
      </c>
      <c r="AL102" s="650">
        <f t="shared" si="45"/>
        <v>9834.2343994099992</v>
      </c>
      <c r="AM102" s="650">
        <f t="shared" si="45"/>
        <v>9638.0899567799988</v>
      </c>
      <c r="AN102" s="650">
        <f t="shared" si="45"/>
        <v>9493.5606506900021</v>
      </c>
      <c r="AO102" s="650">
        <f t="shared" si="45"/>
        <v>10192.040861000001</v>
      </c>
      <c r="AP102" s="650">
        <f t="shared" si="45"/>
        <v>10038.445245000001</v>
      </c>
      <c r="AQ102" s="650">
        <f t="shared" si="45"/>
        <v>10240.784</v>
      </c>
      <c r="AR102" s="650">
        <f t="shared" si="45"/>
        <v>12069.720888</v>
      </c>
      <c r="AS102" s="650">
        <f t="shared" si="45"/>
        <v>12463.887646000001</v>
      </c>
      <c r="AT102" s="651">
        <f>AT81</f>
        <v>13165.461013599999</v>
      </c>
      <c r="AU102" s="651">
        <f>AU81</f>
        <v>13856.727292</v>
      </c>
      <c r="AV102" s="652">
        <f>AV81</f>
        <v>14924.494239898968</v>
      </c>
      <c r="AW102" s="653">
        <f>AW81</f>
        <v>15139.724072861753</v>
      </c>
    </row>
    <row r="103" spans="1:52" ht="15" customHeight="1">
      <c r="A103" s="116" t="s">
        <v>3787</v>
      </c>
      <c r="B103" s="123">
        <f>B102-B101</f>
        <v>-3.3000000000000682</v>
      </c>
      <c r="C103" s="123">
        <f t="shared" ref="C103:AU103" si="46">C102-C101</f>
        <v>-4.2999999999999545</v>
      </c>
      <c r="D103" s="123">
        <f t="shared" si="46"/>
        <v>-5.2000000000000455</v>
      </c>
      <c r="E103" s="123">
        <f t="shared" si="46"/>
        <v>-6.2999999999999545</v>
      </c>
      <c r="F103" s="123">
        <f t="shared" si="46"/>
        <v>-7.8000000000001819</v>
      </c>
      <c r="G103" s="123">
        <f t="shared" si="46"/>
        <v>-9.7999999999999545</v>
      </c>
      <c r="H103" s="123">
        <f t="shared" si="46"/>
        <v>-14.299999999999955</v>
      </c>
      <c r="I103" s="123">
        <f t="shared" si="46"/>
        <v>-18.700000000000045</v>
      </c>
      <c r="J103" s="123">
        <f t="shared" si="46"/>
        <v>78.799999999999955</v>
      </c>
      <c r="K103" s="123">
        <f t="shared" si="46"/>
        <v>74</v>
      </c>
      <c r="L103" s="123">
        <f t="shared" si="46"/>
        <v>31.900000000000091</v>
      </c>
      <c r="M103" s="123">
        <f t="shared" si="46"/>
        <v>-53.699999999999818</v>
      </c>
      <c r="N103" s="123">
        <f t="shared" si="46"/>
        <v>-9.8437044550000792</v>
      </c>
      <c r="O103" s="123">
        <f t="shared" si="46"/>
        <v>183.92847927000003</v>
      </c>
      <c r="P103" s="123">
        <f t="shared" si="46"/>
        <v>240.61278003999996</v>
      </c>
      <c r="Q103" s="123">
        <f t="shared" si="46"/>
        <v>301.49863499999992</v>
      </c>
      <c r="R103" s="123">
        <f t="shared" si="46"/>
        <v>296.50143753999964</v>
      </c>
      <c r="S103" s="123">
        <f t="shared" si="46"/>
        <v>232.47581314000035</v>
      </c>
      <c r="T103" s="123">
        <f t="shared" si="46"/>
        <v>-49.076751330000207</v>
      </c>
      <c r="U103" s="123">
        <f t="shared" si="46"/>
        <v>124.56409523500042</v>
      </c>
      <c r="V103" s="123">
        <f t="shared" si="46"/>
        <v>21.77586776499993</v>
      </c>
      <c r="W103" s="123">
        <f t="shared" si="46"/>
        <v>9.5560246949994507</v>
      </c>
      <c r="X103" s="123">
        <f t="shared" si="46"/>
        <v>-378.41602999999941</v>
      </c>
      <c r="Y103" s="123">
        <f t="shared" si="46"/>
        <v>-131.6360480000003</v>
      </c>
      <c r="Z103" s="123">
        <f t="shared" si="46"/>
        <v>-205.50852682000004</v>
      </c>
      <c r="AA103" s="123">
        <f t="shared" si="46"/>
        <v>142.90638303999913</v>
      </c>
      <c r="AB103" s="123">
        <f t="shared" si="46"/>
        <v>-190.51063200000044</v>
      </c>
      <c r="AC103" s="123">
        <f t="shared" si="46"/>
        <v>507.8811429999987</v>
      </c>
      <c r="AD103" s="123">
        <f t="shared" si="46"/>
        <v>588.27755600000091</v>
      </c>
      <c r="AE103" s="123">
        <f t="shared" si="46"/>
        <v>130.03901099999894</v>
      </c>
      <c r="AF103" s="123">
        <f t="shared" si="46"/>
        <v>1013.4567750000006</v>
      </c>
      <c r="AG103" s="123">
        <f t="shared" si="46"/>
        <v>-274.66174800000044</v>
      </c>
      <c r="AH103" s="123">
        <f t="shared" si="46"/>
        <v>-53.89072699999997</v>
      </c>
      <c r="AI103" s="123">
        <f t="shared" si="46"/>
        <v>681.38371900000129</v>
      </c>
      <c r="AJ103" s="123">
        <f t="shared" si="46"/>
        <v>918.10894000000008</v>
      </c>
      <c r="AK103" s="123">
        <f t="shared" si="46"/>
        <v>1180.938008000001</v>
      </c>
      <c r="AL103" s="123">
        <f t="shared" si="46"/>
        <v>642.73439940999924</v>
      </c>
      <c r="AM103" s="123">
        <f t="shared" si="46"/>
        <v>-78.910043220001171</v>
      </c>
      <c r="AN103" s="123">
        <f t="shared" si="46"/>
        <v>-568.23934930999712</v>
      </c>
      <c r="AO103" s="123">
        <f t="shared" si="46"/>
        <v>-97.159138999999413</v>
      </c>
      <c r="AP103" s="123">
        <f t="shared" si="46"/>
        <v>399.9452450000008</v>
      </c>
      <c r="AQ103" s="123">
        <f t="shared" si="46"/>
        <v>604.98400000000038</v>
      </c>
      <c r="AR103" s="123">
        <f t="shared" si="46"/>
        <v>123.22088799999983</v>
      </c>
      <c r="AS103" s="123">
        <f t="shared" si="46"/>
        <v>632.08764600000177</v>
      </c>
      <c r="AT103" s="602">
        <f t="shared" si="46"/>
        <v>1033.1610135999999</v>
      </c>
      <c r="AU103" s="602">
        <f t="shared" si="46"/>
        <v>1245.9272920000003</v>
      </c>
      <c r="AV103" s="597">
        <f>AV102-AV101</f>
        <v>1875.6142398989687</v>
      </c>
      <c r="AW103" s="592">
        <f>AW102-AW101</f>
        <v>715.86407286175199</v>
      </c>
    </row>
    <row r="104" spans="1:52" ht="15" customHeight="1">
      <c r="A104" s="117" t="s">
        <v>3788</v>
      </c>
      <c r="B104" s="118">
        <f>B103/B101</f>
        <v>-4.7881601857226756E-3</v>
      </c>
      <c r="C104" s="118">
        <f t="shared" ref="C104:AV104" si="47">C103/C101</f>
        <v>-5.5262819688985405E-3</v>
      </c>
      <c r="D104" s="118">
        <f t="shared" si="47"/>
        <v>-5.812653699977694E-3</v>
      </c>
      <c r="E104" s="118">
        <f t="shared" si="47"/>
        <v>-6.2283737024221002E-3</v>
      </c>
      <c r="F104" s="118">
        <f t="shared" si="47"/>
        <v>-6.7085232648148117E-3</v>
      </c>
      <c r="G104" s="118">
        <f t="shared" si="47"/>
        <v>-7.8256008943543513E-3</v>
      </c>
      <c r="H104" s="118">
        <f t="shared" si="47"/>
        <v>-9.9839419116106651E-3</v>
      </c>
      <c r="I104" s="118">
        <f t="shared" si="47"/>
        <v>-1.0896800885729297E-2</v>
      </c>
      <c r="J104" s="118">
        <f t="shared" si="47"/>
        <v>4.4519774011299411E-2</v>
      </c>
      <c r="K104" s="118">
        <f t="shared" si="47"/>
        <v>4.0217391304347823E-2</v>
      </c>
      <c r="L104" s="118">
        <f t="shared" si="47"/>
        <v>1.5851719340091476E-2</v>
      </c>
      <c r="M104" s="118">
        <f t="shared" si="47"/>
        <v>-2.3217605603355014E-2</v>
      </c>
      <c r="N104" s="118">
        <f t="shared" si="47"/>
        <v>-3.9682756006611626E-3</v>
      </c>
      <c r="O104" s="118">
        <f t="shared" si="47"/>
        <v>7.0538247083413247E-2</v>
      </c>
      <c r="P104" s="118">
        <f t="shared" si="47"/>
        <v>8.4218683948197398E-2</v>
      </c>
      <c r="Q104" s="118">
        <f t="shared" si="47"/>
        <v>9.6609406241989201E-2</v>
      </c>
      <c r="R104" s="118">
        <f t="shared" si="47"/>
        <v>9.1147075788502813E-2</v>
      </c>
      <c r="S104" s="118">
        <f t="shared" si="47"/>
        <v>6.4724041745086128E-2</v>
      </c>
      <c r="T104" s="118">
        <f t="shared" si="47"/>
        <v>-1.3079460404562713E-2</v>
      </c>
      <c r="U104" s="118">
        <f t="shared" si="47"/>
        <v>3.5083536187860982E-2</v>
      </c>
      <c r="V104" s="118">
        <f t="shared" si="47"/>
        <v>5.8333425569247069E-3</v>
      </c>
      <c r="W104" s="118">
        <f t="shared" si="47"/>
        <v>2.4176553901228181E-3</v>
      </c>
      <c r="X104" s="118">
        <f t="shared" si="47"/>
        <v>-8.3393796416686747E-2</v>
      </c>
      <c r="Y104" s="118">
        <f t="shared" si="47"/>
        <v>-2.803689974654433E-2</v>
      </c>
      <c r="Z104" s="118">
        <f t="shared" si="47"/>
        <v>-4.0205130943949924E-2</v>
      </c>
      <c r="AA104" s="118">
        <f t="shared" si="47"/>
        <v>2.6335879520114833E-2</v>
      </c>
      <c r="AB104" s="118">
        <f t="shared" si="47"/>
        <v>-3.5662791463871295E-2</v>
      </c>
      <c r="AC104" s="118">
        <f t="shared" si="47"/>
        <v>9.1706748343294398E-2</v>
      </c>
      <c r="AD104" s="118">
        <f t="shared" si="47"/>
        <v>9.8474623947505141E-2</v>
      </c>
      <c r="AE104" s="118">
        <f t="shared" si="47"/>
        <v>1.9921412310803195E-2</v>
      </c>
      <c r="AF104" s="118">
        <f t="shared" si="47"/>
        <v>0.15958943924792149</v>
      </c>
      <c r="AG104" s="118">
        <f t="shared" si="47"/>
        <v>-3.1985390644105743E-2</v>
      </c>
      <c r="AH104" s="118">
        <f t="shared" si="47"/>
        <v>-6.0392593630230595E-3</v>
      </c>
      <c r="AI104" s="118">
        <f t="shared" si="47"/>
        <v>7.2611223252344551E-2</v>
      </c>
      <c r="AJ104" s="118">
        <f t="shared" si="47"/>
        <v>0.10275766841639898</v>
      </c>
      <c r="AK104" s="118">
        <f t="shared" si="47"/>
        <v>0.13661306834482451</v>
      </c>
      <c r="AL104" s="118">
        <f t="shared" si="47"/>
        <v>6.9927041223956835E-2</v>
      </c>
      <c r="AM104" s="118">
        <f t="shared" si="47"/>
        <v>-8.1208236307503522E-3</v>
      </c>
      <c r="AN104" s="118">
        <f t="shared" si="47"/>
        <v>-5.6474919925857917E-2</v>
      </c>
      <c r="AO104" s="118">
        <f t="shared" si="47"/>
        <v>-9.4428273335146959E-3</v>
      </c>
      <c r="AP104" s="118">
        <f t="shared" si="47"/>
        <v>4.1494552575608322E-2</v>
      </c>
      <c r="AQ104" s="118">
        <f t="shared" si="47"/>
        <v>6.2785030822557583E-2</v>
      </c>
      <c r="AR104" s="118">
        <f t="shared" si="47"/>
        <v>1.0314392332482302E-2</v>
      </c>
      <c r="AS104" s="118">
        <f t="shared" si="47"/>
        <v>5.3422779796818892E-2</v>
      </c>
      <c r="AT104" s="188">
        <f t="shared" si="47"/>
        <v>8.5157885446288009E-2</v>
      </c>
      <c r="AU104" s="188">
        <f>AU103/AU101</f>
        <v>9.8798434040663588E-2</v>
      </c>
      <c r="AV104" s="598">
        <f t="shared" si="47"/>
        <v>0.14373756520858255</v>
      </c>
      <c r="AW104" s="593">
        <f>AW103/AW101</f>
        <v>4.9630547777207483E-2</v>
      </c>
    </row>
    <row r="105" spans="1:52" ht="15" customHeight="1">
      <c r="A105" s="119" t="s">
        <v>3789</v>
      </c>
      <c r="B105" s="467"/>
      <c r="C105" s="120">
        <f>C101-B101</f>
        <v>88.899999999999977</v>
      </c>
      <c r="D105" s="120">
        <f t="shared" ref="D105:AT105" si="48">D101-C101</f>
        <v>116.5</v>
      </c>
      <c r="E105" s="120">
        <f t="shared" si="48"/>
        <v>116.89999999999998</v>
      </c>
      <c r="F105" s="120">
        <f t="shared" si="48"/>
        <v>151.20000000000005</v>
      </c>
      <c r="G105" s="120">
        <f t="shared" si="48"/>
        <v>89.599999999999909</v>
      </c>
      <c r="H105" s="120">
        <f t="shared" si="48"/>
        <v>180</v>
      </c>
      <c r="I105" s="120">
        <f t="shared" si="48"/>
        <v>283.79999999999995</v>
      </c>
      <c r="J105" s="120">
        <f t="shared" si="48"/>
        <v>53.900000000000091</v>
      </c>
      <c r="K105" s="120">
        <f t="shared" si="48"/>
        <v>70</v>
      </c>
      <c r="L105" s="120">
        <f t="shared" si="48"/>
        <v>172.40000000000009</v>
      </c>
      <c r="M105" s="120">
        <f t="shared" si="48"/>
        <v>300.5</v>
      </c>
      <c r="N105" s="120">
        <f t="shared" si="48"/>
        <v>167.69999999999982</v>
      </c>
      <c r="O105" s="120">
        <f t="shared" si="48"/>
        <v>126.90000000000009</v>
      </c>
      <c r="P105" s="120">
        <f t="shared" si="48"/>
        <v>249.5</v>
      </c>
      <c r="Q105" s="120">
        <f t="shared" si="48"/>
        <v>263.80000000000018</v>
      </c>
      <c r="R105" s="120">
        <f t="shared" si="48"/>
        <v>132.19999999999982</v>
      </c>
      <c r="S105" s="120">
        <f t="shared" si="48"/>
        <v>338.80000000000018</v>
      </c>
      <c r="T105" s="120">
        <f t="shared" si="48"/>
        <v>160.39999999999964</v>
      </c>
      <c r="U105" s="120">
        <f t="shared" si="48"/>
        <v>-201.69999999999982</v>
      </c>
      <c r="V105" s="120">
        <f t="shared" si="48"/>
        <v>182.5</v>
      </c>
      <c r="W105" s="120">
        <f t="shared" si="48"/>
        <v>219.59999999999991</v>
      </c>
      <c r="X105" s="120">
        <f t="shared" si="48"/>
        <v>585.09999999999991</v>
      </c>
      <c r="Y105" s="120">
        <f t="shared" si="48"/>
        <v>157.40000000000055</v>
      </c>
      <c r="Z105" s="120">
        <f t="shared" si="48"/>
        <v>416.39999999999964</v>
      </c>
      <c r="AA105" s="120">
        <f t="shared" si="48"/>
        <v>314.80000000000018</v>
      </c>
      <c r="AB105" s="120">
        <f t="shared" si="48"/>
        <v>-84.300000000000182</v>
      </c>
      <c r="AC105" s="120">
        <f t="shared" si="48"/>
        <v>196.10000000000036</v>
      </c>
      <c r="AD105" s="120">
        <f t="shared" si="48"/>
        <v>435.79999999999927</v>
      </c>
      <c r="AE105" s="120">
        <f t="shared" si="48"/>
        <v>553.70000000000073</v>
      </c>
      <c r="AF105" s="120">
        <f t="shared" si="48"/>
        <v>-177.20000000000073</v>
      </c>
      <c r="AG105" s="120">
        <f t="shared" si="48"/>
        <v>2236.7000000000007</v>
      </c>
      <c r="AH105" s="120">
        <f t="shared" si="48"/>
        <v>336.29999999999927</v>
      </c>
      <c r="AI105" s="120">
        <f t="shared" si="48"/>
        <v>460.60000000000036</v>
      </c>
      <c r="AJ105" s="120">
        <f t="shared" si="48"/>
        <v>-449.29999999999927</v>
      </c>
      <c r="AK105" s="120">
        <f t="shared" si="48"/>
        <v>-290.30000000000109</v>
      </c>
      <c r="AL105" s="120">
        <f t="shared" si="48"/>
        <v>547.10000000000036</v>
      </c>
      <c r="AM105" s="120">
        <f t="shared" si="48"/>
        <v>525.5</v>
      </c>
      <c r="AN105" s="120">
        <f t="shared" si="48"/>
        <v>344.79999999999927</v>
      </c>
      <c r="AO105" s="120">
        <f t="shared" si="48"/>
        <v>227.40000000000146</v>
      </c>
      <c r="AP105" s="120">
        <f t="shared" si="48"/>
        <v>-650.70000000000073</v>
      </c>
      <c r="AQ105" s="120">
        <f t="shared" si="48"/>
        <v>-2.7000000000007276</v>
      </c>
      <c r="AR105" s="120">
        <f t="shared" si="48"/>
        <v>2310.7000000000007</v>
      </c>
      <c r="AS105" s="120">
        <f t="shared" si="48"/>
        <v>-114.70000000000073</v>
      </c>
      <c r="AT105" s="601">
        <f t="shared" si="48"/>
        <v>300.5</v>
      </c>
      <c r="AU105" s="603">
        <f t="shared" ref="AU105" si="49">AU101-AT101</f>
        <v>478.5</v>
      </c>
      <c r="AV105" s="599">
        <f>AV101-AU101</f>
        <v>438.07999999999993</v>
      </c>
      <c r="AW105" s="196">
        <f>AW101-AV101</f>
        <v>1374.9800000000014</v>
      </c>
      <c r="AZ105" s="190" t="s">
        <v>227</v>
      </c>
    </row>
    <row r="106" spans="1:52" ht="15" customHeight="1">
      <c r="A106" s="117" t="s">
        <v>3790</v>
      </c>
      <c r="B106" s="59"/>
      <c r="C106" s="189">
        <f>C105/B101</f>
        <v>0.12899013348810209</v>
      </c>
      <c r="D106" s="189">
        <f t="shared" ref="D106:AT106" si="50">D105/C101</f>
        <v>0.14972368590155508</v>
      </c>
      <c r="E106" s="189">
        <f t="shared" si="50"/>
        <v>0.13067292644757431</v>
      </c>
      <c r="F106" s="189">
        <f t="shared" si="50"/>
        <v>0.14948096885813153</v>
      </c>
      <c r="G106" s="189">
        <f t="shared" si="50"/>
        <v>7.7062010836845191E-2</v>
      </c>
      <c r="H106" s="189">
        <f t="shared" si="50"/>
        <v>0.14373552663099898</v>
      </c>
      <c r="I106" s="189">
        <f t="shared" si="50"/>
        <v>0.19814284716888916</v>
      </c>
      <c r="J106" s="189">
        <f t="shared" si="50"/>
        <v>3.1408426082396183E-2</v>
      </c>
      <c r="K106" s="189">
        <f t="shared" si="50"/>
        <v>3.954802259887006E-2</v>
      </c>
      <c r="L106" s="189">
        <f t="shared" si="50"/>
        <v>9.3695652173913097E-2</v>
      </c>
      <c r="M106" s="189">
        <f t="shared" si="50"/>
        <v>0.14932419002186442</v>
      </c>
      <c r="N106" s="189">
        <f t="shared" si="50"/>
        <v>7.250637727528203E-2</v>
      </c>
      <c r="O106" s="189">
        <f t="shared" si="50"/>
        <v>5.1156978150447514E-2</v>
      </c>
      <c r="P106" s="189">
        <f t="shared" si="50"/>
        <v>9.5685522531160111E-2</v>
      </c>
      <c r="Q106" s="189">
        <f t="shared" si="50"/>
        <v>9.2334616730836608E-2</v>
      </c>
      <c r="R106" s="189">
        <f t="shared" si="50"/>
        <v>4.236093309407838E-2</v>
      </c>
      <c r="S106" s="189">
        <f t="shared" si="50"/>
        <v>0.10415001537042735</v>
      </c>
      <c r="T106" s="189">
        <f t="shared" si="50"/>
        <v>4.4657274903947775E-2</v>
      </c>
      <c r="U106" s="189">
        <f t="shared" si="50"/>
        <v>-5.3755130323543475E-2</v>
      </c>
      <c r="V106" s="189">
        <f t="shared" si="50"/>
        <v>5.1401211097028589E-2</v>
      </c>
      <c r="W106" s="189">
        <f t="shared" si="50"/>
        <v>5.8826680953656549E-2</v>
      </c>
      <c r="X106" s="189">
        <f t="shared" si="50"/>
        <v>0.14802914537266607</v>
      </c>
      <c r="Y106" s="189">
        <f t="shared" si="50"/>
        <v>3.468717632280683E-2</v>
      </c>
      <c r="Z106" s="189">
        <f t="shared" si="50"/>
        <v>8.8688206853954038E-2</v>
      </c>
      <c r="AA106" s="189">
        <f t="shared" si="50"/>
        <v>6.1586618409468878E-2</v>
      </c>
      <c r="AB106" s="189">
        <f t="shared" si="50"/>
        <v>-1.5535447726812042E-2</v>
      </c>
      <c r="AC106" s="189">
        <f t="shared" si="50"/>
        <v>3.6709097716211225E-2</v>
      </c>
      <c r="AD106" s="189">
        <f t="shared" si="50"/>
        <v>7.869124790090451E-2</v>
      </c>
      <c r="AE106" s="189">
        <f t="shared" si="50"/>
        <v>9.2686519694002364E-2</v>
      </c>
      <c r="AF106" s="189">
        <f t="shared" si="50"/>
        <v>-2.7146271217599226E-2</v>
      </c>
      <c r="AG106" s="189">
        <f t="shared" si="50"/>
        <v>0.35221403376165294</v>
      </c>
      <c r="AH106" s="189">
        <f t="shared" si="50"/>
        <v>3.9163396257176374E-2</v>
      </c>
      <c r="AI106" s="189">
        <f t="shared" si="50"/>
        <v>5.1617096622363717E-2</v>
      </c>
      <c r="AJ106" s="189">
        <f t="shared" si="50"/>
        <v>-4.7879369138959856E-2</v>
      </c>
      <c r="AK106" s="189">
        <f t="shared" si="50"/>
        <v>-3.2491297973071404E-2</v>
      </c>
      <c r="AL106" s="189">
        <f t="shared" si="50"/>
        <v>6.3289528480866275E-2</v>
      </c>
      <c r="AM106" s="189">
        <f t="shared" si="50"/>
        <v>5.7172387531958878E-2</v>
      </c>
      <c r="AN106" s="189">
        <f t="shared" si="50"/>
        <v>3.5484202943295177E-2</v>
      </c>
      <c r="AO106" s="189">
        <f t="shared" si="50"/>
        <v>2.2600329960842144E-2</v>
      </c>
      <c r="AP106" s="189">
        <f t="shared" si="50"/>
        <v>-6.3241068304630166E-2</v>
      </c>
      <c r="AQ106" s="189">
        <f t="shared" si="50"/>
        <v>-2.8012657571206386E-4</v>
      </c>
      <c r="AR106" s="189">
        <f t="shared" si="50"/>
        <v>0.23980364889267117</v>
      </c>
      <c r="AS106" s="189">
        <f t="shared" si="50"/>
        <v>-9.6011384087390222E-3</v>
      </c>
      <c r="AT106" s="189">
        <f t="shared" si="50"/>
        <v>2.5397657161209623E-2</v>
      </c>
      <c r="AU106" s="594">
        <f t="shared" ref="AU106" si="51">AU105/AT101</f>
        <v>3.9440172102569178E-2</v>
      </c>
      <c r="AV106" s="189">
        <f>AV105/AU101</f>
        <v>3.4738478129856941E-2</v>
      </c>
      <c r="AW106" s="189">
        <f>AW105/AV101</f>
        <v>0.10537149548467006</v>
      </c>
      <c r="AZ106" s="1043" t="s">
        <v>3791</v>
      </c>
    </row>
    <row r="107" spans="1:52" ht="15" customHeight="1">
      <c r="A107" s="52"/>
      <c r="B107" s="99"/>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c r="AA107" s="188"/>
      <c r="AB107" s="188"/>
      <c r="AC107" s="188"/>
      <c r="AD107" s="188"/>
      <c r="AE107" s="188"/>
      <c r="AF107" s="188"/>
      <c r="AG107" s="188"/>
      <c r="AH107" s="188"/>
      <c r="AI107" s="188"/>
      <c r="AJ107" s="188"/>
      <c r="AK107" s="188"/>
      <c r="AL107" s="188"/>
      <c r="AM107" s="188"/>
      <c r="AN107" s="188"/>
      <c r="AO107" s="188"/>
      <c r="AP107" s="188"/>
      <c r="AQ107" s="188"/>
      <c r="AR107" s="188"/>
      <c r="AS107" s="188"/>
      <c r="AT107" s="188"/>
      <c r="AU107" s="188"/>
      <c r="AV107" s="188"/>
      <c r="AW107" s="188"/>
      <c r="AZ107" s="1044"/>
    </row>
    <row r="108" spans="1:52" ht="15" customHeight="1">
      <c r="A108" s="52"/>
      <c r="B108" s="99"/>
      <c r="C108" s="99"/>
      <c r="D108" s="99"/>
      <c r="E108" s="99"/>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52"/>
      <c r="AO108" s="52"/>
      <c r="AP108" s="52"/>
      <c r="AQ108" s="52"/>
      <c r="AR108" s="52"/>
      <c r="AS108" s="52"/>
      <c r="AT108" s="52"/>
      <c r="AU108" s="52"/>
    </row>
    <row r="109" spans="1:52" ht="30" customHeight="1">
      <c r="A109" s="74" t="s">
        <v>3792</v>
      </c>
      <c r="B109" s="605"/>
      <c r="C109" s="605"/>
      <c r="D109" s="605"/>
      <c r="E109" s="605"/>
      <c r="F109" s="605"/>
      <c r="G109" s="605"/>
      <c r="H109" s="605"/>
      <c r="I109" s="605"/>
      <c r="J109" s="605"/>
      <c r="K109" s="605"/>
      <c r="L109" s="605"/>
      <c r="M109" s="605"/>
      <c r="N109" s="609"/>
      <c r="O109" s="609"/>
      <c r="P109" s="609"/>
      <c r="Q109" s="609"/>
      <c r="R109" s="609"/>
      <c r="S109" s="609"/>
      <c r="T109" s="609"/>
      <c r="U109" s="609"/>
      <c r="V109" s="609"/>
      <c r="W109" s="609"/>
      <c r="X109" s="609"/>
      <c r="Y109" s="609"/>
      <c r="Z109" s="609"/>
      <c r="AA109" s="609"/>
      <c r="AB109" s="609"/>
      <c r="AC109" s="609"/>
      <c r="AD109" s="609"/>
      <c r="AE109" s="609"/>
      <c r="AF109" s="609"/>
      <c r="AG109" s="609"/>
      <c r="AH109" s="609"/>
      <c r="AI109" s="609"/>
      <c r="AJ109" s="609"/>
      <c r="AK109" s="609"/>
      <c r="AL109" s="609"/>
      <c r="AM109" s="609"/>
      <c r="AN109" s="609"/>
      <c r="AO109" s="609"/>
      <c r="AP109" s="609"/>
      <c r="AQ109" s="609"/>
      <c r="AR109" s="609"/>
      <c r="AS109" s="609"/>
      <c r="AT109" s="609"/>
      <c r="AU109" s="613"/>
      <c r="AV109" s="610" t="s">
        <v>201</v>
      </c>
      <c r="AW109" s="611" t="s">
        <v>202</v>
      </c>
      <c r="AZ109" s="640" t="s">
        <v>227</v>
      </c>
    </row>
    <row r="110" spans="1:52" ht="15" customHeight="1">
      <c r="A110" s="604" t="s">
        <v>1638</v>
      </c>
      <c r="B110" s="606"/>
      <c r="C110" s="606"/>
      <c r="D110" s="606"/>
      <c r="E110" s="606"/>
      <c r="F110" s="606"/>
      <c r="G110" s="606"/>
      <c r="H110" s="606"/>
      <c r="I110" s="606"/>
      <c r="J110" s="606"/>
      <c r="K110" s="606"/>
      <c r="L110" s="606"/>
      <c r="M110" s="606"/>
      <c r="N110" s="606" t="s">
        <v>160</v>
      </c>
      <c r="O110" s="606" t="s">
        <v>157</v>
      </c>
      <c r="P110" s="606" t="s">
        <v>153</v>
      </c>
      <c r="Q110" s="606" t="s">
        <v>149</v>
      </c>
      <c r="R110" s="606" t="s">
        <v>146</v>
      </c>
      <c r="S110" s="606" t="s">
        <v>142</v>
      </c>
      <c r="T110" s="606" t="s">
        <v>139</v>
      </c>
      <c r="U110" s="606" t="s">
        <v>136</v>
      </c>
      <c r="V110" s="606" t="s">
        <v>132</v>
      </c>
      <c r="W110" s="606" t="s">
        <v>208</v>
      </c>
      <c r="X110" s="606" t="s">
        <v>126</v>
      </c>
      <c r="Y110" s="606" t="s">
        <v>123</v>
      </c>
      <c r="Z110" s="606" t="s">
        <v>120</v>
      </c>
      <c r="AA110" s="606" t="s">
        <v>117</v>
      </c>
      <c r="AB110" s="606" t="s">
        <v>114</v>
      </c>
      <c r="AC110" s="606" t="s">
        <v>111</v>
      </c>
      <c r="AD110" s="606" t="s">
        <v>108</v>
      </c>
      <c r="AE110" s="606" t="s">
        <v>104</v>
      </c>
      <c r="AF110" s="606" t="s">
        <v>101</v>
      </c>
      <c r="AG110" s="606" t="s">
        <v>98</v>
      </c>
      <c r="AH110" s="606" t="s">
        <v>95</v>
      </c>
      <c r="AI110" s="606" t="s">
        <v>91</v>
      </c>
      <c r="AJ110" s="606" t="s">
        <v>87</v>
      </c>
      <c r="AK110" s="606" t="s">
        <v>83</v>
      </c>
      <c r="AL110" s="606" t="s">
        <v>79</v>
      </c>
      <c r="AM110" s="606" t="s">
        <v>75</v>
      </c>
      <c r="AN110" s="606" t="s">
        <v>72</v>
      </c>
      <c r="AO110" s="606" t="s">
        <v>3793</v>
      </c>
      <c r="AP110" s="606" t="s">
        <v>66</v>
      </c>
      <c r="AQ110" s="606" t="s">
        <v>62</v>
      </c>
      <c r="AR110" s="606" t="s">
        <v>59</v>
      </c>
      <c r="AS110" s="606" t="s">
        <v>55</v>
      </c>
      <c r="AT110" s="606" t="s">
        <v>52</v>
      </c>
      <c r="AU110" s="606" t="s">
        <v>49</v>
      </c>
      <c r="AV110" s="614" t="s">
        <v>46</v>
      </c>
      <c r="AW110" s="612" t="s">
        <v>42</v>
      </c>
      <c r="AZ110" s="1041" t="s">
        <v>3794</v>
      </c>
    </row>
    <row r="111" spans="1:52" ht="15" customHeight="1">
      <c r="A111" s="125" t="s">
        <v>1663</v>
      </c>
      <c r="B111" s="607"/>
      <c r="C111" s="607"/>
      <c r="D111" s="607"/>
      <c r="E111" s="607"/>
      <c r="F111" s="607"/>
      <c r="G111" s="607"/>
      <c r="H111" s="607"/>
      <c r="I111" s="607"/>
      <c r="J111" s="607"/>
      <c r="K111" s="607"/>
      <c r="L111" s="607"/>
      <c r="M111" s="607"/>
      <c r="N111" s="126">
        <v>1.7734847300000001</v>
      </c>
      <c r="O111" s="126">
        <v>2.2923027750000005</v>
      </c>
      <c r="P111" s="126">
        <v>2.591887415</v>
      </c>
      <c r="Q111" s="126">
        <v>2.6852526499999994</v>
      </c>
      <c r="R111" s="126">
        <v>2.9736379650000004</v>
      </c>
      <c r="S111" s="126">
        <v>3.3341201500000004</v>
      </c>
      <c r="T111" s="126">
        <v>3.5708897349999988</v>
      </c>
      <c r="U111" s="126">
        <v>3.4357361650000002</v>
      </c>
      <c r="V111" s="126">
        <v>3.0078527799999999</v>
      </c>
      <c r="W111" s="126">
        <v>2.2210925850000001</v>
      </c>
      <c r="X111" s="126">
        <v>1.5253829999999999</v>
      </c>
      <c r="Y111" s="126">
        <v>1.3371379999999999</v>
      </c>
      <c r="Z111" s="126">
        <v>1.5622579999999999</v>
      </c>
      <c r="AA111" s="126">
        <v>1.6038680000000001</v>
      </c>
      <c r="AB111" s="126">
        <v>1.529865</v>
      </c>
      <c r="AC111" s="126">
        <v>1.4669730000000001</v>
      </c>
      <c r="AD111" s="126">
        <v>1.21906</v>
      </c>
      <c r="AE111" s="126">
        <v>1.221625</v>
      </c>
      <c r="AF111" s="126">
        <v>1.0266580000000001</v>
      </c>
      <c r="AG111" s="126">
        <v>0.39347799999999999</v>
      </c>
      <c r="AH111" s="126">
        <v>5.2018000000000002E-2</v>
      </c>
      <c r="AI111" s="126">
        <v>0.16194900000000001</v>
      </c>
      <c r="AJ111" s="126">
        <v>0.428207</v>
      </c>
      <c r="AK111" s="126">
        <v>0.48065718815134612</v>
      </c>
      <c r="AL111" s="126">
        <v>0.38302237353938234</v>
      </c>
      <c r="AM111" s="126">
        <v>1.1828661399999993</v>
      </c>
      <c r="AN111" s="126">
        <v>1.25257018</v>
      </c>
      <c r="AO111" s="126">
        <v>1.2220177991955585</v>
      </c>
      <c r="AP111" s="126">
        <v>1.2121381301320566</v>
      </c>
      <c r="AQ111" s="126">
        <v>1.291285781975708</v>
      </c>
      <c r="AR111" s="126">
        <v>1.2766875932811819</v>
      </c>
      <c r="AS111" s="126">
        <v>1.1936851945258469</v>
      </c>
      <c r="AT111" s="126">
        <v>1.2868308347830892</v>
      </c>
      <c r="AU111" s="384">
        <v>1.3549342284739787</v>
      </c>
      <c r="AV111" s="480">
        <v>1.4097615930390837</v>
      </c>
      <c r="AW111" s="481">
        <v>1.4319074077007825</v>
      </c>
      <c r="AZ111" s="1041"/>
    </row>
    <row r="112" spans="1:52" ht="15" customHeight="1">
      <c r="A112" s="125" t="s">
        <v>3795</v>
      </c>
      <c r="B112" s="607"/>
      <c r="C112" s="607"/>
      <c r="D112" s="607"/>
      <c r="E112" s="607"/>
      <c r="F112" s="607"/>
      <c r="G112" s="607"/>
      <c r="H112" s="607"/>
      <c r="I112" s="607"/>
      <c r="J112" s="607"/>
      <c r="K112" s="607"/>
      <c r="L112" s="607"/>
      <c r="M112" s="607"/>
      <c r="N112" s="126">
        <v>8.1427533799999949</v>
      </c>
      <c r="O112" s="126">
        <v>8.5772975799999909</v>
      </c>
      <c r="P112" s="126">
        <v>8.512948040000003</v>
      </c>
      <c r="Q112" s="126">
        <v>8.7723165299999977</v>
      </c>
      <c r="R112" s="126">
        <v>9.0269754399999993</v>
      </c>
      <c r="S112" s="126">
        <v>9.9064210499999952</v>
      </c>
      <c r="T112" s="126">
        <v>10.577303685</v>
      </c>
      <c r="U112" s="126">
        <v>10.223130974999998</v>
      </c>
      <c r="V112" s="126">
        <v>10.100465405</v>
      </c>
      <c r="W112" s="126">
        <v>8.1576241249999999</v>
      </c>
      <c r="X112" s="126">
        <v>5.4945149999999998</v>
      </c>
      <c r="Y112" s="126">
        <v>4.9823649999999997</v>
      </c>
      <c r="Z112" s="126">
        <v>5.3744579999999997</v>
      </c>
      <c r="AA112" s="126">
        <v>5.8787539999999998</v>
      </c>
      <c r="AB112" s="126">
        <v>5.7471969999999999</v>
      </c>
      <c r="AC112" s="126">
        <v>5.4651639999999997</v>
      </c>
      <c r="AD112" s="126">
        <v>5.0713229999999996</v>
      </c>
      <c r="AE112" s="126">
        <v>4.2740819999999999</v>
      </c>
      <c r="AF112" s="126">
        <v>3.5457329999999998</v>
      </c>
      <c r="AG112" s="126">
        <v>3.500238</v>
      </c>
      <c r="AH112" s="126">
        <v>4.3881930000000002</v>
      </c>
      <c r="AI112" s="126">
        <v>4.6354449999999998</v>
      </c>
      <c r="AJ112" s="126">
        <v>3.855003</v>
      </c>
      <c r="AK112" s="126">
        <v>2.3962181409292649</v>
      </c>
      <c r="AL112" s="126">
        <v>1.9929505343263698</v>
      </c>
      <c r="AM112" s="126">
        <v>1.5614775100000009</v>
      </c>
      <c r="AN112" s="126">
        <v>1.5413582299999999</v>
      </c>
      <c r="AO112" s="126">
        <v>1.6131608201369183</v>
      </c>
      <c r="AP112" s="126">
        <v>1.600118870126328</v>
      </c>
      <c r="AQ112" s="126">
        <v>1.7046000741186633</v>
      </c>
      <c r="AR112" s="126">
        <v>1.6853293023979261</v>
      </c>
      <c r="AS112" s="126">
        <v>1.5757595254784489</v>
      </c>
      <c r="AT112" s="126">
        <v>1.6987191890189191</v>
      </c>
      <c r="AU112" s="384">
        <v>1.7886210926514388</v>
      </c>
      <c r="AV112" s="480">
        <v>1.8609975804947523</v>
      </c>
      <c r="AW112" s="481">
        <v>1.8902318196079499</v>
      </c>
      <c r="AZ112" s="1041"/>
    </row>
    <row r="113" spans="1:52" ht="15" customHeight="1">
      <c r="A113" s="125" t="s">
        <v>3796</v>
      </c>
      <c r="B113" s="607"/>
      <c r="C113" s="607"/>
      <c r="D113" s="607"/>
      <c r="E113" s="607"/>
      <c r="F113" s="607"/>
      <c r="G113" s="607"/>
      <c r="H113" s="607"/>
      <c r="I113" s="607"/>
      <c r="J113" s="607"/>
      <c r="K113" s="607"/>
      <c r="L113" s="607"/>
      <c r="M113" s="607"/>
      <c r="N113" s="126">
        <v>26.106929415000007</v>
      </c>
      <c r="O113" s="126">
        <v>31.202930734999988</v>
      </c>
      <c r="P113" s="126">
        <v>34.062037404999984</v>
      </c>
      <c r="Q113" s="126">
        <v>35.533685694999988</v>
      </c>
      <c r="R113" s="126">
        <v>38.24452041499994</v>
      </c>
      <c r="S113" s="126">
        <v>39.460027434999972</v>
      </c>
      <c r="T113" s="126">
        <v>39.549774859999985</v>
      </c>
      <c r="U113" s="126">
        <v>41.102462385000003</v>
      </c>
      <c r="V113" s="126">
        <v>39.69114528499999</v>
      </c>
      <c r="W113" s="126">
        <v>32.126556069999999</v>
      </c>
      <c r="X113" s="126">
        <v>45.975290999999999</v>
      </c>
      <c r="Y113" s="126">
        <v>57.505034000000002</v>
      </c>
      <c r="Z113" s="126">
        <v>72.424690999999996</v>
      </c>
      <c r="AA113" s="126">
        <v>82.983281000000005</v>
      </c>
      <c r="AB113" s="126">
        <v>99.191430999999994</v>
      </c>
      <c r="AC113" s="126">
        <v>118.258137</v>
      </c>
      <c r="AD113" s="126">
        <v>129.56808599999999</v>
      </c>
      <c r="AE113" s="126">
        <v>150.44277099999999</v>
      </c>
      <c r="AF113" s="126">
        <v>174.686485</v>
      </c>
      <c r="AG113" s="126">
        <v>189.26152400000001</v>
      </c>
      <c r="AH113" s="126">
        <v>199.35354100000001</v>
      </c>
      <c r="AI113" s="126">
        <v>211.80311</v>
      </c>
      <c r="AJ113" s="126">
        <v>217.66650899999999</v>
      </c>
      <c r="AK113" s="126">
        <v>215.13695428686384</v>
      </c>
      <c r="AL113" s="126">
        <v>218.92184537568662</v>
      </c>
      <c r="AM113" s="126">
        <v>201.11238087000001</v>
      </c>
      <c r="AN113" s="126">
        <v>204.16104299</v>
      </c>
      <c r="AO113" s="126">
        <v>207.76899527943314</v>
      </c>
      <c r="AP113" s="126">
        <v>206.08924158323632</v>
      </c>
      <c r="AQ113" s="126">
        <v>219.54602438386897</v>
      </c>
      <c r="AR113" s="126">
        <v>217.06402207591742</v>
      </c>
      <c r="AS113" s="126">
        <v>202.95185038207526</v>
      </c>
      <c r="AT113" s="126">
        <v>218.78858868788922</v>
      </c>
      <c r="AU113" s="384">
        <v>230.36761289816704</v>
      </c>
      <c r="AV113" s="480">
        <v>239.68943002473418</v>
      </c>
      <c r="AW113" s="481">
        <v>243.45468914365588</v>
      </c>
      <c r="AZ113" s="1041"/>
    </row>
    <row r="114" spans="1:52" ht="15" customHeight="1">
      <c r="A114" s="125" t="s">
        <v>3797</v>
      </c>
      <c r="B114" s="607"/>
      <c r="C114" s="607"/>
      <c r="D114" s="607"/>
      <c r="E114" s="607"/>
      <c r="F114" s="607"/>
      <c r="G114" s="607"/>
      <c r="H114" s="607"/>
      <c r="I114" s="607"/>
      <c r="J114" s="607"/>
      <c r="K114" s="607"/>
      <c r="L114" s="607"/>
      <c r="M114" s="607"/>
      <c r="N114" s="126">
        <v>52.12616043999995</v>
      </c>
      <c r="O114" s="126">
        <v>60.421368565000037</v>
      </c>
      <c r="P114" s="126">
        <v>64.224837335000032</v>
      </c>
      <c r="Q114" s="126">
        <v>66.133453994999925</v>
      </c>
      <c r="R114" s="126">
        <v>73.426992349999949</v>
      </c>
      <c r="S114" s="126">
        <v>83.299396089999973</v>
      </c>
      <c r="T114" s="126">
        <v>93.867247209999846</v>
      </c>
      <c r="U114" s="126">
        <v>105.08566727500005</v>
      </c>
      <c r="V114" s="126">
        <v>121.62049149499994</v>
      </c>
      <c r="W114" s="126">
        <v>106.36365841500002</v>
      </c>
      <c r="X114" s="126">
        <v>135.24601899999999</v>
      </c>
      <c r="Y114" s="126">
        <v>170.93245300000001</v>
      </c>
      <c r="Z114" s="126">
        <v>206.45747299999999</v>
      </c>
      <c r="AA114" s="126">
        <v>233.32600299999999</v>
      </c>
      <c r="AB114" s="126">
        <v>263.165616</v>
      </c>
      <c r="AC114" s="126">
        <v>294.74239299999999</v>
      </c>
      <c r="AD114" s="126">
        <v>338.74041</v>
      </c>
      <c r="AE114" s="126">
        <v>397.35491000000002</v>
      </c>
      <c r="AF114" s="126">
        <v>464.32348500000001</v>
      </c>
      <c r="AG114" s="126">
        <v>508.91072400000002</v>
      </c>
      <c r="AH114" s="126">
        <v>550.82673599999998</v>
      </c>
      <c r="AI114" s="126">
        <v>581.43846399999995</v>
      </c>
      <c r="AJ114" s="126">
        <v>604.66869999999994</v>
      </c>
      <c r="AK114" s="126">
        <v>640.31994404221632</v>
      </c>
      <c r="AL114" s="126">
        <v>677.7767612125798</v>
      </c>
      <c r="AM114" s="126">
        <v>614.98960905999991</v>
      </c>
      <c r="AN114" s="126">
        <v>627.92744514999993</v>
      </c>
      <c r="AO114" s="126">
        <v>635.62326110830907</v>
      </c>
      <c r="AP114" s="126">
        <v>630.48442640970825</v>
      </c>
      <c r="AQ114" s="126">
        <v>671.65247535878575</v>
      </c>
      <c r="AR114" s="126">
        <v>664.05933857272794</v>
      </c>
      <c r="AS114" s="126">
        <v>620.88627234455305</v>
      </c>
      <c r="AT114" s="126">
        <v>669.33526846989935</v>
      </c>
      <c r="AU114" s="384">
        <v>704.75873056582168</v>
      </c>
      <c r="AV114" s="480">
        <v>733.27676711634263</v>
      </c>
      <c r="AW114" s="481">
        <v>744.79574412669024</v>
      </c>
      <c r="AZ114" s="1037" t="s">
        <v>3798</v>
      </c>
    </row>
    <row r="115" spans="1:52" ht="15" customHeight="1">
      <c r="A115" s="127" t="s">
        <v>249</v>
      </c>
      <c r="B115" s="607"/>
      <c r="C115" s="607"/>
      <c r="D115" s="607"/>
      <c r="E115" s="607"/>
      <c r="F115" s="607"/>
      <c r="G115" s="607"/>
      <c r="H115" s="607"/>
      <c r="I115" s="607"/>
      <c r="J115" s="607"/>
      <c r="K115" s="607"/>
      <c r="L115" s="607"/>
      <c r="M115" s="607"/>
      <c r="N115" s="126">
        <v>0.20696757999999998</v>
      </c>
      <c r="O115" s="126">
        <v>0.23457961499999999</v>
      </c>
      <c r="P115" s="126">
        <v>0.22106984500000004</v>
      </c>
      <c r="Q115" s="126">
        <v>7.3926130000000007E-2</v>
      </c>
      <c r="R115" s="126">
        <v>2.931137E-2</v>
      </c>
      <c r="S115" s="126">
        <v>0.26284841500000006</v>
      </c>
      <c r="T115" s="126">
        <v>0.55803317999999991</v>
      </c>
      <c r="U115" s="126">
        <v>0.61709843500000006</v>
      </c>
      <c r="V115" s="126">
        <v>1.1359128000000001</v>
      </c>
      <c r="W115" s="126">
        <v>1.6550935</v>
      </c>
      <c r="X115" s="126">
        <v>0.88876200000000005</v>
      </c>
      <c r="Y115" s="126">
        <v>0.87796200000000002</v>
      </c>
      <c r="Z115" s="126">
        <v>1.1683410000000001</v>
      </c>
      <c r="AA115" s="126">
        <v>2.0509200000000001</v>
      </c>
      <c r="AB115" s="126">
        <v>2.941735</v>
      </c>
      <c r="AC115" s="126">
        <v>3.2011409999999998</v>
      </c>
      <c r="AD115" s="126">
        <v>3.2643460000000002</v>
      </c>
      <c r="AE115" s="126">
        <v>3.9241250000000001</v>
      </c>
      <c r="AF115" s="126">
        <v>4.8769080000000002</v>
      </c>
      <c r="AG115" s="126">
        <v>4.9090809999999996</v>
      </c>
      <c r="AH115" s="126">
        <v>4.8601070000000002</v>
      </c>
      <c r="AI115" s="126">
        <v>5.4828929999999998</v>
      </c>
      <c r="AJ115" s="126">
        <v>5.6926040000000002</v>
      </c>
      <c r="AK115" s="126">
        <v>5.0832263418392634</v>
      </c>
      <c r="AL115" s="126">
        <v>5.4334205038678673</v>
      </c>
      <c r="AM115" s="126">
        <v>6.6436664199999989</v>
      </c>
      <c r="AN115" s="126">
        <v>5.6205834400000008</v>
      </c>
      <c r="AO115" s="126">
        <v>6.8635649929253892</v>
      </c>
      <c r="AP115" s="126">
        <v>6.808075006797055</v>
      </c>
      <c r="AQ115" s="126">
        <v>7.2526144012509954</v>
      </c>
      <c r="AR115" s="126">
        <v>7.1706224556755496</v>
      </c>
      <c r="AS115" s="126">
        <v>6.7044325533672735</v>
      </c>
      <c r="AT115" s="126">
        <v>7.227592818409307</v>
      </c>
      <c r="AU115" s="384">
        <v>7.6101012148859466</v>
      </c>
      <c r="AV115" s="480">
        <v>7.9180436853893488</v>
      </c>
      <c r="AW115" s="481">
        <v>8.0424275023451326</v>
      </c>
      <c r="AZ115" s="1038"/>
    </row>
    <row r="116" spans="1:52" ht="15" customHeight="1">
      <c r="A116" s="138" t="s">
        <v>1622</v>
      </c>
      <c r="B116" s="137"/>
      <c r="C116" s="137"/>
      <c r="D116" s="137"/>
      <c r="E116" s="137"/>
      <c r="F116" s="137"/>
      <c r="G116" s="137"/>
      <c r="H116" s="137"/>
      <c r="I116" s="137"/>
      <c r="J116" s="137"/>
      <c r="K116" s="137"/>
      <c r="L116" s="137"/>
      <c r="M116" s="137"/>
      <c r="N116" s="137">
        <f>SUM(N111:N115)</f>
        <v>88.356295544999952</v>
      </c>
      <c r="O116" s="137">
        <f t="shared" ref="O116:AT116" si="52">SUM(O111:O115)</f>
        <v>102.72847927000002</v>
      </c>
      <c r="P116" s="137">
        <f t="shared" si="52"/>
        <v>109.61278004000002</v>
      </c>
      <c r="Q116" s="137">
        <f t="shared" si="52"/>
        <v>113.19863499999991</v>
      </c>
      <c r="R116" s="137">
        <f t="shared" si="52"/>
        <v>123.70143753999989</v>
      </c>
      <c r="S116" s="137">
        <f t="shared" si="52"/>
        <v>136.26281313999993</v>
      </c>
      <c r="T116" s="137">
        <f t="shared" si="52"/>
        <v>148.12324866999984</v>
      </c>
      <c r="U116" s="137">
        <f t="shared" si="52"/>
        <v>160.46409523500006</v>
      </c>
      <c r="V116" s="137">
        <f t="shared" si="52"/>
        <v>175.55586776499993</v>
      </c>
      <c r="W116" s="137">
        <f t="shared" si="52"/>
        <v>150.52402469500001</v>
      </c>
      <c r="X116" s="137">
        <f t="shared" si="52"/>
        <v>189.12996999999999</v>
      </c>
      <c r="Y116" s="137">
        <f t="shared" si="52"/>
        <v>235.634952</v>
      </c>
      <c r="Z116" s="137">
        <f t="shared" si="52"/>
        <v>286.98722099999998</v>
      </c>
      <c r="AA116" s="137">
        <f t="shared" si="52"/>
        <v>325.842826</v>
      </c>
      <c r="AB116" s="137">
        <f t="shared" si="52"/>
        <v>372.57584399999996</v>
      </c>
      <c r="AC116" s="137">
        <f t="shared" si="52"/>
        <v>423.13380799999999</v>
      </c>
      <c r="AD116" s="137">
        <f t="shared" si="52"/>
        <v>477.863225</v>
      </c>
      <c r="AE116" s="137">
        <f t="shared" si="52"/>
        <v>557.21751300000005</v>
      </c>
      <c r="AF116" s="137">
        <f t="shared" si="52"/>
        <v>648.45926899999995</v>
      </c>
      <c r="AG116" s="137">
        <f t="shared" si="52"/>
        <v>706.97504500000002</v>
      </c>
      <c r="AH116" s="137">
        <f t="shared" si="52"/>
        <v>759.48059499999999</v>
      </c>
      <c r="AI116" s="137">
        <f t="shared" si="52"/>
        <v>803.52186099999994</v>
      </c>
      <c r="AJ116" s="137">
        <f t="shared" si="52"/>
        <v>832.31102299999986</v>
      </c>
      <c r="AK116" s="137">
        <f t="shared" si="52"/>
        <v>863.41700000000003</v>
      </c>
      <c r="AL116" s="137">
        <f t="shared" si="52"/>
        <v>904.50800000000004</v>
      </c>
      <c r="AM116" s="137">
        <f t="shared" si="52"/>
        <v>825.49</v>
      </c>
      <c r="AN116" s="137">
        <f t="shared" si="52"/>
        <v>840.50299998999992</v>
      </c>
      <c r="AO116" s="137">
        <f t="shared" si="52"/>
        <v>853.09100000000012</v>
      </c>
      <c r="AP116" s="137">
        <f t="shared" si="52"/>
        <v>846.19399999999996</v>
      </c>
      <c r="AQ116" s="137">
        <f t="shared" si="52"/>
        <v>901.447</v>
      </c>
      <c r="AR116" s="137">
        <f t="shared" si="52"/>
        <v>891.25600000000009</v>
      </c>
      <c r="AS116" s="137">
        <f t="shared" si="52"/>
        <v>833.3119999999999</v>
      </c>
      <c r="AT116" s="137">
        <f t="shared" si="52"/>
        <v>898.33699999999988</v>
      </c>
      <c r="AU116" s="137">
        <f>SUM(AU111:AU115)</f>
        <v>945.88000000000011</v>
      </c>
      <c r="AV116" s="135">
        <f>SUM(AV111:AV115)</f>
        <v>984.15499999999997</v>
      </c>
      <c r="AW116" s="135">
        <f>SUM(AW111:AW115)</f>
        <v>999.61500000000001</v>
      </c>
    </row>
    <row r="117" spans="1:52" ht="15" customHeight="1">
      <c r="A117" s="128" t="s">
        <v>3737</v>
      </c>
      <c r="B117" s="608"/>
      <c r="C117" s="608"/>
      <c r="D117" s="608"/>
      <c r="E117" s="608"/>
      <c r="F117" s="608"/>
      <c r="G117" s="608"/>
      <c r="H117" s="608"/>
      <c r="I117" s="608"/>
      <c r="J117" s="608"/>
      <c r="K117" s="608"/>
      <c r="L117" s="608"/>
      <c r="M117" s="608"/>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9"/>
      <c r="AK117" s="130"/>
      <c r="AL117" s="131">
        <f t="shared" ref="AL117:AU117" si="53">AL114</f>
        <v>677.7767612125798</v>
      </c>
      <c r="AM117" s="131">
        <f t="shared" si="53"/>
        <v>614.98960905999991</v>
      </c>
      <c r="AN117" s="131">
        <f t="shared" si="53"/>
        <v>627.92744514999993</v>
      </c>
      <c r="AO117" s="131">
        <f t="shared" si="53"/>
        <v>635.62326110830907</v>
      </c>
      <c r="AP117" s="131">
        <f t="shared" si="53"/>
        <v>630.48442640970825</v>
      </c>
      <c r="AQ117" s="131">
        <f t="shared" si="53"/>
        <v>671.65247535878575</v>
      </c>
      <c r="AR117" s="131">
        <f t="shared" si="53"/>
        <v>664.05933857272794</v>
      </c>
      <c r="AS117" s="131">
        <f t="shared" si="53"/>
        <v>620.88627234455305</v>
      </c>
      <c r="AT117" s="131">
        <f t="shared" si="53"/>
        <v>669.33526846989935</v>
      </c>
      <c r="AU117" s="133">
        <f t="shared" si="53"/>
        <v>704.75873056582168</v>
      </c>
      <c r="AV117" s="482">
        <v>733.27676711634297</v>
      </c>
      <c r="AW117" s="482">
        <v>744.79574412669035</v>
      </c>
      <c r="AZ117" s="75" t="s">
        <v>1100</v>
      </c>
    </row>
    <row r="118" spans="1:52" ht="18" customHeight="1">
      <c r="A118" s="125" t="s">
        <v>3743</v>
      </c>
      <c r="B118" s="608"/>
      <c r="C118" s="608"/>
      <c r="D118" s="608"/>
      <c r="E118" s="608"/>
      <c r="F118" s="608"/>
      <c r="G118" s="608"/>
      <c r="H118" s="608"/>
      <c r="I118" s="608"/>
      <c r="J118" s="608"/>
      <c r="K118" s="608"/>
      <c r="L118" s="608"/>
      <c r="M118" s="608"/>
      <c r="N118" s="126">
        <f>SUM(N111+N112+N113+N115)</f>
        <v>36.230135105000002</v>
      </c>
      <c r="O118" s="126">
        <f t="shared" ref="O118:AK118" si="54">SUM(O111+O112+O113+O115)</f>
        <v>42.307110704999985</v>
      </c>
      <c r="P118" s="126">
        <f t="shared" si="54"/>
        <v>45.387942704999986</v>
      </c>
      <c r="Q118" s="126">
        <f t="shared" si="54"/>
        <v>47.065181004999978</v>
      </c>
      <c r="R118" s="126">
        <f t="shared" si="54"/>
        <v>50.274445189999938</v>
      </c>
      <c r="S118" s="126">
        <f t="shared" si="54"/>
        <v>52.963417049999968</v>
      </c>
      <c r="T118" s="126">
        <f t="shared" si="54"/>
        <v>54.256001459999986</v>
      </c>
      <c r="U118" s="126">
        <f t="shared" si="54"/>
        <v>55.378427960000003</v>
      </c>
      <c r="V118" s="126">
        <f t="shared" si="54"/>
        <v>53.935376269999992</v>
      </c>
      <c r="W118" s="126">
        <f t="shared" si="54"/>
        <v>44.160366279999998</v>
      </c>
      <c r="X118" s="126">
        <f t="shared" si="54"/>
        <v>53.883950999999996</v>
      </c>
      <c r="Y118" s="126">
        <f t="shared" si="54"/>
        <v>64.702499000000003</v>
      </c>
      <c r="Z118" s="126">
        <f t="shared" si="54"/>
        <v>80.529747999999998</v>
      </c>
      <c r="AA118" s="126">
        <f t="shared" si="54"/>
        <v>92.516823000000016</v>
      </c>
      <c r="AB118" s="126">
        <f t="shared" si="54"/>
        <v>109.41022799999999</v>
      </c>
      <c r="AC118" s="126">
        <f t="shared" si="54"/>
        <v>128.39141499999999</v>
      </c>
      <c r="AD118" s="126">
        <f t="shared" si="54"/>
        <v>139.12281499999997</v>
      </c>
      <c r="AE118" s="126">
        <f t="shared" si="54"/>
        <v>159.86260300000001</v>
      </c>
      <c r="AF118" s="126">
        <f t="shared" si="54"/>
        <v>184.135784</v>
      </c>
      <c r="AG118" s="126">
        <f t="shared" si="54"/>
        <v>198.06432100000001</v>
      </c>
      <c r="AH118" s="126">
        <f t="shared" si="54"/>
        <v>208.65385900000001</v>
      </c>
      <c r="AI118" s="126">
        <f t="shared" si="54"/>
        <v>222.08339699999999</v>
      </c>
      <c r="AJ118" s="126">
        <f t="shared" si="54"/>
        <v>227.64232299999998</v>
      </c>
      <c r="AK118" s="126">
        <f t="shared" si="54"/>
        <v>223.09705595778371</v>
      </c>
      <c r="AL118" s="133">
        <f>(AL111+AL112+AL113+AL115)</f>
        <v>226.73123878742024</v>
      </c>
      <c r="AM118" s="133">
        <f t="shared" ref="AM118:AU118" si="55">(AM111+AM112+AM113+AM115)</f>
        <v>210.50039093999999</v>
      </c>
      <c r="AN118" s="133">
        <f t="shared" si="55"/>
        <v>212.57555484</v>
      </c>
      <c r="AO118" s="133">
        <f t="shared" si="55"/>
        <v>217.467738891691</v>
      </c>
      <c r="AP118" s="133">
        <f t="shared" si="55"/>
        <v>215.70957359029177</v>
      </c>
      <c r="AQ118" s="133">
        <f t="shared" si="55"/>
        <v>229.79452464121434</v>
      </c>
      <c r="AR118" s="133">
        <f t="shared" si="55"/>
        <v>227.19666142727209</v>
      </c>
      <c r="AS118" s="133">
        <f t="shared" si="55"/>
        <v>212.42572765544682</v>
      </c>
      <c r="AT118" s="133">
        <f t="shared" si="55"/>
        <v>229.00173153010053</v>
      </c>
      <c r="AU118" s="133">
        <f t="shared" si="55"/>
        <v>241.1212694341784</v>
      </c>
      <c r="AV118" s="482">
        <v>250.87823288365735</v>
      </c>
      <c r="AW118" s="482">
        <v>254.81925587330969</v>
      </c>
    </row>
    <row r="119" spans="1:52" ht="15" customHeight="1">
      <c r="A119" s="125" t="s">
        <v>3799</v>
      </c>
      <c r="B119" s="608"/>
      <c r="C119" s="608"/>
      <c r="D119" s="608"/>
      <c r="E119" s="608"/>
      <c r="F119" s="608"/>
      <c r="G119" s="608"/>
      <c r="H119" s="608"/>
      <c r="I119" s="608"/>
      <c r="J119" s="608"/>
      <c r="K119" s="608"/>
      <c r="L119" s="608"/>
      <c r="M119" s="608"/>
      <c r="N119" s="126">
        <f>N114/N116</f>
        <v>0.58995411836219458</v>
      </c>
      <c r="O119" s="126">
        <f t="shared" ref="O119:AJ119" si="56">O114/O116</f>
        <v>0.58816570628087739</v>
      </c>
      <c r="P119" s="126">
        <f t="shared" si="56"/>
        <v>0.58592471892021203</v>
      </c>
      <c r="Q119" s="126">
        <f t="shared" si="56"/>
        <v>0.5842248362358784</v>
      </c>
      <c r="R119" s="126">
        <f t="shared" si="56"/>
        <v>0.59358236905093942</v>
      </c>
      <c r="S119" s="126">
        <f t="shared" si="56"/>
        <v>0.61131422557977</v>
      </c>
      <c r="T119" s="126">
        <f t="shared" si="56"/>
        <v>0.63371042731532568</v>
      </c>
      <c r="U119" s="126">
        <f t="shared" si="56"/>
        <v>0.65488586166956431</v>
      </c>
      <c r="V119" s="126">
        <f t="shared" si="56"/>
        <v>0.69277371951931455</v>
      </c>
      <c r="W119" s="126">
        <f t="shared" si="56"/>
        <v>0.70662247193110783</v>
      </c>
      <c r="X119" s="126">
        <f t="shared" si="56"/>
        <v>0.71509565089023175</v>
      </c>
      <c r="Y119" s="126">
        <f t="shared" si="56"/>
        <v>0.72541213240725</v>
      </c>
      <c r="Z119" s="126">
        <f t="shared" si="56"/>
        <v>0.71939604934534707</v>
      </c>
      <c r="AA119" s="126">
        <f t="shared" si="56"/>
        <v>0.71606917317860475</v>
      </c>
      <c r="AB119" s="126">
        <f t="shared" si="56"/>
        <v>0.70634105843963413</v>
      </c>
      <c r="AC119" s="126">
        <f t="shared" si="56"/>
        <v>0.69657018046641173</v>
      </c>
      <c r="AD119" s="126">
        <f t="shared" si="56"/>
        <v>0.70886478029356625</v>
      </c>
      <c r="AE119" s="126">
        <f t="shared" si="56"/>
        <v>0.713105566012603</v>
      </c>
      <c r="AF119" s="126">
        <f t="shared" si="56"/>
        <v>0.71604109494192458</v>
      </c>
      <c r="AG119" s="126">
        <f t="shared" si="56"/>
        <v>0.71984255681896103</v>
      </c>
      <c r="AH119" s="126">
        <f t="shared" si="56"/>
        <v>0.72526768903160721</v>
      </c>
      <c r="AI119" s="126">
        <f t="shared" si="56"/>
        <v>0.72361250168898639</v>
      </c>
      <c r="AJ119" s="126">
        <f t="shared" si="56"/>
        <v>0.72649368239834067</v>
      </c>
      <c r="AK119" s="132"/>
      <c r="AL119" s="134">
        <f>AL117/AL116</f>
        <v>0.74933196965928417</v>
      </c>
      <c r="AM119" s="134">
        <f t="shared" ref="AM119:AR119" si="57">AM117/AM116</f>
        <v>0.74499946584452859</v>
      </c>
      <c r="AN119" s="134">
        <f t="shared" si="57"/>
        <v>0.74708531100718356</v>
      </c>
      <c r="AO119" s="134">
        <f t="shared" si="57"/>
        <v>0.74508260092804746</v>
      </c>
      <c r="AP119" s="134">
        <f t="shared" si="57"/>
        <v>0.74508260092804757</v>
      </c>
      <c r="AQ119" s="134">
        <f t="shared" si="57"/>
        <v>0.74508260092804768</v>
      </c>
      <c r="AR119" s="134">
        <f t="shared" si="57"/>
        <v>0.74508260092804746</v>
      </c>
      <c r="AS119" s="134">
        <f>AS117/AS116</f>
        <v>0.74508260092804746</v>
      </c>
      <c r="AT119" s="134">
        <f>AT117/AT116</f>
        <v>0.74508260092804757</v>
      </c>
      <c r="AU119" s="134">
        <f t="shared" ref="AU119" si="58">AU117/AU116</f>
        <v>0.74508260092804757</v>
      </c>
      <c r="AV119" s="483">
        <v>0.77523234143479358</v>
      </c>
      <c r="AW119" s="483">
        <v>0.74508260092804768</v>
      </c>
    </row>
    <row r="120" spans="1:52" ht="15" customHeight="1">
      <c r="A120" s="125" t="s">
        <v>3800</v>
      </c>
      <c r="B120" s="608"/>
      <c r="C120" s="608"/>
      <c r="D120" s="608"/>
      <c r="E120" s="608"/>
      <c r="F120" s="608"/>
      <c r="G120" s="608"/>
      <c r="H120" s="608"/>
      <c r="I120" s="608"/>
      <c r="J120" s="608"/>
      <c r="K120" s="608"/>
      <c r="L120" s="608"/>
      <c r="M120" s="608"/>
      <c r="N120" s="126">
        <f>(N111+N112+N113+N115)/N116</f>
        <v>0.41004588163780537</v>
      </c>
      <c r="O120" s="126">
        <f>(O111+O112+O113+O115)/O116</f>
        <v>0.41183429371912261</v>
      </c>
      <c r="P120" s="126">
        <f t="shared" ref="P120:AJ120" si="59">(P111+P112+P113+P115)/P116</f>
        <v>0.41407528107978803</v>
      </c>
      <c r="Q120" s="126">
        <f t="shared" si="59"/>
        <v>0.41577516376412149</v>
      </c>
      <c r="R120" s="126">
        <f t="shared" si="59"/>
        <v>0.40641763094906053</v>
      </c>
      <c r="S120" s="126">
        <f t="shared" si="59"/>
        <v>0.38868577442023</v>
      </c>
      <c r="T120" s="126">
        <f t="shared" si="59"/>
        <v>0.36628957268467427</v>
      </c>
      <c r="U120" s="126">
        <f t="shared" si="59"/>
        <v>0.34511413833043558</v>
      </c>
      <c r="V120" s="126">
        <f t="shared" si="59"/>
        <v>0.30722628048068545</v>
      </c>
      <c r="W120" s="126">
        <f t="shared" si="59"/>
        <v>0.29337752806889228</v>
      </c>
      <c r="X120" s="126">
        <f t="shared" si="59"/>
        <v>0.28490434910976825</v>
      </c>
      <c r="Y120" s="126">
        <f t="shared" si="59"/>
        <v>0.27458786759275</v>
      </c>
      <c r="Z120" s="126">
        <f t="shared" si="59"/>
        <v>0.28060395065465304</v>
      </c>
      <c r="AA120" s="126">
        <f t="shared" si="59"/>
        <v>0.2839308268213952</v>
      </c>
      <c r="AB120" s="126">
        <f t="shared" si="59"/>
        <v>0.29365894156036587</v>
      </c>
      <c r="AC120" s="126">
        <f t="shared" si="59"/>
        <v>0.30342981953358827</v>
      </c>
      <c r="AD120" s="126">
        <f t="shared" si="59"/>
        <v>0.29113521970643375</v>
      </c>
      <c r="AE120" s="126">
        <f t="shared" si="59"/>
        <v>0.28689443398739695</v>
      </c>
      <c r="AF120" s="126">
        <f t="shared" si="59"/>
        <v>0.28395890505807547</v>
      </c>
      <c r="AG120" s="126">
        <f t="shared" si="59"/>
        <v>0.28015744318103902</v>
      </c>
      <c r="AH120" s="126">
        <f t="shared" si="59"/>
        <v>0.27473231096839285</v>
      </c>
      <c r="AI120" s="126">
        <f t="shared" si="59"/>
        <v>0.27638749831101361</v>
      </c>
      <c r="AJ120" s="126">
        <f t="shared" si="59"/>
        <v>0.27350631760165939</v>
      </c>
      <c r="AK120" s="132"/>
      <c r="AL120" s="134">
        <f>AL118/AL116</f>
        <v>0.25066803034071589</v>
      </c>
      <c r="AM120" s="134">
        <f t="shared" ref="AM120:AU120" si="60">AM118/AM116</f>
        <v>0.2550005341554713</v>
      </c>
      <c r="AN120" s="134">
        <f t="shared" si="60"/>
        <v>0.25291468899281638</v>
      </c>
      <c r="AO120" s="134">
        <f t="shared" si="60"/>
        <v>0.25491739907195243</v>
      </c>
      <c r="AP120" s="134">
        <f t="shared" si="60"/>
        <v>0.25491739907195249</v>
      </c>
      <c r="AQ120" s="134">
        <f t="shared" si="60"/>
        <v>0.25491739907195249</v>
      </c>
      <c r="AR120" s="134">
        <f t="shared" si="60"/>
        <v>0.25491739907195249</v>
      </c>
      <c r="AS120" s="134">
        <f t="shared" si="60"/>
        <v>0.25491739907195243</v>
      </c>
      <c r="AT120" s="134">
        <f t="shared" si="60"/>
        <v>0.25491739907195249</v>
      </c>
      <c r="AU120" s="134">
        <f t="shared" si="60"/>
        <v>0.25491739907195243</v>
      </c>
      <c r="AV120" s="483">
        <v>0.2652326224083999</v>
      </c>
      <c r="AW120" s="483">
        <v>0.25491739907195238</v>
      </c>
    </row>
    <row r="121" spans="1:52" ht="15" customHeight="1">
      <c r="A121" s="136" t="s">
        <v>3801</v>
      </c>
      <c r="B121" s="137">
        <v>13.2</v>
      </c>
      <c r="C121" s="137">
        <v>14</v>
      </c>
      <c r="D121" s="137">
        <v>18.7</v>
      </c>
      <c r="E121" s="137">
        <v>25.6</v>
      </c>
      <c r="F121" s="137">
        <v>30</v>
      </c>
      <c r="G121" s="137">
        <v>38.5</v>
      </c>
      <c r="H121" s="137">
        <v>44.2</v>
      </c>
      <c r="I121" s="137">
        <v>51.2</v>
      </c>
      <c r="J121" s="137">
        <v>61.7</v>
      </c>
      <c r="K121" s="137">
        <v>66.7</v>
      </c>
      <c r="L121" s="137">
        <v>73.400000000000006</v>
      </c>
      <c r="M121" s="137">
        <v>84.9</v>
      </c>
      <c r="N121" s="137">
        <v>96.5</v>
      </c>
      <c r="O121" s="137">
        <v>105.1</v>
      </c>
      <c r="P121" s="137">
        <v>112.2</v>
      </c>
      <c r="Q121" s="137">
        <v>120.8</v>
      </c>
      <c r="R121" s="137">
        <v>126.7</v>
      </c>
      <c r="S121" s="137">
        <v>141.30000000000001</v>
      </c>
      <c r="T121" s="137">
        <v>152.4</v>
      </c>
      <c r="U121" s="137">
        <v>164.3</v>
      </c>
      <c r="V121" s="137">
        <v>177.1</v>
      </c>
      <c r="W121" s="137">
        <v>173.6</v>
      </c>
      <c r="X121" s="137">
        <v>183.3</v>
      </c>
      <c r="Y121" s="137">
        <v>243</v>
      </c>
      <c r="Z121" s="137">
        <v>290.510379</v>
      </c>
      <c r="AA121" s="137">
        <v>332.40829400000001</v>
      </c>
      <c r="AB121" s="137">
        <v>378.22399999999999</v>
      </c>
      <c r="AC121" s="137">
        <v>424.55500000000001</v>
      </c>
      <c r="AD121" s="137">
        <v>471.69299999999998</v>
      </c>
      <c r="AE121" s="137">
        <v>560.73099999999999</v>
      </c>
      <c r="AF121" s="137">
        <v>699.25699999999995</v>
      </c>
      <c r="AG121" s="137">
        <v>707.06799999999998</v>
      </c>
      <c r="AH121" s="137">
        <v>754.18399999999997</v>
      </c>
      <c r="AI121" s="137">
        <v>811.81100000000004</v>
      </c>
      <c r="AJ121" s="137">
        <v>763.02599999999995</v>
      </c>
      <c r="AK121" s="137">
        <v>863.41700000000003</v>
      </c>
      <c r="AL121" s="137">
        <f>AL117+AL118</f>
        <v>904.50800000000004</v>
      </c>
      <c r="AM121" s="137">
        <f t="shared" ref="AM121:AU121" si="61">AM117+AM118</f>
        <v>825.4899999999999</v>
      </c>
      <c r="AN121" s="137">
        <f t="shared" si="61"/>
        <v>840.50299998999992</v>
      </c>
      <c r="AO121" s="137">
        <f t="shared" si="61"/>
        <v>853.09100000000012</v>
      </c>
      <c r="AP121" s="137">
        <f t="shared" si="61"/>
        <v>846.19399999999996</v>
      </c>
      <c r="AQ121" s="137">
        <f t="shared" si="61"/>
        <v>901.44700000000012</v>
      </c>
      <c r="AR121" s="137">
        <f t="shared" si="61"/>
        <v>891.25600000000009</v>
      </c>
      <c r="AS121" s="137">
        <f>AS117+AS118</f>
        <v>833.3119999999999</v>
      </c>
      <c r="AT121" s="137">
        <f t="shared" si="61"/>
        <v>898.33699999999988</v>
      </c>
      <c r="AU121" s="137">
        <f t="shared" si="61"/>
        <v>945.88000000000011</v>
      </c>
      <c r="AV121" s="135">
        <f>SUM(AV117:AV118)</f>
        <v>984.15500000000031</v>
      </c>
      <c r="AW121" s="135">
        <f>SUM(AW117:AW118)</f>
        <v>999.61500000000001</v>
      </c>
    </row>
  </sheetData>
  <mergeCells count="6">
    <mergeCell ref="AZ114:AZ115"/>
    <mergeCell ref="AZ15:AZ16"/>
    <mergeCell ref="AZ110:AZ113"/>
    <mergeCell ref="A1:F1"/>
    <mergeCell ref="AZ106:AZ107"/>
    <mergeCell ref="AZ34:AZ36"/>
  </mergeCells>
  <phoneticPr fontId="66" type="noConversion"/>
  <conditionalFormatting sqref="B111:AW115">
    <cfRule type="cellIs" dxfId="232" priority="1" operator="equal">
      <formula>0</formula>
    </cfRule>
  </conditionalFormatting>
  <conditionalFormatting sqref="N119:AJ120">
    <cfRule type="cellIs" dxfId="231" priority="2" operator="equal">
      <formula>0</formula>
    </cfRule>
  </conditionalFormatting>
  <conditionalFormatting sqref="O117:AJ117 N118:AK118">
    <cfRule type="cellIs" dxfId="230" priority="3" operator="equal">
      <formula>0</formula>
    </cfRule>
  </conditionalFormatting>
  <dataValidations count="1">
    <dataValidation type="decimal" allowBlank="1" showInputMessage="1" showErrorMessage="1" sqref="AS121" xr:uid="{564773AE-BCA0-4AA8-8788-2EFA98D0DC7E}">
      <formula1>0</formula1>
      <formula2>200000</formula2>
    </dataValidation>
  </dataValidations>
  <hyperlinks>
    <hyperlink ref="AZ75" r:id="rId1" xr:uid="{3486E4CC-26E6-4C68-92C2-D920D129C710}"/>
    <hyperlink ref="AZ85" r:id="rId2" xr:uid="{C6F826EF-D865-4C15-B025-B1BF1CCD1A55}"/>
    <hyperlink ref="AZ80" r:id="rId3" xr:uid="{3099CC79-696E-43FD-9350-30A3F22AA4DC}"/>
    <hyperlink ref="AZ97" r:id="rId4" xr:uid="{FDA87729-823B-43AD-9C3A-AF7A67DA063E}"/>
    <hyperlink ref="A3" location="'Sector'!A14" display="Table 1. Aust. Govt. investment in R&amp;D by sub-sector, 1978-79 to 2024-25_x000a_($m current prices)" xr:uid="{41364A85-16BC-4FA8-8891-5D0B934EC417}"/>
    <hyperlink ref="A4" location="'Sector'!A48" display="Table 2. Aust. Govt. Budgetary Allocation of R&amp;D (GBARD) and Industry R&amp;D tax measures, 1978-79 to 2024-25 ($m current prices)" xr:uid="{BE3D2854-A7C5-4FDF-AC62-088E32AE7E92}"/>
    <hyperlink ref="A5" location="'Sector'!A54" display="Table 3. Aust. Govt. investment in R&amp;D by sector, 1978-79 to 2024-25 _x000a_($m current prices)" xr:uid="{9A6EEF63-0DEA-47FC-BD39-80F9C7BBCEB8}"/>
    <hyperlink ref="A6" location="'Sector'!A65" display="Table 4. Aust. Govt. investment in R&amp;D by sector as a percentage of total investment, 1978-79 to 2024-25" xr:uid="{24229775-42C8-4AB2-9ACC-97B0A3F12CAC}"/>
    <hyperlink ref="A7" location="'Sector'!A76" display="Table 5. Aust. Govt. investment in R&amp;D, 1978-79 to 2024-25_x000a_($m inflation adjusted, 2021-22 dollars)" xr:uid="{151B8A7A-E4B1-476D-BE09-592928AFFEBC}"/>
    <hyperlink ref="A8" location="'Sector'!A86" display="Table 6. Aust. Govt. investment in R&amp;D as a % of Gross Domestic Product (GDP), 1978-79 to 2024-25" xr:uid="{243F19D1-FFD8-42F2-89CC-0536FC42B350}"/>
    <hyperlink ref="A9" location="'Sector'!A94" display="Table 7. Aust. Govt. investment in R&amp;D as a % of all Aust. Govt. payments, 1978-79 to 2024-25" xr:uid="{2DC334E6-2B5D-4992-9938-2DB7111EA898}"/>
    <hyperlink ref="A10" location="'Sector'!A100" display="Table 8. Aust. Govt. investment in R&amp;D - Budget Estimates and current values, 1986-87 to 2024-25 ($m)" xr:uid="{86303F5E-DA5B-46DD-AA51-F89F12F91B22}"/>
    <hyperlink ref="A11" location="'Sector'!A110" display="Table 9. NHMRC financial year expenditure by sector, 1990-91 to 2024-25_x000a_($m current prices)" xr:uid="{276555F9-DB35-47DB-B0FF-795235C4CEB5}"/>
    <hyperlink ref="AZ82" location="Notes!A1" display="NOTES" xr:uid="{721A2767-588D-4C9D-9223-FC295472DB14}"/>
    <hyperlink ref="AZ93" location="Notes!A1" display="NOTES" xr:uid="{80A7CE6F-4537-48F8-B83A-9A31B1577C7E}"/>
    <hyperlink ref="AZ90" r:id="rId5" xr:uid="{806DC1DB-F519-46D4-9565-093A6443BD2D}"/>
  </hyperlinks>
  <pageMargins left="0.7" right="0.7" top="0.75" bottom="0.75" header="0.3" footer="0.3"/>
  <headerFooter>
    <oddHeader>&amp;C&amp;"Calibri"&amp;12&amp;KC00000 OFFICIAL&amp;1#_x000D_</oddHeader>
    <oddFooter>&amp;C_x000D_&amp;1#&amp;"Calibri"&amp;12&amp;KC00000 OFFICIAL</oddFooter>
  </headerFooter>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5D2CF-C23E-495B-A9D3-4FB10052D616}">
  <sheetPr>
    <tabColor rgb="FFC973AF"/>
  </sheetPr>
  <dimension ref="A1:P20"/>
  <sheetViews>
    <sheetView zoomScale="80" zoomScaleNormal="80" workbookViewId="0">
      <selection sqref="A1:N1"/>
    </sheetView>
  </sheetViews>
  <sheetFormatPr defaultRowHeight="15"/>
  <cols>
    <col min="1" max="1" width="65.5703125" customWidth="1"/>
    <col min="2" max="12" width="9.7109375" customWidth="1"/>
    <col min="13" max="14" width="11.28515625" customWidth="1"/>
    <col min="15" max="15" width="14" customWidth="1"/>
    <col min="16" max="16" width="48.140625" customWidth="1"/>
    <col min="37" max="37" width="10.28515625" customWidth="1"/>
    <col min="38" max="38" width="10.140625" customWidth="1"/>
  </cols>
  <sheetData>
    <row r="1" spans="1:16" s="637" customFormat="1" ht="30" customHeight="1">
      <c r="A1" s="1042" t="s">
        <v>3802</v>
      </c>
      <c r="B1" s="1042"/>
      <c r="C1" s="1042"/>
      <c r="D1" s="1042"/>
      <c r="E1" s="1042"/>
      <c r="F1" s="1042"/>
      <c r="G1" s="1042"/>
      <c r="H1" s="1042"/>
      <c r="I1" s="1042"/>
      <c r="J1" s="1042"/>
      <c r="K1" s="1042"/>
      <c r="L1" s="1042"/>
      <c r="M1" s="1042"/>
      <c r="N1" s="1042"/>
    </row>
    <row r="2" spans="1:16" ht="27.75" customHeight="1">
      <c r="A2" s="439" t="s">
        <v>1100</v>
      </c>
      <c r="B2" s="62" t="s">
        <v>1100</v>
      </c>
      <c r="C2" s="62" t="s">
        <v>1100</v>
      </c>
      <c r="D2" s="62" t="s">
        <v>1100</v>
      </c>
      <c r="E2" s="62" t="s">
        <v>1100</v>
      </c>
      <c r="F2" s="62" t="s">
        <v>1100</v>
      </c>
      <c r="G2" s="62" t="s">
        <v>1100</v>
      </c>
      <c r="H2" s="62" t="s">
        <v>1100</v>
      </c>
      <c r="I2" s="62" t="s">
        <v>1100</v>
      </c>
      <c r="J2" s="62" t="s">
        <v>1100</v>
      </c>
      <c r="K2" s="73"/>
      <c r="L2" s="464"/>
      <c r="M2" s="623" t="s">
        <v>201</v>
      </c>
      <c r="N2" s="624" t="s">
        <v>202</v>
      </c>
      <c r="P2" s="639" t="s">
        <v>227</v>
      </c>
    </row>
    <row r="3" spans="1:16" ht="39">
      <c r="A3" s="587" t="s">
        <v>205</v>
      </c>
      <c r="B3" s="626" t="s">
        <v>3803</v>
      </c>
      <c r="C3" s="626" t="s">
        <v>3804</v>
      </c>
      <c r="D3" s="626" t="s">
        <v>3805</v>
      </c>
      <c r="E3" s="626" t="s">
        <v>72</v>
      </c>
      <c r="F3" s="626" t="s">
        <v>69</v>
      </c>
      <c r="G3" s="626" t="s">
        <v>66</v>
      </c>
      <c r="H3" s="626" t="s">
        <v>62</v>
      </c>
      <c r="I3" s="627" t="s">
        <v>59</v>
      </c>
      <c r="J3" s="443" t="s">
        <v>55</v>
      </c>
      <c r="K3" s="443" t="s">
        <v>52</v>
      </c>
      <c r="L3" s="628" t="s">
        <v>49</v>
      </c>
      <c r="M3" s="629" t="s">
        <v>46</v>
      </c>
      <c r="N3" s="577" t="s">
        <v>42</v>
      </c>
      <c r="O3" s="360" t="s">
        <v>1100</v>
      </c>
      <c r="P3" s="638" t="s">
        <v>3806</v>
      </c>
    </row>
    <row r="4" spans="1:16" ht="12.75" customHeight="1">
      <c r="A4" s="641" t="s">
        <v>231</v>
      </c>
      <c r="B4" s="541">
        <f>SUMIF('R&amp;D'!$A$5:$A$665,$A4,'R&amp;D'!AL$5:AL$665)</f>
        <v>272.26800000000003</v>
      </c>
      <c r="C4" s="541">
        <f>SUMIF('R&amp;D'!$A$5:$A$665,$A4,'R&amp;D'!AM$5:AM$665)</f>
        <v>283.69378810000001</v>
      </c>
      <c r="D4" s="541">
        <f>SUMIF('R&amp;D'!$A$5:$A$665,$A4,'R&amp;D'!AN$5:AN$665)</f>
        <v>311.85900000000004</v>
      </c>
      <c r="E4" s="541">
        <f>SUMIF('R&amp;D'!$A$5:$A$665,$A4,'R&amp;D'!AO$5:AO$665)</f>
        <v>313.58600000000001</v>
      </c>
      <c r="F4" s="541">
        <f>SUMIF('R&amp;D'!$A$5:$A$665,$A4,'R&amp;D'!AP$5:AP$665)</f>
        <v>354.29899999999998</v>
      </c>
      <c r="G4" s="541">
        <f>SUMIF('R&amp;D'!$A$5:$A$665,$A4,'R&amp;D'!AQ$5:AQ$665)</f>
        <v>405.18900000000002</v>
      </c>
      <c r="H4" s="541">
        <f>SUMIF('R&amp;D'!$A$5:$A$665,$A4,'R&amp;D'!AR$5:AR$665)</f>
        <v>413.18700000000007</v>
      </c>
      <c r="I4" s="630">
        <f>SUMIF('R&amp;D'!$A$5:$A$665,$A4,'R&amp;D'!AS$5:AS$665)</f>
        <v>380.85999999999996</v>
      </c>
      <c r="J4" s="541">
        <f>SUMIF('R&amp;D'!$A$5:$A$665,$A4,'R&amp;D'!AT$5:AT$665)</f>
        <v>459.5569999999999</v>
      </c>
      <c r="K4" s="541">
        <f>SUMIF('R&amp;D'!$A$5:$A$665,$A4,'R&amp;D'!AU$5:AU$665)</f>
        <v>519.78899999999999</v>
      </c>
      <c r="L4" s="631">
        <f>SUMIF('R&amp;D'!$A$5:$A$665,$A4,'R&amp;D'!AV$5:AV$665)</f>
        <v>568.58399999999995</v>
      </c>
      <c r="M4" s="632">
        <f>SUMIF('R&amp;D'!$A$5:$A$665,$A4,'R&amp;D'!AW$5:AW$665)</f>
        <v>572.17399999999986</v>
      </c>
      <c r="N4" s="632">
        <f>SUMIF('R&amp;D'!$A$5:$A$665,$A4,'R&amp;D'!AX$5:AX$665)</f>
        <v>552.88800000000015</v>
      </c>
      <c r="O4" s="52" t="s">
        <v>1100</v>
      </c>
    </row>
    <row r="5" spans="1:16" ht="12.75" customHeight="1">
      <c r="A5" s="641" t="s">
        <v>360</v>
      </c>
      <c r="B5" s="541">
        <f>SUMIF('R&amp;D'!$A$5:$A$665,$A5,'R&amp;D'!AL$5:AL$665)</f>
        <v>4.2889999999999997</v>
      </c>
      <c r="C5" s="541">
        <f>SUMIF('R&amp;D'!$A$5:$A$665,$A5,'R&amp;D'!AM$5:AM$665)</f>
        <v>4.3479999999999999</v>
      </c>
      <c r="D5" s="541">
        <f>SUMIF('R&amp;D'!$A$5:$A$665,$A5,'R&amp;D'!AN$5:AN$665)</f>
        <v>4.2490000000000006</v>
      </c>
      <c r="E5" s="541">
        <f>SUMIF('R&amp;D'!$A$5:$A$665,$A5,'R&amp;D'!AO$5:AO$665)</f>
        <v>3.609</v>
      </c>
      <c r="F5" s="541">
        <f>SUMIF('R&amp;D'!$A$5:$A$665,$A5,'R&amp;D'!AP$5:AP$665)</f>
        <v>3.3380000000000001</v>
      </c>
      <c r="G5" s="541">
        <f>SUMIF('R&amp;D'!$A$5:$A$665,$A5,'R&amp;D'!AQ$5:AQ$665)</f>
        <v>3.6970000000000001</v>
      </c>
      <c r="H5" s="541">
        <f>SUMIF('R&amp;D'!$A$5:$A$665,$A5,'R&amp;D'!AR$5:AR$665)</f>
        <v>3.9529999999999998</v>
      </c>
      <c r="I5" s="541">
        <f>SUMIF('R&amp;D'!$A$5:$A$665,$A5,'R&amp;D'!AS$5:AS$665)</f>
        <v>3.8029999999999999</v>
      </c>
      <c r="J5" s="541">
        <f>SUMIF('R&amp;D'!$A$5:$A$665,$A5,'R&amp;D'!AT$5:AT$665)</f>
        <v>4.1980000000000004</v>
      </c>
      <c r="K5" s="541">
        <f>SUMIF('R&amp;D'!$A$5:$A$665,$A5,'R&amp;D'!AU$5:AU$665)</f>
        <v>5.069</v>
      </c>
      <c r="L5" s="631">
        <f>SUMIF('R&amp;D'!$A$5:$A$665,$A5,'R&amp;D'!AV$5:AV$665)</f>
        <v>4.5289999999999999</v>
      </c>
      <c r="M5" s="633">
        <f>SUMIF('R&amp;D'!$A$5:$A$665,$A5,'R&amp;D'!AW$5:AW$665)</f>
        <v>4.2290000000000001</v>
      </c>
      <c r="N5" s="633">
        <f>SUMIF('R&amp;D'!$A$5:$A$665,$A5,'R&amp;D'!AX$5:AX$665)</f>
        <v>4.0940000000000003</v>
      </c>
      <c r="O5" s="52" t="s">
        <v>1100</v>
      </c>
    </row>
    <row r="6" spans="1:16" ht="12.75" customHeight="1">
      <c r="A6" s="641" t="s">
        <v>387</v>
      </c>
      <c r="B6" s="541">
        <f>SUMIF('R&amp;D'!$A$5:$A$665,$A6,'R&amp;D'!AL$5:AL$665)</f>
        <v>522.80399999999986</v>
      </c>
      <c r="C6" s="541">
        <f>SUMIF('R&amp;D'!$A$5:$A$665,$A6,'R&amp;D'!AM$5:AM$665)</f>
        <v>510.75176500000003</v>
      </c>
      <c r="D6" s="541">
        <f>SUMIF('R&amp;D'!$A$5:$A$665,$A6,'R&amp;D'!AN$5:AN$665)</f>
        <v>412.54400000000004</v>
      </c>
      <c r="E6" s="541">
        <f>SUMIF('R&amp;D'!$A$5:$A$665,$A6,'R&amp;D'!AO$5:AO$665)</f>
        <v>425.779</v>
      </c>
      <c r="F6" s="541">
        <f>SUMIF('R&amp;D'!$A$5:$A$665,$A6,'R&amp;D'!AP$5:AP$665)</f>
        <v>602.32899999999995</v>
      </c>
      <c r="G6" s="541">
        <f>SUMIF('R&amp;D'!$A$5:$A$665,$A6,'R&amp;D'!AQ$5:AQ$665)</f>
        <v>472.74599999999998</v>
      </c>
      <c r="H6" s="541">
        <f>SUMIF('R&amp;D'!$A$5:$A$665,$A6,'R&amp;D'!AR$5:AR$665)</f>
        <v>483.98599999999999</v>
      </c>
      <c r="I6" s="541">
        <f>SUMIF('R&amp;D'!$A$5:$A$665,$A6,'R&amp;D'!AS$5:AS$665)</f>
        <v>559.22549500000002</v>
      </c>
      <c r="J6" s="541">
        <f>SUMIF('R&amp;D'!$A$5:$A$665,$A6,'R&amp;D'!AT$5:AT$665)</f>
        <v>807.32623599999977</v>
      </c>
      <c r="K6" s="541">
        <f>SUMIF('R&amp;D'!$A$5:$A$665,$A6,'R&amp;D'!AU$5:AU$665)</f>
        <v>735.88400000000001</v>
      </c>
      <c r="L6" s="631">
        <f>SUMIF('R&amp;D'!$A$5:$A$665,$A6,'R&amp;D'!AV$5:AV$665)</f>
        <v>796.70298999999977</v>
      </c>
      <c r="M6" s="633">
        <f>SUMIF('R&amp;D'!$A$5:$A$665,$A6,'R&amp;D'!AW$5:AW$665)</f>
        <v>1008.5323748989673</v>
      </c>
      <c r="N6" s="633">
        <f>SUMIF('R&amp;D'!$A$5:$A$665,$A6,'R&amp;D'!AX$5:AX$665)</f>
        <v>1244.6990728617541</v>
      </c>
    </row>
    <row r="7" spans="1:16" ht="12.75" customHeight="1">
      <c r="A7" s="641" t="s">
        <v>542</v>
      </c>
      <c r="B7" s="541">
        <f>SUMIF('R&amp;D'!$A$5:$A$665,$A7,'R&amp;D'!AL$5:AL$665)</f>
        <v>433.95799999999997</v>
      </c>
      <c r="C7" s="541">
        <f>SUMIF('R&amp;D'!$A$5:$A$665,$A7,'R&amp;D'!AM$5:AM$665)</f>
        <v>448.197</v>
      </c>
      <c r="D7" s="541">
        <f>SUMIF('R&amp;D'!$A$5:$A$665,$A7,'R&amp;D'!AN$5:AN$665)</f>
        <v>515.35299999999995</v>
      </c>
      <c r="E7" s="541">
        <f>SUMIF('R&amp;D'!$A$5:$A$665,$A7,'R&amp;D'!AO$5:AO$665)</f>
        <v>497.03300000000002</v>
      </c>
      <c r="F7" s="541">
        <f>SUMIF('R&amp;D'!$A$5:$A$665,$A7,'R&amp;D'!AP$5:AP$665)</f>
        <v>558.95400000000006</v>
      </c>
      <c r="G7" s="541">
        <f>SUMIF('R&amp;D'!$A$5:$A$665,$A7,'R&amp;D'!AQ$5:AQ$665)</f>
        <v>527.83200000000011</v>
      </c>
      <c r="H7" s="541">
        <f>SUMIF('R&amp;D'!$A$5:$A$665,$A7,'R&amp;D'!AR$5:AR$665)</f>
        <v>456.59699999999998</v>
      </c>
      <c r="I7" s="541">
        <f>SUMIF('R&amp;D'!$A$5:$A$665,$A7,'R&amp;D'!AS$5:AS$665)</f>
        <v>557.22880000000009</v>
      </c>
      <c r="J7" s="541">
        <f>SUMIF('R&amp;D'!$A$5:$A$665,$A7,'R&amp;D'!AT$5:AT$665)</f>
        <v>635.93880000000013</v>
      </c>
      <c r="K7" s="541">
        <f>SUMIF('R&amp;D'!$A$5:$A$665,$A7,'R&amp;D'!AU$5:AU$665)</f>
        <v>633.04100000000005</v>
      </c>
      <c r="L7" s="631">
        <f>SUMIF('R&amp;D'!$A$5:$A$665,$A7,'R&amp;D'!AV$5:AV$665)</f>
        <v>722.78600000000006</v>
      </c>
      <c r="M7" s="633">
        <f>SUMIF('R&amp;D'!$A$5:$A$665,$A7,'R&amp;D'!AW$5:AW$665)</f>
        <v>707.65600000000006</v>
      </c>
      <c r="N7" s="633">
        <f>SUMIF('R&amp;D'!$A$5:$A$665,$A7,'R&amp;D'!AX$5:AX$665)</f>
        <v>774.625</v>
      </c>
    </row>
    <row r="8" spans="1:16" ht="12.75" customHeight="1">
      <c r="A8" s="641" t="s">
        <v>658</v>
      </c>
      <c r="B8" s="541">
        <f>SUMIF('R&amp;D'!$A$5:$A$665,$A8,'R&amp;D'!AL$5:AL$665)</f>
        <v>2977.9225000000001</v>
      </c>
      <c r="C8" s="541">
        <f>SUMIF('R&amp;D'!$A$5:$A$665,$A8,'R&amp;D'!AM$5:AM$665)</f>
        <v>2978.0165000000002</v>
      </c>
      <c r="D8" s="541">
        <f>SUMIF('R&amp;D'!$A$5:$A$665,$A8,'R&amp;D'!AN$5:AN$665)</f>
        <v>2998.0830000000001</v>
      </c>
      <c r="E8" s="541">
        <f>SUMIF('R&amp;D'!$A$5:$A$665,$A8,'R&amp;D'!AO$5:AO$665)</f>
        <v>2868.1959999999995</v>
      </c>
      <c r="F8" s="541">
        <f>SUMIF('R&amp;D'!$A$5:$A$665,$A8,'R&amp;D'!AP$5:AP$665)</f>
        <v>3321.9355</v>
      </c>
      <c r="G8" s="541">
        <f>SUMIF('R&amp;D'!$A$5:$A$665,$A8,'R&amp;D'!AQ$5:AQ$665)</f>
        <v>3037.5910000000003</v>
      </c>
      <c r="H8" s="541">
        <f>SUMIF('R&amp;D'!$A$5:$A$665,$A8,'R&amp;D'!AR$5:AR$665)</f>
        <v>3087.8270000000002</v>
      </c>
      <c r="I8" s="541">
        <f>SUMIF('R&amp;D'!$A$5:$A$665,$A8,'R&amp;D'!AS$5:AS$665)</f>
        <v>4163.7910000000002</v>
      </c>
      <c r="J8" s="541">
        <f>SUMIF('R&amp;D'!$A$5:$A$665,$A8,'R&amp;D'!AT$5:AT$665)</f>
        <v>3307.8430000000003</v>
      </c>
      <c r="K8" s="541">
        <f>SUMIF('R&amp;D'!$A$5:$A$665,$A8,'R&amp;D'!AU$5:AU$665)</f>
        <v>3493.7560000000003</v>
      </c>
      <c r="L8" s="631">
        <f>SUMIF('R&amp;D'!$A$5:$A$665,$A8,'R&amp;D'!AV$5:AV$665)</f>
        <v>3740.4500000000003</v>
      </c>
      <c r="M8" s="633">
        <f>SUMIF('R&amp;D'!$A$5:$A$665,$A8,'R&amp;D'!AW$5:AW$665)</f>
        <v>4370.7919999999995</v>
      </c>
      <c r="N8" s="633">
        <f>SUMIF('R&amp;D'!$A$5:$A$665,$A8,'R&amp;D'!AX$5:AX$665)</f>
        <v>4406.8509999999997</v>
      </c>
    </row>
    <row r="9" spans="1:16" ht="12.75" customHeight="1">
      <c r="A9" s="641" t="s">
        <v>819</v>
      </c>
      <c r="B9" s="541">
        <f>SUMIF('R&amp;D'!$A$5:$A$665,$A9,'R&amp;D'!AL$5:AL$665)</f>
        <v>178.73</v>
      </c>
      <c r="C9" s="541">
        <f>SUMIF('R&amp;D'!$A$5:$A$665,$A9,'R&amp;D'!AM$5:AM$665)</f>
        <v>162.92099999999999</v>
      </c>
      <c r="D9" s="541">
        <f>SUMIF('R&amp;D'!$A$5:$A$665,$A9,'R&amp;D'!AN$5:AN$665)</f>
        <v>193.04300000000001</v>
      </c>
      <c r="E9" s="541">
        <f>SUMIF('R&amp;D'!$A$5:$A$665,$A9,'R&amp;D'!AO$5:AO$665)</f>
        <v>214.96</v>
      </c>
      <c r="F9" s="541">
        <f>SUMIF('R&amp;D'!$A$5:$A$665,$A9,'R&amp;D'!AP$5:AP$665)</f>
        <v>202.72</v>
      </c>
      <c r="G9" s="541">
        <f>SUMIF('R&amp;D'!$A$5:$A$665,$A9,'R&amp;D'!AQ$5:AQ$665)</f>
        <v>201.739</v>
      </c>
      <c r="H9" s="541">
        <f>SUMIF('R&amp;D'!$A$5:$A$665,$A9,'R&amp;D'!AR$5:AR$665)</f>
        <v>167.33799999999999</v>
      </c>
      <c r="I9" s="541">
        <f>SUMIF('R&amp;D'!$A$5:$A$665,$A9,'R&amp;D'!AS$5:AS$665)</f>
        <v>96.697999999999993</v>
      </c>
      <c r="J9" s="541">
        <f>SUMIF('R&amp;D'!$A$5:$A$665,$A9,'R&amp;D'!AT$5:AT$665)</f>
        <v>100.65299999999999</v>
      </c>
      <c r="K9" s="541">
        <f>SUMIF('R&amp;D'!$A$5:$A$665,$A9,'R&amp;D'!AU$5:AU$665)</f>
        <v>103.87471359999999</v>
      </c>
      <c r="L9" s="631">
        <f>SUMIF('R&amp;D'!$A$5:$A$665,$A9,'R&amp;D'!AV$5:AV$665)</f>
        <v>115.063</v>
      </c>
      <c r="M9" s="633">
        <f>SUMIF('R&amp;D'!$A$5:$A$665,$A9,'R&amp;D'!AW$5:AW$665)</f>
        <v>117.675</v>
      </c>
      <c r="N9" s="633">
        <f>SUMIF('R&amp;D'!$A$5:$A$665,$A9,'R&amp;D'!AX$5:AX$665)</f>
        <v>120.371</v>
      </c>
    </row>
    <row r="10" spans="1:16" ht="12.75" customHeight="1">
      <c r="A10" s="641" t="s">
        <v>832</v>
      </c>
      <c r="B10" s="541">
        <f>SUMIF('R&amp;D'!$A$5:$A$665,$A10,'R&amp;D'!AL$5:AL$665)</f>
        <v>969.50200000000007</v>
      </c>
      <c r="C10" s="541">
        <f>SUMIF('R&amp;D'!$A$5:$A$665,$A10,'R&amp;D'!AM$5:AM$665)</f>
        <v>973.11060239000017</v>
      </c>
      <c r="D10" s="541">
        <f>SUMIF('R&amp;D'!$A$5:$A$665,$A10,'R&amp;D'!AN$5:AN$665)</f>
        <v>880.40159999999992</v>
      </c>
      <c r="E10" s="541">
        <f>SUMIF('R&amp;D'!$A$5:$A$665,$A10,'R&amp;D'!AO$5:AO$665)</f>
        <v>971.4623499999999</v>
      </c>
      <c r="F10" s="541">
        <f>SUMIF('R&amp;D'!$A$5:$A$665,$A10,'R&amp;D'!AP$5:AP$665)</f>
        <v>996.65231099999983</v>
      </c>
      <c r="G10" s="541">
        <f>SUMIF('R&amp;D'!$A$5:$A$665,$A10,'R&amp;D'!AQ$5:AQ$665)</f>
        <v>1206.2963689999999</v>
      </c>
      <c r="H10" s="541">
        <f>SUMIF('R&amp;D'!$A$5:$A$665,$A10,'R&amp;D'!AR$5:AR$665)</f>
        <v>1419.4930000000002</v>
      </c>
      <c r="I10" s="541">
        <f>SUMIF('R&amp;D'!$A$5:$A$665,$A10,'R&amp;D'!AS$5:AS$665)</f>
        <v>1644.140823</v>
      </c>
      <c r="J10" s="541">
        <f>SUMIF('R&amp;D'!$A$5:$A$665,$A10,'R&amp;D'!AT$5:AT$665)</f>
        <v>1638.2629999999999</v>
      </c>
      <c r="K10" s="541">
        <f>SUMIF('R&amp;D'!$A$5:$A$665,$A10,'R&amp;D'!AU$5:AU$665)</f>
        <v>1717.4629999999997</v>
      </c>
      <c r="L10" s="631">
        <f>SUMIF('R&amp;D'!$A$5:$A$665,$A10,'R&amp;D'!AV$5:AV$665)</f>
        <v>1705.2470000000001</v>
      </c>
      <c r="M10" s="633">
        <f>SUMIF('R&amp;D'!$A$5:$A$665,$A10,'R&amp;D'!AW$5:AW$665)</f>
        <v>1729.577</v>
      </c>
      <c r="N10" s="633">
        <f>SUMIF('R&amp;D'!$A$5:$A$665,$A10,'R&amp;D'!AX$5:AX$665)</f>
        <v>1730.0819999999999</v>
      </c>
    </row>
    <row r="11" spans="1:16" ht="12.75" customHeight="1">
      <c r="A11" s="641" t="s">
        <v>1095</v>
      </c>
      <c r="B11" s="541">
        <f>SUMIF('R&amp;D'!$A$5:$A$665,$A11,'R&amp;D'!AL$5:AL$665)</f>
        <v>0</v>
      </c>
      <c r="C11" s="541">
        <f>SUMIF('R&amp;D'!$A$5:$A$665,$A11,'R&amp;D'!AM$5:AM$665)</f>
        <v>0</v>
      </c>
      <c r="D11" s="541">
        <f>SUMIF('R&amp;D'!$A$5:$A$665,$A11,'R&amp;D'!AN$5:AN$665)</f>
        <v>0</v>
      </c>
      <c r="E11" s="541">
        <f>SUMIF('R&amp;D'!$A$5:$A$665,$A11,'R&amp;D'!AO$5:AO$665)</f>
        <v>0</v>
      </c>
      <c r="F11" s="541">
        <f>SUMIF('R&amp;D'!$A$5:$A$665,$A11,'R&amp;D'!AP$5:AP$665)</f>
        <v>0</v>
      </c>
      <c r="G11" s="541">
        <f>SUMIF('R&amp;D'!$A$5:$A$665,$A11,'R&amp;D'!AQ$5:AQ$665)</f>
        <v>0</v>
      </c>
      <c r="H11" s="541">
        <f>SUMIF('R&amp;D'!$A$5:$A$665,$A11,'R&amp;D'!AR$5:AR$665)</f>
        <v>0</v>
      </c>
      <c r="I11" s="541">
        <f>SUMIF('R&amp;D'!$A$5:$A$665,$A11,'R&amp;D'!AS$5:AS$665)</f>
        <v>0</v>
      </c>
      <c r="J11" s="541">
        <f>SUMIF('R&amp;D'!$A$5:$A$665,$A11,'R&amp;D'!AT$5:AT$665)</f>
        <v>9.2539999999999996</v>
      </c>
      <c r="K11" s="541">
        <f>SUMIF('R&amp;D'!$A$5:$A$665,$A11,'R&amp;D'!AU$5:AU$665)</f>
        <v>16.408999999999999</v>
      </c>
      <c r="L11" s="631">
        <f>SUMIF('R&amp;D'!$A$5:$A$665,$A11,'R&amp;D'!AV$5:AV$665)</f>
        <v>10.5</v>
      </c>
      <c r="M11" s="633">
        <f>SUMIF('R&amp;D'!$A$5:$A$665,$A11,'R&amp;D'!AW$5:AW$665)</f>
        <v>21.945</v>
      </c>
      <c r="N11" s="633">
        <f>SUMIF('R&amp;D'!$A$5:$A$665,$A11,'R&amp;D'!AX$5:AX$665)</f>
        <v>11.45</v>
      </c>
    </row>
    <row r="12" spans="1:16" ht="12.75" customHeight="1">
      <c r="A12" s="641" t="s">
        <v>1119</v>
      </c>
      <c r="B12" s="541">
        <f>SUMIF('R&amp;D'!$A$5:$A$665,$A12,'R&amp;D'!AL$5:AL$665)</f>
        <v>4411.28</v>
      </c>
      <c r="C12" s="541">
        <f>SUMIF('R&amp;D'!$A$5:$A$665,$A12,'R&amp;D'!AM$5:AM$665)</f>
        <v>4420.518</v>
      </c>
      <c r="D12" s="541">
        <f>SUMIF('R&amp;D'!$A$5:$A$665,$A12,'R&amp;D'!AN$5:AN$665)</f>
        <v>4277.5529999999999</v>
      </c>
      <c r="E12" s="541">
        <f>SUMIF('R&amp;D'!$A$5:$A$665,$A12,'R&amp;D'!AO$5:AO$665)</f>
        <v>4135.1170000000002</v>
      </c>
      <c r="F12" s="541">
        <f>SUMIF('R&amp;D'!$A$5:$A$665,$A12,'R&amp;D'!AP$5:AP$665)</f>
        <v>4085.8356500000004</v>
      </c>
      <c r="G12" s="541">
        <f>SUMIF('R&amp;D'!$A$5:$A$665,$A12,'R&amp;D'!AQ$5:AQ$665)</f>
        <v>4111.7909999999993</v>
      </c>
      <c r="H12" s="541">
        <f>SUMIF('R&amp;D'!$A$5:$A$665,$A12,'R&amp;D'!AR$5:AR$665)</f>
        <v>4128.8379999999997</v>
      </c>
      <c r="I12" s="541">
        <f>SUMIF('R&amp;D'!$A$5:$A$665,$A12,'R&amp;D'!AS$5:AS$665)</f>
        <v>4586.4067699999996</v>
      </c>
      <c r="J12" s="541">
        <f>SUMIF('R&amp;D'!$A$5:$A$665,$A12,'R&amp;D'!AT$5:AT$665)</f>
        <v>5400.8246099999997</v>
      </c>
      <c r="K12" s="541">
        <f>SUMIF('R&amp;D'!$A$5:$A$665,$A12,'R&amp;D'!AU$5:AU$665)</f>
        <v>5835.2910000000002</v>
      </c>
      <c r="L12" s="631">
        <f>SUMIF('R&amp;D'!$A$5:$A$665,$A12,'R&amp;D'!AV$5:AV$665)</f>
        <v>6077.2009999999991</v>
      </c>
      <c r="M12" s="633">
        <f>SUMIF('R&amp;D'!$A$5:$A$665,$A12,'R&amp;D'!AW$5:AW$665)</f>
        <v>6258.1269999999995</v>
      </c>
      <c r="N12" s="633">
        <f>SUMIF('R&amp;D'!$A$5:$A$665,$A12,'R&amp;D'!AX$5:AX$665)</f>
        <v>6167.6859999999997</v>
      </c>
    </row>
    <row r="13" spans="1:16" ht="12.75" customHeight="1">
      <c r="A13" s="641" t="s">
        <v>1319</v>
      </c>
      <c r="B13" s="541">
        <f>SUMIF('R&amp;D'!$A$5:$A$665,$A13,'R&amp;D'!AL$5:AL$665)</f>
        <v>5.2998599999999998</v>
      </c>
      <c r="C13" s="541">
        <f>SUMIF('R&amp;D'!$A$5:$A$665,$A13,'R&amp;D'!AM$5:AM$665)</f>
        <v>5.2360000000000007</v>
      </c>
      <c r="D13" s="541">
        <f>SUMIF('R&amp;D'!$A$5:$A$665,$A13,'R&amp;D'!AN$5:AN$665)</f>
        <v>5.8914999999999997</v>
      </c>
      <c r="E13" s="541">
        <f>SUMIF('R&amp;D'!$A$5:$A$665,$A13,'R&amp;D'!AO$5:AO$665)</f>
        <v>9.4589999999999996</v>
      </c>
      <c r="F13" s="541">
        <f>SUMIF('R&amp;D'!$A$5:$A$665,$A13,'R&amp;D'!AP$5:AP$665)</f>
        <v>10.613000000000001</v>
      </c>
      <c r="G13" s="541">
        <f>SUMIF('R&amp;D'!$A$5:$A$665,$A13,'R&amp;D'!AQ$5:AQ$665)</f>
        <v>11.868</v>
      </c>
      <c r="H13" s="541">
        <f>SUMIF('R&amp;D'!$A$5:$A$665,$A13,'R&amp;D'!AR$5:AR$665)</f>
        <v>19.711000000000002</v>
      </c>
      <c r="I13" s="541">
        <f>SUMIF('R&amp;D'!$A$5:$A$665,$A13,'R&amp;D'!AS$5:AS$665)</f>
        <v>26.587000000000003</v>
      </c>
      <c r="J13" s="541">
        <f>SUMIF('R&amp;D'!$A$5:$A$665,$A13,'R&amp;D'!AT$5:AT$665)</f>
        <v>35.945999999999998</v>
      </c>
      <c r="K13" s="541">
        <f>SUMIF('R&amp;D'!$A$5:$A$665,$A13,'R&amp;D'!AU$5:AU$665)</f>
        <v>37.8003</v>
      </c>
      <c r="L13" s="631">
        <f>SUMIF('R&amp;D'!$A$5:$A$665,$A13,'R&amp;D'!AV$5:AV$665)</f>
        <v>38.092302000000011</v>
      </c>
      <c r="M13" s="633">
        <f>SUMIF('R&amp;D'!$A$5:$A$665,$A13,'R&amp;D'!AW$5:AW$665)</f>
        <v>52.656865000000003</v>
      </c>
      <c r="N13" s="633">
        <f>SUMIF('R&amp;D'!$A$5:$A$665,$A13,'R&amp;D'!AX$5:AX$665)</f>
        <v>45.203000000000003</v>
      </c>
    </row>
    <row r="14" spans="1:16" ht="12.75" customHeight="1">
      <c r="A14" s="641" t="s">
        <v>1384</v>
      </c>
      <c r="B14" s="541">
        <f>SUMIF('R&amp;D'!$A$5:$A$665,$A14,'R&amp;D'!AL$5:AL$665)</f>
        <v>3.839</v>
      </c>
      <c r="C14" s="541">
        <f>SUMIF('R&amp;D'!$A$5:$A$665,$A14,'R&amp;D'!AM$5:AM$665)</f>
        <v>3.8959999999999999</v>
      </c>
      <c r="D14" s="541">
        <f>SUMIF('R&amp;D'!$A$5:$A$665,$A14,'R&amp;D'!AN$5:AN$665)</f>
        <v>1.9130000000000003</v>
      </c>
      <c r="E14" s="541">
        <f>SUMIF('R&amp;D'!$A$5:$A$665,$A14,'R&amp;D'!AO$5:AO$665)</f>
        <v>3.9139999999999997</v>
      </c>
      <c r="F14" s="541">
        <f>SUMIF('R&amp;D'!$A$5:$A$665,$A14,'R&amp;D'!AP$5:AP$665)</f>
        <v>3.8180000000000001</v>
      </c>
      <c r="G14" s="541">
        <f>SUMIF('R&amp;D'!$A$5:$A$665,$A14,'R&amp;D'!AQ$5:AQ$665)</f>
        <v>6.3599999999999994</v>
      </c>
      <c r="H14" s="541">
        <f>SUMIF('R&amp;D'!$A$5:$A$665,$A14,'R&amp;D'!AR$5:AR$665)</f>
        <v>4.819</v>
      </c>
      <c r="I14" s="541">
        <f>SUMIF('R&amp;D'!$A$5:$A$665,$A14,'R&amp;D'!AS$5:AS$665)</f>
        <v>3.0220000000000002</v>
      </c>
      <c r="J14" s="541">
        <f>SUMIF('R&amp;D'!$A$5:$A$665,$A14,'R&amp;D'!AT$5:AT$665)</f>
        <v>4.5730000000000004</v>
      </c>
      <c r="K14" s="541">
        <f>SUMIF('R&amp;D'!$A$5:$A$665,$A14,'R&amp;D'!AU$5:AU$665)</f>
        <v>7.585</v>
      </c>
      <c r="L14" s="631">
        <f>SUMIF('R&amp;D'!$A$5:$A$665,$A14,'R&amp;D'!AV$5:AV$665)</f>
        <v>10.308999999999999</v>
      </c>
      <c r="M14" s="633">
        <f>SUMIF('R&amp;D'!$A$5:$A$665,$A14,'R&amp;D'!AW$5:AW$665)</f>
        <v>10.629999999999999</v>
      </c>
      <c r="N14" s="633">
        <f>SUMIF('R&amp;D'!$A$5:$A$665,$A14,'R&amp;D'!AX$5:AX$665)</f>
        <v>13.51</v>
      </c>
    </row>
    <row r="15" spans="1:16" ht="12.75" customHeight="1">
      <c r="A15" s="641" t="s">
        <v>1401</v>
      </c>
      <c r="B15" s="541">
        <f>SUMIF('R&amp;D'!$A$5:$A$665,$A15,'R&amp;D'!AL$5:AL$665)</f>
        <v>40.064000000000007</v>
      </c>
      <c r="C15" s="541">
        <f>SUMIF('R&amp;D'!$A$5:$A$665,$A15,'R&amp;D'!AM$5:AM$665)</f>
        <v>37.036000000000001</v>
      </c>
      <c r="D15" s="541">
        <f>SUMIF('R&amp;D'!$A$5:$A$665,$A15,'R&amp;D'!AN$5:AN$665)</f>
        <v>30.559658000000002</v>
      </c>
      <c r="E15" s="541">
        <f>SUMIF('R&amp;D'!$A$5:$A$665,$A15,'R&amp;D'!AO$5:AO$665)</f>
        <v>40.463118000000001</v>
      </c>
      <c r="F15" s="541">
        <f>SUMIF('R&amp;D'!$A$5:$A$665,$A15,'R&amp;D'!AP$5:AP$665)</f>
        <v>42.844600000000007</v>
      </c>
      <c r="G15" s="541">
        <f>SUMIF('R&amp;D'!$A$5:$A$665,$A15,'R&amp;D'!AQ$5:AQ$665)</f>
        <v>44.501000000000012</v>
      </c>
      <c r="H15" s="541">
        <f>SUMIF('R&amp;D'!$A$5:$A$665,$A15,'R&amp;D'!AR$5:AR$665)</f>
        <v>47.191000000000003</v>
      </c>
      <c r="I15" s="541">
        <f>SUMIF('R&amp;D'!$A$5:$A$665,$A15,'R&amp;D'!AS$5:AS$665)</f>
        <v>39.582999999999998</v>
      </c>
      <c r="J15" s="541">
        <f>SUMIF('R&amp;D'!$A$5:$A$665,$A15,'R&amp;D'!AT$5:AT$665)</f>
        <v>51.865000000000002</v>
      </c>
      <c r="K15" s="541">
        <f>SUMIF('R&amp;D'!$A$5:$A$665,$A15,'R&amp;D'!AU$5:AU$665)</f>
        <v>51.288999999999994</v>
      </c>
      <c r="L15" s="631">
        <f>SUMIF('R&amp;D'!$A$5:$A$665,$A15,'R&amp;D'!AV$5:AV$665)</f>
        <v>59.974000000000011</v>
      </c>
      <c r="M15" s="633">
        <f>SUMIF('R&amp;D'!$A$5:$A$665,$A15,'R&amp;D'!AW$5:AW$665)</f>
        <v>65.456999999999994</v>
      </c>
      <c r="N15" s="633">
        <f>SUMIF('R&amp;D'!$A$5:$A$665,$A15,'R&amp;D'!AX$5:AX$665)</f>
        <v>62.372</v>
      </c>
    </row>
    <row r="16" spans="1:16" ht="12.75" customHeight="1">
      <c r="A16" s="641" t="s">
        <v>1608</v>
      </c>
      <c r="B16" s="541">
        <f>SUMIF('R&amp;D'!$A$5:$A$665,$A16,'R&amp;D'!AL$5:AL$665)</f>
        <v>1.623648</v>
      </c>
      <c r="C16" s="541">
        <f>SUMIF('R&amp;D'!$A$5:$A$665,$A16,'R&amp;D'!AM$5:AM$665)</f>
        <v>1.32274392</v>
      </c>
      <c r="D16" s="541">
        <f>SUMIF('R&amp;D'!$A$5:$A$665,$A16,'R&amp;D'!AN$5:AN$665)</f>
        <v>1.34919878</v>
      </c>
      <c r="E16" s="541">
        <f>SUMIF('R&amp;D'!$A$5:$A$665,$A16,'R&amp;D'!AO$5:AO$665)</f>
        <v>1.3761827</v>
      </c>
      <c r="F16" s="541">
        <f>SUMIF('R&amp;D'!$A$5:$A$665,$A16,'R&amp;D'!AP$5:AP$665)</f>
        <v>1.7538</v>
      </c>
      <c r="G16" s="541">
        <f>SUMIF('R&amp;D'!$A$5:$A$665,$A16,'R&amp;D'!AQ$5:AQ$665)</f>
        <v>1.7888759999999999</v>
      </c>
      <c r="H16" s="541">
        <f>SUMIF('R&amp;D'!$A$5:$A$665,$A16,'R&amp;D'!AR$5:AR$665)</f>
        <v>1.825</v>
      </c>
      <c r="I16" s="541">
        <f>SUMIF('R&amp;D'!$A$5:$A$665,$A16,'R&amp;D'!AS$5:AS$665)</f>
        <v>1.861</v>
      </c>
      <c r="J16" s="541">
        <f>SUMIF('R&amp;D'!$A$5:$A$665,$A16,'R&amp;D'!AT$5:AT$665)</f>
        <v>1.8979999999999999</v>
      </c>
      <c r="K16" s="541">
        <f>SUMIF('R&amp;D'!$A$5:$A$665,$A16,'R&amp;D'!AU$5:AU$665)</f>
        <v>1.9359999999999999</v>
      </c>
      <c r="L16" s="631">
        <f>SUMIF('R&amp;D'!$A$5:$A$665,$A16,'R&amp;D'!AV$5:AV$665)</f>
        <v>1.984</v>
      </c>
      <c r="M16" s="633">
        <f>SUMIF('R&amp;D'!$A$5:$A$665,$A16,'R&amp;D'!AW$5:AW$665)</f>
        <v>0</v>
      </c>
      <c r="N16" s="633">
        <f>SUMIF('R&amp;D'!$A$5:$A$665,$A16,'R&amp;D'!AX$5:AX$665)</f>
        <v>0</v>
      </c>
    </row>
    <row r="17" spans="1:14" ht="12.75" customHeight="1">
      <c r="A17" s="641" t="s">
        <v>1611</v>
      </c>
      <c r="B17" s="541">
        <f>SUMIF('R&amp;D'!$A$5:$A$665,$A17,'R&amp;D'!AL$5:AL$665)</f>
        <v>3.758</v>
      </c>
      <c r="C17" s="541">
        <f>SUMIF('R&amp;D'!$A$5:$A$665,$A17,'R&amp;D'!AM$5:AM$665)</f>
        <v>5.1869999999999994</v>
      </c>
      <c r="D17" s="541">
        <f>SUMIF('R&amp;D'!$A$5:$A$665,$A17,'R&amp;D'!AN$5:AN$665)</f>
        <v>5.2909999999999995</v>
      </c>
      <c r="E17" s="541">
        <f>SUMIF('R&amp;D'!$A$5:$A$665,$A17,'R&amp;D'!AO$5:AO$665)</f>
        <v>8.6059999999999999</v>
      </c>
      <c r="F17" s="541">
        <f>SUMIF('R&amp;D'!$A$5:$A$665,$A17,'R&amp;D'!AP$5:AP$665)</f>
        <v>6.9479999999999995</v>
      </c>
      <c r="G17" s="541">
        <f>SUMIF('R&amp;D'!$A$5:$A$665,$A17,'R&amp;D'!AQ$5:AQ$665)</f>
        <v>7.0459999999999994</v>
      </c>
      <c r="H17" s="541">
        <f>SUMIF('R&amp;D'!$A$5:$A$665,$A17,'R&amp;D'!AR$5:AR$665)</f>
        <v>6.0189999999999992</v>
      </c>
      <c r="I17" s="541">
        <f>SUMIF('R&amp;D'!$A$5:$A$665,$A17,'R&amp;D'!AS$5:AS$665)</f>
        <v>6.5139999999999993</v>
      </c>
      <c r="J17" s="541">
        <f>SUMIF('R&amp;D'!$A$5:$A$665,$A17,'R&amp;D'!AT$5:AT$665)</f>
        <v>5.7479999999999993</v>
      </c>
      <c r="K17" s="541">
        <f>SUMIF('R&amp;D'!$A$5:$A$665,$A17,'R&amp;D'!AU$5:AU$665)</f>
        <v>6.274</v>
      </c>
      <c r="L17" s="631">
        <f>SUMIF('R&amp;D'!$A$5:$A$665,$A17,'R&amp;D'!AV$5:AV$665)</f>
        <v>5.3049999999999997</v>
      </c>
      <c r="M17" s="633">
        <f>SUMIF('R&amp;D'!$A$5:$A$665,$A17,'R&amp;D'!AW$5:AW$665)</f>
        <v>5.0430000000000001</v>
      </c>
      <c r="N17" s="633">
        <f>SUMIF('R&amp;D'!$A$5:$A$665,$A17,'R&amp;D'!AX$5:AX$665)</f>
        <v>5.8929999999999998</v>
      </c>
    </row>
    <row r="18" spans="1:14" ht="12.75" customHeight="1">
      <c r="A18" s="642" t="s">
        <v>1622</v>
      </c>
      <c r="B18" s="440">
        <f t="shared" ref="B18:N18" si="0">B4+B5+B6+B7+B8+B9+B10+B11+B12+B13+B14+B15+B16+B17</f>
        <v>9825.3380079999988</v>
      </c>
      <c r="C18" s="440">
        <f t="shared" si="0"/>
        <v>9834.2343994100011</v>
      </c>
      <c r="D18" s="440">
        <f t="shared" si="0"/>
        <v>9638.0899567799988</v>
      </c>
      <c r="E18" s="440">
        <f t="shared" si="0"/>
        <v>9493.5606507000011</v>
      </c>
      <c r="F18" s="440">
        <f t="shared" si="0"/>
        <v>10192.040860999999</v>
      </c>
      <c r="G18" s="440">
        <f t="shared" si="0"/>
        <v>10038.445245000001</v>
      </c>
      <c r="H18" s="440">
        <f t="shared" si="0"/>
        <v>10240.784000000001</v>
      </c>
      <c r="I18" s="440">
        <f t="shared" si="0"/>
        <v>12069.720888000002</v>
      </c>
      <c r="J18" s="440">
        <f t="shared" si="0"/>
        <v>12463.887645999999</v>
      </c>
      <c r="K18" s="440">
        <f t="shared" si="0"/>
        <v>13165.461013599999</v>
      </c>
      <c r="L18" s="465">
        <f t="shared" si="0"/>
        <v>13856.727291999998</v>
      </c>
      <c r="M18" s="139">
        <f t="shared" si="0"/>
        <v>14924.494239898968</v>
      </c>
      <c r="N18" s="139">
        <f t="shared" si="0"/>
        <v>15139.724072861753</v>
      </c>
    </row>
    <row r="20" spans="1:14">
      <c r="B20" s="466"/>
      <c r="C20" s="466"/>
      <c r="D20" s="466"/>
      <c r="E20" s="466"/>
      <c r="F20" s="466"/>
      <c r="G20" s="466"/>
      <c r="H20" s="466"/>
      <c r="I20" s="466"/>
      <c r="J20" s="466"/>
      <c r="K20" s="466"/>
      <c r="L20" s="466"/>
      <c r="M20" s="466"/>
      <c r="N20" s="507"/>
    </row>
  </sheetData>
  <mergeCells count="1">
    <mergeCell ref="A1:N1"/>
  </mergeCells>
  <pageMargins left="0.7" right="0.7" top="0.75" bottom="0.75" header="0.3" footer="0.3"/>
  <headerFooter>
    <oddHeader>&amp;C&amp;"Calibri"&amp;12&amp;KC00000 OFFICIAL&amp;1#_x000D_</oddHeader>
    <oddFooter>&amp;C_x000D_&amp;1#&amp;"Calibri"&amp;12&amp;KC00000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B25A407701FF46A2CA14B8AC3ED145" ma:contentTypeVersion="17" ma:contentTypeDescription="Create a new document." ma:contentTypeScope="" ma:versionID="290c4b9724e48887e6c2edc6036bfaa8">
  <xsd:schema xmlns:xsd="http://www.w3.org/2001/XMLSchema" xmlns:xs="http://www.w3.org/2001/XMLSchema" xmlns:p="http://schemas.microsoft.com/office/2006/metadata/properties" xmlns:ns1="http://schemas.microsoft.com/sharepoint/v3" xmlns:ns2="d36a44a6-7a6d-4925-98a0-9ece5bae57c2" xmlns:ns3="14345dad-9da0-40e8-a0bd-3d10acc97a39" targetNamespace="http://schemas.microsoft.com/office/2006/metadata/properties" ma:root="true" ma:fieldsID="87cf0b516664ea5cd1e729462c5d30f8" ns1:_="" ns2:_="" ns3:_="">
    <xsd:import namespace="http://schemas.microsoft.com/sharepoint/v3"/>
    <xsd:import namespace="d36a44a6-7a6d-4925-98a0-9ece5bae57c2"/>
    <xsd:import namespace="14345dad-9da0-40e8-a0bd-3d10acc97a39"/>
    <xsd:element name="properties">
      <xsd:complexType>
        <xsd:sequence>
          <xsd:element name="documentManagement">
            <xsd:complexType>
              <xsd:all>
                <xsd:element ref="ns2:h42aa9c60cfa482d8b4de6eb6c8d2fb6" minOccurs="0"/>
                <xsd:element ref="ns2:TaxCatchAll" minOccurs="0"/>
                <xsd:element ref="ns2:o7a6146050cb4d09976ab0424b714f41" minOccurs="0"/>
                <xsd:element ref="ns2:ddffa408cd124556aef03346ff160801" minOccurs="0"/>
                <xsd:element ref="ns1:Comments" minOccurs="0"/>
                <xsd:element ref="ns3:MediaServiceMetadata" minOccurs="0"/>
                <xsd:element ref="ns3:MediaServiceFastMetadata" minOccurs="0"/>
                <xsd:element ref="ns3:MediaServiceSearchProperties" minOccurs="0"/>
                <xsd:element ref="ns3:MediaServiceObjectDetectorVersions" minOccurs="0"/>
                <xsd:element ref="ns2:lf73f6f77dde428c8031e25f66b6f14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15"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36a44a6-7a6d-4925-98a0-9ece5bae57c2" elementFormDefault="qualified">
    <xsd:import namespace="http://schemas.microsoft.com/office/2006/documentManagement/types"/>
    <xsd:import namespace="http://schemas.microsoft.com/office/infopath/2007/PartnerControls"/>
    <xsd:element name="h42aa9c60cfa482d8b4de6eb6c8d2fb6" ma:index="9" ma:taxonomy="true" ma:internalName="h42aa9c60cfa482d8b4de6eb6c8d2fb6" ma:taxonomyFieldName="Stratus_DocumentType" ma:displayName="Document Type" ma:fieldId="{142aa9c6-0cfa-482d-8b4d-e6eb6c8d2fb6}" ma:sspId="b6206a2c-5ee7-4d50-b3ee-2668e744af9d" ma:termSetId="988248fe-9e4c-4dbd-93c7-83e60647dfac"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bffe50a2-2339-4473-b156-1efda26cf960}" ma:internalName="TaxCatchAll" ma:showField="CatchAllData" ma:web="d36a44a6-7a6d-4925-98a0-9ece5bae57c2">
      <xsd:complexType>
        <xsd:complexContent>
          <xsd:extension base="dms:MultiChoiceLookup">
            <xsd:sequence>
              <xsd:element name="Value" type="dms:Lookup" maxOccurs="unbounded" minOccurs="0" nillable="true"/>
            </xsd:sequence>
          </xsd:extension>
        </xsd:complexContent>
      </xsd:complexType>
    </xsd:element>
    <xsd:element name="o7a6146050cb4d09976ab0424b714f41" ma:index="12" ma:taxonomy="true" ma:internalName="o7a6146050cb4d09976ab0424b714f41" ma:taxonomyFieldName="Stratus_SecurityClassification" ma:displayName="Security Classification" ma:fieldId="{87a61460-50cb-4d09-976a-b0424b714f41}" ma:sspId="b6206a2c-5ee7-4d50-b3ee-2668e744af9d" ma:termSetId="4e44dabb-2ab0-4d6c-970e-3d57b9f48e0e" ma:anchorId="00000000-0000-0000-0000-000000000000" ma:open="false" ma:isKeyword="false">
      <xsd:complexType>
        <xsd:sequence>
          <xsd:element ref="pc:Terms" minOccurs="0" maxOccurs="1"/>
        </xsd:sequence>
      </xsd:complexType>
    </xsd:element>
    <xsd:element name="ddffa408cd124556aef03346ff160801" ma:index="14" nillable="true" ma:taxonomy="true" ma:internalName="ddffa408cd124556aef03346ff160801" ma:taxonomyFieldName="Stratus_Year" ma:displayName="Year" ma:fieldId="{ddffa408-cd12-4556-aef0-3346ff160801}" ma:sspId="b6206a2c-5ee7-4d50-b3ee-2668e744af9d" ma:termSetId="519f67bf-e7ac-413a-9b70-b55ecf9bb313" ma:anchorId="00000000-0000-0000-0000-000000000000" ma:open="false" ma:isKeyword="false">
      <xsd:complexType>
        <xsd:sequence>
          <xsd:element ref="pc:Terms" minOccurs="0" maxOccurs="1"/>
        </xsd:sequence>
      </xsd:complexType>
    </xsd:element>
    <xsd:element name="lf73f6f77dde428c8031e25f66b6f14a" ma:index="21" nillable="true" ma:taxonomy="true" ma:internalName="lf73f6f77dde428c8031e25f66b6f14a" ma:taxonomyFieldName="Stratus_InnovationMetricsTopic" ma:displayName="Topic" ma:default="" ma:fieldId="{5f73f6f7-7dde-428c-8031-e25f66b6f14a}" ma:sspId="b6206a2c-5ee7-4d50-b3ee-2668e744af9d" ma:termSetId="4c74dcbd-65ba-4c66-b008-bfa92cac195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4345dad-9da0-40e8-a0bd-3d10acc97a39" elementFormDefault="qualified">
    <xsd:import namespace="http://schemas.microsoft.com/office/2006/documentManagement/types"/>
    <xsd:import namespace="http://schemas.microsoft.com/office/infopath/2007/PartnerControls"/>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dffa408cd124556aef03346ff160801 xmlns="d36a44a6-7a6d-4925-98a0-9ece5bae57c2">
      <Terms xmlns="http://schemas.microsoft.com/office/infopath/2007/PartnerControls"/>
    </ddffa408cd124556aef03346ff160801>
    <TaxCatchAll xmlns="d36a44a6-7a6d-4925-98a0-9ece5bae57c2">
      <Value>14</Value>
      <Value>2</Value>
    </TaxCatchAll>
    <h42aa9c60cfa482d8b4de6eb6c8d2fb6 xmlns="d36a44a6-7a6d-4925-98a0-9ece5bae57c2">
      <Terms xmlns="http://schemas.microsoft.com/office/infopath/2007/PartnerControls">
        <TermInfo xmlns="http://schemas.microsoft.com/office/infopath/2007/PartnerControls">
          <TermName xmlns="http://schemas.microsoft.com/office/infopath/2007/PartnerControls">Workbook</TermName>
          <TermId xmlns="http://schemas.microsoft.com/office/infopath/2007/PartnerControls">90aac7f3-8406-4562-afff-2406d8b427b5</TermId>
        </TermInfo>
      </Terms>
    </h42aa9c60cfa482d8b4de6eb6c8d2fb6>
    <o7a6146050cb4d09976ab0424b714f41 xmlns="d36a44a6-7a6d-4925-98a0-9ece5bae57c2">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1077e141-03cb-4307-8c0f-d43dc85f509f</TermId>
        </TermInfo>
      </Terms>
    </o7a6146050cb4d09976ab0424b714f41>
    <Comments xmlns="http://schemas.microsoft.com/sharepoint/v3" xsi:nil="true"/>
    <lf73f6f77dde428c8031e25f66b6f14a xmlns="d36a44a6-7a6d-4925-98a0-9ece5bae57c2">
      <Terms xmlns="http://schemas.microsoft.com/office/infopath/2007/PartnerControls"/>
    </lf73f6f77dde428c8031e25f66b6f14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4A5890-50D0-4B53-A06A-4216318730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36a44a6-7a6d-4925-98a0-9ece5bae57c2"/>
    <ds:schemaRef ds:uri="14345dad-9da0-40e8-a0bd-3d10acc97a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1FB4BD-1BBF-4FF3-8FBB-FC79BEA5CC12}">
  <ds:schemaRefs>
    <ds:schemaRef ds:uri="http://schemas.microsoft.com/office/2006/metadata/properties"/>
    <ds:schemaRef ds:uri="http://schemas.microsoft.com/office/infopath/2007/PartnerControls"/>
    <ds:schemaRef ds:uri="d36a44a6-7a6d-4925-98a0-9ece5bae57c2"/>
    <ds:schemaRef ds:uri="http://schemas.microsoft.com/sharepoint/v3"/>
  </ds:schemaRefs>
</ds:datastoreItem>
</file>

<file path=customXml/itemProps3.xml><?xml version="1.0" encoding="utf-8"?>
<ds:datastoreItem xmlns:ds="http://schemas.openxmlformats.org/officeDocument/2006/customXml" ds:itemID="{8B3231E2-6A90-42E3-9DFB-44949A3ADCCF}">
  <ds:schemaRefs>
    <ds:schemaRef ds:uri="http://schemas.microsoft.com/sharepoint/v3/contenttype/forms"/>
  </ds:schemaRefs>
</ds:datastoreItem>
</file>

<file path=docMetadata/LabelInfo.xml><?xml version="1.0" encoding="utf-8"?>
<clbl:labelList xmlns:clbl="http://schemas.microsoft.com/office/2020/mipLabelMetadata">
  <clbl:label id="{f788632b-1377-4314-aac5-af7281e8e760}" enabled="1" method="Privileged" siteId="{8f73f427-32e5-4a3b-8d42-b369b956a96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Homepage</vt:lpstr>
      <vt:lpstr>Publication</vt:lpstr>
      <vt:lpstr>About SRI</vt:lpstr>
      <vt:lpstr>R&amp;D</vt:lpstr>
      <vt:lpstr>Other SRI</vt:lpstr>
      <vt:lpstr>KT &amp; RC</vt:lpstr>
      <vt:lpstr>AGOR</vt:lpstr>
      <vt:lpstr>Sector</vt:lpstr>
      <vt:lpstr>Portfolio</vt:lpstr>
      <vt:lpstr>Programs</vt:lpstr>
      <vt:lpstr>SEO</vt:lpstr>
      <vt:lpstr>Rural</vt:lpstr>
      <vt:lpstr>Definitions</vt:lpstr>
      <vt:lpstr>Notes</vt:lpstr>
      <vt:lpstr>'About SRI'!Print_Area</vt:lpstr>
      <vt:lpstr>Definitions!Print_Area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Huang, Summer</dc:creator>
  <cp:keywords/>
  <dc:description/>
  <cp:lastModifiedBy>Woodbridge, Joshua</cp:lastModifiedBy>
  <cp:revision/>
  <dcterms:created xsi:type="dcterms:W3CDTF">2015-06-05T18:17:20Z</dcterms:created>
  <dcterms:modified xsi:type="dcterms:W3CDTF">2025-08-15T02:45:36Z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0x01010041B25A407701FF46A2CA14B8AC3ED145</vt:lpwstr>
  </property>
  <property fmtid="{D5CDD505-2E9C-101B-9397-08002B2CF9AE}" pid="3" name="Stratus_WorkActivity">
    <vt:lpwstr/>
  </property>
  <property fmtid="{D5CDD505-2E9C-101B-9397-08002B2CF9AE}" pid="4" name="Stratus_DocumentType">
    <vt:lpwstr>14;#Workbook|90aac7f3-8406-4562-afff-2406d8b427b5</vt:lpwstr>
  </property>
  <property fmtid="{D5CDD505-2E9C-101B-9397-08002B2CF9AE}" pid="5" name="Stratus_Year">
    <vt:lpwstr/>
  </property>
  <property fmtid="{D5CDD505-2E9C-101B-9397-08002B2CF9AE}" pid="6" name="Stratus_SecurityClassification">
    <vt:lpwstr>2;#OFFICIAL|1077e141-03cb-4307-8c0f-d43dc85f509f</vt:lpwstr>
  </property>
  <property fmtid="{D5CDD505-2E9C-101B-9397-08002B2CF9AE}" pid="7" name="Stratus_ScienceResearchInnovationBudgetTablesDataTopic">
    <vt:lpwstr/>
  </property>
  <property fmtid="{D5CDD505-2E9C-101B-9397-08002B2CF9AE}" pid="8" name="Stratus_InnovationMetricsTopic">
    <vt:lpwstr/>
  </property>
</Properties>
</file>